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12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0" i="1" l="1"/>
  <c r="G187" i="1"/>
  <c r="D190" i="1"/>
  <c r="D187" i="1"/>
  <c r="D178" i="1"/>
  <c r="L144" i="1"/>
  <c r="K144" i="1"/>
  <c r="D136" i="1"/>
  <c r="D137" i="1"/>
  <c r="D135" i="1" l="1"/>
  <c r="D134" i="1"/>
  <c r="D133" i="1"/>
  <c r="D132" i="1"/>
  <c r="D131" i="1"/>
  <c r="C122" i="1"/>
  <c r="E190" i="1"/>
  <c r="F190" i="1" s="1"/>
  <c r="H190" i="1" s="1"/>
  <c r="E187" i="1"/>
  <c r="F187" i="1" s="1"/>
  <c r="J144" i="1"/>
  <c r="I144" i="1"/>
  <c r="E144" i="1"/>
  <c r="E181" i="1"/>
  <c r="E180" i="1"/>
  <c r="E179" i="1"/>
  <c r="E178" i="1"/>
  <c r="E177" i="1"/>
  <c r="E175" i="1"/>
  <c r="E174" i="1"/>
  <c r="E173" i="1"/>
  <c r="E171" i="1"/>
  <c r="E169" i="1"/>
  <c r="E166" i="1"/>
  <c r="E165" i="1"/>
  <c r="D181" i="1"/>
  <c r="D180" i="1"/>
  <c r="D179" i="1"/>
  <c r="A178" i="1"/>
  <c r="A179" i="1" s="1"/>
  <c r="A180" i="1" s="1"/>
  <c r="A181" i="1" s="1"/>
  <c r="D177" i="1"/>
  <c r="D175" i="1"/>
  <c r="D174" i="1"/>
  <c r="D173" i="1"/>
  <c r="A172" i="1"/>
  <c r="A173" i="1" s="1"/>
  <c r="A174" i="1" s="1"/>
  <c r="A175" i="1" s="1"/>
  <c r="D171" i="1"/>
  <c r="D169" i="1"/>
  <c r="E168" i="1"/>
  <c r="D168" i="1"/>
  <c r="E167" i="1"/>
  <c r="D167" i="1"/>
  <c r="D166" i="1"/>
  <c r="A166" i="1"/>
  <c r="A167" i="1" s="1"/>
  <c r="A168" i="1" s="1"/>
  <c r="A169" i="1" s="1"/>
  <c r="D165" i="1"/>
  <c r="D162" i="1"/>
  <c r="D161" i="1"/>
  <c r="D160" i="1"/>
  <c r="D159" i="1"/>
  <c r="D158" i="1"/>
  <c r="E162" i="1"/>
  <c r="E161" i="1"/>
  <c r="E160" i="1"/>
  <c r="F160" i="1" s="1"/>
  <c r="H160" i="1" s="1"/>
  <c r="E159" i="1"/>
  <c r="E158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49" i="1"/>
  <c r="D149" i="1"/>
  <c r="E148" i="1"/>
  <c r="D148" i="1"/>
  <c r="E147" i="1"/>
  <c r="D147" i="1"/>
  <c r="E146" i="1"/>
  <c r="D146" i="1"/>
  <c r="E145" i="1"/>
  <c r="D145" i="1"/>
  <c r="D144" i="1"/>
  <c r="A152" i="1"/>
  <c r="A153" i="1" s="1"/>
  <c r="A154" i="1" s="1"/>
  <c r="A155" i="1" s="1"/>
  <c r="A156" i="1" s="1"/>
  <c r="A159" i="1"/>
  <c r="A161" i="1" s="1"/>
  <c r="A162" i="1" s="1"/>
  <c r="F159" i="1" l="1"/>
  <c r="H159" i="1" s="1"/>
  <c r="F145" i="1"/>
  <c r="C121" i="1"/>
  <c r="F152" i="1"/>
  <c r="H152" i="1" s="1"/>
  <c r="F154" i="1"/>
  <c r="H154" i="1" s="1"/>
  <c r="E122" i="1"/>
  <c r="F153" i="1"/>
  <c r="H153" i="1" s="1"/>
  <c r="C117" i="1"/>
  <c r="H187" i="1"/>
  <c r="G122" i="1" s="1"/>
  <c r="F179" i="1"/>
  <c r="H179" i="1" s="1"/>
  <c r="F177" i="1"/>
  <c r="H177" i="1" s="1"/>
  <c r="F169" i="1"/>
  <c r="H169" i="1" s="1"/>
  <c r="F174" i="1"/>
  <c r="H174" i="1" s="1"/>
  <c r="F162" i="1"/>
  <c r="H162" i="1" s="1"/>
  <c r="F181" i="1"/>
  <c r="H181" i="1" s="1"/>
  <c r="F167" i="1"/>
  <c r="H167" i="1" s="1"/>
  <c r="F166" i="1"/>
  <c r="H166" i="1" s="1"/>
  <c r="F173" i="1"/>
  <c r="H173" i="1" s="1"/>
  <c r="F180" i="1"/>
  <c r="H180" i="1" s="1"/>
  <c r="F151" i="1"/>
  <c r="H151" i="1" s="1"/>
  <c r="F155" i="1"/>
  <c r="H155" i="1" s="1"/>
  <c r="F161" i="1"/>
  <c r="H161" i="1" s="1"/>
  <c r="F165" i="1"/>
  <c r="H165" i="1" s="1"/>
  <c r="F171" i="1"/>
  <c r="H171" i="1" s="1"/>
  <c r="F156" i="1"/>
  <c r="H156" i="1" s="1"/>
  <c r="F158" i="1"/>
  <c r="H158" i="1" s="1"/>
  <c r="F168" i="1"/>
  <c r="H168" i="1" s="1"/>
  <c r="F175" i="1"/>
  <c r="H175" i="1" s="1"/>
  <c r="F178" i="1"/>
  <c r="I133" i="1"/>
  <c r="I131" i="1"/>
  <c r="F149" i="1"/>
  <c r="H149" i="1" s="1"/>
  <c r="F148" i="1"/>
  <c r="H148" i="1" s="1"/>
  <c r="F137" i="1"/>
  <c r="H137" i="1" s="1"/>
  <c r="F136" i="1"/>
  <c r="H136" i="1" s="1"/>
  <c r="F135" i="1"/>
  <c r="H135" i="1" s="1"/>
  <c r="H178" i="1" l="1"/>
  <c r="G121" i="1" s="1"/>
  <c r="E121" i="1"/>
  <c r="F147" i="1"/>
  <c r="H147" i="1" s="1"/>
  <c r="F146" i="1"/>
  <c r="H146" i="1" s="1"/>
  <c r="H145" i="1"/>
  <c r="A145" i="1"/>
  <c r="A146" i="1" s="1"/>
  <c r="A147" i="1" s="1"/>
  <c r="A148" i="1" s="1"/>
  <c r="A149" i="1" s="1"/>
  <c r="F144" i="1"/>
  <c r="F134" i="1"/>
  <c r="H134" i="1" s="1"/>
  <c r="F133" i="1"/>
  <c r="H133" i="1" s="1"/>
  <c r="F132" i="1"/>
  <c r="H132" i="1" s="1"/>
  <c r="A132" i="1"/>
  <c r="A133" i="1" s="1"/>
  <c r="A134" i="1" s="1"/>
  <c r="A135" i="1" s="1"/>
  <c r="A136" i="1" s="1"/>
  <c r="A137" i="1" s="1"/>
  <c r="F131" i="1"/>
  <c r="C120" i="1" l="1"/>
  <c r="C123" i="1" s="1"/>
  <c r="E120" i="1"/>
  <c r="E123" i="1" s="1"/>
  <c r="H144" i="1"/>
  <c r="G120" i="1" s="1"/>
  <c r="G123" i="1" s="1"/>
  <c r="H131" i="1"/>
  <c r="G117" i="1" s="1"/>
  <c r="E117" i="1"/>
  <c r="C81" i="1"/>
  <c r="C67" i="1"/>
  <c r="E41" i="1"/>
  <c r="J92" i="1" l="1"/>
  <c r="J91" i="1"/>
  <c r="J90" i="1"/>
  <c r="J89" i="1"/>
  <c r="I123" i="1" l="1"/>
  <c r="D236" i="1"/>
  <c r="D229" i="1"/>
  <c r="D230" i="1"/>
  <c r="D234" i="1"/>
  <c r="D233" i="1"/>
  <c r="D232" i="1"/>
  <c r="D225" i="1"/>
  <c r="D224" i="1"/>
  <c r="D226" i="1"/>
  <c r="D227" i="1"/>
  <c r="D198" i="1"/>
  <c r="J198" i="1" s="1"/>
  <c r="D197" i="1"/>
  <c r="J197" i="1" s="1"/>
  <c r="D223" i="1"/>
  <c r="D222" i="1"/>
  <c r="D221" i="1"/>
  <c r="D235" i="1"/>
  <c r="D231" i="1"/>
  <c r="G229" i="1"/>
  <c r="G230" i="1" s="1"/>
  <c r="G231" i="1" s="1"/>
  <c r="G232" i="1" s="1"/>
  <c r="G233" i="1" s="1"/>
  <c r="G234" i="1" s="1"/>
  <c r="G235" i="1" s="1"/>
  <c r="G236" i="1" s="1"/>
  <c r="A221" i="1"/>
  <c r="A222" i="1" s="1"/>
  <c r="A223" i="1" s="1"/>
  <c r="A224" i="1" s="1"/>
  <c r="A225" i="1" s="1"/>
  <c r="A226" i="1" s="1"/>
  <c r="A227" i="1" s="1"/>
  <c r="G220" i="1"/>
  <c r="G221" i="1" s="1"/>
  <c r="G222" i="1" s="1"/>
  <c r="G223" i="1" s="1"/>
  <c r="G224" i="1" s="1"/>
  <c r="G225" i="1" s="1"/>
  <c r="G226" i="1" s="1"/>
  <c r="G227" i="1" s="1"/>
  <c r="D220" i="1"/>
  <c r="D217" i="1"/>
  <c r="D214" i="1"/>
  <c r="D213" i="1"/>
  <c r="D211" i="1"/>
  <c r="D210" i="1"/>
  <c r="D209" i="1"/>
  <c r="D208" i="1"/>
  <c r="D216" i="1"/>
  <c r="D215" i="1"/>
  <c r="G213" i="1"/>
  <c r="G214" i="1" s="1"/>
  <c r="G215" i="1" s="1"/>
  <c r="G216" i="1" s="1"/>
  <c r="G217" i="1" s="1"/>
  <c r="A209" i="1"/>
  <c r="A210" i="1" s="1"/>
  <c r="A211" i="1" s="1"/>
  <c r="G208" i="1"/>
  <c r="G209" i="1" s="1"/>
  <c r="G210" i="1" s="1"/>
  <c r="G211" i="1" s="1"/>
  <c r="D205" i="1"/>
  <c r="J205" i="1" s="1"/>
  <c r="D204" i="1"/>
  <c r="J204" i="1" s="1"/>
  <c r="D203" i="1"/>
  <c r="J203" i="1" s="1"/>
  <c r="D202" i="1"/>
  <c r="J202" i="1" s="1"/>
  <c r="D201" i="1"/>
  <c r="J201" i="1" s="1"/>
  <c r="D200" i="1"/>
  <c r="J200" i="1" s="1"/>
  <c r="G200" i="1"/>
  <c r="G201" i="1" s="1"/>
  <c r="G202" i="1" s="1"/>
  <c r="G203" i="1" s="1"/>
  <c r="G204" i="1" s="1"/>
  <c r="G205" i="1" s="1"/>
  <c r="D196" i="1"/>
  <c r="J196" i="1" s="1"/>
  <c r="D195" i="1"/>
  <c r="J195" i="1" s="1"/>
  <c r="D194" i="1"/>
  <c r="J194" i="1" s="1"/>
  <c r="G194" i="1"/>
  <c r="G195" i="1" s="1"/>
  <c r="G196" i="1" s="1"/>
  <c r="G197" i="1" s="1"/>
  <c r="G198" i="1" s="1"/>
  <c r="A195" i="1"/>
  <c r="A196" i="1" s="1"/>
  <c r="A197" i="1" s="1"/>
  <c r="A198" i="1" s="1"/>
  <c r="P229" i="1"/>
  <c r="O229" i="1"/>
  <c r="P213" i="1"/>
  <c r="O213" i="1"/>
  <c r="O200" i="1"/>
  <c r="P200" i="1"/>
  <c r="N229" i="1" l="1"/>
  <c r="A229" i="1" s="1"/>
  <c r="O230" i="1"/>
  <c r="P230" i="1"/>
  <c r="P231" i="1" s="1"/>
  <c r="P232" i="1" s="1"/>
  <c r="P233" i="1" s="1"/>
  <c r="P234" i="1" s="1"/>
  <c r="P235" i="1" s="1"/>
  <c r="P236" i="1" s="1"/>
  <c r="N213" i="1"/>
  <c r="A213" i="1" s="1"/>
  <c r="O214" i="1"/>
  <c r="P214" i="1"/>
  <c r="P215" i="1" s="1"/>
  <c r="P216" i="1" s="1"/>
  <c r="P217" i="1" s="1"/>
  <c r="P201" i="1"/>
  <c r="P202" i="1" s="1"/>
  <c r="P203" i="1" s="1"/>
  <c r="P204" i="1" s="1"/>
  <c r="P205" i="1" s="1"/>
  <c r="O201" i="1"/>
  <c r="N200" i="1"/>
  <c r="A200" i="1" s="1"/>
  <c r="C15" i="1"/>
  <c r="O231" i="1" l="1"/>
  <c r="N230" i="1"/>
  <c r="A230" i="1" s="1"/>
  <c r="O215" i="1"/>
  <c r="N214" i="1"/>
  <c r="A214" i="1" s="1"/>
  <c r="N201" i="1"/>
  <c r="A201" i="1" s="1"/>
  <c r="O202" i="1"/>
  <c r="E29" i="1"/>
  <c r="O232" i="1" l="1"/>
  <c r="N231" i="1"/>
  <c r="A231" i="1" s="1"/>
  <c r="O216" i="1"/>
  <c r="N215" i="1"/>
  <c r="A215" i="1" s="1"/>
  <c r="N202" i="1"/>
  <c r="A202" i="1" s="1"/>
  <c r="O203" i="1"/>
  <c r="O233" i="1" l="1"/>
  <c r="N232" i="1"/>
  <c r="A232" i="1" s="1"/>
  <c r="O217" i="1"/>
  <c r="N216" i="1"/>
  <c r="A216" i="1" s="1"/>
  <c r="N203" i="1"/>
  <c r="A203" i="1" s="1"/>
  <c r="O204" i="1"/>
  <c r="O234" i="1" l="1"/>
  <c r="N233" i="1"/>
  <c r="A233" i="1" s="1"/>
  <c r="N217" i="1"/>
  <c r="A217" i="1" s="1"/>
  <c r="N204" i="1"/>
  <c r="A204" i="1" s="1"/>
  <c r="O205" i="1"/>
  <c r="N205" i="1" s="1"/>
  <c r="A205" i="1" s="1"/>
  <c r="B239" i="1"/>
  <c r="N234" i="1" l="1"/>
  <c r="A234" i="1" s="1"/>
  <c r="O235" i="1"/>
  <c r="F11" i="5"/>
  <c r="G11" i="5" s="1"/>
  <c r="G10" i="5"/>
  <c r="F9" i="5"/>
  <c r="G9" i="5" s="1"/>
  <c r="F8" i="5"/>
  <c r="G8" i="5" s="1"/>
  <c r="F7" i="5"/>
  <c r="G7" i="5" s="1"/>
  <c r="G6" i="5"/>
  <c r="G5" i="5"/>
  <c r="D262" i="1"/>
  <c r="A239" i="1"/>
  <c r="F114" i="1"/>
  <c r="J106" i="1"/>
  <c r="J105" i="1"/>
  <c r="J104" i="1"/>
  <c r="J103" i="1"/>
  <c r="C95" i="1"/>
  <c r="J78" i="1"/>
  <c r="J77" i="1"/>
  <c r="J76" i="1"/>
  <c r="J75" i="1"/>
  <c r="D61" i="1"/>
  <c r="D54" i="1"/>
  <c r="G49" i="1"/>
  <c r="G50" i="1" s="1"/>
  <c r="C49" i="1"/>
  <c r="E42" i="1"/>
  <c r="E43" i="1" s="1"/>
  <c r="E26" i="1"/>
  <c r="E24" i="1"/>
  <c r="E7" i="1"/>
  <c r="E3" i="1"/>
  <c r="H68" i="1"/>
  <c r="H96" i="1"/>
  <c r="G12" i="5" l="1"/>
  <c r="O236" i="1"/>
  <c r="N236" i="1" s="1"/>
  <c r="A236" i="1" s="1"/>
  <c r="N235" i="1"/>
  <c r="A235" i="1" s="1"/>
  <c r="J71" i="1"/>
  <c r="D80" i="1"/>
  <c r="D78" i="1"/>
  <c r="D76" i="1"/>
  <c r="D74" i="1"/>
  <c r="J72" i="1"/>
  <c r="C71" i="1" s="1"/>
  <c r="D71" i="1" s="1"/>
  <c r="J70" i="1"/>
  <c r="J73" i="1"/>
  <c r="D79" i="1"/>
  <c r="D75" i="1"/>
  <c r="D77" i="1"/>
  <c r="D73" i="1"/>
  <c r="J101" i="1"/>
  <c r="J102" i="1" s="1"/>
  <c r="J107" i="1" s="1"/>
  <c r="J108" i="1" s="1"/>
  <c r="D107" i="1"/>
  <c r="D105" i="1"/>
  <c r="D103" i="1"/>
  <c r="D101" i="1"/>
  <c r="J99" i="1"/>
  <c r="D108" i="1"/>
  <c r="J100" i="1"/>
  <c r="D99" i="1" s="1"/>
  <c r="D102" i="1"/>
  <c r="D104" i="1"/>
  <c r="D106" i="1"/>
  <c r="J98" i="1"/>
  <c r="J74" i="1" l="1"/>
  <c r="A241" i="1"/>
  <c r="A242" i="1" s="1"/>
  <c r="A243" i="1" s="1"/>
  <c r="E99" i="1"/>
  <c r="D100" i="1"/>
  <c r="G99" i="1"/>
  <c r="A244" i="1" l="1"/>
  <c r="A245" i="1" s="1"/>
  <c r="A246" i="1" s="1"/>
  <c r="A247" i="1" s="1"/>
  <c r="A248" i="1" s="1"/>
  <c r="A249" i="1" s="1"/>
  <c r="J79" i="1"/>
  <c r="J80" i="1" s="1"/>
  <c r="C72" i="1" s="1"/>
  <c r="D72" i="1" s="1"/>
  <c r="I95" i="1"/>
  <c r="C97" i="1" s="1"/>
  <c r="H82" i="1"/>
  <c r="J86" i="1" l="1"/>
  <c r="C85" i="1" s="1"/>
  <c r="D94" i="1"/>
  <c r="D90" i="1"/>
  <c r="J85" i="1"/>
  <c r="D91" i="1"/>
  <c r="J84" i="1"/>
  <c r="D93" i="1"/>
  <c r="D89" i="1"/>
  <c r="D92" i="1"/>
  <c r="D88" i="1"/>
  <c r="J87" i="1"/>
  <c r="J88" i="1" s="1"/>
  <c r="J93" i="1" s="1"/>
  <c r="J94" i="1" s="1"/>
  <c r="C86" i="1" s="1"/>
  <c r="D86" i="1" s="1"/>
  <c r="D87" i="1"/>
  <c r="E71" i="1"/>
  <c r="I67" i="1" s="1"/>
  <c r="C69" i="1" s="1"/>
  <c r="G71" i="1"/>
  <c r="D65" i="1" s="1"/>
  <c r="F66" i="1" s="1"/>
  <c r="E85" i="1" l="1"/>
  <c r="G85" i="1"/>
  <c r="D85" i="1"/>
  <c r="D66" i="1"/>
  <c r="I81" i="1" l="1"/>
  <c r="C83" i="1" s="1"/>
</calcChain>
</file>

<file path=xl/comments1.xml><?xml version="1.0" encoding="utf-8"?>
<comments xmlns="http://schemas.openxmlformats.org/spreadsheetml/2006/main">
  <authors>
    <author>SACHIN</author>
  </authors>
  <commentList>
    <comment ref="H140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  <comment ref="H184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<sst xmlns="http://schemas.openxmlformats.org/spreadsheetml/2006/main" count="446" uniqueCount="246">
  <si>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</si>
  <si>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</si>
  <si>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</si>
  <si>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</si>
  <si>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</si>
  <si>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</si>
  <si>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</si>
  <si>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</si>
  <si>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</si>
  <si>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</si>
  <si>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</si>
  <si>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</si>
  <si>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</si>
  <si>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</si>
  <si>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</si>
  <si>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</si>
  <si>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</si>
  <si>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</si>
  <si>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</si>
  <si>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</si>
  <si>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</si>
  <si>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</si>
  <si>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</si>
  <si>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</si>
  <si>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</si>
  <si>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</si>
  <si>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</si>
  <si>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</si>
  <si>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</si>
  <si>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</si>
  <si>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</si>
  <si>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</si>
  <si>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</si>
  <si>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</si>
  <si>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</si>
  <si>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</si>
  <si>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</si>
  <si>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</si>
  <si>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</si>
  <si>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</si>
  <si>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</si>
  <si>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</si>
  <si>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</si>
  <si>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</si>
  <si>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</si>
  <si>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</si>
  <si>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</si>
  <si>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</si>
  <si>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</si>
  <si>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</si>
  <si>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</si>
  <si>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</si>
  <si>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</si>
  <si>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</si>
  <si>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</si>
  <si>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</si>
  <si>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</si>
  <si>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</si>
  <si>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</si>
  <si>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</si>
  <si>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</si>
  <si>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</si>
  <si>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</si>
  <si>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</si>
  <si>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</si>
  <si>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</si>
  <si>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</si>
  <si>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</si>
  <si>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</si>
  <si>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</si>
  <si>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</si>
  <si>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</si>
  <si>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</si>
  <si>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</si>
  <si>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</si>
  <si>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</si>
  <si>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</si>
  <si>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</si>
  <si>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</si>
  <si>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</si>
  <si>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</si>
  <si>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</si>
  <si>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</si>
  <si>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</si>
  <si>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</si>
  <si>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</si>
  <si>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</si>
  <si>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</si>
  <si>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</si>
  <si>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</si>
  <si>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</si>
  <si>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</si>
  <si>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</si>
  <si>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</si>
  <si>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</si>
  <si>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</si>
  <si>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</si>
  <si>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</si>
  <si>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</si>
  <si>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</si>
  <si>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</si>
  <si>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</si>
  <si>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</si>
  <si>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</si>
  <si>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</si>
  <si>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</si>
  <si>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</si>
  <si>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</si>
  <si>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</si>
  <si>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</si>
  <si>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</si>
  <si>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</si>
  <si>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</si>
  <si>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</si>
  <si>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</si>
  <si>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</si>
  <si>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</si>
  <si>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</si>
  <si>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</si>
  <si>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</si>
  <si>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</si>
  <si>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</si>
  <si>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</si>
  <si>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</si>
  <si>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</si>
  <si>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</si>
  <si>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</si>
  <si>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</si>
  <si>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</si>
  <si>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</si>
  <si>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</si>
  <si>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</si>
  <si>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</si>
  <si>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</si>
  <si>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</si>
  <si>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</si>
  <si>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</si>
  <si>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</si>
  <si>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</si>
  <si>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</si>
  <si>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</si>
  <si>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</si>
  <si>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</si>
  <si>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</si>
  <si>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</si>
  <si>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</si>
  <si>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</si>
  <si>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</si>
  <si>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</si>
  <si>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</si>
  <si>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</si>
  <si>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</si>
  <si>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</si>
  <si>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</si>
  <si>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</si>
  <si>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Axis Goregaon</t>
  </si>
  <si>
    <t xml:space="preserve">P99000030582
</t>
  </si>
  <si>
    <t>Akshay Enclave</t>
  </si>
  <si>
    <t>M/s.Shree Shivbali Builders Private Limited</t>
  </si>
  <si>
    <t>Rajivali</t>
  </si>
  <si>
    <t>Vasai</t>
  </si>
  <si>
    <t>Palghar</t>
  </si>
  <si>
    <t>Naigaon East Vasai Link Road</t>
  </si>
  <si>
    <t>Vasai East</t>
  </si>
  <si>
    <t>Survey No</t>
  </si>
  <si>
    <t>Open Plot</t>
  </si>
  <si>
    <t>Raj Emarald Building</t>
  </si>
  <si>
    <t>Vasai-Virar City Municipal Corporation</t>
  </si>
  <si>
    <t>As per RERA - 31/12/2028</t>
  </si>
  <si>
    <t>Building No.1 (A Wing)</t>
  </si>
  <si>
    <t>1BHK</t>
  </si>
  <si>
    <t>1RK</t>
  </si>
  <si>
    <t>1st to 4th Floor</t>
  </si>
  <si>
    <t>Building No.1 (B Wing)</t>
  </si>
  <si>
    <t>Building No.2</t>
  </si>
  <si>
    <t xml:space="preserve">Builder Saleable area </t>
  </si>
  <si>
    <t>Society Charges</t>
  </si>
  <si>
    <t>1,00,000/-</t>
  </si>
  <si>
    <t>1,50,000/-</t>
  </si>
  <si>
    <t>housing</t>
  </si>
  <si>
    <t>1bhk</t>
  </si>
  <si>
    <t>1rk</t>
  </si>
  <si>
    <t>189/1/1/2</t>
  </si>
  <si>
    <t>Recommended rate should be considered as all inclusive rate if other charges are not mentioned. (Excluding GST &amp; other government Taxes)</t>
  </si>
  <si>
    <t>Location Link</t>
  </si>
  <si>
    <t>https://goo.gl/maps/H4Wg8aTrRPLbQ8AB6</t>
  </si>
  <si>
    <t>Site Person - Contact Details ( Name &amp; Contact No.)</t>
  </si>
  <si>
    <t>Office No. 1031, Wing J, Akshar Business Park, Plot No. 03 Sector 25, Near APMC Market, Vashi, 
Navi Mumbai, Maharashtra 400703 TEL: 022-46090378/79/80
E mail : vsjcapf@gmail.com. Web site : www.vsjadon.com</t>
  </si>
  <si>
    <t>Latitude &amp; Longitude</t>
  </si>
  <si>
    <t>19.383008,72.856282</t>
  </si>
  <si>
    <t>Name / No of the Building as per RERA</t>
  </si>
  <si>
    <t>Pooja Pride 1 (A &amp; B Wings) &amp; Pooja Pride 2</t>
  </si>
  <si>
    <t>VVCMC/TP/AMEND/VP/5501/
465/2022-23</t>
  </si>
  <si>
    <t>VVCMC/TP/RDP/VP-5501/
464/2022-23</t>
  </si>
  <si>
    <t>Valid Up to:  Building No. 1 (Wing A &amp; B)= G + 1st to 12th Floor
Row House 1 &amp; 2 = Gr + 1st Floor</t>
  </si>
  <si>
    <t>Building No.1 (A &amp; B Wings) &amp; Row House No. 1 &amp; 2</t>
  </si>
  <si>
    <t>Row House 1 &amp; 2 = Gr + 1st Floor</t>
  </si>
  <si>
    <t>Building No. 1 (Wing A &amp; B)= G + 1st to 12th Floor
Row House 1 &amp; 2 = Gr + 1st Floor</t>
  </si>
  <si>
    <t>Vitrified tiles flooring, Granite Kitchen Platform, Decorative Entrance, Landscaping &amp; Garden, etc.</t>
  </si>
  <si>
    <t>Building No. 1 (Wing A)= G + 1st to 14th Floor</t>
  </si>
  <si>
    <t>Building No. 1 (Wing B)= G + 1st to 14th Floor</t>
  </si>
  <si>
    <t xml:space="preserve">Details of Residential &amp; Commercials in Building   </t>
  </si>
  <si>
    <t>Shop No. (Sale Plan)</t>
  </si>
  <si>
    <t>Carpet area</t>
  </si>
  <si>
    <t>Attached Loft area</t>
  </si>
  <si>
    <t>Saleable area Loading :</t>
  </si>
  <si>
    <t>Flat No. (Sale Plan)</t>
  </si>
  <si>
    <r>
      <t xml:space="preserve">Shop No.
</t>
    </r>
    <r>
      <rPr>
        <b/>
        <sz val="11"/>
        <rFont val="Times New Roman"/>
        <family val="1"/>
      </rPr>
      <t>(Approved Plan)</t>
    </r>
  </si>
  <si>
    <r>
      <t xml:space="preserve">Flat No.
</t>
    </r>
    <r>
      <rPr>
        <b/>
        <sz val="11"/>
        <rFont val="Times New Roman"/>
        <family val="1"/>
      </rPr>
      <t>(Approved Plan)</t>
    </r>
  </si>
  <si>
    <t>Shop</t>
  </si>
  <si>
    <t>Building No. 1</t>
  </si>
  <si>
    <t>Wing A</t>
  </si>
  <si>
    <t>Ground Floor For Commercial, Entrance Lobby &amp; Parking</t>
  </si>
  <si>
    <t>1st to 6th Floor</t>
  </si>
  <si>
    <t>Encl Balcony + Chajja Area</t>
  </si>
  <si>
    <t>8th to 12th Floor</t>
  </si>
  <si>
    <t>Wing B</t>
  </si>
  <si>
    <t>7th Floor (Part Refuge Area)</t>
  </si>
  <si>
    <t>Refuge Area</t>
  </si>
  <si>
    <t>Row House 1</t>
  </si>
  <si>
    <t>Row House 2</t>
  </si>
  <si>
    <t>Gr + 1st Floor</t>
  </si>
  <si>
    <t>2.5BHK</t>
  </si>
  <si>
    <t>Row House</t>
  </si>
  <si>
    <t>Varandah + AF Area</t>
  </si>
  <si>
    <t>We considered Gross carpet area For Flats= Net carpet + Enclose balcony + Chajja Area.
We considered Gross carpet area For Row House = Net carpet + Varandah + AF Area.</t>
  </si>
  <si>
    <t>We have updated revised approved CC &amp; Plans (on 31/03/2024).</t>
  </si>
  <si>
    <t>Layout :</t>
  </si>
  <si>
    <t>Commercia1 Area Details :</t>
  </si>
  <si>
    <t>Wing A Shops</t>
  </si>
  <si>
    <t>RERA Carpet area</t>
  </si>
  <si>
    <t>Flats - 126, Shop = 07, Row House = 02</t>
  </si>
  <si>
    <t>4.00KM from Vasai Road Railway Station</t>
  </si>
  <si>
    <t>7th Floor</t>
  </si>
  <si>
    <t>04 Buildings</t>
  </si>
  <si>
    <t>Building No. 1 Wing A has 06 flats from the 1st to the 7th floor, but only 05 flats from the 8th to the 12th floor (01 flat has been reduced).</t>
  </si>
  <si>
    <t>Mr.Amit Singh 7709545078</t>
  </si>
  <si>
    <t>Shop Rate 10000   11/02/2025</t>
  </si>
  <si>
    <t>Recommended rate of the Shop Per Sq. Ft. ( on Saleable area)</t>
  </si>
  <si>
    <t>Since Row House No. 1 &amp; 2 have received CC on 30/12/2022, but as of construction work is not
started.</t>
  </si>
  <si>
    <t>rate 6000 by shailesh cost sheet n verbal   on 12/03/2025</t>
  </si>
  <si>
    <t>Recommended Rates / Other charges of the Property have been revised on 12/03/2025.</t>
  </si>
  <si>
    <t>Navnath Bhatkar</t>
  </si>
  <si>
    <t>Mr. Om : 7709545078</t>
  </si>
  <si>
    <t>Construction work is in process at the time of Visit. Internal visit not allowed.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</si>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</sst>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00"/>
    <numFmt numFmtId="169" formatCode="0.000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0" fillId="0" borderId="0"/>
    <xf numFmtId="0" fontId="24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09">
    <xf numFmtId="0" fontId="0" fillId="0" borderId="0" xfId="0"/>
    <xf numFmtId="0" fontId="6" fillId="0" borderId="0" xfId="4" applyFont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3" fillId="0" borderId="3" xfId="1" applyFont="1" applyFill="1" applyBorder="1" applyAlignment="1" applyProtection="1">
      <alignment horizontal="center" vertical="top"/>
      <protection locked="0"/>
    </xf>
    <xf numFmtId="0" fontId="13" fillId="0" borderId="4" xfId="1" applyFont="1" applyFill="1" applyBorder="1" applyAlignment="1" applyProtection="1">
      <alignment horizontal="center" vertical="top"/>
      <protection locked="0"/>
    </xf>
    <xf numFmtId="1" fontId="9" fillId="0" borderId="2" xfId="1" applyNumberFormat="1" applyFont="1" applyFill="1" applyBorder="1" applyAlignment="1" applyProtection="1">
      <alignment horizontal="center" vertical="top" wrapText="1"/>
      <protection locked="0"/>
    </xf>
    <xf numFmtId="1" fontId="5" fillId="0" borderId="2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0" xfId="1" applyFont="1" applyFill="1" applyBorder="1" applyProtection="1">
      <protection hidden="1"/>
    </xf>
    <xf numFmtId="0" fontId="13" fillId="0" borderId="0" xfId="1" applyFont="1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15" fillId="0" borderId="13" xfId="0" applyFont="1" applyFill="1" applyBorder="1" applyProtection="1">
      <protection hidden="1"/>
    </xf>
    <xf numFmtId="0" fontId="1" fillId="0" borderId="1" xfId="5" applyFont="1" applyBorder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9" fillId="0" borderId="18" xfId="1" applyNumberFormat="1" applyFont="1" applyFill="1" applyBorder="1" applyAlignment="1" applyProtection="1">
      <alignment horizontal="center" vertical="top" wrapText="1"/>
      <protection locked="0"/>
    </xf>
    <xf numFmtId="0" fontId="8" fillId="0" borderId="0" xfId="1" applyFont="1" applyFill="1"/>
    <xf numFmtId="0" fontId="16" fillId="0" borderId="0" xfId="1" applyFont="1" applyFill="1"/>
    <xf numFmtId="0" fontId="13" fillId="0" borderId="1" xfId="1" applyFont="1" applyFill="1" applyBorder="1" applyAlignment="1" applyProtection="1">
      <alignment vertical="top"/>
      <protection locked="0"/>
    </xf>
    <xf numFmtId="0" fontId="13" fillId="0" borderId="0" xfId="1" applyFont="1" applyFill="1"/>
    <xf numFmtId="1" fontId="8" fillId="0" borderId="0" xfId="1" applyNumberFormat="1" applyFont="1" applyFill="1"/>
    <xf numFmtId="0" fontId="8" fillId="0" borderId="0" xfId="1" applyNumberFormat="1" applyFont="1" applyFill="1"/>
    <xf numFmtId="14" fontId="8" fillId="0" borderId="0" xfId="1" applyNumberFormat="1" applyFont="1" applyFill="1"/>
    <xf numFmtId="0" fontId="8" fillId="0" borderId="0" xfId="1" applyFont="1" applyFill="1" applyProtection="1">
      <protection hidden="1"/>
    </xf>
    <xf numFmtId="0" fontId="22" fillId="0" borderId="0" xfId="1" applyFont="1" applyFill="1"/>
    <xf numFmtId="0" fontId="13" fillId="0" borderId="11" xfId="1" applyFont="1" applyFill="1" applyBorder="1" applyProtection="1">
      <protection hidden="1"/>
    </xf>
    <xf numFmtId="0" fontId="13" fillId="0" borderId="12" xfId="1" applyFont="1" applyFill="1" applyBorder="1" applyProtection="1">
      <protection hidden="1"/>
    </xf>
    <xf numFmtId="0" fontId="13" fillId="0" borderId="12" xfId="1" applyFont="1" applyFill="1" applyBorder="1"/>
    <xf numFmtId="0" fontId="13" fillId="0" borderId="1" xfId="1" applyFont="1" applyFill="1" applyBorder="1" applyAlignment="1" applyProtection="1">
      <alignment horizontal="center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2" xfId="0" applyNumberFormat="1" applyFont="1" applyFill="1" applyBorder="1" applyProtection="1">
      <protection hidden="1"/>
    </xf>
    <xf numFmtId="1" fontId="13" fillId="0" borderId="1" xfId="1" applyNumberFormat="1" applyFont="1" applyFill="1" applyBorder="1" applyAlignment="1" applyProtection="1">
      <alignment horizontal="center" wrapText="1"/>
      <protection locked="0"/>
    </xf>
    <xf numFmtId="1" fontId="23" fillId="0" borderId="12" xfId="0" applyNumberFormat="1" applyFont="1" applyFill="1" applyBorder="1"/>
    <xf numFmtId="1" fontId="23" fillId="0" borderId="12" xfId="0" applyNumberFormat="1" applyFont="1" applyFill="1" applyBorder="1" applyAlignment="1">
      <alignment horizontal="right"/>
    </xf>
    <xf numFmtId="0" fontId="13" fillId="0" borderId="6" xfId="1" applyFont="1" applyFill="1" applyBorder="1" applyAlignment="1" applyProtection="1">
      <alignment horizontal="center" wrapText="1"/>
      <protection locked="0"/>
    </xf>
    <xf numFmtId="9" fontId="13" fillId="0" borderId="6" xfId="1" applyNumberFormat="1" applyFont="1" applyFill="1" applyBorder="1" applyAlignment="1" applyProtection="1">
      <alignment horizontal="center" vertical="center" wrapText="1"/>
      <protection hidden="1"/>
    </xf>
    <xf numFmtId="1" fontId="23" fillId="0" borderId="14" xfId="0" applyNumberFormat="1" applyFont="1" applyFill="1" applyBorder="1"/>
    <xf numFmtId="0" fontId="17" fillId="0" borderId="0" xfId="1" applyFont="1" applyFill="1"/>
    <xf numFmtId="0" fontId="7" fillId="0" borderId="0" xfId="2" applyFont="1" applyFill="1"/>
    <xf numFmtId="0" fontId="8" fillId="0" borderId="0" xfId="0" applyFont="1" applyFill="1" applyAlignment="1">
      <alignment horizontal="center" vertical="center"/>
    </xf>
    <xf numFmtId="1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69" fontId="8" fillId="0" borderId="0" xfId="1" applyNumberFormat="1" applyFont="1" applyFill="1" applyAlignment="1">
      <alignment horizontal="center" vertical="center"/>
    </xf>
    <xf numFmtId="2" fontId="8" fillId="0" borderId="0" xfId="1" applyNumberFormat="1" applyFont="1" applyFill="1" applyAlignment="1">
      <alignment horizontal="center" vertical="center"/>
    </xf>
    <xf numFmtId="168" fontId="8" fillId="0" borderId="0" xfId="1" applyNumberFormat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9" fillId="0" borderId="0" xfId="1" applyFont="1" applyFill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vertical="top" wrapText="1"/>
      <protection locked="0"/>
    </xf>
    <xf numFmtId="0" fontId="8" fillId="0" borderId="0" xfId="1" applyFont="1" applyFill="1" applyProtection="1">
      <protection locked="0"/>
    </xf>
    <xf numFmtId="0" fontId="11" fillId="0" borderId="0" xfId="1" applyFont="1" applyFill="1" applyProtection="1"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2" applyFont="1"/>
    <xf numFmtId="1" fontId="14" fillId="0" borderId="2" xfId="1" applyNumberFormat="1" applyFont="1" applyBorder="1" applyAlignment="1" applyProtection="1">
      <alignment horizontal="center" vertical="top" wrapText="1"/>
      <protection locked="0"/>
    </xf>
    <xf numFmtId="9" fontId="14" fillId="0" borderId="25" xfId="9" applyFont="1" applyFill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2" fontId="8" fillId="0" borderId="0" xfId="1" applyNumberFormat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" fontId="13" fillId="0" borderId="0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Border="1" applyAlignment="1">
      <alignment vertical="center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14" fillId="0" borderId="8" xfId="1" applyNumberFormat="1" applyFont="1" applyBorder="1" applyAlignment="1" applyProtection="1">
      <alignment horizontal="center" vertical="center" wrapText="1"/>
      <protection locked="0"/>
    </xf>
    <xf numFmtId="1" fontId="14" fillId="0" borderId="20" xfId="1" applyNumberFormat="1" applyFont="1" applyBorder="1" applyAlignment="1" applyProtection="1">
      <alignment horizontal="center" vertical="center" wrapText="1"/>
      <protection locked="0"/>
    </xf>
    <xf numFmtId="1" fontId="14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Border="1" applyAlignment="1">
      <alignment horizontal="center" vertical="center"/>
    </xf>
    <xf numFmtId="1" fontId="11" fillId="0" borderId="8" xfId="1" applyNumberFormat="1" applyFont="1" applyBorder="1" applyAlignment="1" applyProtection="1">
      <alignment horizontal="center" vertical="center" wrapText="1"/>
      <protection locked="0"/>
    </xf>
    <xf numFmtId="1" fontId="11" fillId="0" borderId="20" xfId="1" applyNumberFormat="1" applyFont="1" applyBorder="1" applyAlignment="1" applyProtection="1">
      <alignment horizontal="center" vertical="center" wrapText="1"/>
      <protection locked="0"/>
    </xf>
    <xf numFmtId="1" fontId="11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4" fillId="0" borderId="18" xfId="1" applyNumberFormat="1" applyFont="1" applyBorder="1" applyAlignment="1" applyProtection="1">
      <alignment horizontal="center" vertical="top" wrapText="1"/>
      <protection locked="0"/>
    </xf>
    <xf numFmtId="1" fontId="14" fillId="0" borderId="26" xfId="1" applyNumberFormat="1" applyFont="1" applyBorder="1" applyAlignment="1" applyProtection="1">
      <alignment horizontal="center" vertical="top" wrapText="1"/>
      <protection locked="0"/>
    </xf>
    <xf numFmtId="1" fontId="14" fillId="0" borderId="2" xfId="1" applyNumberFormat="1" applyFont="1" applyBorder="1" applyAlignment="1" applyProtection="1">
      <alignment horizontal="center" vertical="top" wrapText="1"/>
      <protection locked="0"/>
    </xf>
    <xf numFmtId="1" fontId="14" fillId="0" borderId="25" xfId="1" applyNumberFormat="1" applyFont="1" applyBorder="1" applyAlignment="1" applyProtection="1">
      <alignment horizontal="center" vertical="top" wrapText="1"/>
      <protection locked="0"/>
    </xf>
    <xf numFmtId="1" fontId="9" fillId="0" borderId="8" xfId="0" applyNumberFormat="1" applyFont="1" applyFill="1" applyBorder="1" applyAlignment="1" applyProtection="1">
      <alignment vertical="top" wrapText="1"/>
      <protection locked="0"/>
    </xf>
    <xf numFmtId="1" fontId="9" fillId="0" borderId="20" xfId="0" applyNumberFormat="1" applyFont="1" applyFill="1" applyBorder="1" applyAlignment="1" applyProtection="1">
      <alignment vertical="top" wrapText="1"/>
      <protection locked="0"/>
    </xf>
    <xf numFmtId="1" fontId="9" fillId="0" borderId="9" xfId="0" applyNumberFormat="1" applyFont="1" applyFill="1" applyBorder="1" applyAlignment="1" applyProtection="1">
      <alignment vertical="top" wrapText="1"/>
      <protection locked="0"/>
    </xf>
    <xf numFmtId="0" fontId="14" fillId="0" borderId="28" xfId="1" applyFont="1" applyFill="1" applyBorder="1" applyAlignment="1" applyProtection="1">
      <alignment horizontal="left" vertical="top" wrapText="1"/>
      <protection locked="0"/>
    </xf>
    <xf numFmtId="0" fontId="14" fillId="0" borderId="27" xfId="1" applyFont="1" applyFill="1" applyBorder="1" applyAlignment="1" applyProtection="1">
      <alignment horizontal="left" vertical="top" wrapText="1"/>
      <protection locked="0"/>
    </xf>
    <xf numFmtId="0" fontId="14" fillId="0" borderId="26" xfId="1" applyFont="1" applyFill="1" applyBorder="1" applyAlignment="1" applyProtection="1">
      <alignment horizontal="left" vertical="top" wrapText="1"/>
      <protection locked="0"/>
    </xf>
    <xf numFmtId="0" fontId="14" fillId="0" borderId="29" xfId="1" applyFont="1" applyFill="1" applyBorder="1" applyAlignment="1" applyProtection="1">
      <alignment horizontal="left" vertical="top" wrapText="1"/>
      <protection locked="0"/>
    </xf>
    <xf numFmtId="0" fontId="14" fillId="0" borderId="30" xfId="1" applyFont="1" applyFill="1" applyBorder="1" applyAlignment="1" applyProtection="1">
      <alignment horizontal="left" vertical="top" wrapText="1"/>
      <protection locked="0"/>
    </xf>
    <xf numFmtId="0" fontId="14" fillId="0" borderId="3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0" fontId="14" fillId="0" borderId="4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6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6" xfId="1" applyFont="1" applyFill="1" applyBorder="1" applyAlignment="1" applyProtection="1">
      <alignment horizontal="center" vertical="top" wrapText="1"/>
      <protection locked="0"/>
    </xf>
    <xf numFmtId="1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8" xfId="0" applyNumberFormat="1" applyFont="1" applyFill="1" applyBorder="1" applyAlignment="1" applyProtection="1">
      <alignment vertical="top" wrapText="1"/>
      <protection locked="0"/>
    </xf>
    <xf numFmtId="1" fontId="14" fillId="0" borderId="20" xfId="0" applyNumberFormat="1" applyFont="1" applyFill="1" applyBorder="1" applyAlignment="1" applyProtection="1">
      <alignment vertical="top" wrapText="1"/>
      <protection locked="0"/>
    </xf>
    <xf numFmtId="1" fontId="14" fillId="0" borderId="9" xfId="0" applyNumberFormat="1" applyFont="1" applyFill="1" applyBorder="1" applyAlignment="1" applyProtection="1">
      <alignment vertical="top" wrapText="1"/>
      <protection locked="0"/>
    </xf>
    <xf numFmtId="0" fontId="8" fillId="0" borderId="0" xfId="1" applyFont="1" applyFill="1" applyAlignment="1">
      <alignment horizontal="center" vertical="center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0" fontId="14" fillId="0" borderId="8" xfId="1" applyFont="1" applyFill="1" applyBorder="1" applyAlignment="1" applyProtection="1">
      <alignment horizontal="left" vertical="top"/>
      <protection locked="0"/>
    </xf>
    <xf numFmtId="0" fontId="14" fillId="0" borderId="20" xfId="1" applyFont="1" applyFill="1" applyBorder="1" applyAlignment="1" applyProtection="1">
      <alignment horizontal="left" vertical="top"/>
      <protection locked="0"/>
    </xf>
    <xf numFmtId="0" fontId="14" fillId="0" borderId="9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2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4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4" fillId="0" borderId="1" xfId="1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horizontal="left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1" fontId="7" fillId="0" borderId="1" xfId="1" applyNumberFormat="1" applyFont="1" applyFill="1" applyBorder="1" applyAlignment="1" applyProtection="1">
      <alignment horizontal="left" vertical="top" wrapText="1"/>
      <protection locked="0"/>
    </xf>
    <xf numFmtId="164" fontId="7" fillId="0" borderId="1" xfId="1" applyNumberFormat="1" applyFont="1" applyFill="1" applyBorder="1" applyAlignment="1" applyProtection="1">
      <alignment horizontal="left" vertical="top"/>
      <protection locked="0"/>
    </xf>
    <xf numFmtId="2" fontId="7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2" xfId="1" applyFont="1" applyFill="1" applyBorder="1" applyAlignment="1" applyProtection="1">
      <alignment horizontal="left" vertical="top" wrapText="1"/>
      <protection locked="0"/>
    </xf>
    <xf numFmtId="0" fontId="13" fillId="0" borderId="2" xfId="1" applyFont="1" applyFill="1" applyBorder="1" applyAlignment="1" applyProtection="1">
      <alignment horizontal="left" vertical="top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4" fillId="0" borderId="21" xfId="1" applyFont="1" applyFill="1" applyBorder="1" applyAlignment="1" applyProtection="1">
      <alignment horizontal="left" vertical="top" wrapText="1"/>
      <protection locked="0"/>
    </xf>
    <xf numFmtId="0" fontId="14" fillId="0" borderId="17" xfId="1" applyFont="1" applyFill="1" applyBorder="1" applyAlignment="1" applyProtection="1">
      <alignment horizontal="left" vertical="top" wrapText="1"/>
      <protection locked="0"/>
    </xf>
    <xf numFmtId="0" fontId="14" fillId="0" borderId="15" xfId="1" applyFont="1" applyFill="1" applyBorder="1" applyAlignment="1" applyProtection="1">
      <alignment horizontal="left" vertical="top" wrapText="1"/>
      <protection locked="0"/>
    </xf>
    <xf numFmtId="0" fontId="14" fillId="0" borderId="16" xfId="1" applyFont="1" applyFill="1" applyBorder="1" applyAlignment="1" applyProtection="1">
      <alignment horizontal="left" vertical="top" wrapText="1"/>
      <protection locked="0"/>
    </xf>
    <xf numFmtId="0" fontId="14" fillId="0" borderId="22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5" fillId="0" borderId="1" xfId="1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1" xfId="1" applyFont="1" applyFill="1" applyBorder="1" applyAlignment="1" applyProtection="1">
      <alignment vertical="top"/>
      <protection locked="0"/>
    </xf>
    <xf numFmtId="1" fontId="14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0" xfId="1" applyFont="1" applyFill="1" applyBorder="1" applyAlignment="1" applyProtection="1">
      <alignment horizontal="left" vertical="top" wrapText="1"/>
      <protection locked="0"/>
    </xf>
    <xf numFmtId="167" fontId="14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1" fontId="9" fillId="0" borderId="18" xfId="1" applyNumberFormat="1" applyFont="1" applyFill="1" applyBorder="1" applyAlignment="1" applyProtection="1">
      <alignment horizontal="center" vertical="top" wrapText="1"/>
      <protection locked="0"/>
    </xf>
    <xf numFmtId="1" fontId="9" fillId="0" borderId="19" xfId="1" applyNumberFormat="1" applyFont="1" applyFill="1" applyBorder="1" applyAlignment="1" applyProtection="1">
      <alignment horizontal="center" vertical="top" wrapText="1"/>
      <protection locked="0"/>
    </xf>
    <xf numFmtId="1" fontId="11" fillId="0" borderId="1" xfId="0" applyNumberFormat="1" applyFont="1" applyFill="1" applyBorder="1" applyAlignment="1" applyProtection="1">
      <alignment horizontal="center" vertical="top" wrapText="1"/>
      <protection locked="0"/>
    </xf>
    <xf numFmtId="1" fontId="28" fillId="0" borderId="2" xfId="1" applyNumberFormat="1" applyFont="1" applyBorder="1" applyAlignment="1" applyProtection="1">
      <alignment horizontal="center" vertical="top" wrapText="1"/>
      <protection locked="0"/>
    </xf>
    <xf numFmtId="1" fontId="28" fillId="0" borderId="25" xfId="1" applyNumberFormat="1" applyFont="1" applyBorder="1" applyAlignment="1" applyProtection="1">
      <alignment horizontal="center" vertical="top" wrapText="1"/>
      <protection locked="0"/>
    </xf>
    <xf numFmtId="1" fontId="14" fillId="0" borderId="19" xfId="1" applyNumberFormat="1" applyFont="1" applyBorder="1" applyAlignment="1" applyProtection="1">
      <alignment horizontal="center" vertical="top" wrapText="1"/>
      <protection locked="0"/>
    </xf>
    <xf numFmtId="1" fontId="14" fillId="0" borderId="27" xfId="1" applyNumberFormat="1" applyFont="1" applyBorder="1" applyAlignment="1" applyProtection="1">
      <alignment horizontal="center" vertical="top" wrapText="1"/>
      <protection locked="0"/>
    </xf>
    <xf numFmtId="0" fontId="10" fillId="0" borderId="1" xfId="5" applyFont="1" applyBorder="1" applyAlignment="1">
      <alignment horizontal="left"/>
    </xf>
    <xf numFmtId="0" fontId="11" fillId="0" borderId="1" xfId="1" applyFont="1" applyFill="1" applyBorder="1" applyAlignment="1" applyProtection="1">
      <alignment horizontal="left" vertical="center"/>
      <protection locked="0"/>
    </xf>
    <xf numFmtId="0" fontId="24" fillId="0" borderId="1" xfId="8" applyFill="1" applyBorder="1" applyAlignment="1" applyProtection="1">
      <alignment horizontal="left" vertical="center"/>
      <protection locked="0"/>
    </xf>
    <xf numFmtId="0" fontId="8" fillId="0" borderId="1" xfId="1" applyFont="1" applyFill="1" applyBorder="1" applyAlignment="1" applyProtection="1">
      <alignment horizontal="left" vertical="center"/>
      <protection locked="0"/>
    </xf>
    <xf numFmtId="1" fontId="14" fillId="0" borderId="1" xfId="1" applyNumberFormat="1" applyFont="1" applyBorder="1" applyAlignment="1" applyProtection="1">
      <alignment horizontal="center" vertical="top" wrapText="1"/>
      <protection locked="0"/>
    </xf>
    <xf numFmtId="1" fontId="14" fillId="0" borderId="1" xfId="1" applyNumberFormat="1" applyFont="1" applyBorder="1" applyAlignment="1" applyProtection="1">
      <alignment horizontal="center" vertical="top" wrapText="1"/>
      <protection locked="0"/>
    </xf>
    <xf numFmtId="9" fontId="14" fillId="0" borderId="1" xfId="9" applyFont="1" applyFill="1" applyBorder="1" applyAlignment="1" applyProtection="1">
      <alignment horizontal="center" vertical="top" wrapText="1"/>
      <protection locked="0"/>
    </xf>
    <xf numFmtId="1" fontId="11" fillId="0" borderId="1" xfId="0" applyNumberFormat="1" applyFont="1" applyFill="1" applyBorder="1" applyAlignment="1" applyProtection="1">
      <alignment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677033</xdr:colOff>
      <xdr:row>271</xdr:row>
      <xdr:rowOff>55903</xdr:rowOff>
    </xdr:from>
    <xdr:to>
      <xdr:col>16</xdr:col>
      <xdr:colOff>343026</xdr:colOff>
      <xdr:row>273</xdr:row>
      <xdr:rowOff>21823</xdr:rowOff>
    </xdr:to>
    <xdr:sp macro="" textlink="">
      <xdr:nvSpPr>
        <xdr:cNvPr id="16" name="Rectangle 15"/>
        <xdr:cNvSpPr/>
      </xdr:nvSpPr>
      <xdr:spPr>
        <a:xfrm>
          <a:off x="10349238" y="39125721"/>
          <a:ext cx="453970" cy="36423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1B</a:t>
          </a:r>
          <a:endParaRPr lang="en-IN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1020571</xdr:colOff>
      <xdr:row>263</xdr:row>
      <xdr:rowOff>60613</xdr:rowOff>
    </xdr:from>
    <xdr:to>
      <xdr:col>9</xdr:col>
      <xdr:colOff>327047</xdr:colOff>
      <xdr:row>265</xdr:row>
      <xdr:rowOff>37739</xdr:rowOff>
    </xdr:to>
    <xdr:sp macro="" textlink="">
      <xdr:nvSpPr>
        <xdr:cNvPr id="33" name="Rectangle 32"/>
        <xdr:cNvSpPr/>
      </xdr:nvSpPr>
      <xdr:spPr>
        <a:xfrm>
          <a:off x="7367685" y="37701681"/>
          <a:ext cx="466794" cy="36678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1A</a:t>
          </a:r>
          <a:endParaRPr lang="en-IN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146002</xdr:colOff>
      <xdr:row>270</xdr:row>
      <xdr:rowOff>30216</xdr:rowOff>
    </xdr:from>
    <xdr:to>
      <xdr:col>9</xdr:col>
      <xdr:colOff>612796</xdr:colOff>
      <xdr:row>271</xdr:row>
      <xdr:rowOff>197842</xdr:rowOff>
    </xdr:to>
    <xdr:sp macro="" textlink="">
      <xdr:nvSpPr>
        <xdr:cNvPr id="34" name="Rectangle 33"/>
        <xdr:cNvSpPr/>
      </xdr:nvSpPr>
      <xdr:spPr>
        <a:xfrm>
          <a:off x="7653434" y="39056739"/>
          <a:ext cx="466794" cy="36678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1B</a:t>
          </a:r>
          <a:endParaRPr lang="en-IN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616324</xdr:colOff>
      <xdr:row>309</xdr:row>
      <xdr:rowOff>33617</xdr:rowOff>
    </xdr:from>
    <xdr:to>
      <xdr:col>7</xdr:col>
      <xdr:colOff>549265</xdr:colOff>
      <xdr:row>340</xdr:row>
      <xdr:rowOff>150616</xdr:rowOff>
    </xdr:to>
    <xdr:grpSp>
      <xdr:nvGrpSpPr>
        <xdr:cNvPr id="21" name="Group 20"/>
        <xdr:cNvGrpSpPr/>
      </xdr:nvGrpSpPr>
      <xdr:grpSpPr>
        <a:xfrm>
          <a:off x="616324" y="57069317"/>
          <a:ext cx="6035291" cy="6219349"/>
          <a:chOff x="1000125" y="1885950"/>
          <a:chExt cx="5760000" cy="6369882"/>
        </a:xfrm>
      </xdr:grpSpPr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00125" y="1885950"/>
            <a:ext cx="5760000" cy="636988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3" name="Rectangle 22"/>
          <xdr:cNvSpPr/>
        </xdr:nvSpPr>
        <xdr:spPr>
          <a:xfrm rot="19631580">
            <a:off x="2924407" y="3674470"/>
            <a:ext cx="1001230" cy="56600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4" name="Rectangle 23"/>
          <xdr:cNvSpPr/>
        </xdr:nvSpPr>
        <xdr:spPr>
          <a:xfrm rot="2102985">
            <a:off x="4485178" y="2099967"/>
            <a:ext cx="788059" cy="849631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5" name="Rectangle 24"/>
          <xdr:cNvSpPr/>
        </xdr:nvSpPr>
        <xdr:spPr>
          <a:xfrm rot="2102985">
            <a:off x="3982258" y="2823867"/>
            <a:ext cx="788059" cy="849631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0" name="TextBox 5"/>
          <xdr:cNvSpPr txBox="1"/>
        </xdr:nvSpPr>
        <xdr:spPr>
          <a:xfrm>
            <a:off x="5267506" y="2622066"/>
            <a:ext cx="1268296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400" b="1">
                <a:solidFill>
                  <a:srgbClr val="FF0000"/>
                </a:solidFill>
              </a:rPr>
              <a:t>Building No. 1 </a:t>
            </a:r>
          </a:p>
          <a:p>
            <a:pPr algn="ctr"/>
            <a:r>
              <a:rPr lang="en-US" sz="1400" b="1">
                <a:solidFill>
                  <a:srgbClr val="FF0000"/>
                </a:solidFill>
              </a:rPr>
              <a:t>Wing A</a:t>
            </a:r>
            <a:endParaRPr lang="en-IN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31" name="TextBox 6"/>
          <xdr:cNvSpPr txBox="1"/>
        </xdr:nvSpPr>
        <xdr:spPr>
          <a:xfrm>
            <a:off x="2927865" y="2588095"/>
            <a:ext cx="1268296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400" b="1">
                <a:solidFill>
                  <a:srgbClr val="FF0000"/>
                </a:solidFill>
              </a:rPr>
              <a:t>Building No. 1 </a:t>
            </a:r>
          </a:p>
          <a:p>
            <a:pPr algn="ctr"/>
            <a:r>
              <a:rPr lang="en-US" sz="1400" b="1">
                <a:solidFill>
                  <a:srgbClr val="FF0000"/>
                </a:solidFill>
              </a:rPr>
              <a:t>Wing B</a:t>
            </a:r>
            <a:endParaRPr lang="en-IN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32" name="TextBox 7"/>
          <xdr:cNvSpPr txBox="1"/>
        </xdr:nvSpPr>
        <xdr:spPr>
          <a:xfrm>
            <a:off x="3274533" y="4325682"/>
            <a:ext cx="1449179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0000"/>
                </a:solidFill>
              </a:rPr>
              <a:t>Row House 1 &amp; 2</a:t>
            </a:r>
            <a:endParaRPr lang="en-IN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1</xdr:col>
      <xdr:colOff>123265</xdr:colOff>
      <xdr:row>348</xdr:row>
      <xdr:rowOff>44824</xdr:rowOff>
    </xdr:from>
    <xdr:to>
      <xdr:col>7</xdr:col>
      <xdr:colOff>98206</xdr:colOff>
      <xdr:row>364</xdr:row>
      <xdr:rowOff>38583</xdr:rowOff>
    </xdr:to>
    <xdr:pic>
      <xdr:nvPicPr>
        <xdr:cNvPr id="35" name="Picture 34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265" y="64926883"/>
          <a:ext cx="5040000" cy="32210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123265</xdr:colOff>
      <xdr:row>365</xdr:row>
      <xdr:rowOff>9701</xdr:rowOff>
    </xdr:from>
    <xdr:to>
      <xdr:col>7</xdr:col>
      <xdr:colOff>98206</xdr:colOff>
      <xdr:row>384</xdr:row>
      <xdr:rowOff>115834</xdr:rowOff>
    </xdr:to>
    <xdr:grpSp>
      <xdr:nvGrpSpPr>
        <xdr:cNvPr id="36" name="Group 35"/>
        <xdr:cNvGrpSpPr/>
      </xdr:nvGrpSpPr>
      <xdr:grpSpPr>
        <a:xfrm>
          <a:off x="923365" y="68069001"/>
          <a:ext cx="5277191" cy="3846283"/>
          <a:chOff x="997789" y="3523136"/>
          <a:chExt cx="5040000" cy="3938545"/>
        </a:xfrm>
      </xdr:grpSpPr>
      <xdr:pic>
        <xdr:nvPicPr>
          <xdr:cNvPr id="37" name="Picture 3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97789" y="3523136"/>
            <a:ext cx="5040000" cy="393854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8" name="Rectangle 37"/>
          <xdr:cNvSpPr/>
        </xdr:nvSpPr>
        <xdr:spPr>
          <a:xfrm rot="1714272">
            <a:off x="3124201" y="4038600"/>
            <a:ext cx="952500" cy="1574800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9" name="Rectangle 38"/>
          <xdr:cNvSpPr/>
        </xdr:nvSpPr>
        <xdr:spPr>
          <a:xfrm rot="19116945">
            <a:off x="2460599" y="5556249"/>
            <a:ext cx="996950" cy="558800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>
    <xdr:from>
      <xdr:col>8</xdr:col>
      <xdr:colOff>142875</xdr:colOff>
      <xdr:row>262</xdr:row>
      <xdr:rowOff>19050</xdr:rowOff>
    </xdr:from>
    <xdr:to>
      <xdr:col>19</xdr:col>
      <xdr:colOff>6140</xdr:colOff>
      <xdr:row>295</xdr:row>
      <xdr:rowOff>147550</xdr:rowOff>
    </xdr:to>
    <xdr:grpSp>
      <xdr:nvGrpSpPr>
        <xdr:cNvPr id="6" name="Group 5"/>
        <xdr:cNvGrpSpPr/>
      </xdr:nvGrpSpPr>
      <xdr:grpSpPr>
        <a:xfrm>
          <a:off x="7413625" y="47809150"/>
          <a:ext cx="6105315" cy="6618200"/>
          <a:chOff x="552450" y="47129700"/>
          <a:chExt cx="6098965" cy="6615025"/>
        </a:xfrm>
      </xdr:grpSpPr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08922" y="51224725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4508" y="47129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2450" y="47129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2554" y="51224725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55738" y="51224725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9" name="Rectangle 68"/>
          <xdr:cNvSpPr/>
        </xdr:nvSpPr>
        <xdr:spPr>
          <a:xfrm>
            <a:off x="552450" y="47129700"/>
            <a:ext cx="1204825" cy="365297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Bldg1 (A)</a:t>
            </a:r>
            <a:endParaRPr lang="en-IN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0" name="Rectangle 69"/>
          <xdr:cNvSpPr/>
        </xdr:nvSpPr>
        <xdr:spPr>
          <a:xfrm>
            <a:off x="3684508" y="47129700"/>
            <a:ext cx="1204825" cy="365297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Bldg1 (B)</a:t>
            </a:r>
            <a:endParaRPr lang="en-IN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444500</xdr:colOff>
      <xdr:row>262</xdr:row>
      <xdr:rowOff>120650</xdr:rowOff>
    </xdr:from>
    <xdr:to>
      <xdr:col>7</xdr:col>
      <xdr:colOff>725033</xdr:colOff>
      <xdr:row>302</xdr:row>
      <xdr:rowOff>109910</xdr:rowOff>
    </xdr:to>
    <xdr:grpSp>
      <xdr:nvGrpSpPr>
        <xdr:cNvPr id="2" name="Group 1"/>
        <xdr:cNvGrpSpPr/>
      </xdr:nvGrpSpPr>
      <xdr:grpSpPr>
        <a:xfrm>
          <a:off x="444500" y="47910750"/>
          <a:ext cx="6382883" cy="7856910"/>
          <a:chOff x="444500" y="47910750"/>
          <a:chExt cx="6382883" cy="7856910"/>
        </a:xfrm>
      </xdr:grpSpPr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3860" y="5360766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77520" y="47910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1010" y="5075920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500" y="5075920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500" y="47910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63940" y="5360766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1010" y="47910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77520" y="5075920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8900" y="5360766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4" name="Rectangle 53"/>
          <xdr:cNvSpPr/>
        </xdr:nvSpPr>
        <xdr:spPr>
          <a:xfrm>
            <a:off x="831850" y="49371250"/>
            <a:ext cx="1206079" cy="36547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Bldg1 (A)</a:t>
            </a:r>
            <a:endParaRPr lang="en-IN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5" name="Rectangle 54"/>
          <xdr:cNvSpPr/>
        </xdr:nvSpPr>
        <xdr:spPr>
          <a:xfrm>
            <a:off x="5209320" y="49574450"/>
            <a:ext cx="1206079" cy="36547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Bldg1 (A)</a:t>
            </a:r>
            <a:endParaRPr lang="en-IN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6" name="Rectangle 55"/>
          <xdr:cNvSpPr/>
        </xdr:nvSpPr>
        <xdr:spPr>
          <a:xfrm>
            <a:off x="1060450" y="52943605"/>
            <a:ext cx="1206079" cy="36547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Bldg1 (B)</a:t>
            </a:r>
            <a:endParaRPr lang="en-IN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709607</xdr:colOff>
      <xdr:row>14</xdr:row>
      <xdr:rowOff>0</xdr:rowOff>
    </xdr:from>
    <xdr:to>
      <xdr:col>16</xdr:col>
      <xdr:colOff>474284</xdr:colOff>
      <xdr:row>34</xdr:row>
      <xdr:rowOff>45742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0872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4Wg8aTrRPLbQ8AB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347"/>
  <sheetViews>
    <sheetView tabSelected="1" view="pageBreakPreview" topLeftCell="A64" zoomScaleNormal="100" zoomScaleSheetLayoutView="100" zoomScalePageLayoutView="85" workbookViewId="0">
      <selection activeCell="K75" sqref="K75"/>
    </sheetView>
  </sheetViews>
  <sheetFormatPr defaultColWidth="9.1796875" defaultRowHeight="15.5" x14ac:dyDescent="0.35"/>
  <cols>
    <col min="1" max="1" width="11.453125" style="63" customWidth="1"/>
    <col min="2" max="2" width="12" style="63" customWidth="1"/>
    <col min="3" max="3" width="12.7265625" style="63" customWidth="1"/>
    <col min="4" max="4" width="14.1796875" style="63" customWidth="1"/>
    <col min="5" max="6" width="11.7265625" style="63" customWidth="1"/>
    <col min="7" max="7" width="13.54296875" style="63" customWidth="1"/>
    <col min="8" max="8" width="16.7265625" style="63" customWidth="1"/>
    <col min="9" max="9" width="17.453125" style="31" customWidth="1"/>
    <col min="10" max="10" width="11.453125" style="31" customWidth="1"/>
    <col min="11" max="11" width="10.54296875" style="31" bestFit="1" customWidth="1"/>
    <col min="12" max="12" width="10.54296875" style="31" customWidth="1"/>
    <col min="13" max="13" width="11.81640625" style="31" customWidth="1"/>
    <col min="14" max="14" width="12.54296875" style="31" hidden="1" customWidth="1"/>
    <col min="15" max="15" width="9.81640625" style="31" hidden="1" customWidth="1"/>
    <col min="16" max="16" width="11.7265625" style="31" hidden="1" customWidth="1"/>
    <col min="17" max="247" width="9.1796875" style="31"/>
    <col min="248" max="248" width="8.7265625" style="31" customWidth="1"/>
    <col min="249" max="249" width="9.81640625" style="31" customWidth="1"/>
    <col min="250" max="250" width="14.453125" style="31" customWidth="1"/>
    <col min="251" max="251" width="7.26953125" style="31" customWidth="1"/>
    <col min="252" max="252" width="5.54296875" style="31" customWidth="1"/>
    <col min="253" max="253" width="9" style="31" customWidth="1"/>
    <col min="254" max="255" width="9.81640625" style="31" customWidth="1"/>
    <col min="256" max="256" width="11.1796875" style="31" customWidth="1"/>
    <col min="257" max="257" width="2.81640625" style="31" customWidth="1"/>
    <col min="258" max="258" width="3.54296875" style="31" customWidth="1"/>
    <col min="259" max="503" width="9.1796875" style="31"/>
    <col min="504" max="504" width="8.7265625" style="31" customWidth="1"/>
    <col min="505" max="505" width="9.81640625" style="31" customWidth="1"/>
    <col min="506" max="506" width="14.453125" style="31" customWidth="1"/>
    <col min="507" max="507" width="7.26953125" style="31" customWidth="1"/>
    <col min="508" max="508" width="5.54296875" style="31" customWidth="1"/>
    <col min="509" max="509" width="9" style="31" customWidth="1"/>
    <col min="510" max="511" width="9.81640625" style="31" customWidth="1"/>
    <col min="512" max="512" width="11.1796875" style="31" customWidth="1"/>
    <col min="513" max="513" width="2.81640625" style="31" customWidth="1"/>
    <col min="514" max="514" width="3.54296875" style="31" customWidth="1"/>
    <col min="515" max="759" width="9.1796875" style="31"/>
    <col min="760" max="760" width="8.7265625" style="31" customWidth="1"/>
    <col min="761" max="761" width="9.81640625" style="31" customWidth="1"/>
    <col min="762" max="762" width="14.453125" style="31" customWidth="1"/>
    <col min="763" max="763" width="7.26953125" style="31" customWidth="1"/>
    <col min="764" max="764" width="5.54296875" style="31" customWidth="1"/>
    <col min="765" max="765" width="9" style="31" customWidth="1"/>
    <col min="766" max="767" width="9.81640625" style="31" customWidth="1"/>
    <col min="768" max="768" width="11.1796875" style="31" customWidth="1"/>
    <col min="769" max="769" width="2.81640625" style="31" customWidth="1"/>
    <col min="770" max="770" width="3.54296875" style="31" customWidth="1"/>
    <col min="771" max="1015" width="9.1796875" style="31"/>
    <col min="1016" max="1016" width="8.7265625" style="31" customWidth="1"/>
    <col min="1017" max="1017" width="9.81640625" style="31" customWidth="1"/>
    <col min="1018" max="1018" width="14.453125" style="31" customWidth="1"/>
    <col min="1019" max="1019" width="7.26953125" style="31" customWidth="1"/>
    <col min="1020" max="1020" width="5.54296875" style="31" customWidth="1"/>
    <col min="1021" max="1021" width="9" style="31" customWidth="1"/>
    <col min="1022" max="1023" width="9.81640625" style="31" customWidth="1"/>
    <col min="1024" max="1024" width="11.1796875" style="31" customWidth="1"/>
    <col min="1025" max="1025" width="2.81640625" style="31" customWidth="1"/>
    <col min="1026" max="1026" width="3.54296875" style="31" customWidth="1"/>
    <col min="1027" max="1271" width="9.1796875" style="31"/>
    <col min="1272" max="1272" width="8.7265625" style="31" customWidth="1"/>
    <col min="1273" max="1273" width="9.81640625" style="31" customWidth="1"/>
    <col min="1274" max="1274" width="14.453125" style="31" customWidth="1"/>
    <col min="1275" max="1275" width="7.26953125" style="31" customWidth="1"/>
    <col min="1276" max="1276" width="5.54296875" style="31" customWidth="1"/>
    <col min="1277" max="1277" width="9" style="31" customWidth="1"/>
    <col min="1278" max="1279" width="9.81640625" style="31" customWidth="1"/>
    <col min="1280" max="1280" width="11.1796875" style="31" customWidth="1"/>
    <col min="1281" max="1281" width="2.81640625" style="31" customWidth="1"/>
    <col min="1282" max="1282" width="3.54296875" style="31" customWidth="1"/>
    <col min="1283" max="1527" width="9.1796875" style="31"/>
    <col min="1528" max="1528" width="8.7265625" style="31" customWidth="1"/>
    <col min="1529" max="1529" width="9.81640625" style="31" customWidth="1"/>
    <col min="1530" max="1530" width="14.453125" style="31" customWidth="1"/>
    <col min="1531" max="1531" width="7.26953125" style="31" customWidth="1"/>
    <col min="1532" max="1532" width="5.54296875" style="31" customWidth="1"/>
    <col min="1533" max="1533" width="9" style="31" customWidth="1"/>
    <col min="1534" max="1535" width="9.81640625" style="31" customWidth="1"/>
    <col min="1536" max="1536" width="11.1796875" style="31" customWidth="1"/>
    <col min="1537" max="1537" width="2.81640625" style="31" customWidth="1"/>
    <col min="1538" max="1538" width="3.54296875" style="31" customWidth="1"/>
    <col min="1539" max="1783" width="9.1796875" style="31"/>
    <col min="1784" max="1784" width="8.7265625" style="31" customWidth="1"/>
    <col min="1785" max="1785" width="9.81640625" style="31" customWidth="1"/>
    <col min="1786" max="1786" width="14.453125" style="31" customWidth="1"/>
    <col min="1787" max="1787" width="7.26953125" style="31" customWidth="1"/>
    <col min="1788" max="1788" width="5.54296875" style="31" customWidth="1"/>
    <col min="1789" max="1789" width="9" style="31" customWidth="1"/>
    <col min="1790" max="1791" width="9.81640625" style="31" customWidth="1"/>
    <col min="1792" max="1792" width="11.1796875" style="31" customWidth="1"/>
    <col min="1793" max="1793" width="2.81640625" style="31" customWidth="1"/>
    <col min="1794" max="1794" width="3.54296875" style="31" customWidth="1"/>
    <col min="1795" max="2039" width="9.1796875" style="31"/>
    <col min="2040" max="2040" width="8.7265625" style="31" customWidth="1"/>
    <col min="2041" max="2041" width="9.81640625" style="31" customWidth="1"/>
    <col min="2042" max="2042" width="14.453125" style="31" customWidth="1"/>
    <col min="2043" max="2043" width="7.26953125" style="31" customWidth="1"/>
    <col min="2044" max="2044" width="5.54296875" style="31" customWidth="1"/>
    <col min="2045" max="2045" width="9" style="31" customWidth="1"/>
    <col min="2046" max="2047" width="9.81640625" style="31" customWidth="1"/>
    <col min="2048" max="2048" width="11.1796875" style="31" customWidth="1"/>
    <col min="2049" max="2049" width="2.81640625" style="31" customWidth="1"/>
    <col min="2050" max="2050" width="3.54296875" style="31" customWidth="1"/>
    <col min="2051" max="2295" width="9.1796875" style="31"/>
    <col min="2296" max="2296" width="8.7265625" style="31" customWidth="1"/>
    <col min="2297" max="2297" width="9.81640625" style="31" customWidth="1"/>
    <col min="2298" max="2298" width="14.453125" style="31" customWidth="1"/>
    <col min="2299" max="2299" width="7.26953125" style="31" customWidth="1"/>
    <col min="2300" max="2300" width="5.54296875" style="31" customWidth="1"/>
    <col min="2301" max="2301" width="9" style="31" customWidth="1"/>
    <col min="2302" max="2303" width="9.81640625" style="31" customWidth="1"/>
    <col min="2304" max="2304" width="11.1796875" style="31" customWidth="1"/>
    <col min="2305" max="2305" width="2.81640625" style="31" customWidth="1"/>
    <col min="2306" max="2306" width="3.54296875" style="31" customWidth="1"/>
    <col min="2307" max="2551" width="9.1796875" style="31"/>
    <col min="2552" max="2552" width="8.7265625" style="31" customWidth="1"/>
    <col min="2553" max="2553" width="9.81640625" style="31" customWidth="1"/>
    <col min="2554" max="2554" width="14.453125" style="31" customWidth="1"/>
    <col min="2555" max="2555" width="7.26953125" style="31" customWidth="1"/>
    <col min="2556" max="2556" width="5.54296875" style="31" customWidth="1"/>
    <col min="2557" max="2557" width="9" style="31" customWidth="1"/>
    <col min="2558" max="2559" width="9.81640625" style="31" customWidth="1"/>
    <col min="2560" max="2560" width="11.1796875" style="31" customWidth="1"/>
    <col min="2561" max="2561" width="2.81640625" style="31" customWidth="1"/>
    <col min="2562" max="2562" width="3.54296875" style="31" customWidth="1"/>
    <col min="2563" max="2807" width="9.1796875" style="31"/>
    <col min="2808" max="2808" width="8.7265625" style="31" customWidth="1"/>
    <col min="2809" max="2809" width="9.81640625" style="31" customWidth="1"/>
    <col min="2810" max="2810" width="14.453125" style="31" customWidth="1"/>
    <col min="2811" max="2811" width="7.26953125" style="31" customWidth="1"/>
    <col min="2812" max="2812" width="5.54296875" style="31" customWidth="1"/>
    <col min="2813" max="2813" width="9" style="31" customWidth="1"/>
    <col min="2814" max="2815" width="9.81640625" style="31" customWidth="1"/>
    <col min="2816" max="2816" width="11.1796875" style="31" customWidth="1"/>
    <col min="2817" max="2817" width="2.81640625" style="31" customWidth="1"/>
    <col min="2818" max="2818" width="3.54296875" style="31" customWidth="1"/>
    <col min="2819" max="3063" width="9.1796875" style="31"/>
    <col min="3064" max="3064" width="8.7265625" style="31" customWidth="1"/>
    <col min="3065" max="3065" width="9.81640625" style="31" customWidth="1"/>
    <col min="3066" max="3066" width="14.453125" style="31" customWidth="1"/>
    <col min="3067" max="3067" width="7.26953125" style="31" customWidth="1"/>
    <col min="3068" max="3068" width="5.54296875" style="31" customWidth="1"/>
    <col min="3069" max="3069" width="9" style="31" customWidth="1"/>
    <col min="3070" max="3071" width="9.81640625" style="31" customWidth="1"/>
    <col min="3072" max="3072" width="11.1796875" style="31" customWidth="1"/>
    <col min="3073" max="3073" width="2.81640625" style="31" customWidth="1"/>
    <col min="3074" max="3074" width="3.54296875" style="31" customWidth="1"/>
    <col min="3075" max="3319" width="9.1796875" style="31"/>
    <col min="3320" max="3320" width="8.7265625" style="31" customWidth="1"/>
    <col min="3321" max="3321" width="9.81640625" style="31" customWidth="1"/>
    <col min="3322" max="3322" width="14.453125" style="31" customWidth="1"/>
    <col min="3323" max="3323" width="7.26953125" style="31" customWidth="1"/>
    <col min="3324" max="3324" width="5.54296875" style="31" customWidth="1"/>
    <col min="3325" max="3325" width="9" style="31" customWidth="1"/>
    <col min="3326" max="3327" width="9.81640625" style="31" customWidth="1"/>
    <col min="3328" max="3328" width="11.1796875" style="31" customWidth="1"/>
    <col min="3329" max="3329" width="2.81640625" style="31" customWidth="1"/>
    <col min="3330" max="3330" width="3.54296875" style="31" customWidth="1"/>
    <col min="3331" max="3575" width="9.1796875" style="31"/>
    <col min="3576" max="3576" width="8.7265625" style="31" customWidth="1"/>
    <col min="3577" max="3577" width="9.81640625" style="31" customWidth="1"/>
    <col min="3578" max="3578" width="14.453125" style="31" customWidth="1"/>
    <col min="3579" max="3579" width="7.26953125" style="31" customWidth="1"/>
    <col min="3580" max="3580" width="5.54296875" style="31" customWidth="1"/>
    <col min="3581" max="3581" width="9" style="31" customWidth="1"/>
    <col min="3582" max="3583" width="9.81640625" style="31" customWidth="1"/>
    <col min="3584" max="3584" width="11.1796875" style="31" customWidth="1"/>
    <col min="3585" max="3585" width="2.81640625" style="31" customWidth="1"/>
    <col min="3586" max="3586" width="3.54296875" style="31" customWidth="1"/>
    <col min="3587" max="3831" width="9.1796875" style="31"/>
    <col min="3832" max="3832" width="8.7265625" style="31" customWidth="1"/>
    <col min="3833" max="3833" width="9.81640625" style="31" customWidth="1"/>
    <col min="3834" max="3834" width="14.453125" style="31" customWidth="1"/>
    <col min="3835" max="3835" width="7.26953125" style="31" customWidth="1"/>
    <col min="3836" max="3836" width="5.54296875" style="31" customWidth="1"/>
    <col min="3837" max="3837" width="9" style="31" customWidth="1"/>
    <col min="3838" max="3839" width="9.81640625" style="31" customWidth="1"/>
    <col min="3840" max="3840" width="11.1796875" style="31" customWidth="1"/>
    <col min="3841" max="3841" width="2.81640625" style="31" customWidth="1"/>
    <col min="3842" max="3842" width="3.54296875" style="31" customWidth="1"/>
    <col min="3843" max="4087" width="9.1796875" style="31"/>
    <col min="4088" max="4088" width="8.7265625" style="31" customWidth="1"/>
    <col min="4089" max="4089" width="9.81640625" style="31" customWidth="1"/>
    <col min="4090" max="4090" width="14.453125" style="31" customWidth="1"/>
    <col min="4091" max="4091" width="7.26953125" style="31" customWidth="1"/>
    <col min="4092" max="4092" width="5.54296875" style="31" customWidth="1"/>
    <col min="4093" max="4093" width="9" style="31" customWidth="1"/>
    <col min="4094" max="4095" width="9.81640625" style="31" customWidth="1"/>
    <col min="4096" max="4096" width="11.1796875" style="31" customWidth="1"/>
    <col min="4097" max="4097" width="2.81640625" style="31" customWidth="1"/>
    <col min="4098" max="4098" width="3.54296875" style="31" customWidth="1"/>
    <col min="4099" max="4343" width="9.1796875" style="31"/>
    <col min="4344" max="4344" width="8.7265625" style="31" customWidth="1"/>
    <col min="4345" max="4345" width="9.81640625" style="31" customWidth="1"/>
    <col min="4346" max="4346" width="14.453125" style="31" customWidth="1"/>
    <col min="4347" max="4347" width="7.26953125" style="31" customWidth="1"/>
    <col min="4348" max="4348" width="5.54296875" style="31" customWidth="1"/>
    <col min="4349" max="4349" width="9" style="31" customWidth="1"/>
    <col min="4350" max="4351" width="9.81640625" style="31" customWidth="1"/>
    <col min="4352" max="4352" width="11.1796875" style="31" customWidth="1"/>
    <col min="4353" max="4353" width="2.81640625" style="31" customWidth="1"/>
    <col min="4354" max="4354" width="3.54296875" style="31" customWidth="1"/>
    <col min="4355" max="4599" width="9.1796875" style="31"/>
    <col min="4600" max="4600" width="8.7265625" style="31" customWidth="1"/>
    <col min="4601" max="4601" width="9.81640625" style="31" customWidth="1"/>
    <col min="4602" max="4602" width="14.453125" style="31" customWidth="1"/>
    <col min="4603" max="4603" width="7.26953125" style="31" customWidth="1"/>
    <col min="4604" max="4604" width="5.54296875" style="31" customWidth="1"/>
    <col min="4605" max="4605" width="9" style="31" customWidth="1"/>
    <col min="4606" max="4607" width="9.81640625" style="31" customWidth="1"/>
    <col min="4608" max="4608" width="11.1796875" style="31" customWidth="1"/>
    <col min="4609" max="4609" width="2.81640625" style="31" customWidth="1"/>
    <col min="4610" max="4610" width="3.54296875" style="31" customWidth="1"/>
    <col min="4611" max="4855" width="9.1796875" style="31"/>
    <col min="4856" max="4856" width="8.7265625" style="31" customWidth="1"/>
    <col min="4857" max="4857" width="9.81640625" style="31" customWidth="1"/>
    <col min="4858" max="4858" width="14.453125" style="31" customWidth="1"/>
    <col min="4859" max="4859" width="7.26953125" style="31" customWidth="1"/>
    <col min="4860" max="4860" width="5.54296875" style="31" customWidth="1"/>
    <col min="4861" max="4861" width="9" style="31" customWidth="1"/>
    <col min="4862" max="4863" width="9.81640625" style="31" customWidth="1"/>
    <col min="4864" max="4864" width="11.1796875" style="31" customWidth="1"/>
    <col min="4865" max="4865" width="2.81640625" style="31" customWidth="1"/>
    <col min="4866" max="4866" width="3.54296875" style="31" customWidth="1"/>
    <col min="4867" max="5111" width="9.1796875" style="31"/>
    <col min="5112" max="5112" width="8.7265625" style="31" customWidth="1"/>
    <col min="5113" max="5113" width="9.81640625" style="31" customWidth="1"/>
    <col min="5114" max="5114" width="14.453125" style="31" customWidth="1"/>
    <col min="5115" max="5115" width="7.26953125" style="31" customWidth="1"/>
    <col min="5116" max="5116" width="5.54296875" style="31" customWidth="1"/>
    <col min="5117" max="5117" width="9" style="31" customWidth="1"/>
    <col min="5118" max="5119" width="9.81640625" style="31" customWidth="1"/>
    <col min="5120" max="5120" width="11.1796875" style="31" customWidth="1"/>
    <col min="5121" max="5121" width="2.81640625" style="31" customWidth="1"/>
    <col min="5122" max="5122" width="3.54296875" style="31" customWidth="1"/>
    <col min="5123" max="5367" width="9.1796875" style="31"/>
    <col min="5368" max="5368" width="8.7265625" style="31" customWidth="1"/>
    <col min="5369" max="5369" width="9.81640625" style="31" customWidth="1"/>
    <col min="5370" max="5370" width="14.453125" style="31" customWidth="1"/>
    <col min="5371" max="5371" width="7.26953125" style="31" customWidth="1"/>
    <col min="5372" max="5372" width="5.54296875" style="31" customWidth="1"/>
    <col min="5373" max="5373" width="9" style="31" customWidth="1"/>
    <col min="5374" max="5375" width="9.81640625" style="31" customWidth="1"/>
    <col min="5376" max="5376" width="11.1796875" style="31" customWidth="1"/>
    <col min="5377" max="5377" width="2.81640625" style="31" customWidth="1"/>
    <col min="5378" max="5378" width="3.54296875" style="31" customWidth="1"/>
    <col min="5379" max="5623" width="9.1796875" style="31"/>
    <col min="5624" max="5624" width="8.7265625" style="31" customWidth="1"/>
    <col min="5625" max="5625" width="9.81640625" style="31" customWidth="1"/>
    <col min="5626" max="5626" width="14.453125" style="31" customWidth="1"/>
    <col min="5627" max="5627" width="7.26953125" style="31" customWidth="1"/>
    <col min="5628" max="5628" width="5.54296875" style="31" customWidth="1"/>
    <col min="5629" max="5629" width="9" style="31" customWidth="1"/>
    <col min="5630" max="5631" width="9.81640625" style="31" customWidth="1"/>
    <col min="5632" max="5632" width="11.1796875" style="31" customWidth="1"/>
    <col min="5633" max="5633" width="2.81640625" style="31" customWidth="1"/>
    <col min="5634" max="5634" width="3.54296875" style="31" customWidth="1"/>
    <col min="5635" max="5879" width="9.1796875" style="31"/>
    <col min="5880" max="5880" width="8.7265625" style="31" customWidth="1"/>
    <col min="5881" max="5881" width="9.81640625" style="31" customWidth="1"/>
    <col min="5882" max="5882" width="14.453125" style="31" customWidth="1"/>
    <col min="5883" max="5883" width="7.26953125" style="31" customWidth="1"/>
    <col min="5884" max="5884" width="5.54296875" style="31" customWidth="1"/>
    <col min="5885" max="5885" width="9" style="31" customWidth="1"/>
    <col min="5886" max="5887" width="9.81640625" style="31" customWidth="1"/>
    <col min="5888" max="5888" width="11.1796875" style="31" customWidth="1"/>
    <col min="5889" max="5889" width="2.81640625" style="31" customWidth="1"/>
    <col min="5890" max="5890" width="3.54296875" style="31" customWidth="1"/>
    <col min="5891" max="6135" width="9.1796875" style="31"/>
    <col min="6136" max="6136" width="8.7265625" style="31" customWidth="1"/>
    <col min="6137" max="6137" width="9.81640625" style="31" customWidth="1"/>
    <col min="6138" max="6138" width="14.453125" style="31" customWidth="1"/>
    <col min="6139" max="6139" width="7.26953125" style="31" customWidth="1"/>
    <col min="6140" max="6140" width="5.54296875" style="31" customWidth="1"/>
    <col min="6141" max="6141" width="9" style="31" customWidth="1"/>
    <col min="6142" max="6143" width="9.81640625" style="31" customWidth="1"/>
    <col min="6144" max="6144" width="11.1796875" style="31" customWidth="1"/>
    <col min="6145" max="6145" width="2.81640625" style="31" customWidth="1"/>
    <col min="6146" max="6146" width="3.54296875" style="31" customWidth="1"/>
    <col min="6147" max="6391" width="9.1796875" style="31"/>
    <col min="6392" max="6392" width="8.7265625" style="31" customWidth="1"/>
    <col min="6393" max="6393" width="9.81640625" style="31" customWidth="1"/>
    <col min="6394" max="6394" width="14.453125" style="31" customWidth="1"/>
    <col min="6395" max="6395" width="7.26953125" style="31" customWidth="1"/>
    <col min="6396" max="6396" width="5.54296875" style="31" customWidth="1"/>
    <col min="6397" max="6397" width="9" style="31" customWidth="1"/>
    <col min="6398" max="6399" width="9.81640625" style="31" customWidth="1"/>
    <col min="6400" max="6400" width="11.1796875" style="31" customWidth="1"/>
    <col min="6401" max="6401" width="2.81640625" style="31" customWidth="1"/>
    <col min="6402" max="6402" width="3.54296875" style="31" customWidth="1"/>
    <col min="6403" max="6647" width="9.1796875" style="31"/>
    <col min="6648" max="6648" width="8.7265625" style="31" customWidth="1"/>
    <col min="6649" max="6649" width="9.81640625" style="31" customWidth="1"/>
    <col min="6650" max="6650" width="14.453125" style="31" customWidth="1"/>
    <col min="6651" max="6651" width="7.26953125" style="31" customWidth="1"/>
    <col min="6652" max="6652" width="5.54296875" style="31" customWidth="1"/>
    <col min="6653" max="6653" width="9" style="31" customWidth="1"/>
    <col min="6654" max="6655" width="9.81640625" style="31" customWidth="1"/>
    <col min="6656" max="6656" width="11.1796875" style="31" customWidth="1"/>
    <col min="6657" max="6657" width="2.81640625" style="31" customWidth="1"/>
    <col min="6658" max="6658" width="3.54296875" style="31" customWidth="1"/>
    <col min="6659" max="6903" width="9.1796875" style="31"/>
    <col min="6904" max="6904" width="8.7265625" style="31" customWidth="1"/>
    <col min="6905" max="6905" width="9.81640625" style="31" customWidth="1"/>
    <col min="6906" max="6906" width="14.453125" style="31" customWidth="1"/>
    <col min="6907" max="6907" width="7.26953125" style="31" customWidth="1"/>
    <col min="6908" max="6908" width="5.54296875" style="31" customWidth="1"/>
    <col min="6909" max="6909" width="9" style="31" customWidth="1"/>
    <col min="6910" max="6911" width="9.81640625" style="31" customWidth="1"/>
    <col min="6912" max="6912" width="11.1796875" style="31" customWidth="1"/>
    <col min="6913" max="6913" width="2.81640625" style="31" customWidth="1"/>
    <col min="6914" max="6914" width="3.54296875" style="31" customWidth="1"/>
    <col min="6915" max="7159" width="9.1796875" style="31"/>
    <col min="7160" max="7160" width="8.7265625" style="31" customWidth="1"/>
    <col min="7161" max="7161" width="9.81640625" style="31" customWidth="1"/>
    <col min="7162" max="7162" width="14.453125" style="31" customWidth="1"/>
    <col min="7163" max="7163" width="7.26953125" style="31" customWidth="1"/>
    <col min="7164" max="7164" width="5.54296875" style="31" customWidth="1"/>
    <col min="7165" max="7165" width="9" style="31" customWidth="1"/>
    <col min="7166" max="7167" width="9.81640625" style="31" customWidth="1"/>
    <col min="7168" max="7168" width="11.1796875" style="31" customWidth="1"/>
    <col min="7169" max="7169" width="2.81640625" style="31" customWidth="1"/>
    <col min="7170" max="7170" width="3.54296875" style="31" customWidth="1"/>
    <col min="7171" max="7415" width="9.1796875" style="31"/>
    <col min="7416" max="7416" width="8.7265625" style="31" customWidth="1"/>
    <col min="7417" max="7417" width="9.81640625" style="31" customWidth="1"/>
    <col min="7418" max="7418" width="14.453125" style="31" customWidth="1"/>
    <col min="7419" max="7419" width="7.26953125" style="31" customWidth="1"/>
    <col min="7420" max="7420" width="5.54296875" style="31" customWidth="1"/>
    <col min="7421" max="7421" width="9" style="31" customWidth="1"/>
    <col min="7422" max="7423" width="9.81640625" style="31" customWidth="1"/>
    <col min="7424" max="7424" width="11.1796875" style="31" customWidth="1"/>
    <col min="7425" max="7425" width="2.81640625" style="31" customWidth="1"/>
    <col min="7426" max="7426" width="3.54296875" style="31" customWidth="1"/>
    <col min="7427" max="7671" width="9.1796875" style="31"/>
    <col min="7672" max="7672" width="8.7265625" style="31" customWidth="1"/>
    <col min="7673" max="7673" width="9.81640625" style="31" customWidth="1"/>
    <col min="7674" max="7674" width="14.453125" style="31" customWidth="1"/>
    <col min="7675" max="7675" width="7.26953125" style="31" customWidth="1"/>
    <col min="7676" max="7676" width="5.54296875" style="31" customWidth="1"/>
    <col min="7677" max="7677" width="9" style="31" customWidth="1"/>
    <col min="7678" max="7679" width="9.81640625" style="31" customWidth="1"/>
    <col min="7680" max="7680" width="11.1796875" style="31" customWidth="1"/>
    <col min="7681" max="7681" width="2.81640625" style="31" customWidth="1"/>
    <col min="7682" max="7682" width="3.54296875" style="31" customWidth="1"/>
    <col min="7683" max="7927" width="9.1796875" style="31"/>
    <col min="7928" max="7928" width="8.7265625" style="31" customWidth="1"/>
    <col min="7929" max="7929" width="9.81640625" style="31" customWidth="1"/>
    <col min="7930" max="7930" width="14.453125" style="31" customWidth="1"/>
    <col min="7931" max="7931" width="7.26953125" style="31" customWidth="1"/>
    <col min="7932" max="7932" width="5.54296875" style="31" customWidth="1"/>
    <col min="7933" max="7933" width="9" style="31" customWidth="1"/>
    <col min="7934" max="7935" width="9.81640625" style="31" customWidth="1"/>
    <col min="7936" max="7936" width="11.1796875" style="31" customWidth="1"/>
    <col min="7937" max="7937" width="2.81640625" style="31" customWidth="1"/>
    <col min="7938" max="7938" width="3.54296875" style="31" customWidth="1"/>
    <col min="7939" max="8183" width="9.1796875" style="31"/>
    <col min="8184" max="8184" width="8.7265625" style="31" customWidth="1"/>
    <col min="8185" max="8185" width="9.81640625" style="31" customWidth="1"/>
    <col min="8186" max="8186" width="14.453125" style="31" customWidth="1"/>
    <col min="8187" max="8187" width="7.26953125" style="31" customWidth="1"/>
    <col min="8188" max="8188" width="5.54296875" style="31" customWidth="1"/>
    <col min="8189" max="8189" width="9" style="31" customWidth="1"/>
    <col min="8190" max="8191" width="9.81640625" style="31" customWidth="1"/>
    <col min="8192" max="8192" width="11.1796875" style="31" customWidth="1"/>
    <col min="8193" max="8193" width="2.81640625" style="31" customWidth="1"/>
    <col min="8194" max="8194" width="3.54296875" style="31" customWidth="1"/>
    <col min="8195" max="8439" width="9.1796875" style="31"/>
    <col min="8440" max="8440" width="8.7265625" style="31" customWidth="1"/>
    <col min="8441" max="8441" width="9.81640625" style="31" customWidth="1"/>
    <col min="8442" max="8442" width="14.453125" style="31" customWidth="1"/>
    <col min="8443" max="8443" width="7.26953125" style="31" customWidth="1"/>
    <col min="8444" max="8444" width="5.54296875" style="31" customWidth="1"/>
    <col min="8445" max="8445" width="9" style="31" customWidth="1"/>
    <col min="8446" max="8447" width="9.81640625" style="31" customWidth="1"/>
    <col min="8448" max="8448" width="11.1796875" style="31" customWidth="1"/>
    <col min="8449" max="8449" width="2.81640625" style="31" customWidth="1"/>
    <col min="8450" max="8450" width="3.54296875" style="31" customWidth="1"/>
    <col min="8451" max="8695" width="9.1796875" style="31"/>
    <col min="8696" max="8696" width="8.7265625" style="31" customWidth="1"/>
    <col min="8697" max="8697" width="9.81640625" style="31" customWidth="1"/>
    <col min="8698" max="8698" width="14.453125" style="31" customWidth="1"/>
    <col min="8699" max="8699" width="7.26953125" style="31" customWidth="1"/>
    <col min="8700" max="8700" width="5.54296875" style="31" customWidth="1"/>
    <col min="8701" max="8701" width="9" style="31" customWidth="1"/>
    <col min="8702" max="8703" width="9.81640625" style="31" customWidth="1"/>
    <col min="8704" max="8704" width="11.1796875" style="31" customWidth="1"/>
    <col min="8705" max="8705" width="2.81640625" style="31" customWidth="1"/>
    <col min="8706" max="8706" width="3.54296875" style="31" customWidth="1"/>
    <col min="8707" max="8951" width="9.1796875" style="31"/>
    <col min="8952" max="8952" width="8.7265625" style="31" customWidth="1"/>
    <col min="8953" max="8953" width="9.81640625" style="31" customWidth="1"/>
    <col min="8954" max="8954" width="14.453125" style="31" customWidth="1"/>
    <col min="8955" max="8955" width="7.26953125" style="31" customWidth="1"/>
    <col min="8956" max="8956" width="5.54296875" style="31" customWidth="1"/>
    <col min="8957" max="8957" width="9" style="31" customWidth="1"/>
    <col min="8958" max="8959" width="9.81640625" style="31" customWidth="1"/>
    <col min="8960" max="8960" width="11.1796875" style="31" customWidth="1"/>
    <col min="8961" max="8961" width="2.81640625" style="31" customWidth="1"/>
    <col min="8962" max="8962" width="3.54296875" style="31" customWidth="1"/>
    <col min="8963" max="9207" width="9.1796875" style="31"/>
    <col min="9208" max="9208" width="8.7265625" style="31" customWidth="1"/>
    <col min="9209" max="9209" width="9.81640625" style="31" customWidth="1"/>
    <col min="9210" max="9210" width="14.453125" style="31" customWidth="1"/>
    <col min="9211" max="9211" width="7.26953125" style="31" customWidth="1"/>
    <col min="9212" max="9212" width="5.54296875" style="31" customWidth="1"/>
    <col min="9213" max="9213" width="9" style="31" customWidth="1"/>
    <col min="9214" max="9215" width="9.81640625" style="31" customWidth="1"/>
    <col min="9216" max="9216" width="11.1796875" style="31" customWidth="1"/>
    <col min="9217" max="9217" width="2.81640625" style="31" customWidth="1"/>
    <col min="9218" max="9218" width="3.54296875" style="31" customWidth="1"/>
    <col min="9219" max="9463" width="9.1796875" style="31"/>
    <col min="9464" max="9464" width="8.7265625" style="31" customWidth="1"/>
    <col min="9465" max="9465" width="9.81640625" style="31" customWidth="1"/>
    <col min="9466" max="9466" width="14.453125" style="31" customWidth="1"/>
    <col min="9467" max="9467" width="7.26953125" style="31" customWidth="1"/>
    <col min="9468" max="9468" width="5.54296875" style="31" customWidth="1"/>
    <col min="9469" max="9469" width="9" style="31" customWidth="1"/>
    <col min="9470" max="9471" width="9.81640625" style="31" customWidth="1"/>
    <col min="9472" max="9472" width="11.1796875" style="31" customWidth="1"/>
    <col min="9473" max="9473" width="2.81640625" style="31" customWidth="1"/>
    <col min="9474" max="9474" width="3.54296875" style="31" customWidth="1"/>
    <col min="9475" max="9719" width="9.1796875" style="31"/>
    <col min="9720" max="9720" width="8.7265625" style="31" customWidth="1"/>
    <col min="9721" max="9721" width="9.81640625" style="31" customWidth="1"/>
    <col min="9722" max="9722" width="14.453125" style="31" customWidth="1"/>
    <col min="9723" max="9723" width="7.26953125" style="31" customWidth="1"/>
    <col min="9724" max="9724" width="5.54296875" style="31" customWidth="1"/>
    <col min="9725" max="9725" width="9" style="31" customWidth="1"/>
    <col min="9726" max="9727" width="9.81640625" style="31" customWidth="1"/>
    <col min="9728" max="9728" width="11.1796875" style="31" customWidth="1"/>
    <col min="9729" max="9729" width="2.81640625" style="31" customWidth="1"/>
    <col min="9730" max="9730" width="3.54296875" style="31" customWidth="1"/>
    <col min="9731" max="9975" width="9.1796875" style="31"/>
    <col min="9976" max="9976" width="8.7265625" style="31" customWidth="1"/>
    <col min="9977" max="9977" width="9.81640625" style="31" customWidth="1"/>
    <col min="9978" max="9978" width="14.453125" style="31" customWidth="1"/>
    <col min="9979" max="9979" width="7.26953125" style="31" customWidth="1"/>
    <col min="9980" max="9980" width="5.54296875" style="31" customWidth="1"/>
    <col min="9981" max="9981" width="9" style="31" customWidth="1"/>
    <col min="9982" max="9983" width="9.81640625" style="31" customWidth="1"/>
    <col min="9984" max="9984" width="11.1796875" style="31" customWidth="1"/>
    <col min="9985" max="9985" width="2.81640625" style="31" customWidth="1"/>
    <col min="9986" max="9986" width="3.54296875" style="31" customWidth="1"/>
    <col min="9987" max="10231" width="9.1796875" style="31"/>
    <col min="10232" max="10232" width="8.7265625" style="31" customWidth="1"/>
    <col min="10233" max="10233" width="9.81640625" style="31" customWidth="1"/>
    <col min="10234" max="10234" width="14.453125" style="31" customWidth="1"/>
    <col min="10235" max="10235" width="7.26953125" style="31" customWidth="1"/>
    <col min="10236" max="10236" width="5.54296875" style="31" customWidth="1"/>
    <col min="10237" max="10237" width="9" style="31" customWidth="1"/>
    <col min="10238" max="10239" width="9.81640625" style="31" customWidth="1"/>
    <col min="10240" max="10240" width="11.1796875" style="31" customWidth="1"/>
    <col min="10241" max="10241" width="2.81640625" style="31" customWidth="1"/>
    <col min="10242" max="10242" width="3.54296875" style="31" customWidth="1"/>
    <col min="10243" max="10487" width="9.1796875" style="31"/>
    <col min="10488" max="10488" width="8.7265625" style="31" customWidth="1"/>
    <col min="10489" max="10489" width="9.81640625" style="31" customWidth="1"/>
    <col min="10490" max="10490" width="14.453125" style="31" customWidth="1"/>
    <col min="10491" max="10491" width="7.26953125" style="31" customWidth="1"/>
    <col min="10492" max="10492" width="5.54296875" style="31" customWidth="1"/>
    <col min="10493" max="10493" width="9" style="31" customWidth="1"/>
    <col min="10494" max="10495" width="9.81640625" style="31" customWidth="1"/>
    <col min="10496" max="10496" width="11.1796875" style="31" customWidth="1"/>
    <col min="10497" max="10497" width="2.81640625" style="31" customWidth="1"/>
    <col min="10498" max="10498" width="3.54296875" style="31" customWidth="1"/>
    <col min="10499" max="10743" width="9.1796875" style="31"/>
    <col min="10744" max="10744" width="8.7265625" style="31" customWidth="1"/>
    <col min="10745" max="10745" width="9.81640625" style="31" customWidth="1"/>
    <col min="10746" max="10746" width="14.453125" style="31" customWidth="1"/>
    <col min="10747" max="10747" width="7.26953125" style="31" customWidth="1"/>
    <col min="10748" max="10748" width="5.54296875" style="31" customWidth="1"/>
    <col min="10749" max="10749" width="9" style="31" customWidth="1"/>
    <col min="10750" max="10751" width="9.81640625" style="31" customWidth="1"/>
    <col min="10752" max="10752" width="11.1796875" style="31" customWidth="1"/>
    <col min="10753" max="10753" width="2.81640625" style="31" customWidth="1"/>
    <col min="10754" max="10754" width="3.54296875" style="31" customWidth="1"/>
    <col min="10755" max="10999" width="9.1796875" style="31"/>
    <col min="11000" max="11000" width="8.7265625" style="31" customWidth="1"/>
    <col min="11001" max="11001" width="9.81640625" style="31" customWidth="1"/>
    <col min="11002" max="11002" width="14.453125" style="31" customWidth="1"/>
    <col min="11003" max="11003" width="7.26953125" style="31" customWidth="1"/>
    <col min="11004" max="11004" width="5.54296875" style="31" customWidth="1"/>
    <col min="11005" max="11005" width="9" style="31" customWidth="1"/>
    <col min="11006" max="11007" width="9.81640625" style="31" customWidth="1"/>
    <col min="11008" max="11008" width="11.1796875" style="31" customWidth="1"/>
    <col min="11009" max="11009" width="2.81640625" style="31" customWidth="1"/>
    <col min="11010" max="11010" width="3.54296875" style="31" customWidth="1"/>
    <col min="11011" max="11255" width="9.1796875" style="31"/>
    <col min="11256" max="11256" width="8.7265625" style="31" customWidth="1"/>
    <col min="11257" max="11257" width="9.81640625" style="31" customWidth="1"/>
    <col min="11258" max="11258" width="14.453125" style="31" customWidth="1"/>
    <col min="11259" max="11259" width="7.26953125" style="31" customWidth="1"/>
    <col min="11260" max="11260" width="5.54296875" style="31" customWidth="1"/>
    <col min="11261" max="11261" width="9" style="31" customWidth="1"/>
    <col min="11262" max="11263" width="9.81640625" style="31" customWidth="1"/>
    <col min="11264" max="11264" width="11.1796875" style="31" customWidth="1"/>
    <col min="11265" max="11265" width="2.81640625" style="31" customWidth="1"/>
    <col min="11266" max="11266" width="3.54296875" style="31" customWidth="1"/>
    <col min="11267" max="11511" width="9.1796875" style="31"/>
    <col min="11512" max="11512" width="8.7265625" style="31" customWidth="1"/>
    <col min="11513" max="11513" width="9.81640625" style="31" customWidth="1"/>
    <col min="11514" max="11514" width="14.453125" style="31" customWidth="1"/>
    <col min="11515" max="11515" width="7.26953125" style="31" customWidth="1"/>
    <col min="11516" max="11516" width="5.54296875" style="31" customWidth="1"/>
    <col min="11517" max="11517" width="9" style="31" customWidth="1"/>
    <col min="11518" max="11519" width="9.81640625" style="31" customWidth="1"/>
    <col min="11520" max="11520" width="11.1796875" style="31" customWidth="1"/>
    <col min="11521" max="11521" width="2.81640625" style="31" customWidth="1"/>
    <col min="11522" max="11522" width="3.54296875" style="31" customWidth="1"/>
    <col min="11523" max="11767" width="9.1796875" style="31"/>
    <col min="11768" max="11768" width="8.7265625" style="31" customWidth="1"/>
    <col min="11769" max="11769" width="9.81640625" style="31" customWidth="1"/>
    <col min="11770" max="11770" width="14.453125" style="31" customWidth="1"/>
    <col min="11771" max="11771" width="7.26953125" style="31" customWidth="1"/>
    <col min="11772" max="11772" width="5.54296875" style="31" customWidth="1"/>
    <col min="11773" max="11773" width="9" style="31" customWidth="1"/>
    <col min="11774" max="11775" width="9.81640625" style="31" customWidth="1"/>
    <col min="11776" max="11776" width="11.1796875" style="31" customWidth="1"/>
    <col min="11777" max="11777" width="2.81640625" style="31" customWidth="1"/>
    <col min="11778" max="11778" width="3.54296875" style="31" customWidth="1"/>
    <col min="11779" max="12023" width="9.1796875" style="31"/>
    <col min="12024" max="12024" width="8.7265625" style="31" customWidth="1"/>
    <col min="12025" max="12025" width="9.81640625" style="31" customWidth="1"/>
    <col min="12026" max="12026" width="14.453125" style="31" customWidth="1"/>
    <col min="12027" max="12027" width="7.26953125" style="31" customWidth="1"/>
    <col min="12028" max="12028" width="5.54296875" style="31" customWidth="1"/>
    <col min="12029" max="12029" width="9" style="31" customWidth="1"/>
    <col min="12030" max="12031" width="9.81640625" style="31" customWidth="1"/>
    <col min="12032" max="12032" width="11.1796875" style="31" customWidth="1"/>
    <col min="12033" max="12033" width="2.81640625" style="31" customWidth="1"/>
    <col min="12034" max="12034" width="3.54296875" style="31" customWidth="1"/>
    <col min="12035" max="12279" width="9.1796875" style="31"/>
    <col min="12280" max="12280" width="8.7265625" style="31" customWidth="1"/>
    <col min="12281" max="12281" width="9.81640625" style="31" customWidth="1"/>
    <col min="12282" max="12282" width="14.453125" style="31" customWidth="1"/>
    <col min="12283" max="12283" width="7.26953125" style="31" customWidth="1"/>
    <col min="12284" max="12284" width="5.54296875" style="31" customWidth="1"/>
    <col min="12285" max="12285" width="9" style="31" customWidth="1"/>
    <col min="12286" max="12287" width="9.81640625" style="31" customWidth="1"/>
    <col min="12288" max="12288" width="11.1796875" style="31" customWidth="1"/>
    <col min="12289" max="12289" width="2.81640625" style="31" customWidth="1"/>
    <col min="12290" max="12290" width="3.54296875" style="31" customWidth="1"/>
    <col min="12291" max="12535" width="9.1796875" style="31"/>
    <col min="12536" max="12536" width="8.7265625" style="31" customWidth="1"/>
    <col min="12537" max="12537" width="9.81640625" style="31" customWidth="1"/>
    <col min="12538" max="12538" width="14.453125" style="31" customWidth="1"/>
    <col min="12539" max="12539" width="7.26953125" style="31" customWidth="1"/>
    <col min="12540" max="12540" width="5.54296875" style="31" customWidth="1"/>
    <col min="12541" max="12541" width="9" style="31" customWidth="1"/>
    <col min="12542" max="12543" width="9.81640625" style="31" customWidth="1"/>
    <col min="12544" max="12544" width="11.1796875" style="31" customWidth="1"/>
    <col min="12545" max="12545" width="2.81640625" style="31" customWidth="1"/>
    <col min="12546" max="12546" width="3.54296875" style="31" customWidth="1"/>
    <col min="12547" max="12791" width="9.1796875" style="31"/>
    <col min="12792" max="12792" width="8.7265625" style="31" customWidth="1"/>
    <col min="12793" max="12793" width="9.81640625" style="31" customWidth="1"/>
    <col min="12794" max="12794" width="14.453125" style="31" customWidth="1"/>
    <col min="12795" max="12795" width="7.26953125" style="31" customWidth="1"/>
    <col min="12796" max="12796" width="5.54296875" style="31" customWidth="1"/>
    <col min="12797" max="12797" width="9" style="31" customWidth="1"/>
    <col min="12798" max="12799" width="9.81640625" style="31" customWidth="1"/>
    <col min="12800" max="12800" width="11.1796875" style="31" customWidth="1"/>
    <col min="12801" max="12801" width="2.81640625" style="31" customWidth="1"/>
    <col min="12802" max="12802" width="3.54296875" style="31" customWidth="1"/>
    <col min="12803" max="13047" width="9.1796875" style="31"/>
    <col min="13048" max="13048" width="8.7265625" style="31" customWidth="1"/>
    <col min="13049" max="13049" width="9.81640625" style="31" customWidth="1"/>
    <col min="13050" max="13050" width="14.453125" style="31" customWidth="1"/>
    <col min="13051" max="13051" width="7.26953125" style="31" customWidth="1"/>
    <col min="13052" max="13052" width="5.54296875" style="31" customWidth="1"/>
    <col min="13053" max="13053" width="9" style="31" customWidth="1"/>
    <col min="13054" max="13055" width="9.81640625" style="31" customWidth="1"/>
    <col min="13056" max="13056" width="11.1796875" style="31" customWidth="1"/>
    <col min="13057" max="13057" width="2.81640625" style="31" customWidth="1"/>
    <col min="13058" max="13058" width="3.54296875" style="31" customWidth="1"/>
    <col min="13059" max="13303" width="9.1796875" style="31"/>
    <col min="13304" max="13304" width="8.7265625" style="31" customWidth="1"/>
    <col min="13305" max="13305" width="9.81640625" style="31" customWidth="1"/>
    <col min="13306" max="13306" width="14.453125" style="31" customWidth="1"/>
    <col min="13307" max="13307" width="7.26953125" style="31" customWidth="1"/>
    <col min="13308" max="13308" width="5.54296875" style="31" customWidth="1"/>
    <col min="13309" max="13309" width="9" style="31" customWidth="1"/>
    <col min="13310" max="13311" width="9.81640625" style="31" customWidth="1"/>
    <col min="13312" max="13312" width="11.1796875" style="31" customWidth="1"/>
    <col min="13313" max="13313" width="2.81640625" style="31" customWidth="1"/>
    <col min="13314" max="13314" width="3.54296875" style="31" customWidth="1"/>
    <col min="13315" max="13559" width="9.1796875" style="31"/>
    <col min="13560" max="13560" width="8.7265625" style="31" customWidth="1"/>
    <col min="13561" max="13561" width="9.81640625" style="31" customWidth="1"/>
    <col min="13562" max="13562" width="14.453125" style="31" customWidth="1"/>
    <col min="13563" max="13563" width="7.26953125" style="31" customWidth="1"/>
    <col min="13564" max="13564" width="5.54296875" style="31" customWidth="1"/>
    <col min="13565" max="13565" width="9" style="31" customWidth="1"/>
    <col min="13566" max="13567" width="9.81640625" style="31" customWidth="1"/>
    <col min="13568" max="13568" width="11.1796875" style="31" customWidth="1"/>
    <col min="13569" max="13569" width="2.81640625" style="31" customWidth="1"/>
    <col min="13570" max="13570" width="3.54296875" style="31" customWidth="1"/>
    <col min="13571" max="13815" width="9.1796875" style="31"/>
    <col min="13816" max="13816" width="8.7265625" style="31" customWidth="1"/>
    <col min="13817" max="13817" width="9.81640625" style="31" customWidth="1"/>
    <col min="13818" max="13818" width="14.453125" style="31" customWidth="1"/>
    <col min="13819" max="13819" width="7.26953125" style="31" customWidth="1"/>
    <col min="13820" max="13820" width="5.54296875" style="31" customWidth="1"/>
    <col min="13821" max="13821" width="9" style="31" customWidth="1"/>
    <col min="13822" max="13823" width="9.81640625" style="31" customWidth="1"/>
    <col min="13824" max="13824" width="11.1796875" style="31" customWidth="1"/>
    <col min="13825" max="13825" width="2.81640625" style="31" customWidth="1"/>
    <col min="13826" max="13826" width="3.54296875" style="31" customWidth="1"/>
    <col min="13827" max="14071" width="9.1796875" style="31"/>
    <col min="14072" max="14072" width="8.7265625" style="31" customWidth="1"/>
    <col min="14073" max="14073" width="9.81640625" style="31" customWidth="1"/>
    <col min="14074" max="14074" width="14.453125" style="31" customWidth="1"/>
    <col min="14075" max="14075" width="7.26953125" style="31" customWidth="1"/>
    <col min="14076" max="14076" width="5.54296875" style="31" customWidth="1"/>
    <col min="14077" max="14077" width="9" style="31" customWidth="1"/>
    <col min="14078" max="14079" width="9.81640625" style="31" customWidth="1"/>
    <col min="14080" max="14080" width="11.1796875" style="31" customWidth="1"/>
    <col min="14081" max="14081" width="2.81640625" style="31" customWidth="1"/>
    <col min="14082" max="14082" width="3.54296875" style="31" customWidth="1"/>
    <col min="14083" max="14327" width="9.1796875" style="31"/>
    <col min="14328" max="14328" width="8.7265625" style="31" customWidth="1"/>
    <col min="14329" max="14329" width="9.81640625" style="31" customWidth="1"/>
    <col min="14330" max="14330" width="14.453125" style="31" customWidth="1"/>
    <col min="14331" max="14331" width="7.26953125" style="31" customWidth="1"/>
    <col min="14332" max="14332" width="5.54296875" style="31" customWidth="1"/>
    <col min="14333" max="14333" width="9" style="31" customWidth="1"/>
    <col min="14334" max="14335" width="9.81640625" style="31" customWidth="1"/>
    <col min="14336" max="14336" width="11.1796875" style="31" customWidth="1"/>
    <col min="14337" max="14337" width="2.81640625" style="31" customWidth="1"/>
    <col min="14338" max="14338" width="3.54296875" style="31" customWidth="1"/>
    <col min="14339" max="14583" width="9.1796875" style="31"/>
    <col min="14584" max="14584" width="8.7265625" style="31" customWidth="1"/>
    <col min="14585" max="14585" width="9.81640625" style="31" customWidth="1"/>
    <col min="14586" max="14586" width="14.453125" style="31" customWidth="1"/>
    <col min="14587" max="14587" width="7.26953125" style="31" customWidth="1"/>
    <col min="14588" max="14588" width="5.54296875" style="31" customWidth="1"/>
    <col min="14589" max="14589" width="9" style="31" customWidth="1"/>
    <col min="14590" max="14591" width="9.81640625" style="31" customWidth="1"/>
    <col min="14592" max="14592" width="11.1796875" style="31" customWidth="1"/>
    <col min="14593" max="14593" width="2.81640625" style="31" customWidth="1"/>
    <col min="14594" max="14594" width="3.54296875" style="31" customWidth="1"/>
    <col min="14595" max="14839" width="9.1796875" style="31"/>
    <col min="14840" max="14840" width="8.7265625" style="31" customWidth="1"/>
    <col min="14841" max="14841" width="9.81640625" style="31" customWidth="1"/>
    <col min="14842" max="14842" width="14.453125" style="31" customWidth="1"/>
    <col min="14843" max="14843" width="7.26953125" style="31" customWidth="1"/>
    <col min="14844" max="14844" width="5.54296875" style="31" customWidth="1"/>
    <col min="14845" max="14845" width="9" style="31" customWidth="1"/>
    <col min="14846" max="14847" width="9.81640625" style="31" customWidth="1"/>
    <col min="14848" max="14848" width="11.1796875" style="31" customWidth="1"/>
    <col min="14849" max="14849" width="2.81640625" style="31" customWidth="1"/>
    <col min="14850" max="14850" width="3.54296875" style="31" customWidth="1"/>
    <col min="14851" max="15095" width="9.1796875" style="31"/>
    <col min="15096" max="15096" width="8.7265625" style="31" customWidth="1"/>
    <col min="15097" max="15097" width="9.81640625" style="31" customWidth="1"/>
    <col min="15098" max="15098" width="14.453125" style="31" customWidth="1"/>
    <col min="15099" max="15099" width="7.26953125" style="31" customWidth="1"/>
    <col min="15100" max="15100" width="5.54296875" style="31" customWidth="1"/>
    <col min="15101" max="15101" width="9" style="31" customWidth="1"/>
    <col min="15102" max="15103" width="9.81640625" style="31" customWidth="1"/>
    <col min="15104" max="15104" width="11.1796875" style="31" customWidth="1"/>
    <col min="15105" max="15105" width="2.81640625" style="31" customWidth="1"/>
    <col min="15106" max="15106" width="3.54296875" style="31" customWidth="1"/>
    <col min="15107" max="15351" width="9.1796875" style="31"/>
    <col min="15352" max="15352" width="8.7265625" style="31" customWidth="1"/>
    <col min="15353" max="15353" width="9.81640625" style="31" customWidth="1"/>
    <col min="15354" max="15354" width="14.453125" style="31" customWidth="1"/>
    <col min="15355" max="15355" width="7.26953125" style="31" customWidth="1"/>
    <col min="15356" max="15356" width="5.54296875" style="31" customWidth="1"/>
    <col min="15357" max="15357" width="9" style="31" customWidth="1"/>
    <col min="15358" max="15359" width="9.81640625" style="31" customWidth="1"/>
    <col min="15360" max="15360" width="11.1796875" style="31" customWidth="1"/>
    <col min="15361" max="15361" width="2.81640625" style="31" customWidth="1"/>
    <col min="15362" max="15362" width="3.54296875" style="31" customWidth="1"/>
    <col min="15363" max="15607" width="9.1796875" style="31"/>
    <col min="15608" max="15608" width="8.7265625" style="31" customWidth="1"/>
    <col min="15609" max="15609" width="9.81640625" style="31" customWidth="1"/>
    <col min="15610" max="15610" width="14.453125" style="31" customWidth="1"/>
    <col min="15611" max="15611" width="7.26953125" style="31" customWidth="1"/>
    <col min="15612" max="15612" width="5.54296875" style="31" customWidth="1"/>
    <col min="15613" max="15613" width="9" style="31" customWidth="1"/>
    <col min="15614" max="15615" width="9.81640625" style="31" customWidth="1"/>
    <col min="15616" max="15616" width="11.1796875" style="31" customWidth="1"/>
    <col min="15617" max="15617" width="2.81640625" style="31" customWidth="1"/>
    <col min="15618" max="15618" width="3.54296875" style="31" customWidth="1"/>
    <col min="15619" max="15863" width="9.1796875" style="31"/>
    <col min="15864" max="15864" width="8.7265625" style="31" customWidth="1"/>
    <col min="15865" max="15865" width="9.81640625" style="31" customWidth="1"/>
    <col min="15866" max="15866" width="14.453125" style="31" customWidth="1"/>
    <col min="15867" max="15867" width="7.26953125" style="31" customWidth="1"/>
    <col min="15868" max="15868" width="5.54296875" style="31" customWidth="1"/>
    <col min="15869" max="15869" width="9" style="31" customWidth="1"/>
    <col min="15870" max="15871" width="9.81640625" style="31" customWidth="1"/>
    <col min="15872" max="15872" width="11.1796875" style="31" customWidth="1"/>
    <col min="15873" max="15873" width="2.81640625" style="31" customWidth="1"/>
    <col min="15874" max="15874" width="3.54296875" style="31" customWidth="1"/>
    <col min="15875" max="16119" width="9.1796875" style="31"/>
    <col min="16120" max="16120" width="8.7265625" style="31" customWidth="1"/>
    <col min="16121" max="16121" width="9.81640625" style="31" customWidth="1"/>
    <col min="16122" max="16122" width="14.453125" style="31" customWidth="1"/>
    <col min="16123" max="16123" width="7.26953125" style="31" customWidth="1"/>
    <col min="16124" max="16124" width="5.54296875" style="31" customWidth="1"/>
    <col min="16125" max="16125" width="9" style="31" customWidth="1"/>
    <col min="16126" max="16127" width="9.81640625" style="31" customWidth="1"/>
    <col min="16128" max="16128" width="11.1796875" style="31" customWidth="1"/>
    <col min="16129" max="16129" width="2.81640625" style="31" customWidth="1"/>
    <col min="16130" max="16130" width="3.54296875" style="31" customWidth="1"/>
    <col min="16131" max="16384" width="9.1796875" style="31"/>
  </cols>
  <sheetData>
    <row r="1" spans="1:8" ht="46.5" customHeight="1" x14ac:dyDescent="0.35">
      <c r="A1" s="168" t="s">
        <v>187</v>
      </c>
      <c r="B1" s="168"/>
      <c r="C1" s="168"/>
      <c r="D1" s="168"/>
      <c r="E1" s="168"/>
      <c r="F1" s="168"/>
      <c r="G1" s="168"/>
      <c r="H1" s="168"/>
    </row>
    <row r="2" spans="1:8" ht="16.5" customHeight="1" x14ac:dyDescent="0.35">
      <c r="A2" s="169" t="s">
        <v>0</v>
      </c>
      <c r="B2" s="169"/>
      <c r="C2" s="169"/>
      <c r="D2" s="169"/>
      <c r="E2" s="169"/>
      <c r="F2" s="169"/>
      <c r="G2" s="169"/>
      <c r="H2" s="169"/>
    </row>
    <row r="3" spans="1:8" x14ac:dyDescent="0.35">
      <c r="A3" s="151" t="s">
        <v>1</v>
      </c>
      <c r="B3" s="151"/>
      <c r="C3" s="151"/>
      <c r="D3" s="151"/>
      <c r="E3" s="166" t="str">
        <f ca="1">TEXT(TODAY(),"DD/MM/YYYY")</f>
        <v>12/08/2025</v>
      </c>
      <c r="F3" s="166"/>
      <c r="G3" s="166"/>
      <c r="H3" s="166"/>
    </row>
    <row r="4" spans="1:8" ht="15" customHeight="1" x14ac:dyDescent="0.35">
      <c r="A4" s="151" t="s">
        <v>2</v>
      </c>
      <c r="B4" s="151"/>
      <c r="C4" s="151"/>
      <c r="D4" s="151"/>
      <c r="E4" s="163" t="s">
        <v>155</v>
      </c>
      <c r="F4" s="163"/>
      <c r="G4" s="163"/>
      <c r="H4" s="163"/>
    </row>
    <row r="5" spans="1:8" x14ac:dyDescent="0.35">
      <c r="A5" s="151" t="s">
        <v>3</v>
      </c>
      <c r="B5" s="151"/>
      <c r="C5" s="151"/>
      <c r="D5" s="151"/>
      <c r="E5" s="166">
        <v>45880</v>
      </c>
      <c r="F5" s="166"/>
      <c r="G5" s="166"/>
      <c r="H5" s="166"/>
    </row>
    <row r="6" spans="1:8" ht="16.5" customHeight="1" x14ac:dyDescent="0.35">
      <c r="A6" s="151" t="s">
        <v>4</v>
      </c>
      <c r="B6" s="151"/>
      <c r="C6" s="151"/>
      <c r="D6" s="151"/>
      <c r="E6" s="162" t="s">
        <v>158</v>
      </c>
      <c r="F6" s="162"/>
      <c r="G6" s="162"/>
      <c r="H6" s="162"/>
    </row>
    <row r="7" spans="1:8" ht="15" customHeight="1" x14ac:dyDescent="0.35">
      <c r="A7" s="151" t="s">
        <v>5</v>
      </c>
      <c r="B7" s="151"/>
      <c r="C7" s="151"/>
      <c r="D7" s="151"/>
      <c r="E7" s="162" t="str">
        <f>E6</f>
        <v>M/s.Shree Shivbali Builders Private Limited</v>
      </c>
      <c r="F7" s="162"/>
      <c r="G7" s="162"/>
      <c r="H7" s="162"/>
    </row>
    <row r="8" spans="1:8" x14ac:dyDescent="0.35">
      <c r="A8" s="151" t="s">
        <v>6</v>
      </c>
      <c r="B8" s="151"/>
      <c r="C8" s="151"/>
      <c r="D8" s="151"/>
      <c r="E8" s="160" t="s">
        <v>157</v>
      </c>
      <c r="F8" s="151"/>
      <c r="G8" s="151"/>
      <c r="H8" s="151"/>
    </row>
    <row r="9" spans="1:8" x14ac:dyDescent="0.35">
      <c r="A9" s="151" t="s">
        <v>124</v>
      </c>
      <c r="B9" s="151"/>
      <c r="C9" s="151"/>
      <c r="D9" s="151"/>
      <c r="E9" s="151" t="s">
        <v>236</v>
      </c>
      <c r="F9" s="151"/>
      <c r="G9" s="151"/>
      <c r="H9" s="151"/>
    </row>
    <row r="10" spans="1:8" x14ac:dyDescent="0.35">
      <c r="A10" s="151" t="s">
        <v>186</v>
      </c>
      <c r="B10" s="151"/>
      <c r="C10" s="151"/>
      <c r="D10" s="151"/>
      <c r="E10" s="151" t="s">
        <v>243</v>
      </c>
      <c r="F10" s="151"/>
      <c r="G10" s="151"/>
      <c r="H10" s="151"/>
    </row>
    <row r="11" spans="1:8" x14ac:dyDescent="0.35">
      <c r="A11" s="165" t="s">
        <v>7</v>
      </c>
      <c r="B11" s="165"/>
      <c r="C11" s="165"/>
      <c r="D11" s="165"/>
      <c r="E11" s="165" t="s">
        <v>195</v>
      </c>
      <c r="F11" s="165"/>
      <c r="G11" s="165"/>
      <c r="H11" s="165"/>
    </row>
    <row r="12" spans="1:8" x14ac:dyDescent="0.35">
      <c r="A12" s="165" t="s">
        <v>190</v>
      </c>
      <c r="B12" s="165"/>
      <c r="C12" s="165"/>
      <c r="D12" s="165"/>
      <c r="E12" s="165" t="s">
        <v>191</v>
      </c>
      <c r="F12" s="165"/>
      <c r="G12" s="165"/>
      <c r="H12" s="165"/>
    </row>
    <row r="13" spans="1:8" ht="32.25" customHeight="1" x14ac:dyDescent="0.35">
      <c r="A13" s="151" t="s">
        <v>8</v>
      </c>
      <c r="B13" s="151"/>
      <c r="C13" s="151"/>
      <c r="D13" s="151"/>
      <c r="E13" s="167" t="s">
        <v>106</v>
      </c>
      <c r="F13" s="167"/>
      <c r="G13" s="167"/>
      <c r="H13" s="167"/>
    </row>
    <row r="14" spans="1:8" x14ac:dyDescent="0.35">
      <c r="A14" s="151" t="s">
        <v>9</v>
      </c>
      <c r="B14" s="151"/>
      <c r="C14" s="151"/>
      <c r="D14" s="151"/>
      <c r="E14" s="161" t="s">
        <v>156</v>
      </c>
      <c r="F14" s="144"/>
      <c r="G14" s="144"/>
      <c r="H14" s="144"/>
    </row>
    <row r="15" spans="1:8" ht="30.75" customHeight="1" x14ac:dyDescent="0.35">
      <c r="A15" s="162" t="s">
        <v>10</v>
      </c>
      <c r="B15" s="162"/>
      <c r="C15" s="162" t="str">
        <f>CONCATENATE((IF(OR(E8="",E8="NA"),"",E8)),", ",(IF(OR(A16="",A16="NA"),"",A16)),".",(IF(OR(C16="",C16="NA"),"",C16)),", near ",(IF(OR(C20="",C20="NA"),"",C20)),", ",(IF(OR(C17="",C17="NA"),"",C17)),", ",(IF(OR(G17="",G17="NA"),"",G17)),", ",(IF(OR(C18="",C18="NA"),"",C18)),", ",(IF(OR(C19="",C19="NA"),"",C19)),", ",(IF(OR(G18="",G18="NA"),"",G18))," - ",(IF(OR(G19="",G19="NA"),"",G19)),".")</f>
        <v>Akshay Enclave, Survey No.189/1/1/2, near Raj Emarald Building, Naigaon East Vasai Link Road, Rajivali, Vasai East, Vasai, Palghar - 401208.</v>
      </c>
      <c r="D15" s="162"/>
      <c r="E15" s="162"/>
      <c r="F15" s="162"/>
      <c r="G15" s="162"/>
      <c r="H15" s="162"/>
    </row>
    <row r="16" spans="1:8" x14ac:dyDescent="0.35">
      <c r="A16" s="161" t="s">
        <v>164</v>
      </c>
      <c r="B16" s="161"/>
      <c r="C16" s="161" t="s">
        <v>182</v>
      </c>
      <c r="D16" s="161"/>
      <c r="E16" s="161"/>
      <c r="F16" s="161"/>
      <c r="G16" s="161"/>
      <c r="H16" s="161"/>
    </row>
    <row r="17" spans="1:8" ht="15.75" customHeight="1" x14ac:dyDescent="0.35">
      <c r="A17" s="162" t="s">
        <v>11</v>
      </c>
      <c r="B17" s="162"/>
      <c r="C17" s="144" t="s">
        <v>162</v>
      </c>
      <c r="D17" s="144"/>
      <c r="E17" s="162" t="s">
        <v>77</v>
      </c>
      <c r="F17" s="162"/>
      <c r="G17" s="161" t="s">
        <v>159</v>
      </c>
      <c r="H17" s="161"/>
    </row>
    <row r="18" spans="1:8" x14ac:dyDescent="0.35">
      <c r="A18" s="151" t="s">
        <v>13</v>
      </c>
      <c r="B18" s="151"/>
      <c r="C18" s="161" t="s">
        <v>163</v>
      </c>
      <c r="D18" s="161"/>
      <c r="E18" s="162" t="s">
        <v>12</v>
      </c>
      <c r="F18" s="162"/>
      <c r="G18" s="164" t="s">
        <v>161</v>
      </c>
      <c r="H18" s="164"/>
    </row>
    <row r="19" spans="1:8" x14ac:dyDescent="0.35">
      <c r="A19" s="151" t="s">
        <v>78</v>
      </c>
      <c r="B19" s="151"/>
      <c r="C19" s="161" t="s">
        <v>160</v>
      </c>
      <c r="D19" s="161"/>
      <c r="E19" s="162" t="s">
        <v>14</v>
      </c>
      <c r="F19" s="162"/>
      <c r="G19" s="161">
        <v>401208</v>
      </c>
      <c r="H19" s="161"/>
    </row>
    <row r="20" spans="1:8" ht="32.25" customHeight="1" x14ac:dyDescent="0.35">
      <c r="A20" s="151" t="s">
        <v>125</v>
      </c>
      <c r="B20" s="151"/>
      <c r="C20" s="162" t="s">
        <v>166</v>
      </c>
      <c r="D20" s="162"/>
      <c r="E20" s="162" t="s">
        <v>15</v>
      </c>
      <c r="F20" s="162"/>
      <c r="G20" s="161" t="s">
        <v>232</v>
      </c>
      <c r="H20" s="161"/>
    </row>
    <row r="21" spans="1:8" ht="15" customHeight="1" x14ac:dyDescent="0.35">
      <c r="A21" s="162" t="s">
        <v>81</v>
      </c>
      <c r="B21" s="162"/>
      <c r="C21" s="162"/>
      <c r="D21" s="162"/>
      <c r="E21" s="144" t="s">
        <v>16</v>
      </c>
      <c r="F21" s="144"/>
      <c r="G21" s="144"/>
      <c r="H21" s="144"/>
    </row>
    <row r="22" spans="1:8" ht="18.75" customHeight="1" x14ac:dyDescent="0.35">
      <c r="A22" s="162"/>
      <c r="B22" s="162"/>
      <c r="C22" s="162"/>
      <c r="D22" s="162"/>
      <c r="E22" s="144"/>
      <c r="F22" s="144"/>
      <c r="G22" s="144"/>
      <c r="H22" s="144"/>
    </row>
    <row r="23" spans="1:8" ht="15" customHeight="1" x14ac:dyDescent="0.35">
      <c r="A23" s="162" t="s">
        <v>17</v>
      </c>
      <c r="B23" s="162"/>
      <c r="C23" s="162"/>
      <c r="D23" s="162"/>
      <c r="E23" s="161" t="s">
        <v>18</v>
      </c>
      <c r="F23" s="161"/>
      <c r="G23" s="161"/>
      <c r="H23" s="161"/>
    </row>
    <row r="24" spans="1:8" ht="15" customHeight="1" x14ac:dyDescent="0.35">
      <c r="A24" s="151" t="s">
        <v>19</v>
      </c>
      <c r="B24" s="151"/>
      <c r="C24" s="151"/>
      <c r="D24" s="151"/>
      <c r="E24" s="161" t="str">
        <f>IF(AND(G18="Mumbai"),"Upper Class","Middle Class")</f>
        <v>Middle Class</v>
      </c>
      <c r="F24" s="161"/>
      <c r="G24" s="161"/>
      <c r="H24" s="161"/>
    </row>
    <row r="25" spans="1:8" x14ac:dyDescent="0.35">
      <c r="A25" s="151" t="s">
        <v>20</v>
      </c>
      <c r="B25" s="151"/>
      <c r="C25" s="151"/>
      <c r="D25" s="151"/>
      <c r="E25" s="161" t="s">
        <v>21</v>
      </c>
      <c r="F25" s="161"/>
      <c r="G25" s="161"/>
      <c r="H25" s="161"/>
    </row>
    <row r="26" spans="1:8" ht="15.75" customHeight="1" x14ac:dyDescent="0.35">
      <c r="A26" s="151" t="s">
        <v>22</v>
      </c>
      <c r="B26" s="151"/>
      <c r="C26" s="151"/>
      <c r="D26" s="151"/>
      <c r="E26" s="161" t="str">
        <f>IF(AND(G18="Mumbai"),"Developed","Developing")</f>
        <v>Developing</v>
      </c>
      <c r="F26" s="161"/>
      <c r="G26" s="161"/>
      <c r="H26" s="161"/>
    </row>
    <row r="27" spans="1:8" x14ac:dyDescent="0.35">
      <c r="A27" s="151" t="s">
        <v>23</v>
      </c>
      <c r="B27" s="151"/>
      <c r="C27" s="151"/>
      <c r="D27" s="151"/>
      <c r="E27" s="161" t="s">
        <v>24</v>
      </c>
      <c r="F27" s="161"/>
      <c r="G27" s="161"/>
      <c r="H27" s="161"/>
    </row>
    <row r="28" spans="1:8" x14ac:dyDescent="0.35">
      <c r="A28" s="151" t="s">
        <v>86</v>
      </c>
      <c r="B28" s="151"/>
      <c r="C28" s="151"/>
      <c r="D28" s="151"/>
      <c r="E28" s="161" t="s">
        <v>87</v>
      </c>
      <c r="F28" s="161"/>
      <c r="G28" s="161"/>
      <c r="H28" s="161"/>
    </row>
    <row r="29" spans="1:8" ht="15" customHeight="1" x14ac:dyDescent="0.35">
      <c r="A29" s="162" t="s">
        <v>33</v>
      </c>
      <c r="B29" s="162"/>
      <c r="C29" s="162"/>
      <c r="D29" s="162"/>
      <c r="E29" s="163" t="str">
        <f>IF(ISNUMBER(SEARCH("Shop",D55)),"Residential + Commercial",IF(ISNUMBER(SEARCH("Office",D55)),"Residential + Commercial",IF(SEARCH("Flats",D55),"Residential","")))</f>
        <v>Residential + Commercial</v>
      </c>
      <c r="F29" s="163"/>
      <c r="G29" s="163"/>
      <c r="H29" s="163"/>
    </row>
    <row r="30" spans="1:8" x14ac:dyDescent="0.35">
      <c r="A30" s="162" t="s">
        <v>98</v>
      </c>
      <c r="B30" s="162"/>
      <c r="C30" s="162"/>
      <c r="D30" s="162"/>
      <c r="E30" s="162" t="s">
        <v>34</v>
      </c>
      <c r="F30" s="162"/>
      <c r="G30" s="162"/>
      <c r="H30" s="162"/>
    </row>
    <row r="31" spans="1:8" s="32" customFormat="1" x14ac:dyDescent="0.35">
      <c r="A31" s="159" t="s">
        <v>99</v>
      </c>
      <c r="B31" s="159"/>
      <c r="C31" s="157" t="s">
        <v>29</v>
      </c>
      <c r="D31" s="157"/>
      <c r="E31" s="157"/>
      <c r="F31" s="157" t="s">
        <v>31</v>
      </c>
      <c r="G31" s="157"/>
      <c r="H31" s="157"/>
    </row>
    <row r="32" spans="1:8" s="32" customFormat="1" x14ac:dyDescent="0.35">
      <c r="A32" s="158" t="s">
        <v>25</v>
      </c>
      <c r="B32" s="158" t="s">
        <v>30</v>
      </c>
      <c r="C32" s="156" t="s">
        <v>30</v>
      </c>
      <c r="D32" s="156"/>
      <c r="E32" s="156"/>
      <c r="F32" s="156" t="s">
        <v>162</v>
      </c>
      <c r="G32" s="156"/>
      <c r="H32" s="156"/>
    </row>
    <row r="33" spans="1:8" x14ac:dyDescent="0.35">
      <c r="A33" s="158" t="s">
        <v>26</v>
      </c>
      <c r="B33" s="158" t="s">
        <v>30</v>
      </c>
      <c r="C33" s="156" t="s">
        <v>30</v>
      </c>
      <c r="D33" s="156"/>
      <c r="E33" s="156"/>
      <c r="F33" s="156" t="s">
        <v>165</v>
      </c>
      <c r="G33" s="156"/>
      <c r="H33" s="156"/>
    </row>
    <row r="34" spans="1:8" s="32" customFormat="1" x14ac:dyDescent="0.35">
      <c r="A34" s="158" t="s">
        <v>28</v>
      </c>
      <c r="B34" s="158" t="s">
        <v>30</v>
      </c>
      <c r="C34" s="156" t="s">
        <v>30</v>
      </c>
      <c r="D34" s="156"/>
      <c r="E34" s="156"/>
      <c r="F34" s="156" t="s">
        <v>165</v>
      </c>
      <c r="G34" s="156"/>
      <c r="H34" s="156"/>
    </row>
    <row r="35" spans="1:8" x14ac:dyDescent="0.35">
      <c r="A35" s="158" t="s">
        <v>27</v>
      </c>
      <c r="B35" s="158" t="s">
        <v>30</v>
      </c>
      <c r="C35" s="156" t="s">
        <v>30</v>
      </c>
      <c r="D35" s="156"/>
      <c r="E35" s="156"/>
      <c r="F35" s="156" t="s">
        <v>166</v>
      </c>
      <c r="G35" s="156"/>
      <c r="H35" s="156"/>
    </row>
    <row r="36" spans="1:8" x14ac:dyDescent="0.35">
      <c r="A36" s="151" t="s">
        <v>32</v>
      </c>
      <c r="B36" s="151"/>
      <c r="C36" s="151"/>
      <c r="D36" s="151"/>
      <c r="E36" s="151"/>
      <c r="F36" s="151"/>
      <c r="G36" s="151"/>
      <c r="H36" s="151"/>
    </row>
    <row r="37" spans="1:8" ht="15.75" customHeight="1" x14ac:dyDescent="0.35">
      <c r="A37" s="151" t="s">
        <v>188</v>
      </c>
      <c r="B37" s="151"/>
      <c r="C37" s="202" t="s">
        <v>189</v>
      </c>
      <c r="D37" s="202"/>
      <c r="E37" s="202"/>
      <c r="F37" s="202"/>
      <c r="G37" s="202"/>
      <c r="H37" s="202"/>
    </row>
    <row r="38" spans="1:8" ht="15.75" customHeight="1" x14ac:dyDescent="0.35">
      <c r="A38" s="151" t="s">
        <v>184</v>
      </c>
      <c r="B38" s="151"/>
      <c r="C38" s="203" t="s">
        <v>185</v>
      </c>
      <c r="D38" s="204"/>
      <c r="E38" s="204"/>
      <c r="F38" s="204"/>
      <c r="G38" s="204"/>
      <c r="H38" s="204"/>
    </row>
    <row r="39" spans="1:8" x14ac:dyDescent="0.35">
      <c r="A39" s="160" t="s">
        <v>35</v>
      </c>
      <c r="B39" s="160"/>
      <c r="C39" s="160"/>
      <c r="D39" s="160"/>
      <c r="E39" s="160"/>
      <c r="F39" s="160"/>
      <c r="G39" s="160"/>
      <c r="H39" s="160"/>
    </row>
    <row r="40" spans="1:8" x14ac:dyDescent="0.35">
      <c r="A40" s="151" t="s">
        <v>36</v>
      </c>
      <c r="B40" s="151"/>
      <c r="C40" s="151"/>
      <c r="D40" s="151"/>
      <c r="E40" s="155">
        <v>2793.1</v>
      </c>
      <c r="F40" s="155"/>
      <c r="G40" s="155"/>
      <c r="H40" s="155"/>
    </row>
    <row r="41" spans="1:8" x14ac:dyDescent="0.35">
      <c r="A41" s="151" t="s">
        <v>37</v>
      </c>
      <c r="B41" s="151"/>
      <c r="C41" s="151"/>
      <c r="D41" s="151"/>
      <c r="E41" s="171">
        <f>3072.41/E40</f>
        <v>1.1000000000000001</v>
      </c>
      <c r="F41" s="171"/>
      <c r="G41" s="171"/>
      <c r="H41" s="171"/>
    </row>
    <row r="42" spans="1:8" x14ac:dyDescent="0.35">
      <c r="A42" s="151" t="s">
        <v>38</v>
      </c>
      <c r="B42" s="151"/>
      <c r="C42" s="151"/>
      <c r="D42" s="151"/>
      <c r="E42" s="171">
        <f>E44/E40-E41</f>
        <v>0.86148365615266176</v>
      </c>
      <c r="F42" s="171"/>
      <c r="G42" s="171"/>
      <c r="H42" s="171"/>
    </row>
    <row r="43" spans="1:8" x14ac:dyDescent="0.35">
      <c r="A43" s="151" t="s">
        <v>39</v>
      </c>
      <c r="B43" s="151"/>
      <c r="C43" s="151"/>
      <c r="D43" s="151"/>
      <c r="E43" s="171">
        <f>E41+E42</f>
        <v>1.9614836561526618</v>
      </c>
      <c r="F43" s="171"/>
      <c r="G43" s="171"/>
      <c r="H43" s="171"/>
    </row>
    <row r="44" spans="1:8" x14ac:dyDescent="0.35">
      <c r="A44" s="151" t="s">
        <v>97</v>
      </c>
      <c r="B44" s="151"/>
      <c r="C44" s="151"/>
      <c r="D44" s="151"/>
      <c r="E44" s="172">
        <v>5478.62</v>
      </c>
      <c r="F44" s="172"/>
      <c r="G44" s="172"/>
      <c r="H44" s="172"/>
    </row>
    <row r="45" spans="1:8" x14ac:dyDescent="0.35">
      <c r="A45" s="144" t="s">
        <v>40</v>
      </c>
      <c r="B45" s="144"/>
      <c r="C45" s="144"/>
      <c r="D45" s="144"/>
      <c r="E45" s="165" t="s">
        <v>234</v>
      </c>
      <c r="F45" s="165"/>
      <c r="G45" s="165"/>
      <c r="H45" s="165"/>
    </row>
    <row r="46" spans="1:8" x14ac:dyDescent="0.35">
      <c r="A46" s="160" t="s">
        <v>41</v>
      </c>
      <c r="B46" s="160"/>
      <c r="C46" s="160"/>
      <c r="D46" s="160"/>
      <c r="E46" s="160"/>
      <c r="F46" s="160"/>
      <c r="G46" s="160"/>
      <c r="H46" s="160"/>
    </row>
    <row r="47" spans="1:8" ht="33.75" customHeight="1" x14ac:dyDescent="0.35">
      <c r="A47" s="139" t="s">
        <v>153</v>
      </c>
      <c r="B47" s="140"/>
      <c r="C47" s="141" t="s">
        <v>167</v>
      </c>
      <c r="D47" s="142"/>
      <c r="E47" s="142"/>
      <c r="F47" s="142"/>
      <c r="G47" s="142"/>
      <c r="H47" s="143"/>
    </row>
    <row r="48" spans="1:8" ht="33.75" customHeight="1" x14ac:dyDescent="0.35">
      <c r="A48" s="161" t="s">
        <v>42</v>
      </c>
      <c r="B48" s="161"/>
      <c r="C48" s="161" t="s">
        <v>192</v>
      </c>
      <c r="D48" s="161"/>
      <c r="E48" s="161"/>
      <c r="F48" s="29" t="s">
        <v>43</v>
      </c>
      <c r="G48" s="178">
        <v>44925</v>
      </c>
      <c r="H48" s="178"/>
    </row>
    <row r="49" spans="1:14" ht="33" customHeight="1" x14ac:dyDescent="0.35">
      <c r="A49" s="144" t="s">
        <v>44</v>
      </c>
      <c r="B49" s="144"/>
      <c r="C49" s="161" t="str">
        <f>C48</f>
        <v>VVCMC/TP/AMEND/VP/5501/
465/2022-23</v>
      </c>
      <c r="D49" s="161"/>
      <c r="E49" s="161"/>
      <c r="F49" s="29" t="s">
        <v>43</v>
      </c>
      <c r="G49" s="178">
        <f>G48</f>
        <v>44925</v>
      </c>
      <c r="H49" s="178"/>
    </row>
    <row r="50" spans="1:14" s="34" customFormat="1" ht="31.5" customHeight="1" x14ac:dyDescent="0.35">
      <c r="A50" s="161" t="s">
        <v>45</v>
      </c>
      <c r="B50" s="161"/>
      <c r="C50" s="161" t="s">
        <v>193</v>
      </c>
      <c r="D50" s="144"/>
      <c r="E50" s="144"/>
      <c r="F50" s="33" t="s">
        <v>43</v>
      </c>
      <c r="G50" s="178">
        <f>G49</f>
        <v>44925</v>
      </c>
      <c r="H50" s="178"/>
    </row>
    <row r="51" spans="1:14" s="34" customFormat="1" ht="33" customHeight="1" x14ac:dyDescent="0.35">
      <c r="A51" s="161"/>
      <c r="B51" s="161"/>
      <c r="C51" s="139" t="s">
        <v>194</v>
      </c>
      <c r="D51" s="192"/>
      <c r="E51" s="192"/>
      <c r="F51" s="192"/>
      <c r="G51" s="192"/>
      <c r="H51" s="140"/>
    </row>
    <row r="52" spans="1:14" s="34" customFormat="1" x14ac:dyDescent="0.35">
      <c r="A52" s="117" t="s">
        <v>46</v>
      </c>
      <c r="B52" s="117"/>
      <c r="C52" s="117" t="s">
        <v>107</v>
      </c>
      <c r="D52" s="116"/>
      <c r="E52" s="116" t="s">
        <v>47</v>
      </c>
      <c r="F52" s="26" t="s">
        <v>43</v>
      </c>
      <c r="G52" s="191" t="s">
        <v>30</v>
      </c>
      <c r="H52" s="191"/>
    </row>
    <row r="53" spans="1:14" x14ac:dyDescent="0.35">
      <c r="A53" s="187" t="s">
        <v>49</v>
      </c>
      <c r="B53" s="187"/>
      <c r="C53" s="187"/>
      <c r="D53" s="187"/>
      <c r="E53" s="187"/>
      <c r="F53" s="187"/>
      <c r="G53" s="187"/>
      <c r="H53" s="187"/>
    </row>
    <row r="54" spans="1:14" x14ac:dyDescent="0.35">
      <c r="A54" s="162" t="s">
        <v>96</v>
      </c>
      <c r="B54" s="162"/>
      <c r="C54" s="162"/>
      <c r="D54" s="151">
        <f>E44</f>
        <v>5478.62</v>
      </c>
      <c r="E54" s="151"/>
      <c r="F54" s="151"/>
      <c r="G54" s="151"/>
      <c r="H54" s="151"/>
    </row>
    <row r="55" spans="1:14" x14ac:dyDescent="0.35">
      <c r="A55" s="161" t="s">
        <v>50</v>
      </c>
      <c r="B55" s="144"/>
      <c r="C55" s="144"/>
      <c r="D55" s="144" t="s">
        <v>231</v>
      </c>
      <c r="E55" s="144"/>
      <c r="F55" s="144"/>
      <c r="G55" s="144"/>
      <c r="H55" s="144"/>
      <c r="I55" s="35"/>
    </row>
    <row r="56" spans="1:14" ht="31.5" customHeight="1" x14ac:dyDescent="0.35">
      <c r="A56" s="175" t="s">
        <v>51</v>
      </c>
      <c r="B56" s="176"/>
      <c r="C56" s="177"/>
      <c r="D56" s="173" t="s">
        <v>197</v>
      </c>
      <c r="E56" s="174"/>
      <c r="F56" s="174"/>
      <c r="G56" s="174"/>
      <c r="H56" s="174"/>
      <c r="I56" s="36"/>
    </row>
    <row r="57" spans="1:14" ht="15.75" customHeight="1" x14ac:dyDescent="0.35">
      <c r="A57" s="175" t="s">
        <v>94</v>
      </c>
      <c r="B57" s="176"/>
      <c r="C57" s="176"/>
      <c r="D57" s="144" t="s">
        <v>199</v>
      </c>
      <c r="E57" s="144"/>
      <c r="F57" s="144"/>
      <c r="G57" s="144"/>
      <c r="H57" s="144"/>
      <c r="I57" s="36"/>
    </row>
    <row r="58" spans="1:14" ht="15.75" customHeight="1" x14ac:dyDescent="0.35">
      <c r="A58" s="189"/>
      <c r="B58" s="190"/>
      <c r="C58" s="190"/>
      <c r="D58" s="144" t="s">
        <v>200</v>
      </c>
      <c r="E58" s="144"/>
      <c r="F58" s="144"/>
      <c r="G58" s="144"/>
      <c r="H58" s="144"/>
      <c r="I58" s="36"/>
    </row>
    <row r="59" spans="1:14" ht="15.75" customHeight="1" x14ac:dyDescent="0.35">
      <c r="A59" s="189"/>
      <c r="B59" s="190"/>
      <c r="C59" s="190"/>
      <c r="D59" s="144" t="s">
        <v>196</v>
      </c>
      <c r="E59" s="144"/>
      <c r="F59" s="144"/>
      <c r="G59" s="144"/>
      <c r="H59" s="144"/>
      <c r="I59" s="36"/>
    </row>
    <row r="60" spans="1:14" ht="15.75" customHeight="1" x14ac:dyDescent="0.35">
      <c r="A60" s="144" t="s">
        <v>48</v>
      </c>
      <c r="B60" s="144"/>
      <c r="C60" s="144"/>
      <c r="D60" s="161" t="s">
        <v>168</v>
      </c>
      <c r="E60" s="161"/>
      <c r="F60" s="161"/>
      <c r="G60" s="161"/>
      <c r="H60" s="161"/>
      <c r="J60" s="37"/>
      <c r="K60" s="35"/>
      <c r="N60" s="35"/>
    </row>
    <row r="61" spans="1:14" ht="15.75" customHeight="1" x14ac:dyDescent="0.35">
      <c r="A61" s="151" t="s">
        <v>92</v>
      </c>
      <c r="B61" s="151"/>
      <c r="C61" s="151"/>
      <c r="D61" s="170" t="str">
        <f>(IF(G52="NA","60 Years After Completion",IF(G52&lt;&gt;"NA",""&amp;60-ROUNDDOWN((E3-G52)/360,0)&amp;" Years"," ")))</f>
        <v>60 Years After Completion</v>
      </c>
      <c r="E61" s="170"/>
      <c r="F61" s="170"/>
      <c r="G61" s="170"/>
      <c r="H61" s="170"/>
      <c r="N61" s="35"/>
    </row>
    <row r="62" spans="1:14" ht="15.75" customHeight="1" x14ac:dyDescent="0.35">
      <c r="A62" s="151" t="s">
        <v>93</v>
      </c>
      <c r="B62" s="151"/>
      <c r="C62" s="151"/>
      <c r="D62" s="162" t="s">
        <v>24</v>
      </c>
      <c r="E62" s="162"/>
      <c r="F62" s="162"/>
      <c r="G62" s="162"/>
      <c r="H62" s="162"/>
      <c r="J62" s="38"/>
      <c r="K62" s="38"/>
    </row>
    <row r="63" spans="1:14" ht="32.25" customHeight="1" x14ac:dyDescent="0.35">
      <c r="A63" s="151" t="s">
        <v>79</v>
      </c>
      <c r="B63" s="151"/>
      <c r="C63" s="151"/>
      <c r="D63" s="161" t="s">
        <v>198</v>
      </c>
      <c r="E63" s="162"/>
      <c r="F63" s="162"/>
      <c r="G63" s="162"/>
      <c r="H63" s="162"/>
    </row>
    <row r="64" spans="1:14" x14ac:dyDescent="0.35">
      <c r="A64" s="162" t="s">
        <v>151</v>
      </c>
      <c r="B64" s="162"/>
      <c r="C64" s="162"/>
      <c r="D64" s="162" t="s">
        <v>30</v>
      </c>
      <c r="E64" s="162"/>
      <c r="F64" s="162"/>
      <c r="G64" s="162"/>
      <c r="H64" s="162"/>
      <c r="I64" s="39"/>
      <c r="J64" s="39"/>
      <c r="K64" s="39"/>
      <c r="L64" s="39"/>
      <c r="M64" s="39"/>
      <c r="N64" s="39"/>
    </row>
    <row r="65" spans="1:10" ht="15.75" customHeight="1" x14ac:dyDescent="0.35">
      <c r="A65" s="151" t="s">
        <v>91</v>
      </c>
      <c r="B65" s="151"/>
      <c r="C65" s="151"/>
      <c r="D65" s="161" t="str">
        <f ca="1">(IF(G71&gt;95%,"Nothing",IF(G71&gt;0%,"Cement, Aggregate, Steel, etc",IF(G71=0%,"Work not yet Started"))))</f>
        <v>Cement, Aggregate, Steel, etc</v>
      </c>
      <c r="E65" s="161"/>
      <c r="F65" s="161"/>
      <c r="G65" s="161"/>
      <c r="H65" s="161"/>
      <c r="J65" s="38"/>
    </row>
    <row r="66" spans="1:10" ht="33.75" customHeight="1" thickBot="1" x14ac:dyDescent="0.4">
      <c r="A66" s="162" t="s">
        <v>120</v>
      </c>
      <c r="B66" s="162"/>
      <c r="C66" s="162"/>
      <c r="D66" s="161" t="str">
        <f ca="1">(IF(D65="Nothing","Yes",IF(D65="Cement, Aggregate, Steel, etc","Under Construction",IF(D65="Work not yet Started","Work not yet Started"))))</f>
        <v>Under Construction</v>
      </c>
      <c r="E66" s="161"/>
      <c r="F66" s="161" t="str">
        <f ca="1">(IF(D65="Nothing","Yes",IF(D65="Cement, Aggregate, Steel, etc","Under Construction",IF(D65="Work not yet Started","Work not yet Started"))))</f>
        <v>Under Construction</v>
      </c>
      <c r="G66" s="161"/>
      <c r="H66" s="161"/>
    </row>
    <row r="67" spans="1:10" s="34" customFormat="1" ht="15.75" customHeight="1" x14ac:dyDescent="0.35">
      <c r="A67" s="117" t="s">
        <v>143</v>
      </c>
      <c r="B67" s="117"/>
      <c r="C67" s="117" t="str">
        <f>D57</f>
        <v>Building No. 1 (Wing A)= G + 1st to 14th Floor</v>
      </c>
      <c r="D67" s="117"/>
      <c r="E67" s="117"/>
      <c r="F67" s="117"/>
      <c r="G67" s="117"/>
      <c r="H67" s="117"/>
      <c r="I67" s="19" t="str">
        <f ca="1">(IF(E71&gt;99%,"All work completed. Please provide OC.",IF(E71&gt;89.8%,"Plinth, RCC, Brick, Plaster, Flooring, Painting work Completed. Finishing work is in process.",IF(E71&lt;94%,(IF(C71=0,"Work not yet Started.",IF(D71=25%,"Piling work in process",IF(D71=50%,"Excavation work in process",IF(D71=100%,"Excavation work Completed. ","0")))&amp;(IF(C72=0%,"",IF(C72=J73,"Footing work is process",IF(C72=J74,"Footing work Completed",IF(C72=J75,"1st Basement Completed",IF(C72=J76,"1st &amp; 2nd Basement Completed",IF(C72=J77,"1st to 3rd Basement Completed",IF(C72=J78,"1st to 4th Basement Completed",IF(C72=J79,"Plinth work is process",IF(C72=J80,"Plinth work completed","0")))))))))))&amp;(IF(C73=(D68+F68+H68),", RCC Slab",IF(C73&gt;0,", RCC upto "&amp;C73&amp;" Slab",""))&amp;(IF(C74=H68,", Brickwork",IF(C74&gt;0,", Brickwork upto "&amp;C74&amp;" Floor",""))&amp;(IF(C75=H68,", Internal Plaster",IF(C75&gt;0,", Internal Plaster upto "&amp;C75&amp;" Floor",""))&amp;(IF(C76=H68,", External Plaster",IF(C76&gt;0,", External Plaster upto "&amp;C76&amp;" Floor",""))&amp;(IF(C77=H68,", Flooring",IF(C77&gt;0,", Flooring upto "&amp;C77&amp;" Floor",""))&amp;(IF(C78=H68,", Painting",IF(C78&gt;0,", Painting upto "&amp;C78&amp;" Floor",""))&amp;(IF(C79&gt;0,", Finishing upto "&amp;C79&amp;" Floor","")&amp;(IF(C73&gt;0.5," Completed",""))))))))))))))</f>
        <v>Excavation work Completed. Plinth work completed, RCC upto 11 Slab, Brickwork upto 8 Floor, Internal Plaster upto 5 Floor, External Plaster upto 2 Floor Completed</v>
      </c>
      <c r="J67" s="40"/>
    </row>
    <row r="68" spans="1:10" s="34" customFormat="1" x14ac:dyDescent="0.35">
      <c r="A68" s="90" t="s">
        <v>145</v>
      </c>
      <c r="B68" s="90">
        <v>0</v>
      </c>
      <c r="C68" s="90" t="s">
        <v>76</v>
      </c>
      <c r="D68" s="90">
        <v>1</v>
      </c>
      <c r="E68" s="90" t="s">
        <v>75</v>
      </c>
      <c r="F68" s="90">
        <v>0</v>
      </c>
      <c r="G68" s="90" t="s">
        <v>85</v>
      </c>
      <c r="H68" s="90">
        <f ca="1">--TRIM(RIGHT(SUBSTITUTE(LEFT(C67,_xlfn.AGGREGATE(16,6,FIND({0,1,2,3,4,5,6,7,8,9},C67,ROW(INDIRECT("1:"&amp;LEN(C67)))),1))," ",REPT(" ",LEN(C67))),LEN(C67)))</f>
        <v>14</v>
      </c>
      <c r="I68" s="20"/>
      <c r="J68" s="41"/>
    </row>
    <row r="69" spans="1:10" s="34" customFormat="1" ht="31.5" customHeight="1" x14ac:dyDescent="0.35">
      <c r="A69" s="116" t="s">
        <v>95</v>
      </c>
      <c r="B69" s="116"/>
      <c r="C69" s="117" t="str">
        <f ca="1">I67</f>
        <v>Excavation work Completed. Plinth work completed, RCC upto 11 Slab, Brickwork upto 8 Floor, Internal Plaster upto 5 Floor, External Plaster upto 2 Floor Completed</v>
      </c>
      <c r="D69" s="117"/>
      <c r="E69" s="117"/>
      <c r="F69" s="117"/>
      <c r="G69" s="117"/>
      <c r="H69" s="117"/>
      <c r="I69" s="20" t="s">
        <v>105</v>
      </c>
      <c r="J69" s="41"/>
    </row>
    <row r="70" spans="1:10" s="34" customFormat="1" ht="15.75" customHeight="1" x14ac:dyDescent="0.35">
      <c r="A70" s="120" t="s">
        <v>52</v>
      </c>
      <c r="B70" s="120"/>
      <c r="C70" s="87" t="s">
        <v>142</v>
      </c>
      <c r="D70" s="87" t="s">
        <v>88</v>
      </c>
      <c r="E70" s="120" t="s">
        <v>90</v>
      </c>
      <c r="F70" s="120"/>
      <c r="G70" s="120" t="s">
        <v>89</v>
      </c>
      <c r="H70" s="120"/>
      <c r="I70" s="21" t="s">
        <v>144</v>
      </c>
      <c r="J70" s="42">
        <f ca="1">H68*25%</f>
        <v>3.5</v>
      </c>
    </row>
    <row r="71" spans="1:10" s="34" customFormat="1" x14ac:dyDescent="0.35">
      <c r="A71" s="120" t="s">
        <v>131</v>
      </c>
      <c r="B71" s="120"/>
      <c r="C71" s="43">
        <f ca="1">J72</f>
        <v>14</v>
      </c>
      <c r="D71" s="89">
        <f ca="1">((100/H68)*C71)/100</f>
        <v>1</v>
      </c>
      <c r="E71" s="122">
        <f ca="1">(((C72/H68*10)+(40/(D68+F68+H68)*C73)+(7.5/(H68)*C74)+(7.5/(H68)*C75)+(10/H68*C76)+(10/H68*C77)+(5/H68*C78)+(5/H68*C79)+(5/H68*C80))/100)</f>
        <v>0.47726190476190472</v>
      </c>
      <c r="F71" s="122"/>
      <c r="G71" s="122">
        <f ca="1">((((C71/H68)*20)+((C72/H68)*25)+(30/(H68+F68+D68)*C73)+(5/H68*C74)+(5/H68*C75)+(5/H68*C76)+(5/H68*C77)+(0/H68*C78)+(0/H68*C79)+(5/H68*C80))/100)</f>
        <v>0.72357142857142864</v>
      </c>
      <c r="H71" s="122"/>
      <c r="I71" s="21" t="s">
        <v>100</v>
      </c>
      <c r="J71" s="45">
        <f ca="1">H68*50%</f>
        <v>7</v>
      </c>
    </row>
    <row r="72" spans="1:10" s="34" customFormat="1" x14ac:dyDescent="0.35">
      <c r="A72" s="120" t="s">
        <v>53</v>
      </c>
      <c r="B72" s="120"/>
      <c r="C72" s="46">
        <f ca="1">J80</f>
        <v>14</v>
      </c>
      <c r="D72" s="89">
        <f ca="1">((100/H68)*C72)/100</f>
        <v>1</v>
      </c>
      <c r="E72" s="122"/>
      <c r="F72" s="122"/>
      <c r="G72" s="122"/>
      <c r="H72" s="122"/>
      <c r="I72" s="21" t="s">
        <v>101</v>
      </c>
      <c r="J72" s="45">
        <f ca="1">H68</f>
        <v>14</v>
      </c>
    </row>
    <row r="73" spans="1:10" s="34" customFormat="1" ht="15.75" customHeight="1" x14ac:dyDescent="0.35">
      <c r="A73" s="120" t="s">
        <v>132</v>
      </c>
      <c r="B73" s="120"/>
      <c r="C73" s="46">
        <v>11</v>
      </c>
      <c r="D73" s="89">
        <f ca="1">((100/(D68+F68+H68))*C73)/100</f>
        <v>0.73333333333333339</v>
      </c>
      <c r="E73" s="122"/>
      <c r="F73" s="122"/>
      <c r="G73" s="122"/>
      <c r="H73" s="122"/>
      <c r="I73" s="21" t="s">
        <v>102</v>
      </c>
      <c r="J73" s="47">
        <f ca="1">(IF(B68&gt;1,(H68/(B68+2)),H68/4))</f>
        <v>3.5</v>
      </c>
    </row>
    <row r="74" spans="1:10" s="34" customFormat="1" ht="15.75" customHeight="1" x14ac:dyDescent="0.35">
      <c r="A74" s="120" t="s">
        <v>139</v>
      </c>
      <c r="B74" s="120" t="s">
        <v>133</v>
      </c>
      <c r="C74" s="43">
        <v>8</v>
      </c>
      <c r="D74" s="89">
        <f ca="1">((100/H68)*C74)/100</f>
        <v>0.57142857142857151</v>
      </c>
      <c r="E74" s="122"/>
      <c r="F74" s="122"/>
      <c r="G74" s="122"/>
      <c r="H74" s="122"/>
      <c r="I74" s="21" t="s">
        <v>103</v>
      </c>
      <c r="J74" s="47">
        <f ca="1">(IF(B68&gt;1,(H68/(B68+2)+J73),H68/4+J73))</f>
        <v>7</v>
      </c>
    </row>
    <row r="75" spans="1:10" s="34" customFormat="1" ht="15.75" customHeight="1" x14ac:dyDescent="0.35">
      <c r="A75" s="120" t="s">
        <v>140</v>
      </c>
      <c r="B75" s="120" t="s">
        <v>133</v>
      </c>
      <c r="C75" s="43">
        <v>5</v>
      </c>
      <c r="D75" s="89">
        <f ca="1">((100/H68)*C75)/100</f>
        <v>0.35714285714285715</v>
      </c>
      <c r="E75" s="122"/>
      <c r="F75" s="122"/>
      <c r="G75" s="122"/>
      <c r="H75" s="122"/>
      <c r="I75" s="21" t="s">
        <v>149</v>
      </c>
      <c r="J75" s="47">
        <f>(IF(B68&gt;1,(H68/(B68+2)+J74),0))</f>
        <v>0</v>
      </c>
    </row>
    <row r="76" spans="1:10" s="34" customFormat="1" ht="15" customHeight="1" x14ac:dyDescent="0.35">
      <c r="A76" s="120" t="s">
        <v>138</v>
      </c>
      <c r="B76" s="120" t="s">
        <v>135</v>
      </c>
      <c r="C76" s="43">
        <v>2</v>
      </c>
      <c r="D76" s="89">
        <f ca="1">((100/(H68))*C76)/100</f>
        <v>0.14285714285714288</v>
      </c>
      <c r="E76" s="122"/>
      <c r="F76" s="122"/>
      <c r="G76" s="122"/>
      <c r="H76" s="122"/>
      <c r="I76" s="21" t="s">
        <v>146</v>
      </c>
      <c r="J76" s="47">
        <f>(IF(B68&gt;2,(H68/(B68+2)+J75),0))</f>
        <v>0</v>
      </c>
    </row>
    <row r="77" spans="1:10" s="34" customFormat="1" ht="15.75" customHeight="1" x14ac:dyDescent="0.35">
      <c r="A77" s="120" t="s">
        <v>134</v>
      </c>
      <c r="B77" s="120" t="s">
        <v>134</v>
      </c>
      <c r="C77" s="43">
        <v>0</v>
      </c>
      <c r="D77" s="89">
        <f ca="1">((100/H68)*C77)/100</f>
        <v>0</v>
      </c>
      <c r="E77" s="122"/>
      <c r="F77" s="122"/>
      <c r="G77" s="122"/>
      <c r="H77" s="122"/>
      <c r="I77" s="21" t="s">
        <v>147</v>
      </c>
      <c r="J77" s="48">
        <f>(IF(B68&gt;3,(H68/(B68+2)+J76),0))</f>
        <v>0</v>
      </c>
    </row>
    <row r="78" spans="1:10" s="34" customFormat="1" ht="15.75" customHeight="1" x14ac:dyDescent="0.35">
      <c r="A78" s="120" t="s">
        <v>141</v>
      </c>
      <c r="B78" s="120"/>
      <c r="C78" s="43">
        <v>0</v>
      </c>
      <c r="D78" s="89">
        <f ca="1">((100/H68)*C78)/100</f>
        <v>0</v>
      </c>
      <c r="E78" s="122"/>
      <c r="F78" s="122"/>
      <c r="G78" s="122"/>
      <c r="H78" s="122"/>
      <c r="I78" s="21" t="s">
        <v>148</v>
      </c>
      <c r="J78" s="47">
        <f>(IF(B68&gt;4,(H68/(B68+2)+J77),0))</f>
        <v>0</v>
      </c>
    </row>
    <row r="79" spans="1:10" s="34" customFormat="1" ht="15.75" customHeight="1" x14ac:dyDescent="0.35">
      <c r="A79" s="120" t="s">
        <v>136</v>
      </c>
      <c r="B79" s="120" t="s">
        <v>136</v>
      </c>
      <c r="C79" s="43">
        <v>0</v>
      </c>
      <c r="D79" s="89">
        <f ca="1">((100/(H68))*C79)/100</f>
        <v>0</v>
      </c>
      <c r="E79" s="122"/>
      <c r="F79" s="122"/>
      <c r="G79" s="122"/>
      <c r="H79" s="122"/>
      <c r="I79" s="21" t="s">
        <v>150</v>
      </c>
      <c r="J79" s="47">
        <f ca="1">(IF(B68=1,(H68/(B68+3)+J74),IF(B68=0,(H68/4+J74),IF(B68&gt;1,0))))</f>
        <v>10.5</v>
      </c>
    </row>
    <row r="80" spans="1:10" s="34" customFormat="1" ht="16" thickBot="1" x14ac:dyDescent="0.4">
      <c r="A80" s="120" t="s">
        <v>137</v>
      </c>
      <c r="B80" s="120"/>
      <c r="C80" s="43">
        <v>0</v>
      </c>
      <c r="D80" s="89">
        <f ca="1">((100/(H68))*C80)/100</f>
        <v>0</v>
      </c>
      <c r="E80" s="122"/>
      <c r="F80" s="122"/>
      <c r="G80" s="122"/>
      <c r="H80" s="122"/>
      <c r="I80" s="22" t="s">
        <v>104</v>
      </c>
      <c r="J80" s="51">
        <f ca="1">(IF(B68&gt;1.5,(H68/(B68+2)+J74+MAX(0,J75-J74)+MAX(0,J76-J75)+MAX(0,J77-J76)+MAX(0,J78-J77)+MAX(0,J79-J78)),IF(B68=1,(H68/(B68+3)+J79),IF(B68=0,H68/4+J79))))</f>
        <v>14</v>
      </c>
    </row>
    <row r="81" spans="1:10" s="34" customFormat="1" ht="15.75" customHeight="1" x14ac:dyDescent="0.35">
      <c r="A81" s="110" t="s">
        <v>143</v>
      </c>
      <c r="B81" s="111"/>
      <c r="C81" s="112" t="str">
        <f>D58</f>
        <v>Building No. 1 (Wing B)= G + 1st to 14th Floor</v>
      </c>
      <c r="D81" s="113"/>
      <c r="E81" s="113"/>
      <c r="F81" s="113"/>
      <c r="G81" s="113"/>
      <c r="H81" s="114"/>
      <c r="I81" s="19" t="str">
        <f ca="1">(IF(E85&gt;99%,"All work completed. Please provide OC.",IF(E85&gt;89.8%,"Plinth, RCC, Brick, Plaster, Flooring, Painting work Completed. Finishing work is in process.",IF(E85&lt;94%,(IF(C85=0,"Work not yet Started.",IF(D85=25%,"Piling work in process",IF(D85=50%,"Excavation work in process",IF(D85=100%,"Excavation work Completed. ","0")))&amp;(IF(C86=0%,"",IF(C86=J87,"Footing work is process",IF(C86=J88,"Footing work Completed",IF(C86=J89,"1st Basement Completed",IF(C86=J90,"1st &amp; 2nd Basement Completed",IF(C86=J91,"1st to 3rd Basement Completed",IF(C86=J92,"1st to 4th Basement Completed",IF(C86=J93,"Plinth work is process",IF(C86=J94,"Plinth work completed","0")))))))))))&amp;(IF(C87=(D82+F82+H82),", RCC Slab",IF(C87&gt;0,", RCC upto "&amp;C87&amp;" Slab",""))&amp;(IF(C88=H82,", Brickwork",IF(C88&gt;0,", Brickwork upto "&amp;C88&amp;" Floor",""))&amp;(IF(C89=H82,", Internal Plaster",IF(C89&gt;0,", Internal Plaster upto "&amp;C89&amp;" Floor",""))&amp;(IF(C90=H82,", External Plaster",IF(C90&gt;0,", External Plaster upto "&amp;C90&amp;" Floor",""))&amp;(IF(C91=H82,", Flooring",IF(C91&gt;0,", Flooring upto "&amp;C91&amp;" Floor",""))&amp;(IF(C92=H82,", Painting",IF(C92&gt;0,", Painting upto "&amp;C92&amp;" Floor",""))&amp;(IF(C93&gt;0,", Finishing upto "&amp;C93&amp;" Floor","")&amp;(IF(C87&gt;0.5," Completed",""))))))))))))))</f>
        <v>Excavation work Completed. Plinth work completed, RCC upto 11 Slab, Brickwork upto 8 Floor, Internal Plaster upto 2 Floor, External Plaster upto 2 Floor Completed</v>
      </c>
      <c r="J81" s="40"/>
    </row>
    <row r="82" spans="1:10" s="34" customFormat="1" x14ac:dyDescent="0.35">
      <c r="A82" s="15" t="s">
        <v>145</v>
      </c>
      <c r="B82" s="68">
        <v>0</v>
      </c>
      <c r="C82" s="68" t="s">
        <v>76</v>
      </c>
      <c r="D82" s="68">
        <v>1</v>
      </c>
      <c r="E82" s="68" t="s">
        <v>75</v>
      </c>
      <c r="F82" s="68">
        <v>0</v>
      </c>
      <c r="G82" s="68" t="s">
        <v>85</v>
      </c>
      <c r="H82" s="16">
        <f ca="1">--TRIM(RIGHT(SUBSTITUTE(LEFT(C81,_xlfn.AGGREGATE(16,6,FIND({0,1,2,3,4,5,6,7,8,9},C81,ROW(INDIRECT("1:"&amp;LEN(C81)))),1))," ",REPT(" ",LEN(C81))),LEN(C81)))</f>
        <v>14</v>
      </c>
      <c r="I82" s="20"/>
      <c r="J82" s="41"/>
    </row>
    <row r="83" spans="1:10" s="34" customFormat="1" ht="34.5" customHeight="1" x14ac:dyDescent="0.35">
      <c r="A83" s="115" t="s">
        <v>95</v>
      </c>
      <c r="B83" s="116"/>
      <c r="C83" s="117" t="str">
        <f ca="1">I81</f>
        <v>Excavation work Completed. Plinth work completed, RCC upto 11 Slab, Brickwork upto 8 Floor, Internal Plaster upto 2 Floor, External Plaster upto 2 Floor Completed</v>
      </c>
      <c r="D83" s="117"/>
      <c r="E83" s="117"/>
      <c r="F83" s="117"/>
      <c r="G83" s="117"/>
      <c r="H83" s="118"/>
      <c r="I83" s="20" t="s">
        <v>105</v>
      </c>
      <c r="J83" s="41"/>
    </row>
    <row r="84" spans="1:10" s="34" customFormat="1" ht="15.75" customHeight="1" x14ac:dyDescent="0.35">
      <c r="A84" s="119" t="s">
        <v>52</v>
      </c>
      <c r="B84" s="120"/>
      <c r="C84" s="67" t="s">
        <v>142</v>
      </c>
      <c r="D84" s="67" t="s">
        <v>88</v>
      </c>
      <c r="E84" s="120" t="s">
        <v>90</v>
      </c>
      <c r="F84" s="120"/>
      <c r="G84" s="120" t="s">
        <v>89</v>
      </c>
      <c r="H84" s="121"/>
      <c r="I84" s="21" t="s">
        <v>144</v>
      </c>
      <c r="J84" s="42">
        <f ca="1">H82*25%</f>
        <v>3.5</v>
      </c>
    </row>
    <row r="85" spans="1:10" s="34" customFormat="1" x14ac:dyDescent="0.35">
      <c r="A85" s="119" t="s">
        <v>131</v>
      </c>
      <c r="B85" s="120"/>
      <c r="C85" s="43">
        <f ca="1">J86</f>
        <v>14</v>
      </c>
      <c r="D85" s="65">
        <f ca="1">((100/H82)*C85)/100</f>
        <v>1</v>
      </c>
      <c r="E85" s="122">
        <f ca="1">(((C86/H82*10)+(40/(D82+F82+H82)*C87)+(7.5/(H82)*C88)+(7.5/(H82)*C89)+(10/H82*C90)+(10/H82*C91)+(5/H82*C92)+(5/H82*C93)+(5/H82*C94))/100)</f>
        <v>0.46119047619047615</v>
      </c>
      <c r="F85" s="122"/>
      <c r="G85" s="122">
        <f ca="1">((((C85/H82)*20)+((C86/H82)*25)+(30/(H82+F82+D82)*C87)+(5/H82*C88)+(5/H82*C89)+(5/H82*C90)+(5/H82*C91)+(0/H82*C92)+(0/H82*C93)+(5/H82*C94))/100)</f>
        <v>0.71285714285714274</v>
      </c>
      <c r="H85" s="124"/>
      <c r="I85" s="21" t="s">
        <v>100</v>
      </c>
      <c r="J85" s="45">
        <f ca="1">H82*50%</f>
        <v>7</v>
      </c>
    </row>
    <row r="86" spans="1:10" s="34" customFormat="1" x14ac:dyDescent="0.35">
      <c r="A86" s="119" t="s">
        <v>53</v>
      </c>
      <c r="B86" s="120"/>
      <c r="C86" s="46">
        <f ca="1">J94</f>
        <v>14</v>
      </c>
      <c r="D86" s="65">
        <f ca="1">((100/H82)*C86)/100</f>
        <v>1</v>
      </c>
      <c r="E86" s="122"/>
      <c r="F86" s="122"/>
      <c r="G86" s="122"/>
      <c r="H86" s="124"/>
      <c r="I86" s="21" t="s">
        <v>101</v>
      </c>
      <c r="J86" s="45">
        <f ca="1">H82</f>
        <v>14</v>
      </c>
    </row>
    <row r="87" spans="1:10" s="34" customFormat="1" ht="15.75" customHeight="1" x14ac:dyDescent="0.35">
      <c r="A87" s="119" t="s">
        <v>132</v>
      </c>
      <c r="B87" s="120"/>
      <c r="C87" s="46">
        <v>11</v>
      </c>
      <c r="D87" s="65">
        <f ca="1">((100/(D82+F82+H82))*C87)/100</f>
        <v>0.73333333333333339</v>
      </c>
      <c r="E87" s="122"/>
      <c r="F87" s="122"/>
      <c r="G87" s="122"/>
      <c r="H87" s="124"/>
      <c r="I87" s="21" t="s">
        <v>102</v>
      </c>
      <c r="J87" s="47">
        <f ca="1">(IF(B82&gt;1,(H82/(B82+2)),H82/4))</f>
        <v>3.5</v>
      </c>
    </row>
    <row r="88" spans="1:10" s="34" customFormat="1" ht="15.75" customHeight="1" x14ac:dyDescent="0.35">
      <c r="A88" s="119" t="s">
        <v>139</v>
      </c>
      <c r="B88" s="120" t="s">
        <v>133</v>
      </c>
      <c r="C88" s="43">
        <v>8</v>
      </c>
      <c r="D88" s="65">
        <f ca="1">((100/H82)*C88)/100</f>
        <v>0.57142857142857151</v>
      </c>
      <c r="E88" s="122"/>
      <c r="F88" s="122"/>
      <c r="G88" s="122"/>
      <c r="H88" s="124"/>
      <c r="I88" s="21" t="s">
        <v>103</v>
      </c>
      <c r="J88" s="47">
        <f ca="1">(IF(B82&gt;1,(H82/(B82+2)+J87),H82/4+J87))</f>
        <v>7</v>
      </c>
    </row>
    <row r="89" spans="1:10" s="34" customFormat="1" ht="15.75" customHeight="1" x14ac:dyDescent="0.35">
      <c r="A89" s="119" t="s">
        <v>140</v>
      </c>
      <c r="B89" s="120" t="s">
        <v>133</v>
      </c>
      <c r="C89" s="43">
        <v>2</v>
      </c>
      <c r="D89" s="65">
        <f ca="1">((100/H82)*C89)/100</f>
        <v>0.14285714285714288</v>
      </c>
      <c r="E89" s="122"/>
      <c r="F89" s="122"/>
      <c r="G89" s="122"/>
      <c r="H89" s="124"/>
      <c r="I89" s="21" t="s">
        <v>149</v>
      </c>
      <c r="J89" s="47">
        <f>(IF(B82&gt;1,(H82/(B82+2)+J88),0))</f>
        <v>0</v>
      </c>
    </row>
    <row r="90" spans="1:10" s="34" customFormat="1" ht="15" customHeight="1" x14ac:dyDescent="0.35">
      <c r="A90" s="119" t="s">
        <v>138</v>
      </c>
      <c r="B90" s="120" t="s">
        <v>135</v>
      </c>
      <c r="C90" s="43">
        <v>2</v>
      </c>
      <c r="D90" s="65">
        <f ca="1">((100/(H82))*C90)/100</f>
        <v>0.14285714285714288</v>
      </c>
      <c r="E90" s="122"/>
      <c r="F90" s="122"/>
      <c r="G90" s="122"/>
      <c r="H90" s="124"/>
      <c r="I90" s="21" t="s">
        <v>146</v>
      </c>
      <c r="J90" s="47">
        <f>(IF(B82&gt;2,(H82/(B82+2)+J89),0))</f>
        <v>0</v>
      </c>
    </row>
    <row r="91" spans="1:10" s="34" customFormat="1" ht="15.75" customHeight="1" x14ac:dyDescent="0.35">
      <c r="A91" s="119" t="s">
        <v>134</v>
      </c>
      <c r="B91" s="120" t="s">
        <v>134</v>
      </c>
      <c r="C91" s="43">
        <v>0</v>
      </c>
      <c r="D91" s="65">
        <f ca="1">((100/H82)*C91)/100</f>
        <v>0</v>
      </c>
      <c r="E91" s="122"/>
      <c r="F91" s="122"/>
      <c r="G91" s="122"/>
      <c r="H91" s="124"/>
      <c r="I91" s="21" t="s">
        <v>147</v>
      </c>
      <c r="J91" s="48">
        <f>(IF(B82&gt;3,(H82/(B82+2)+J90),0))</f>
        <v>0</v>
      </c>
    </row>
    <row r="92" spans="1:10" s="34" customFormat="1" ht="15.75" customHeight="1" x14ac:dyDescent="0.35">
      <c r="A92" s="119" t="s">
        <v>141</v>
      </c>
      <c r="B92" s="120"/>
      <c r="C92" s="43">
        <v>0</v>
      </c>
      <c r="D92" s="65">
        <f ca="1">((100/H82)*C92)/100</f>
        <v>0</v>
      </c>
      <c r="E92" s="122"/>
      <c r="F92" s="122"/>
      <c r="G92" s="122"/>
      <c r="H92" s="124"/>
      <c r="I92" s="21" t="s">
        <v>148</v>
      </c>
      <c r="J92" s="47">
        <f>(IF(B82&gt;4,(H82/(B82+2)+J91),0))</f>
        <v>0</v>
      </c>
    </row>
    <row r="93" spans="1:10" s="34" customFormat="1" ht="15.75" customHeight="1" x14ac:dyDescent="0.35">
      <c r="A93" s="119" t="s">
        <v>136</v>
      </c>
      <c r="B93" s="120" t="s">
        <v>136</v>
      </c>
      <c r="C93" s="43">
        <v>0</v>
      </c>
      <c r="D93" s="65">
        <f ca="1">((100/(H82))*C93)/100</f>
        <v>0</v>
      </c>
      <c r="E93" s="122"/>
      <c r="F93" s="122"/>
      <c r="G93" s="122"/>
      <c r="H93" s="124"/>
      <c r="I93" s="21" t="s">
        <v>150</v>
      </c>
      <c r="J93" s="47">
        <f ca="1">(IF(B82=1,(H82/(B82+3)+J88),IF(B82=0,(H82/4+J88),IF(B82&gt;1,0))))</f>
        <v>10.5</v>
      </c>
    </row>
    <row r="94" spans="1:10" s="34" customFormat="1" ht="16" thickBot="1" x14ac:dyDescent="0.4">
      <c r="A94" s="126" t="s">
        <v>137</v>
      </c>
      <c r="B94" s="127"/>
      <c r="C94" s="49">
        <v>0</v>
      </c>
      <c r="D94" s="66">
        <f ca="1">((100/(H82))*C94)/100</f>
        <v>0</v>
      </c>
      <c r="E94" s="123"/>
      <c r="F94" s="123"/>
      <c r="G94" s="123"/>
      <c r="H94" s="125"/>
      <c r="I94" s="22" t="s">
        <v>104</v>
      </c>
      <c r="J94" s="51">
        <f ca="1">(IF(B82&gt;1.5,(H82/(B82+2)+J88+MAX(0,J89-J88)+MAX(0,J90-J89)+MAX(0,J91-J90)+MAX(0,J92-J91)+MAX(0,J93-J92)),IF(B82=1,(H82/(B82+3)+J93),IF(B82=0,H82/4+J93))))</f>
        <v>14</v>
      </c>
    </row>
    <row r="95" spans="1:10" s="34" customFormat="1" ht="15.75" customHeight="1" x14ac:dyDescent="0.35">
      <c r="A95" s="179" t="s">
        <v>143</v>
      </c>
      <c r="B95" s="180"/>
      <c r="C95" s="181" t="str">
        <f>D59</f>
        <v>Row House 1 &amp; 2 = Gr + 1st Floor</v>
      </c>
      <c r="D95" s="182"/>
      <c r="E95" s="182"/>
      <c r="F95" s="182"/>
      <c r="G95" s="182"/>
      <c r="H95" s="183"/>
      <c r="I95" s="19" t="str">
        <f ca="1">(IF(E99&gt;99%,"All work completed. Please provide OC.",IF(E99&gt;89.8%,"Plinth, RCC, Brick, Plaster, Flooring, Painting work Completed. Finishing work is in process.",IF(E99&lt;94%,(IF(C99=0,"Work not yet Started.",IF(D99=25%,"Piling work in process",IF(D99=50%,"Excavation work in process",IF(D99=100%,"Excavation work Completed. ","0")))&amp;(IF(C100=0%,"",IF(C100=J101,"Footing work is process",IF(C100=J102,"Footing work Completed",IF(C100=J103,"1st Basement Completed",IF(C100=J104,"1st &amp; 2nd Basement Completed",IF(C100=J105,"1st to 3rd Basement Completed",IF(C100=J106,"1st to 4th Basement Completed",IF(C100=J107,"Plinth work is process",IF(C100=J108,"Plinth work completed","0")))))))))))&amp;(IF(C101=(D96+F96+H96),", RCC Slab",IF(C101&gt;0,", RCC upto "&amp;C101&amp;" Slab",""))&amp;(IF(C102=H96,", Brickwork",IF(C102&gt;0,", Brickwork upto "&amp;C102&amp;" Floor",""))&amp;(IF(C103=H96,", Internal Plaster",IF(C103&gt;0,", Internal Plaster upto "&amp;C103&amp;" Floor",""))&amp;(IF(C104=H96,", External Plaster",IF(C104&gt;0,", External Plaster upto "&amp;C104&amp;" Floor",""))&amp;(IF(C105=H96,", Flooring",IF(C105&gt;0,", Flooring upto "&amp;C105&amp;" Floor",""))&amp;(IF(C106=H96,", Painting",IF(C106&gt;0,", Painting upto "&amp;C106&amp;" Floor",""))&amp;(IF(C107&gt;0,", Finishing upto "&amp;C107&amp;" Floor","")&amp;(IF(C101&gt;0.5," Completed",""))))))))))))))</f>
        <v>Work not yet Started.</v>
      </c>
      <c r="J95" s="40"/>
    </row>
    <row r="96" spans="1:10" s="34" customFormat="1" x14ac:dyDescent="0.35">
      <c r="A96" s="15" t="s">
        <v>145</v>
      </c>
      <c r="B96" s="28">
        <v>0</v>
      </c>
      <c r="C96" s="28" t="s">
        <v>76</v>
      </c>
      <c r="D96" s="28">
        <v>1</v>
      </c>
      <c r="E96" s="28" t="s">
        <v>75</v>
      </c>
      <c r="F96" s="28">
        <v>0</v>
      </c>
      <c r="G96" s="28" t="s">
        <v>85</v>
      </c>
      <c r="H96" s="16">
        <f ca="1">--TRIM(RIGHT(SUBSTITUTE(LEFT(C95,_xlfn.AGGREGATE(16,6,FIND({0,1,2,3,4,5,6,7,8,9},C95,ROW(INDIRECT("1:"&amp;LEN(C95)))),1))," ",REPT(" ",LEN(C95))),LEN(C95)))</f>
        <v>1</v>
      </c>
      <c r="I96" s="20"/>
      <c r="J96" s="41"/>
    </row>
    <row r="97" spans="1:10" s="34" customFormat="1" ht="16.5" customHeight="1" x14ac:dyDescent="0.35">
      <c r="A97" s="115" t="s">
        <v>95</v>
      </c>
      <c r="B97" s="116"/>
      <c r="C97" s="117" t="str">
        <f ca="1">I95</f>
        <v>Work not yet Started.</v>
      </c>
      <c r="D97" s="117"/>
      <c r="E97" s="117"/>
      <c r="F97" s="117"/>
      <c r="G97" s="117"/>
      <c r="H97" s="118"/>
      <c r="I97" s="20" t="s">
        <v>105</v>
      </c>
      <c r="J97" s="41"/>
    </row>
    <row r="98" spans="1:10" s="34" customFormat="1" ht="15.75" customHeight="1" x14ac:dyDescent="0.35">
      <c r="A98" s="119" t="s">
        <v>52</v>
      </c>
      <c r="B98" s="120"/>
      <c r="C98" s="25" t="s">
        <v>142</v>
      </c>
      <c r="D98" s="25" t="s">
        <v>88</v>
      </c>
      <c r="E98" s="120" t="s">
        <v>90</v>
      </c>
      <c r="F98" s="120"/>
      <c r="G98" s="120" t="s">
        <v>89</v>
      </c>
      <c r="H98" s="121"/>
      <c r="I98" s="21" t="s">
        <v>144</v>
      </c>
      <c r="J98" s="42">
        <f ca="1">H96*25%</f>
        <v>0.25</v>
      </c>
    </row>
    <row r="99" spans="1:10" s="34" customFormat="1" x14ac:dyDescent="0.35">
      <c r="A99" s="119" t="s">
        <v>131</v>
      </c>
      <c r="B99" s="120"/>
      <c r="C99" s="43">
        <v>0</v>
      </c>
      <c r="D99" s="44">
        <f ca="1">((100/H96)*C99)/100</f>
        <v>0</v>
      </c>
      <c r="E99" s="122">
        <f ca="1">(((C100/H96*10)+(40/(D96+F96+H96)*C101)+(7.5/(H96)*C102)+(7.5/(H96)*C103)+(10/H96*C104)+(10/H96*C105)+(5/H96*C106)+(5/H96*C107)+(5/H96*C108))/100)</f>
        <v>0</v>
      </c>
      <c r="F99" s="122"/>
      <c r="G99" s="122">
        <f ca="1">((((C99/H96)*20)+((C100/H96)*25)+(30/(H96+F96+D96)*C101)+(5/H96*C102)+(5/H96*C103)+(5/H96*C104)+(5/H96*C105)+(0/H96*C106)+(0/H96*C107)+(5/H96*C108))/100)</f>
        <v>0</v>
      </c>
      <c r="H99" s="124"/>
      <c r="I99" s="21" t="s">
        <v>100</v>
      </c>
      <c r="J99" s="45">
        <f ca="1">H96*50%</f>
        <v>0.5</v>
      </c>
    </row>
    <row r="100" spans="1:10" s="34" customFormat="1" x14ac:dyDescent="0.35">
      <c r="A100" s="119" t="s">
        <v>53</v>
      </c>
      <c r="B100" s="120"/>
      <c r="C100" s="46">
        <v>0</v>
      </c>
      <c r="D100" s="44">
        <f ca="1">((100/H96)*C100)/100</f>
        <v>0</v>
      </c>
      <c r="E100" s="122"/>
      <c r="F100" s="122"/>
      <c r="G100" s="122"/>
      <c r="H100" s="124"/>
      <c r="I100" s="21" t="s">
        <v>101</v>
      </c>
      <c r="J100" s="45">
        <f ca="1">H96</f>
        <v>1</v>
      </c>
    </row>
    <row r="101" spans="1:10" s="34" customFormat="1" ht="15.75" customHeight="1" x14ac:dyDescent="0.35">
      <c r="A101" s="119" t="s">
        <v>132</v>
      </c>
      <c r="B101" s="120"/>
      <c r="C101" s="46">
        <v>0</v>
      </c>
      <c r="D101" s="44">
        <f ca="1">((100/(D96+F96+H96))*C101)/100</f>
        <v>0</v>
      </c>
      <c r="E101" s="122"/>
      <c r="F101" s="122"/>
      <c r="G101" s="122"/>
      <c r="H101" s="124"/>
      <c r="I101" s="21" t="s">
        <v>102</v>
      </c>
      <c r="J101" s="47">
        <f ca="1">(IF(B96&gt;1,(H96/(B96+2)),H96/4))</f>
        <v>0.25</v>
      </c>
    </row>
    <row r="102" spans="1:10" s="34" customFormat="1" ht="15.75" customHeight="1" x14ac:dyDescent="0.35">
      <c r="A102" s="119" t="s">
        <v>139</v>
      </c>
      <c r="B102" s="120" t="s">
        <v>133</v>
      </c>
      <c r="C102" s="43">
        <v>0</v>
      </c>
      <c r="D102" s="44">
        <f ca="1">((100/H96)*C102)/100</f>
        <v>0</v>
      </c>
      <c r="E102" s="122"/>
      <c r="F102" s="122"/>
      <c r="G102" s="122"/>
      <c r="H102" s="124"/>
      <c r="I102" s="21" t="s">
        <v>103</v>
      </c>
      <c r="J102" s="47">
        <f ca="1">(IF(B96&gt;1,(H96/(B96+2)+J101),H96/4+J101))</f>
        <v>0.5</v>
      </c>
    </row>
    <row r="103" spans="1:10" s="34" customFormat="1" ht="15.75" customHeight="1" x14ac:dyDescent="0.35">
      <c r="A103" s="119" t="s">
        <v>140</v>
      </c>
      <c r="B103" s="120" t="s">
        <v>133</v>
      </c>
      <c r="C103" s="43">
        <v>0</v>
      </c>
      <c r="D103" s="44">
        <f ca="1">((100/H96)*C103)/100</f>
        <v>0</v>
      </c>
      <c r="E103" s="122"/>
      <c r="F103" s="122"/>
      <c r="G103" s="122"/>
      <c r="H103" s="124"/>
      <c r="I103" s="21" t="s">
        <v>149</v>
      </c>
      <c r="J103" s="47">
        <f>(IF(B96&gt;1,(H96/(B96+2)+J102),0))</f>
        <v>0</v>
      </c>
    </row>
    <row r="104" spans="1:10" s="34" customFormat="1" ht="15" customHeight="1" x14ac:dyDescent="0.35">
      <c r="A104" s="119" t="s">
        <v>138</v>
      </c>
      <c r="B104" s="120" t="s">
        <v>135</v>
      </c>
      <c r="C104" s="43">
        <v>0</v>
      </c>
      <c r="D104" s="44">
        <f ca="1">((100/(H96))*C104)/100</f>
        <v>0</v>
      </c>
      <c r="E104" s="122"/>
      <c r="F104" s="122"/>
      <c r="G104" s="122"/>
      <c r="H104" s="124"/>
      <c r="I104" s="21" t="s">
        <v>146</v>
      </c>
      <c r="J104" s="47">
        <f>(IF(B96&gt;2,(H96/(B96+2)+J103),0))</f>
        <v>0</v>
      </c>
    </row>
    <row r="105" spans="1:10" s="34" customFormat="1" ht="15.75" customHeight="1" x14ac:dyDescent="0.35">
      <c r="A105" s="119" t="s">
        <v>134</v>
      </c>
      <c r="B105" s="120" t="s">
        <v>134</v>
      </c>
      <c r="C105" s="43">
        <v>0</v>
      </c>
      <c r="D105" s="44">
        <f ca="1">((100/H96)*C105)/100</f>
        <v>0</v>
      </c>
      <c r="E105" s="122"/>
      <c r="F105" s="122"/>
      <c r="G105" s="122"/>
      <c r="H105" s="124"/>
      <c r="I105" s="21" t="s">
        <v>147</v>
      </c>
      <c r="J105" s="48">
        <f>(IF(B96&gt;3,(H96/(B96+2)+J104),0))</f>
        <v>0</v>
      </c>
    </row>
    <row r="106" spans="1:10" s="34" customFormat="1" ht="15.75" customHeight="1" x14ac:dyDescent="0.35">
      <c r="A106" s="119" t="s">
        <v>141</v>
      </c>
      <c r="B106" s="120"/>
      <c r="C106" s="43">
        <v>0</v>
      </c>
      <c r="D106" s="44">
        <f ca="1">((100/H96)*C106)/100</f>
        <v>0</v>
      </c>
      <c r="E106" s="122"/>
      <c r="F106" s="122"/>
      <c r="G106" s="122"/>
      <c r="H106" s="124"/>
      <c r="I106" s="21" t="s">
        <v>148</v>
      </c>
      <c r="J106" s="47">
        <f>(IF(B96&gt;4,(H96/(B96+2)+J105),0))</f>
        <v>0</v>
      </c>
    </row>
    <row r="107" spans="1:10" s="34" customFormat="1" ht="15.75" customHeight="1" x14ac:dyDescent="0.35">
      <c r="A107" s="119" t="s">
        <v>136</v>
      </c>
      <c r="B107" s="120" t="s">
        <v>136</v>
      </c>
      <c r="C107" s="43">
        <v>0</v>
      </c>
      <c r="D107" s="44">
        <f ca="1">((100/(H96))*C107)/100</f>
        <v>0</v>
      </c>
      <c r="E107" s="122"/>
      <c r="F107" s="122"/>
      <c r="G107" s="122"/>
      <c r="H107" s="124"/>
      <c r="I107" s="21" t="s">
        <v>150</v>
      </c>
      <c r="J107" s="47">
        <f ca="1">(IF(B96=1,(H96/(B96+3)+J102),IF(B96=0,(H96/4+J102),IF(B96&gt;1,0))))</f>
        <v>0.75</v>
      </c>
    </row>
    <row r="108" spans="1:10" s="34" customFormat="1" ht="16" thickBot="1" x14ac:dyDescent="0.4">
      <c r="A108" s="126" t="s">
        <v>137</v>
      </c>
      <c r="B108" s="127"/>
      <c r="C108" s="49">
        <v>0</v>
      </c>
      <c r="D108" s="50">
        <f ca="1">((100/(H96))*C108)/100</f>
        <v>0</v>
      </c>
      <c r="E108" s="123"/>
      <c r="F108" s="123"/>
      <c r="G108" s="123"/>
      <c r="H108" s="125"/>
      <c r="I108" s="22" t="s">
        <v>104</v>
      </c>
      <c r="J108" s="51">
        <f ca="1">(IF(B96&gt;1.5,(H96/(B96+2)+J102+MAX(0,J103-J102)+MAX(0,J104-J103)+MAX(0,J105-J104)+MAX(0,J106-J105)+MAX(0,J107-J106)),IF(B96=1,(H96/(B96+3)+J107),IF(B96=0,H96/4+J107))))</f>
        <v>1</v>
      </c>
    </row>
    <row r="109" spans="1:10" s="34" customFormat="1" x14ac:dyDescent="0.35">
      <c r="A109" s="116" t="s">
        <v>54</v>
      </c>
      <c r="B109" s="116"/>
      <c r="C109" s="116"/>
      <c r="D109" s="116"/>
      <c r="E109" s="116"/>
      <c r="F109" s="116"/>
      <c r="G109" s="116"/>
      <c r="H109" s="116"/>
    </row>
    <row r="110" spans="1:10" x14ac:dyDescent="0.35">
      <c r="A110" s="151" t="s">
        <v>80</v>
      </c>
      <c r="B110" s="151"/>
      <c r="C110" s="151"/>
      <c r="D110" s="151"/>
      <c r="E110" s="151"/>
      <c r="F110" s="144">
        <v>6000</v>
      </c>
      <c r="G110" s="144"/>
      <c r="H110" s="144"/>
      <c r="I110" s="31" t="s">
        <v>240</v>
      </c>
    </row>
    <row r="111" spans="1:10" x14ac:dyDescent="0.35">
      <c r="A111" s="151" t="s">
        <v>238</v>
      </c>
      <c r="B111" s="151"/>
      <c r="C111" s="151"/>
      <c r="D111" s="151"/>
      <c r="E111" s="151"/>
      <c r="F111" s="144">
        <v>10000</v>
      </c>
      <c r="G111" s="144"/>
      <c r="H111" s="144"/>
      <c r="I111" s="31" t="s">
        <v>237</v>
      </c>
    </row>
    <row r="112" spans="1:10" s="52" customFormat="1" x14ac:dyDescent="0.3">
      <c r="A112" s="151" t="s">
        <v>176</v>
      </c>
      <c r="B112" s="151"/>
      <c r="C112" s="151"/>
      <c r="D112" s="151"/>
      <c r="E112" s="151"/>
      <c r="F112" s="144" t="s">
        <v>177</v>
      </c>
      <c r="G112" s="144"/>
      <c r="H112" s="144"/>
    </row>
    <row r="113" spans="1:20" x14ac:dyDescent="0.35">
      <c r="A113" s="151" t="s">
        <v>55</v>
      </c>
      <c r="B113" s="151"/>
      <c r="C113" s="151"/>
      <c r="D113" s="151"/>
      <c r="E113" s="151"/>
      <c r="F113" s="161" t="s">
        <v>178</v>
      </c>
      <c r="G113" s="161"/>
      <c r="H113" s="161"/>
    </row>
    <row r="114" spans="1:20" s="53" customFormat="1" x14ac:dyDescent="0.35">
      <c r="A114" s="160" t="s">
        <v>56</v>
      </c>
      <c r="B114" s="160"/>
      <c r="C114" s="160"/>
      <c r="D114" s="160"/>
      <c r="E114" s="160"/>
      <c r="F114" s="144">
        <f>F110*0.8</f>
        <v>4800</v>
      </c>
      <c r="G114" s="144"/>
      <c r="H114" s="144"/>
    </row>
    <row r="115" spans="1:20" s="54" customFormat="1" x14ac:dyDescent="0.35">
      <c r="A115" s="147" t="s">
        <v>228</v>
      </c>
      <c r="B115" s="147"/>
      <c r="C115" s="147"/>
      <c r="D115" s="147"/>
      <c r="E115" s="147"/>
      <c r="F115" s="147"/>
      <c r="G115" s="147"/>
      <c r="H115" s="147"/>
    </row>
    <row r="116" spans="1:20" s="54" customFormat="1" ht="15.75" customHeight="1" x14ac:dyDescent="0.35">
      <c r="A116" s="152" t="s">
        <v>57</v>
      </c>
      <c r="B116" s="152"/>
      <c r="C116" s="149" t="s">
        <v>83</v>
      </c>
      <c r="D116" s="149"/>
      <c r="E116" s="153" t="s">
        <v>58</v>
      </c>
      <c r="F116" s="153"/>
      <c r="G116" s="152" t="s">
        <v>59</v>
      </c>
      <c r="H116" s="152"/>
    </row>
    <row r="117" spans="1:20" s="54" customFormat="1" x14ac:dyDescent="0.35">
      <c r="A117" s="146" t="s">
        <v>229</v>
      </c>
      <c r="B117" s="146"/>
      <c r="C117" s="145">
        <f>COUNT(D131:D137)</f>
        <v>7</v>
      </c>
      <c r="D117" s="154"/>
      <c r="E117" s="145">
        <f t="shared" ref="E117" si="0">SUM(F131:F137)</f>
        <v>1537.4221199999997</v>
      </c>
      <c r="F117" s="154"/>
      <c r="G117" s="145">
        <f t="shared" ref="G117" si="1">SUM(H131:H137)</f>
        <v>2306.1331799999998</v>
      </c>
      <c r="H117" s="154"/>
    </row>
    <row r="118" spans="1:20" s="54" customFormat="1" x14ac:dyDescent="0.35">
      <c r="A118" s="147" t="s">
        <v>74</v>
      </c>
      <c r="B118" s="147"/>
      <c r="C118" s="147"/>
      <c r="D118" s="147"/>
      <c r="E118" s="147"/>
      <c r="F118" s="147"/>
      <c r="G118" s="147"/>
      <c r="H118" s="147"/>
    </row>
    <row r="119" spans="1:20" s="54" customFormat="1" ht="15.75" customHeight="1" x14ac:dyDescent="0.35">
      <c r="A119" s="152" t="s">
        <v>57</v>
      </c>
      <c r="B119" s="152"/>
      <c r="C119" s="149" t="s">
        <v>83</v>
      </c>
      <c r="D119" s="149"/>
      <c r="E119" s="153" t="s">
        <v>58</v>
      </c>
      <c r="F119" s="153"/>
      <c r="G119" s="152" t="s">
        <v>59</v>
      </c>
      <c r="H119" s="152"/>
    </row>
    <row r="120" spans="1:20" s="54" customFormat="1" x14ac:dyDescent="0.35">
      <c r="A120" s="146" t="s">
        <v>169</v>
      </c>
      <c r="B120" s="146"/>
      <c r="C120" s="145">
        <f>COUNT(F144:F149)*6+COUNT(F151:F156)+COUNT(F158:F159,F160:F162)*5</f>
        <v>67</v>
      </c>
      <c r="D120" s="145"/>
      <c r="E120" s="145">
        <f>SUM(F144:F149)*6+SUM(F151:F156)+SUM(F158:F159,F160:F162)*5</f>
        <v>24428.871090000001</v>
      </c>
      <c r="F120" s="145"/>
      <c r="G120" s="145">
        <f>SUM(H144:H149)*6+SUM(H151:H156)+SUM(H158:H159,H160:H162)*5</f>
        <v>35421.863080499999</v>
      </c>
      <c r="H120" s="145"/>
    </row>
    <row r="121" spans="1:20" s="54" customFormat="1" x14ac:dyDescent="0.35">
      <c r="A121" s="146" t="s">
        <v>173</v>
      </c>
      <c r="B121" s="146"/>
      <c r="C121" s="145">
        <f>COUNT(D165:D169)*6+COUNT(D171,D173:D175)+COUNT(D177:D181)*5</f>
        <v>59</v>
      </c>
      <c r="D121" s="145"/>
      <c r="E121" s="145">
        <f t="shared" ref="E121:G121" si="2">SUM(F165:F169)*6+SUM(F171,F173:F175)+SUM(F177:F181)*5</f>
        <v>21908.722679999999</v>
      </c>
      <c r="F121" s="145"/>
      <c r="G121" s="145">
        <f t="shared" si="2"/>
        <v>31767.647886000002</v>
      </c>
      <c r="H121" s="145"/>
    </row>
    <row r="122" spans="1:20" s="54" customFormat="1" x14ac:dyDescent="0.35">
      <c r="A122" s="146" t="s">
        <v>223</v>
      </c>
      <c r="B122" s="146"/>
      <c r="C122" s="145">
        <f>COUNT(D187)+COUNT(D190)</f>
        <v>2</v>
      </c>
      <c r="D122" s="145"/>
      <c r="E122" s="145">
        <f t="shared" ref="E122" si="3">SUM(F187)+SUM(F190)</f>
        <v>1991.7813240000003</v>
      </c>
      <c r="F122" s="145"/>
      <c r="G122" s="145">
        <f t="shared" ref="G122" si="4">SUM(H187)+SUM(H190)</f>
        <v>3005.1952398000003</v>
      </c>
      <c r="H122" s="145"/>
    </row>
    <row r="123" spans="1:20" s="54" customFormat="1" x14ac:dyDescent="0.35">
      <c r="A123" s="147" t="s">
        <v>152</v>
      </c>
      <c r="B123" s="147"/>
      <c r="C123" s="148">
        <f>SUM(C120:D122)</f>
        <v>128</v>
      </c>
      <c r="D123" s="149"/>
      <c r="E123" s="196">
        <f>SUM(E120:F122)</f>
        <v>48329.375094000003</v>
      </c>
      <c r="F123" s="153"/>
      <c r="G123" s="152">
        <f>SUM(G120:H122)</f>
        <v>70194.706206300005</v>
      </c>
      <c r="H123" s="152"/>
      <c r="I123" s="54">
        <f>51+2+2+38</f>
        <v>93</v>
      </c>
    </row>
    <row r="124" spans="1:20" s="53" customFormat="1" x14ac:dyDescent="0.35">
      <c r="A124" s="169" t="s">
        <v>60</v>
      </c>
      <c r="B124" s="169"/>
      <c r="C124" s="169"/>
      <c r="D124" s="169"/>
      <c r="E124" s="169"/>
      <c r="F124" s="169"/>
      <c r="G124" s="169"/>
      <c r="H124" s="169"/>
    </row>
    <row r="125" spans="1:20" s="70" customFormat="1" x14ac:dyDescent="0.35">
      <c r="A125" s="150" t="s">
        <v>201</v>
      </c>
      <c r="B125" s="150"/>
      <c r="C125" s="150"/>
      <c r="D125" s="150"/>
      <c r="E125" s="150"/>
      <c r="F125" s="150"/>
      <c r="G125" s="150"/>
      <c r="H125" s="150"/>
      <c r="T125" s="71"/>
    </row>
    <row r="126" spans="1:20" s="70" customFormat="1" ht="37.5" customHeight="1" x14ac:dyDescent="0.35">
      <c r="A126" s="205" t="s">
        <v>207</v>
      </c>
      <c r="B126" s="205" t="s">
        <v>202</v>
      </c>
      <c r="C126" s="205" t="s">
        <v>61</v>
      </c>
      <c r="D126" s="205" t="s">
        <v>230</v>
      </c>
      <c r="E126" s="205" t="s">
        <v>204</v>
      </c>
      <c r="F126" s="205" t="s">
        <v>62</v>
      </c>
      <c r="G126" s="205" t="s">
        <v>63</v>
      </c>
      <c r="H126" s="206" t="s">
        <v>205</v>
      </c>
      <c r="T126" s="71"/>
    </row>
    <row r="127" spans="1:20" s="72" customFormat="1" x14ac:dyDescent="0.35">
      <c r="A127" s="205"/>
      <c r="B127" s="205"/>
      <c r="C127" s="205"/>
      <c r="D127" s="205"/>
      <c r="E127" s="205"/>
      <c r="F127" s="205"/>
      <c r="G127" s="205"/>
      <c r="H127" s="207">
        <v>0.5</v>
      </c>
      <c r="T127" s="71"/>
    </row>
    <row r="128" spans="1:20" s="72" customFormat="1" x14ac:dyDescent="0.35">
      <c r="A128" s="94" t="s">
        <v>210</v>
      </c>
      <c r="B128" s="95"/>
      <c r="C128" s="95"/>
      <c r="D128" s="95"/>
      <c r="E128" s="95"/>
      <c r="F128" s="95"/>
      <c r="G128" s="95"/>
      <c r="H128" s="96"/>
      <c r="J128" s="73"/>
      <c r="S128" s="80">
        <v>10.763999999999999</v>
      </c>
    </row>
    <row r="129" spans="1:20" s="72" customFormat="1" x14ac:dyDescent="0.35">
      <c r="A129" s="94" t="s">
        <v>211</v>
      </c>
      <c r="B129" s="95"/>
      <c r="C129" s="95"/>
      <c r="D129" s="95"/>
      <c r="E129" s="95"/>
      <c r="F129" s="95"/>
      <c r="G129" s="95"/>
      <c r="H129" s="96"/>
      <c r="J129" s="73"/>
    </row>
    <row r="130" spans="1:20" s="72" customFormat="1" x14ac:dyDescent="0.35">
      <c r="A130" s="94" t="s">
        <v>212</v>
      </c>
      <c r="B130" s="95"/>
      <c r="C130" s="95"/>
      <c r="D130" s="95"/>
      <c r="E130" s="95"/>
      <c r="F130" s="95"/>
      <c r="G130" s="95"/>
      <c r="H130" s="96"/>
      <c r="J130" s="73"/>
      <c r="T130" s="71"/>
    </row>
    <row r="131" spans="1:20" s="72" customFormat="1" ht="15.75" customHeight="1" x14ac:dyDescent="0.35">
      <c r="A131" s="91">
        <v>1</v>
      </c>
      <c r="B131" s="92"/>
      <c r="C131" s="78" t="s">
        <v>209</v>
      </c>
      <c r="D131" s="80">
        <f>(7.83)*10.764</f>
        <v>84.282119999999992</v>
      </c>
      <c r="E131" s="78">
        <v>0</v>
      </c>
      <c r="F131" s="78">
        <f>D131+(IF(E131&lt;201,E131,IF(E131&lt;301,E131/2,E131/3)))</f>
        <v>84.282119999999992</v>
      </c>
      <c r="G131" s="79">
        <v>0</v>
      </c>
      <c r="H131" s="78">
        <f>(F131+(IF(G131&lt;101,G131,IF(G131&lt;201,G131/2,IF(G131&lt;=301,G131/3,G131/4)))))*(($H$127)+1)</f>
        <v>126.42317999999999</v>
      </c>
      <c r="I131" s="73">
        <f>2.75*2.75</f>
        <v>7.5625</v>
      </c>
      <c r="L131" s="93"/>
      <c r="M131" s="93"/>
      <c r="N131" s="73"/>
      <c r="T131" s="71"/>
    </row>
    <row r="132" spans="1:20" s="72" customFormat="1" ht="15.75" customHeight="1" x14ac:dyDescent="0.35">
      <c r="A132" s="91">
        <f>A131+1</f>
        <v>2</v>
      </c>
      <c r="B132" s="92"/>
      <c r="C132" s="78" t="s">
        <v>209</v>
      </c>
      <c r="D132" s="80">
        <f>(11.76)*10.764</f>
        <v>126.58463999999999</v>
      </c>
      <c r="E132" s="78">
        <v>0</v>
      </c>
      <c r="F132" s="78">
        <f t="shared" ref="F132:F134" si="5">D132+(IF(E132&lt;201,E132,IF(E132&lt;301,E132/2,E132/3)))</f>
        <v>126.58463999999999</v>
      </c>
      <c r="G132" s="78">
        <v>0</v>
      </c>
      <c r="H132" s="78">
        <f t="shared" ref="H132:H134" si="6">(F132+(IF(G132&lt;101,G132,IF(G132&lt;201,G132/2,IF(G132&lt;=301,G132/3,G132/4)))))*(($H$127)+1)</f>
        <v>189.87696</v>
      </c>
      <c r="I132" s="73"/>
      <c r="L132" s="93"/>
      <c r="M132" s="93"/>
      <c r="N132" s="73"/>
      <c r="T132" s="75"/>
    </row>
    <row r="133" spans="1:20" s="72" customFormat="1" ht="15.75" customHeight="1" x14ac:dyDescent="0.35">
      <c r="A133" s="91">
        <f>A132+1</f>
        <v>3</v>
      </c>
      <c r="B133" s="92"/>
      <c r="C133" s="78" t="s">
        <v>209</v>
      </c>
      <c r="D133" s="80">
        <f>(23.49)*10.764</f>
        <v>252.84635999999998</v>
      </c>
      <c r="E133" s="78">
        <v>0</v>
      </c>
      <c r="F133" s="78">
        <f t="shared" si="5"/>
        <v>252.84635999999998</v>
      </c>
      <c r="G133" s="78">
        <v>0</v>
      </c>
      <c r="H133" s="78">
        <f t="shared" si="6"/>
        <v>379.26953999999995</v>
      </c>
      <c r="I133" s="73">
        <f>2.75*5.2+2.59*3.4</f>
        <v>23.106000000000002</v>
      </c>
      <c r="L133" s="93"/>
      <c r="M133" s="93"/>
      <c r="N133" s="73"/>
      <c r="T133" s="70"/>
    </row>
    <row r="134" spans="1:20" s="72" customFormat="1" ht="15.75" customHeight="1" x14ac:dyDescent="0.35">
      <c r="A134" s="91">
        <f>A133+1</f>
        <v>4</v>
      </c>
      <c r="B134" s="92"/>
      <c r="C134" s="78" t="s">
        <v>209</v>
      </c>
      <c r="D134" s="80">
        <f>(35.63)*10.764</f>
        <v>383.52132</v>
      </c>
      <c r="E134" s="78">
        <v>0</v>
      </c>
      <c r="F134" s="78">
        <f t="shared" si="5"/>
        <v>383.52132</v>
      </c>
      <c r="G134" s="78">
        <v>0</v>
      </c>
      <c r="H134" s="78">
        <f t="shared" si="6"/>
        <v>575.28197999999998</v>
      </c>
      <c r="I134" s="73"/>
      <c r="L134" s="93"/>
      <c r="M134" s="93"/>
      <c r="N134" s="73"/>
      <c r="T134" s="70"/>
    </row>
    <row r="135" spans="1:20" s="72" customFormat="1" ht="15.75" customHeight="1" x14ac:dyDescent="0.35">
      <c r="A135" s="91">
        <f t="shared" ref="A135:A137" si="7">A134+1</f>
        <v>5</v>
      </c>
      <c r="B135" s="92"/>
      <c r="C135" s="78" t="s">
        <v>209</v>
      </c>
      <c r="D135" s="80">
        <f>(17.41)*10.764</f>
        <v>187.40124</v>
      </c>
      <c r="E135" s="78">
        <v>0</v>
      </c>
      <c r="F135" s="78">
        <f t="shared" ref="F135:F137" si="8">D135+(IF(E135&lt;201,E135,IF(E135&lt;301,E135/2,E135/3)))</f>
        <v>187.40124</v>
      </c>
      <c r="G135" s="78">
        <v>0</v>
      </c>
      <c r="H135" s="78">
        <f t="shared" ref="H135:H137" si="9">(F135+(IF(G135&lt;101,G135,IF(G135&lt;201,G135/2,IF(G135&lt;=301,G135/3,G135/4)))))*(($H$127)+1)</f>
        <v>281.10185999999999</v>
      </c>
      <c r="I135" s="73"/>
      <c r="L135" s="93"/>
      <c r="M135" s="93"/>
      <c r="N135" s="73"/>
      <c r="T135" s="70"/>
    </row>
    <row r="136" spans="1:20" s="72" customFormat="1" ht="15.75" customHeight="1" x14ac:dyDescent="0.35">
      <c r="A136" s="91">
        <f t="shared" si="7"/>
        <v>6</v>
      </c>
      <c r="B136" s="92"/>
      <c r="C136" s="78" t="s">
        <v>209</v>
      </c>
      <c r="D136" s="80">
        <f>(26.8)*10.764</f>
        <v>288.47519999999997</v>
      </c>
      <c r="E136" s="78">
        <v>0</v>
      </c>
      <c r="F136" s="78">
        <f t="shared" si="8"/>
        <v>288.47519999999997</v>
      </c>
      <c r="G136" s="78">
        <v>0</v>
      </c>
      <c r="H136" s="78">
        <f t="shared" si="9"/>
        <v>432.71279999999996</v>
      </c>
      <c r="I136" s="73"/>
      <c r="L136" s="93"/>
      <c r="M136" s="93"/>
      <c r="N136" s="73"/>
      <c r="T136" s="70"/>
    </row>
    <row r="137" spans="1:20" s="72" customFormat="1" ht="15.75" customHeight="1" x14ac:dyDescent="0.35">
      <c r="A137" s="91">
        <f t="shared" si="7"/>
        <v>7</v>
      </c>
      <c r="B137" s="92"/>
      <c r="C137" s="78" t="s">
        <v>209</v>
      </c>
      <c r="D137" s="80">
        <f>(19.91)*10.764</f>
        <v>214.31124</v>
      </c>
      <c r="E137" s="78">
        <v>0</v>
      </c>
      <c r="F137" s="78">
        <f t="shared" si="8"/>
        <v>214.31124</v>
      </c>
      <c r="G137" s="78">
        <v>0</v>
      </c>
      <c r="H137" s="78">
        <f t="shared" si="9"/>
        <v>321.46686</v>
      </c>
      <c r="I137" s="73"/>
      <c r="L137" s="93"/>
      <c r="M137" s="93"/>
      <c r="N137" s="73"/>
      <c r="T137" s="70"/>
    </row>
    <row r="138" spans="1:20" s="72" customFormat="1" x14ac:dyDescent="0.35">
      <c r="A138" s="91"/>
      <c r="B138" s="102"/>
      <c r="C138" s="102"/>
      <c r="D138" s="102"/>
      <c r="E138" s="102"/>
      <c r="F138" s="102"/>
      <c r="G138" s="102"/>
      <c r="H138" s="92"/>
      <c r="I138" s="73"/>
      <c r="N138" s="73"/>
    </row>
    <row r="139" spans="1:20" s="70" customFormat="1" ht="47.25" customHeight="1" x14ac:dyDescent="0.35">
      <c r="A139" s="103" t="s">
        <v>208</v>
      </c>
      <c r="B139" s="105" t="s">
        <v>206</v>
      </c>
      <c r="C139" s="105" t="s">
        <v>61</v>
      </c>
      <c r="D139" s="105" t="s">
        <v>230</v>
      </c>
      <c r="E139" s="105" t="s">
        <v>214</v>
      </c>
      <c r="F139" s="105" t="s">
        <v>62</v>
      </c>
      <c r="G139" s="105" t="s">
        <v>63</v>
      </c>
      <c r="H139" s="76" t="s">
        <v>205</v>
      </c>
      <c r="I139" s="73"/>
      <c r="T139" s="72"/>
    </row>
    <row r="140" spans="1:20" s="72" customFormat="1" x14ac:dyDescent="0.35">
      <c r="A140" s="104"/>
      <c r="B140" s="106"/>
      <c r="C140" s="106"/>
      <c r="D140" s="106"/>
      <c r="E140" s="106"/>
      <c r="F140" s="106"/>
      <c r="G140" s="106"/>
      <c r="H140" s="77">
        <v>0.45</v>
      </c>
      <c r="I140" s="73"/>
    </row>
    <row r="141" spans="1:20" s="72" customFormat="1" x14ac:dyDescent="0.35">
      <c r="A141" s="94" t="s">
        <v>210</v>
      </c>
      <c r="B141" s="95"/>
      <c r="C141" s="95"/>
      <c r="D141" s="95"/>
      <c r="E141" s="95"/>
      <c r="F141" s="95"/>
      <c r="G141" s="95"/>
      <c r="H141" s="96"/>
      <c r="J141" s="73"/>
    </row>
    <row r="142" spans="1:20" s="72" customFormat="1" x14ac:dyDescent="0.35">
      <c r="A142" s="94" t="s">
        <v>211</v>
      </c>
      <c r="B142" s="95"/>
      <c r="C142" s="95"/>
      <c r="D142" s="95"/>
      <c r="E142" s="95"/>
      <c r="F142" s="95"/>
      <c r="G142" s="95"/>
      <c r="H142" s="96"/>
      <c r="J142" s="73"/>
      <c r="K142" s="83"/>
      <c r="L142" s="83"/>
      <c r="M142" s="83"/>
    </row>
    <row r="143" spans="1:20" s="72" customFormat="1" x14ac:dyDescent="0.35">
      <c r="A143" s="94" t="s">
        <v>213</v>
      </c>
      <c r="B143" s="95"/>
      <c r="C143" s="95"/>
      <c r="D143" s="95"/>
      <c r="E143" s="95"/>
      <c r="F143" s="95"/>
      <c r="G143" s="95"/>
      <c r="H143" s="96"/>
      <c r="J143"/>
      <c r="K143" s="83"/>
      <c r="L143" s="83"/>
      <c r="M143" s="83"/>
    </row>
    <row r="144" spans="1:20" s="72" customFormat="1" ht="15.75" customHeight="1" x14ac:dyDescent="0.35">
      <c r="A144" s="91">
        <v>1</v>
      </c>
      <c r="B144" s="92"/>
      <c r="C144" s="78" t="s">
        <v>170</v>
      </c>
      <c r="D144" s="80">
        <f t="shared" ref="D144:D149" si="10">(26.23)*10.764</f>
        <v>282.33972</v>
      </c>
      <c r="E144" s="80">
        <f>(2.75*1.15+0.75*(2.75+2+2.75))*10.764</f>
        <v>94.588649999999987</v>
      </c>
      <c r="F144" s="78">
        <f>D144+E144</f>
        <v>376.92836999999997</v>
      </c>
      <c r="G144" s="78">
        <v>0</v>
      </c>
      <c r="H144" s="78">
        <f>F144*(($H$140)+1)+(IF(G144&lt;101,G144,IF(G144&lt;201,G144/2,IF(G144&lt;=301,G144/3,G144/4))))</f>
        <v>546.54613649999999</v>
      </c>
      <c r="I144" s="82">
        <f>2.75*3.5+2*2.75+2.75*2.75+1.2*0.9+1.1*1.65</f>
        <v>25.5825</v>
      </c>
      <c r="J144" s="82">
        <f>2.75*1.15</f>
        <v>3.1624999999999996</v>
      </c>
      <c r="K144" s="84">
        <f>2.75*3.5+2*2.75+2.75*2.75+1.1*1.65+1.2*0.9</f>
        <v>25.582500000000003</v>
      </c>
      <c r="L144" s="98">
        <f>1.15*2.75</f>
        <v>3.1624999999999996</v>
      </c>
      <c r="M144" s="98"/>
      <c r="N144" s="73"/>
    </row>
    <row r="145" spans="1:20" s="72" customFormat="1" ht="15.75" customHeight="1" x14ac:dyDescent="0.35">
      <c r="A145" s="91">
        <f>A144+1</f>
        <v>2</v>
      </c>
      <c r="B145" s="92"/>
      <c r="C145" s="78" t="s">
        <v>170</v>
      </c>
      <c r="D145" s="80">
        <f t="shared" si="10"/>
        <v>282.33972</v>
      </c>
      <c r="E145" s="80">
        <f>(2.75*1.05+0.75*(2.75+2+2.75))*10.764</f>
        <v>91.62854999999999</v>
      </c>
      <c r="F145" s="78">
        <f>D145+E145</f>
        <v>373.96826999999996</v>
      </c>
      <c r="G145" s="78">
        <v>0</v>
      </c>
      <c r="H145" s="78">
        <f t="shared" ref="H145:H147" si="11">F145*(($H$140)+1)+(IF(G145&lt;101,G145,IF(G145&lt;201,G145/2,IF(G145&lt;=301,G145/3,G145/4))))</f>
        <v>542.25399149999998</v>
      </c>
      <c r="I145" s="73"/>
      <c r="K145" s="83"/>
      <c r="L145" s="98"/>
      <c r="M145" s="98"/>
      <c r="N145" s="73"/>
    </row>
    <row r="146" spans="1:20" s="72" customFormat="1" ht="15.75" customHeight="1" x14ac:dyDescent="0.35">
      <c r="A146" s="91">
        <f>A145+1</f>
        <v>3</v>
      </c>
      <c r="B146" s="92"/>
      <c r="C146" s="78" t="s">
        <v>170</v>
      </c>
      <c r="D146" s="80">
        <f t="shared" si="10"/>
        <v>282.33972</v>
      </c>
      <c r="E146" s="80">
        <f>(0.9*2.75+0.75*(2.75+2+2.75))*10.764</f>
        <v>87.188399999999987</v>
      </c>
      <c r="F146" s="78">
        <f>D146+E146</f>
        <v>369.52812</v>
      </c>
      <c r="G146" s="78">
        <v>0</v>
      </c>
      <c r="H146" s="78">
        <f t="shared" si="11"/>
        <v>535.81577400000003</v>
      </c>
      <c r="I146" s="73"/>
      <c r="K146" s="83"/>
      <c r="L146" s="98"/>
      <c r="M146" s="98"/>
      <c r="N146" s="73"/>
    </row>
    <row r="147" spans="1:20" s="72" customFormat="1" ht="15.75" customHeight="1" x14ac:dyDescent="0.35">
      <c r="A147" s="91">
        <f>A146+1</f>
        <v>4</v>
      </c>
      <c r="B147" s="92"/>
      <c r="C147" s="78" t="s">
        <v>170</v>
      </c>
      <c r="D147" s="80">
        <f t="shared" si="10"/>
        <v>282.33972</v>
      </c>
      <c r="E147" s="80">
        <f>(0.9*2.75+0.75*(2.75+2+2.75))*10.764</f>
        <v>87.188399999999987</v>
      </c>
      <c r="F147" s="78">
        <f>D147+E147</f>
        <v>369.52812</v>
      </c>
      <c r="G147" s="78">
        <v>0</v>
      </c>
      <c r="H147" s="78">
        <f t="shared" si="11"/>
        <v>535.81577400000003</v>
      </c>
      <c r="I147" s="73"/>
      <c r="L147" s="93"/>
      <c r="M147" s="93"/>
      <c r="N147" s="73"/>
      <c r="T147" s="70"/>
    </row>
    <row r="148" spans="1:20" s="72" customFormat="1" ht="15.75" customHeight="1" x14ac:dyDescent="0.35">
      <c r="A148" s="91">
        <f t="shared" ref="A148:A149" si="12">A147+1</f>
        <v>5</v>
      </c>
      <c r="B148" s="92"/>
      <c r="C148" s="78" t="s">
        <v>170</v>
      </c>
      <c r="D148" s="80">
        <f t="shared" si="10"/>
        <v>282.33972</v>
      </c>
      <c r="E148" s="80">
        <f>(0.9*2.75+0.75*(2.75+2+2.75))*10.764</f>
        <v>87.188399999999987</v>
      </c>
      <c r="F148" s="78">
        <f t="shared" ref="F148:F149" si="13">D148+E148</f>
        <v>369.52812</v>
      </c>
      <c r="G148" s="78">
        <v>0</v>
      </c>
      <c r="H148" s="78">
        <f t="shared" ref="H148:H149" si="14">F148*(($H$140)+1)+(IF(G148&lt;101,G148,IF(G148&lt;201,G148/2,IF(G148&lt;=301,G148/3,G148/4))))</f>
        <v>535.81577400000003</v>
      </c>
      <c r="I148" s="73"/>
      <c r="K148"/>
      <c r="L148" s="93"/>
      <c r="M148" s="93"/>
      <c r="N148" s="73"/>
      <c r="T148" s="70"/>
    </row>
    <row r="149" spans="1:20" s="72" customFormat="1" ht="15.75" customHeight="1" x14ac:dyDescent="0.35">
      <c r="A149" s="91">
        <f t="shared" si="12"/>
        <v>6</v>
      </c>
      <c r="B149" s="92"/>
      <c r="C149" s="78" t="s">
        <v>170</v>
      </c>
      <c r="D149" s="80">
        <f t="shared" si="10"/>
        <v>282.33972</v>
      </c>
      <c r="E149" s="80">
        <f>(2.75*1.05+0.75*(2.75+2+2.75))*10.764</f>
        <v>91.62854999999999</v>
      </c>
      <c r="F149" s="78">
        <f t="shared" si="13"/>
        <v>373.96826999999996</v>
      </c>
      <c r="G149" s="78">
        <v>0</v>
      </c>
      <c r="H149" s="78">
        <f t="shared" si="14"/>
        <v>542.25399149999998</v>
      </c>
      <c r="I149" s="73"/>
      <c r="L149" s="93"/>
      <c r="M149" s="93"/>
      <c r="N149" s="73"/>
      <c r="T149" s="70"/>
    </row>
    <row r="150" spans="1:20" s="74" customFormat="1" x14ac:dyDescent="0.35">
      <c r="A150" s="99" t="s">
        <v>233</v>
      </c>
      <c r="B150" s="100"/>
      <c r="C150" s="100"/>
      <c r="D150" s="100"/>
      <c r="E150" s="100"/>
      <c r="F150" s="100"/>
      <c r="G150" s="100"/>
      <c r="H150" s="101"/>
      <c r="J150"/>
    </row>
    <row r="151" spans="1:20" s="74" customFormat="1" ht="15.75" customHeight="1" x14ac:dyDescent="0.35">
      <c r="A151" s="91">
        <v>1</v>
      </c>
      <c r="B151" s="92"/>
      <c r="C151" s="80" t="s">
        <v>170</v>
      </c>
      <c r="D151" s="80">
        <f t="shared" ref="D151:D156" si="15">(26.23)*10.764</f>
        <v>282.33972</v>
      </c>
      <c r="E151" s="80">
        <f>(2.75*1.15+0.75*(2.75+2+2.75))*10.764</f>
        <v>94.588649999999987</v>
      </c>
      <c r="F151" s="80">
        <f>D151+E151</f>
        <v>376.92836999999997</v>
      </c>
      <c r="G151" s="80">
        <v>0</v>
      </c>
      <c r="H151" s="80">
        <f>F151*(($H$140)+1)+(IF(G151&lt;101,G151,IF(G151&lt;201,G151/2,IF(G151&lt;=301,G151/3,G151/4))))</f>
        <v>546.54613649999999</v>
      </c>
      <c r="I151" s="73"/>
      <c r="L151" s="93"/>
      <c r="M151" s="93"/>
      <c r="N151" s="73"/>
    </row>
    <row r="152" spans="1:20" s="74" customFormat="1" ht="15.75" customHeight="1" x14ac:dyDescent="0.35">
      <c r="A152" s="91">
        <f>A151+1</f>
        <v>2</v>
      </c>
      <c r="B152" s="92"/>
      <c r="C152" s="80" t="s">
        <v>170</v>
      </c>
      <c r="D152" s="80">
        <f t="shared" si="15"/>
        <v>282.33972</v>
      </c>
      <c r="E152" s="80">
        <f>(2.75*1.05+0.75*(2.75+2+2.75))*10.764</f>
        <v>91.62854999999999</v>
      </c>
      <c r="F152" s="80">
        <f>D152+E152</f>
        <v>373.96826999999996</v>
      </c>
      <c r="G152" s="80">
        <v>0</v>
      </c>
      <c r="H152" s="80">
        <f t="shared" ref="H152:H156" si="16">F152*(($H$140)+1)+(IF(G152&lt;101,G152,IF(G152&lt;201,G152/2,IF(G152&lt;=301,G152/3,G152/4))))</f>
        <v>542.25399149999998</v>
      </c>
      <c r="I152" s="73"/>
      <c r="L152" s="93"/>
      <c r="M152" s="93"/>
      <c r="N152" s="73"/>
    </row>
    <row r="153" spans="1:20" s="74" customFormat="1" ht="15.75" customHeight="1" x14ac:dyDescent="0.35">
      <c r="A153" s="91">
        <f>A152+1</f>
        <v>3</v>
      </c>
      <c r="B153" s="92"/>
      <c r="C153" s="80" t="s">
        <v>170</v>
      </c>
      <c r="D153" s="80">
        <f t="shared" si="15"/>
        <v>282.33972</v>
      </c>
      <c r="E153" s="80">
        <f>(0.9*2.75+0.75*(2.75+2+2.75))*10.764</f>
        <v>87.188399999999987</v>
      </c>
      <c r="F153" s="80">
        <f>D153+E153</f>
        <v>369.52812</v>
      </c>
      <c r="G153" s="80">
        <v>0</v>
      </c>
      <c r="H153" s="80">
        <f t="shared" si="16"/>
        <v>535.81577400000003</v>
      </c>
      <c r="I153" s="73"/>
      <c r="L153" s="93"/>
      <c r="M153" s="93"/>
      <c r="N153" s="73"/>
    </row>
    <row r="154" spans="1:20" s="74" customFormat="1" ht="15.75" customHeight="1" x14ac:dyDescent="0.35">
      <c r="A154" s="91">
        <f>A153+1</f>
        <v>4</v>
      </c>
      <c r="B154" s="92"/>
      <c r="C154" s="80" t="s">
        <v>170</v>
      </c>
      <c r="D154" s="80">
        <f t="shared" si="15"/>
        <v>282.33972</v>
      </c>
      <c r="E154" s="80">
        <f>(0.9*2.75+0.75*(2.75+2+2.75))*10.764</f>
        <v>87.188399999999987</v>
      </c>
      <c r="F154" s="80">
        <f>D154+E154</f>
        <v>369.52812</v>
      </c>
      <c r="G154" s="80">
        <v>0</v>
      </c>
      <c r="H154" s="80">
        <f t="shared" si="16"/>
        <v>535.81577400000003</v>
      </c>
      <c r="I154" s="73"/>
      <c r="L154" s="93"/>
      <c r="M154" s="93"/>
      <c r="N154" s="73"/>
      <c r="T154" s="70"/>
    </row>
    <row r="155" spans="1:20" s="74" customFormat="1" ht="15.75" customHeight="1" x14ac:dyDescent="0.35">
      <c r="A155" s="91">
        <f t="shared" ref="A155:A156" si="17">A154+1</f>
        <v>5</v>
      </c>
      <c r="B155" s="92"/>
      <c r="C155" s="80" t="s">
        <v>170</v>
      </c>
      <c r="D155" s="80">
        <f t="shared" si="15"/>
        <v>282.33972</v>
      </c>
      <c r="E155" s="80">
        <f>(0.9*2.75+0.75*(2.75+2+2.75))*10.764</f>
        <v>87.188399999999987</v>
      </c>
      <c r="F155" s="80">
        <f t="shared" ref="F155:F156" si="18">D155+E155</f>
        <v>369.52812</v>
      </c>
      <c r="G155" s="80">
        <v>0</v>
      </c>
      <c r="H155" s="80">
        <f t="shared" si="16"/>
        <v>535.81577400000003</v>
      </c>
      <c r="I155" s="73"/>
      <c r="K155"/>
      <c r="L155" s="93"/>
      <c r="M155" s="93"/>
      <c r="N155" s="73"/>
      <c r="T155" s="70"/>
    </row>
    <row r="156" spans="1:20" s="74" customFormat="1" ht="15.75" customHeight="1" x14ac:dyDescent="0.35">
      <c r="A156" s="91">
        <f t="shared" si="17"/>
        <v>6</v>
      </c>
      <c r="B156" s="92"/>
      <c r="C156" s="80" t="s">
        <v>170</v>
      </c>
      <c r="D156" s="80">
        <f t="shared" si="15"/>
        <v>282.33972</v>
      </c>
      <c r="E156" s="80">
        <f>(2.75*1.05+0.75*(2.75+2+2.75))*10.764</f>
        <v>91.62854999999999</v>
      </c>
      <c r="F156" s="80">
        <f t="shared" si="18"/>
        <v>373.96826999999996</v>
      </c>
      <c r="G156" s="80">
        <v>0</v>
      </c>
      <c r="H156" s="80">
        <f t="shared" si="16"/>
        <v>542.25399149999998</v>
      </c>
      <c r="I156" s="73"/>
      <c r="L156" s="93"/>
      <c r="M156" s="93"/>
      <c r="N156" s="73"/>
      <c r="T156" s="70"/>
    </row>
    <row r="157" spans="1:20" s="74" customFormat="1" x14ac:dyDescent="0.35">
      <c r="A157" s="188" t="s">
        <v>215</v>
      </c>
      <c r="B157" s="188"/>
      <c r="C157" s="188"/>
      <c r="D157" s="188"/>
      <c r="E157" s="188"/>
      <c r="F157" s="188"/>
      <c r="G157" s="188"/>
      <c r="H157" s="188"/>
      <c r="J157" s="73"/>
    </row>
    <row r="158" spans="1:20" s="74" customFormat="1" ht="15.75" customHeight="1" x14ac:dyDescent="0.35">
      <c r="A158" s="97">
        <v>1</v>
      </c>
      <c r="B158" s="97"/>
      <c r="C158" s="86" t="s">
        <v>170</v>
      </c>
      <c r="D158" s="86">
        <f>(26.23)*10.764</f>
        <v>282.33972</v>
      </c>
      <c r="E158" s="86">
        <f>(2.75*1.15+0.75*(2.75+2+2.75))*10.764</f>
        <v>94.588649999999987</v>
      </c>
      <c r="F158" s="86">
        <f>D158+E158</f>
        <v>376.92836999999997</v>
      </c>
      <c r="G158" s="86">
        <v>0</v>
      </c>
      <c r="H158" s="86">
        <f>F158*(($H$140)+1)+(IF(G158&lt;101,G158,IF(G158&lt;201,G158/2,IF(G158&lt;=301,G158/3,G158/4))))</f>
        <v>546.54613649999999</v>
      </c>
      <c r="I158" s="73"/>
      <c r="L158" s="93"/>
      <c r="M158" s="93"/>
      <c r="N158" s="73"/>
    </row>
    <row r="159" spans="1:20" s="74" customFormat="1" ht="15.75" customHeight="1" x14ac:dyDescent="0.35">
      <c r="A159" s="97">
        <f>A158+1</f>
        <v>2</v>
      </c>
      <c r="B159" s="97"/>
      <c r="C159" s="86" t="s">
        <v>171</v>
      </c>
      <c r="D159" s="86">
        <f>(18.54)*10.764</f>
        <v>199.56455999999997</v>
      </c>
      <c r="E159" s="86">
        <f>(2.75*1.05+0.75*(2.75+2))*10.764</f>
        <v>69.427799999999991</v>
      </c>
      <c r="F159" s="86">
        <f>D159+E159</f>
        <v>268.99235999999996</v>
      </c>
      <c r="G159" s="86">
        <v>0</v>
      </c>
      <c r="H159" s="86">
        <f t="shared" ref="H159:H162" si="19">F159*(($H$140)+1)+(IF(G159&lt;101,G159,IF(G159&lt;201,G159/2,IF(G159&lt;=301,G159/3,G159/4))))</f>
        <v>390.03892199999996</v>
      </c>
      <c r="I159" s="73"/>
      <c r="L159" s="93"/>
      <c r="M159" s="93"/>
      <c r="N159" s="73"/>
    </row>
    <row r="160" spans="1:20" s="74" customFormat="1" ht="15.75" customHeight="1" x14ac:dyDescent="0.35">
      <c r="A160" s="97">
        <v>3</v>
      </c>
      <c r="B160" s="97"/>
      <c r="C160" s="86" t="s">
        <v>170</v>
      </c>
      <c r="D160" s="86">
        <f>(26.23)*10.764</f>
        <v>282.33972</v>
      </c>
      <c r="E160" s="86">
        <f>(0.9*2.75+0.75*(2.75+2+2.75))*10.764</f>
        <v>87.188399999999987</v>
      </c>
      <c r="F160" s="86">
        <f>D160+E160</f>
        <v>369.52812</v>
      </c>
      <c r="G160" s="86">
        <v>0</v>
      </c>
      <c r="H160" s="86">
        <f t="shared" si="19"/>
        <v>535.81577400000003</v>
      </c>
      <c r="I160" s="73"/>
      <c r="L160" s="93"/>
      <c r="M160" s="93"/>
      <c r="N160" s="73"/>
      <c r="T160" s="70"/>
    </row>
    <row r="161" spans="1:20" s="74" customFormat="1" ht="15.75" customHeight="1" x14ac:dyDescent="0.35">
      <c r="A161" s="97">
        <f t="shared" ref="A161:A162" si="20">A160+1</f>
        <v>4</v>
      </c>
      <c r="B161" s="97"/>
      <c r="C161" s="86" t="s">
        <v>170</v>
      </c>
      <c r="D161" s="86">
        <f>(26.23)*10.764</f>
        <v>282.33972</v>
      </c>
      <c r="E161" s="86">
        <f>(0.9*2.75+0.75*(2.75+2+2.75))*10.764</f>
        <v>87.188399999999987</v>
      </c>
      <c r="F161" s="86">
        <f t="shared" ref="F161:F162" si="21">D161+E161</f>
        <v>369.52812</v>
      </c>
      <c r="G161" s="86">
        <v>0</v>
      </c>
      <c r="H161" s="86">
        <f t="shared" si="19"/>
        <v>535.81577400000003</v>
      </c>
      <c r="I161" s="73"/>
      <c r="L161" s="93"/>
      <c r="M161" s="93"/>
      <c r="N161" s="73"/>
      <c r="T161" s="70"/>
    </row>
    <row r="162" spans="1:20" s="74" customFormat="1" ht="15.75" customHeight="1" x14ac:dyDescent="0.35">
      <c r="A162" s="97">
        <f t="shared" si="20"/>
        <v>5</v>
      </c>
      <c r="B162" s="97"/>
      <c r="C162" s="86" t="s">
        <v>170</v>
      </c>
      <c r="D162" s="86">
        <f>(26.23)*10.764</f>
        <v>282.33972</v>
      </c>
      <c r="E162" s="86">
        <f>(2.75*1.05+0.75*(2.75+2+2.75))*10.764</f>
        <v>91.62854999999999</v>
      </c>
      <c r="F162" s="86">
        <f t="shared" si="21"/>
        <v>373.96826999999996</v>
      </c>
      <c r="G162" s="86">
        <v>0</v>
      </c>
      <c r="H162" s="86">
        <f t="shared" si="19"/>
        <v>542.25399149999998</v>
      </c>
      <c r="I162" s="73"/>
      <c r="L162" s="93"/>
      <c r="M162" s="93"/>
      <c r="N162" s="73"/>
      <c r="T162" s="70"/>
    </row>
    <row r="163" spans="1:20" s="74" customFormat="1" x14ac:dyDescent="0.35">
      <c r="A163" s="188" t="s">
        <v>216</v>
      </c>
      <c r="B163" s="188"/>
      <c r="C163" s="188"/>
      <c r="D163" s="188"/>
      <c r="E163" s="188"/>
      <c r="F163" s="188"/>
      <c r="G163" s="188"/>
      <c r="H163" s="188"/>
      <c r="J163" s="73"/>
    </row>
    <row r="164" spans="1:20" s="74" customFormat="1" x14ac:dyDescent="0.35">
      <c r="A164" s="188" t="s">
        <v>213</v>
      </c>
      <c r="B164" s="188"/>
      <c r="C164" s="188"/>
      <c r="D164" s="188"/>
      <c r="E164" s="188"/>
      <c r="F164" s="188"/>
      <c r="G164" s="188"/>
      <c r="H164" s="188"/>
      <c r="J164"/>
    </row>
    <row r="165" spans="1:20" s="74" customFormat="1" ht="15.75" customHeight="1" x14ac:dyDescent="0.35">
      <c r="A165" s="97">
        <v>1</v>
      </c>
      <c r="B165" s="97"/>
      <c r="C165" s="86" t="s">
        <v>170</v>
      </c>
      <c r="D165" s="86">
        <f>(26.23)*10.764</f>
        <v>282.33972</v>
      </c>
      <c r="E165" s="86">
        <f>(2.75*1.05+0.75*(2.75+2+2.75))*10.764</f>
        <v>91.62854999999999</v>
      </c>
      <c r="F165" s="86">
        <f>D165+E165</f>
        <v>373.96826999999996</v>
      </c>
      <c r="G165" s="86">
        <v>0</v>
      </c>
      <c r="H165" s="86">
        <f>F165*(($H$140)+1)+(IF(G165&lt;101,G165,IF(G165&lt;201,G165/2,IF(G165&lt;=301,G165/3,G165/4))))</f>
        <v>542.25399149999998</v>
      </c>
      <c r="I165" s="73"/>
      <c r="K165" s="80"/>
      <c r="L165" s="93"/>
      <c r="M165" s="93"/>
      <c r="N165" s="73"/>
    </row>
    <row r="166" spans="1:20" s="74" customFormat="1" ht="15.75" customHeight="1" x14ac:dyDescent="0.35">
      <c r="A166" s="97">
        <f>A165+1</f>
        <v>2</v>
      </c>
      <c r="B166" s="97"/>
      <c r="C166" s="86" t="s">
        <v>170</v>
      </c>
      <c r="D166" s="86">
        <f>(26.23)*10.764</f>
        <v>282.33972</v>
      </c>
      <c r="E166" s="86">
        <f>(2.75*0.9+0.75*(2.75+2+2.75))*10.764</f>
        <v>87.188399999999987</v>
      </c>
      <c r="F166" s="86">
        <f>D166+E166</f>
        <v>369.52812</v>
      </c>
      <c r="G166" s="86">
        <v>0</v>
      </c>
      <c r="H166" s="86">
        <f t="shared" ref="H166:H169" si="22">F166*(($H$140)+1)+(IF(G166&lt;101,G166,IF(G166&lt;201,G166/2,IF(G166&lt;=301,G166/3,G166/4))))</f>
        <v>535.81577400000003</v>
      </c>
      <c r="I166" s="73"/>
      <c r="L166" s="93"/>
      <c r="M166" s="93"/>
      <c r="N166" s="73"/>
    </row>
    <row r="167" spans="1:20" s="74" customFormat="1" ht="15.75" customHeight="1" x14ac:dyDescent="0.35">
      <c r="A167" s="91">
        <f>A166+1</f>
        <v>3</v>
      </c>
      <c r="B167" s="92"/>
      <c r="C167" s="80" t="s">
        <v>170</v>
      </c>
      <c r="D167" s="80">
        <f>(26.23)*10.764</f>
        <v>282.33972</v>
      </c>
      <c r="E167" s="80">
        <f>(0.9*2.75+0.75*(2.75+2+2.75))*10.764</f>
        <v>87.188399999999987</v>
      </c>
      <c r="F167" s="80">
        <f>D167+E167</f>
        <v>369.52812</v>
      </c>
      <c r="G167" s="80">
        <v>0</v>
      </c>
      <c r="H167" s="80">
        <f t="shared" si="22"/>
        <v>535.81577400000003</v>
      </c>
      <c r="I167" s="73"/>
      <c r="L167" s="93"/>
      <c r="M167" s="93"/>
      <c r="N167" s="73"/>
    </row>
    <row r="168" spans="1:20" s="74" customFormat="1" ht="15.75" customHeight="1" x14ac:dyDescent="0.35">
      <c r="A168" s="91">
        <f>A167+1</f>
        <v>4</v>
      </c>
      <c r="B168" s="92"/>
      <c r="C168" s="80" t="s">
        <v>170</v>
      </c>
      <c r="D168" s="80">
        <f>(26.23)*10.764</f>
        <v>282.33972</v>
      </c>
      <c r="E168" s="80">
        <f>(0.9*2.75+0.75*(2.75+2+2.75))*10.764</f>
        <v>87.188399999999987</v>
      </c>
      <c r="F168" s="80">
        <f>D168+E168</f>
        <v>369.52812</v>
      </c>
      <c r="G168" s="80">
        <v>0</v>
      </c>
      <c r="H168" s="80">
        <f t="shared" si="22"/>
        <v>535.81577400000003</v>
      </c>
      <c r="I168" s="73"/>
      <c r="L168" s="93"/>
      <c r="M168" s="93"/>
      <c r="N168" s="73"/>
      <c r="T168" s="70"/>
    </row>
    <row r="169" spans="1:20" s="74" customFormat="1" ht="15.75" customHeight="1" x14ac:dyDescent="0.35">
      <c r="A169" s="91">
        <f t="shared" ref="A169" si="23">A168+1</f>
        <v>5</v>
      </c>
      <c r="B169" s="92"/>
      <c r="C169" s="80" t="s">
        <v>170</v>
      </c>
      <c r="D169" s="80">
        <f>(26.23)*10.764</f>
        <v>282.33972</v>
      </c>
      <c r="E169" s="80">
        <f>(2.75*1.05+0.75*(2.75+2+2.75))*10.764</f>
        <v>91.62854999999999</v>
      </c>
      <c r="F169" s="80">
        <f t="shared" ref="F169" si="24">D169+E169</f>
        <v>373.96826999999996</v>
      </c>
      <c r="G169" s="80">
        <v>0</v>
      </c>
      <c r="H169" s="80">
        <f t="shared" si="22"/>
        <v>542.25399149999998</v>
      </c>
      <c r="I169" s="73"/>
      <c r="K169"/>
      <c r="L169" s="93"/>
      <c r="M169" s="93"/>
      <c r="N169" s="73"/>
      <c r="T169" s="70"/>
    </row>
    <row r="170" spans="1:20" s="74" customFormat="1" x14ac:dyDescent="0.35">
      <c r="A170" s="94" t="s">
        <v>217</v>
      </c>
      <c r="B170" s="95"/>
      <c r="C170" s="95"/>
      <c r="D170" s="95"/>
      <c r="E170" s="95"/>
      <c r="F170" s="95"/>
      <c r="G170" s="95"/>
      <c r="H170" s="96"/>
      <c r="J170"/>
    </row>
    <row r="171" spans="1:20" s="74" customFormat="1" ht="15.75" customHeight="1" x14ac:dyDescent="0.35">
      <c r="A171" s="91">
        <v>1</v>
      </c>
      <c r="B171" s="92"/>
      <c r="C171" s="80" t="s">
        <v>170</v>
      </c>
      <c r="D171" s="80">
        <f>(26.23)*10.764</f>
        <v>282.33972</v>
      </c>
      <c r="E171" s="80">
        <f>(2.75*1.05+0.75*(2.75+2+2.75))*10.764</f>
        <v>91.62854999999999</v>
      </c>
      <c r="F171" s="80">
        <f>D171+E171</f>
        <v>373.96826999999996</v>
      </c>
      <c r="G171" s="80">
        <v>0</v>
      </c>
      <c r="H171" s="80">
        <f>F171*(($H$140)+1)+(IF(G171&lt;101,G171,IF(G171&lt;201,G171/2,IF(G171&lt;=301,G171/3,G171/4))))</f>
        <v>542.25399149999998</v>
      </c>
      <c r="I171" s="73"/>
      <c r="L171" s="93"/>
      <c r="M171" s="93"/>
      <c r="N171" s="73"/>
    </row>
    <row r="172" spans="1:20" s="74" customFormat="1" ht="15.75" customHeight="1" x14ac:dyDescent="0.35">
      <c r="A172" s="91">
        <f>A171+1</f>
        <v>2</v>
      </c>
      <c r="B172" s="92"/>
      <c r="C172" s="91" t="s">
        <v>218</v>
      </c>
      <c r="D172" s="102"/>
      <c r="E172" s="102"/>
      <c r="F172" s="102"/>
      <c r="G172" s="102"/>
      <c r="H172" s="92"/>
      <c r="I172" s="73"/>
      <c r="L172" s="93"/>
      <c r="M172" s="93"/>
      <c r="N172" s="73"/>
    </row>
    <row r="173" spans="1:20" s="74" customFormat="1" ht="15.75" customHeight="1" x14ac:dyDescent="0.35">
      <c r="A173" s="91">
        <f>A172+1</f>
        <v>3</v>
      </c>
      <c r="B173" s="92"/>
      <c r="C173" s="80" t="s">
        <v>170</v>
      </c>
      <c r="D173" s="80">
        <f>(26.23)*10.764</f>
        <v>282.33972</v>
      </c>
      <c r="E173" s="80">
        <f>(0.9*2.75+0.75*(2.75+2+2.75))*10.764</f>
        <v>87.188399999999987</v>
      </c>
      <c r="F173" s="80">
        <f>D173+E173</f>
        <v>369.52812</v>
      </c>
      <c r="G173" s="80">
        <v>0</v>
      </c>
      <c r="H173" s="80">
        <f t="shared" ref="H173:H175" si="25">F173*(($H$140)+1)+(IF(G173&lt;101,G173,IF(G173&lt;201,G173/2,IF(G173&lt;=301,G173/3,G173/4))))</f>
        <v>535.81577400000003</v>
      </c>
      <c r="I173" s="73"/>
      <c r="L173" s="93"/>
      <c r="M173" s="93"/>
      <c r="N173" s="73"/>
    </row>
    <row r="174" spans="1:20" s="74" customFormat="1" ht="15.75" customHeight="1" x14ac:dyDescent="0.35">
      <c r="A174" s="91">
        <f>A173+1</f>
        <v>4</v>
      </c>
      <c r="B174" s="92"/>
      <c r="C174" s="80" t="s">
        <v>170</v>
      </c>
      <c r="D174" s="80">
        <f>(26.23)*10.764</f>
        <v>282.33972</v>
      </c>
      <c r="E174" s="80">
        <f>(0.9*2.75+0.75*(2.75+2+2.75))*10.764</f>
        <v>87.188399999999987</v>
      </c>
      <c r="F174" s="80">
        <f>D174+E174</f>
        <v>369.52812</v>
      </c>
      <c r="G174" s="80">
        <v>0</v>
      </c>
      <c r="H174" s="80">
        <f t="shared" si="25"/>
        <v>535.81577400000003</v>
      </c>
      <c r="I174" s="73"/>
      <c r="L174" s="93"/>
      <c r="M174" s="93"/>
      <c r="N174" s="73"/>
      <c r="T174" s="70"/>
    </row>
    <row r="175" spans="1:20" s="74" customFormat="1" ht="15.75" customHeight="1" x14ac:dyDescent="0.35">
      <c r="A175" s="91">
        <f t="shared" ref="A175" si="26">A174+1</f>
        <v>5</v>
      </c>
      <c r="B175" s="92"/>
      <c r="C175" s="80" t="s">
        <v>170</v>
      </c>
      <c r="D175" s="80">
        <f>(26.23)*10.764</f>
        <v>282.33972</v>
      </c>
      <c r="E175" s="80">
        <f>(2.75*1.05+0.75*(2.75+2+2.75))*10.764</f>
        <v>91.62854999999999</v>
      </c>
      <c r="F175" s="80">
        <f t="shared" ref="F175" si="27">D175+E175</f>
        <v>373.96826999999996</v>
      </c>
      <c r="G175" s="80">
        <v>0</v>
      </c>
      <c r="H175" s="80">
        <f t="shared" si="25"/>
        <v>542.25399149999998</v>
      </c>
      <c r="I175" s="73"/>
      <c r="K175"/>
      <c r="L175" s="93"/>
      <c r="M175" s="93"/>
      <c r="N175" s="73"/>
      <c r="T175" s="70"/>
    </row>
    <row r="176" spans="1:20" s="74" customFormat="1" x14ac:dyDescent="0.35">
      <c r="A176" s="94" t="s">
        <v>215</v>
      </c>
      <c r="B176" s="95"/>
      <c r="C176" s="95"/>
      <c r="D176" s="95"/>
      <c r="E176" s="95"/>
      <c r="F176" s="95"/>
      <c r="G176" s="95"/>
      <c r="H176" s="96"/>
      <c r="J176" s="73"/>
    </row>
    <row r="177" spans="1:20" s="74" customFormat="1" ht="15.75" customHeight="1" x14ac:dyDescent="0.35">
      <c r="A177" s="91">
        <v>1</v>
      </c>
      <c r="B177" s="92"/>
      <c r="C177" s="80" t="s">
        <v>170</v>
      </c>
      <c r="D177" s="80">
        <f>(26.23)*10.764</f>
        <v>282.33972</v>
      </c>
      <c r="E177" s="80">
        <f>(2.75*1.05+0.75*(2.75+2+2.75))*10.764</f>
        <v>91.62854999999999</v>
      </c>
      <c r="F177" s="80">
        <f>D177+E177</f>
        <v>373.96826999999996</v>
      </c>
      <c r="G177" s="80">
        <v>0</v>
      </c>
      <c r="H177" s="80">
        <f>F177*(($H$140)+1)+(IF(G177&lt;101,G177,IF(G177&lt;201,G177/2,IF(G177&lt;=301,G177/3,G177/4))))</f>
        <v>542.25399149999998</v>
      </c>
      <c r="I177" s="73"/>
      <c r="L177" s="93"/>
      <c r="M177" s="93"/>
      <c r="N177" s="73"/>
    </row>
    <row r="178" spans="1:20" s="74" customFormat="1" ht="15.75" customHeight="1" x14ac:dyDescent="0.35">
      <c r="A178" s="91">
        <f>A177+1</f>
        <v>2</v>
      </c>
      <c r="B178" s="92"/>
      <c r="C178" s="80" t="s">
        <v>170</v>
      </c>
      <c r="D178" s="80">
        <f>(26.23)*10.764</f>
        <v>282.33972</v>
      </c>
      <c r="E178" s="80">
        <f>(2.75*0.9+0.75*(2.75+2+2.75))*10.764</f>
        <v>87.188399999999987</v>
      </c>
      <c r="F178" s="80">
        <f>D178+E178</f>
        <v>369.52812</v>
      </c>
      <c r="G178" s="80">
        <v>0</v>
      </c>
      <c r="H178" s="80">
        <f t="shared" ref="H178:H181" si="28">F178*(($H$140)+1)+(IF(G178&lt;101,G178,IF(G178&lt;201,G178/2,IF(G178&lt;=301,G178/3,G178/4))))</f>
        <v>535.81577400000003</v>
      </c>
      <c r="I178" s="73"/>
      <c r="L178" s="93"/>
      <c r="M178" s="93"/>
      <c r="N178" s="73"/>
    </row>
    <row r="179" spans="1:20" s="74" customFormat="1" ht="15.75" customHeight="1" x14ac:dyDescent="0.35">
      <c r="A179" s="91">
        <f>A178+1</f>
        <v>3</v>
      </c>
      <c r="B179" s="92"/>
      <c r="C179" s="80" t="s">
        <v>170</v>
      </c>
      <c r="D179" s="80">
        <f>(26.23)*10.764</f>
        <v>282.33972</v>
      </c>
      <c r="E179" s="80">
        <f>(0.9*2.75+0.75*(2.75+2+2.75))*10.764</f>
        <v>87.188399999999987</v>
      </c>
      <c r="F179" s="80">
        <f>D179+E179</f>
        <v>369.52812</v>
      </c>
      <c r="G179" s="80">
        <v>0</v>
      </c>
      <c r="H179" s="80">
        <f t="shared" si="28"/>
        <v>535.81577400000003</v>
      </c>
      <c r="I179" s="73"/>
      <c r="L179" s="93"/>
      <c r="M179" s="93"/>
      <c r="N179" s="73"/>
    </row>
    <row r="180" spans="1:20" s="74" customFormat="1" ht="15.75" customHeight="1" x14ac:dyDescent="0.35">
      <c r="A180" s="91">
        <f>A179+1</f>
        <v>4</v>
      </c>
      <c r="B180" s="92"/>
      <c r="C180" s="80" t="s">
        <v>170</v>
      </c>
      <c r="D180" s="80">
        <f>(26.23)*10.764</f>
        <v>282.33972</v>
      </c>
      <c r="E180" s="80">
        <f>(0.9*2.75+0.75*(2.75+2+2.75))*10.764</f>
        <v>87.188399999999987</v>
      </c>
      <c r="F180" s="80">
        <f>D180+E180</f>
        <v>369.52812</v>
      </c>
      <c r="G180" s="80">
        <v>0</v>
      </c>
      <c r="H180" s="80">
        <f t="shared" si="28"/>
        <v>535.81577400000003</v>
      </c>
      <c r="I180" s="73"/>
      <c r="L180" s="93"/>
      <c r="M180" s="93"/>
      <c r="N180" s="73"/>
      <c r="T180" s="70"/>
    </row>
    <row r="181" spans="1:20" s="74" customFormat="1" ht="15.75" customHeight="1" x14ac:dyDescent="0.35">
      <c r="A181" s="91">
        <f t="shared" ref="A181" si="29">A180+1</f>
        <v>5</v>
      </c>
      <c r="B181" s="92"/>
      <c r="C181" s="80" t="s">
        <v>170</v>
      </c>
      <c r="D181" s="80">
        <f>(26.23)*10.764</f>
        <v>282.33972</v>
      </c>
      <c r="E181" s="80">
        <f>(2.75*1.05+0.75*(2.75+2+2.75))*10.764</f>
        <v>91.62854999999999</v>
      </c>
      <c r="F181" s="80">
        <f t="shared" ref="F181" si="30">D181+E181</f>
        <v>373.96826999999996</v>
      </c>
      <c r="G181" s="80">
        <v>0</v>
      </c>
      <c r="H181" s="80">
        <f t="shared" si="28"/>
        <v>542.25399149999998</v>
      </c>
      <c r="I181" s="73"/>
      <c r="L181" s="93"/>
      <c r="M181" s="93"/>
      <c r="N181" s="73"/>
      <c r="T181" s="70"/>
    </row>
    <row r="182" spans="1:20" s="74" customFormat="1" x14ac:dyDescent="0.35">
      <c r="A182" s="188"/>
      <c r="B182" s="188"/>
      <c r="C182" s="188"/>
      <c r="D182" s="188"/>
      <c r="E182" s="188"/>
      <c r="F182" s="188"/>
      <c r="G182" s="188"/>
      <c r="H182" s="188"/>
      <c r="I182" s="73"/>
      <c r="L182" s="93"/>
      <c r="M182" s="93"/>
      <c r="Q182" s="85"/>
      <c r="R182" s="85"/>
      <c r="S182" s="85"/>
    </row>
    <row r="183" spans="1:20" s="70" customFormat="1" ht="36" customHeight="1" x14ac:dyDescent="0.35">
      <c r="A183" s="103" t="s">
        <v>223</v>
      </c>
      <c r="B183" s="199"/>
      <c r="C183" s="105" t="s">
        <v>61</v>
      </c>
      <c r="D183" s="105" t="s">
        <v>203</v>
      </c>
      <c r="E183" s="105" t="s">
        <v>224</v>
      </c>
      <c r="F183" s="105" t="s">
        <v>62</v>
      </c>
      <c r="G183" s="197" t="s">
        <v>63</v>
      </c>
      <c r="H183" s="76" t="s">
        <v>205</v>
      </c>
      <c r="I183" s="73"/>
      <c r="Q183" s="85"/>
      <c r="R183" s="85"/>
      <c r="S183" s="85"/>
      <c r="T183" s="74"/>
    </row>
    <row r="184" spans="1:20" s="74" customFormat="1" x14ac:dyDescent="0.35">
      <c r="A184" s="104"/>
      <c r="B184" s="200"/>
      <c r="C184" s="106"/>
      <c r="D184" s="106"/>
      <c r="E184" s="106"/>
      <c r="F184" s="106"/>
      <c r="G184" s="198"/>
      <c r="H184" s="77">
        <v>0.45</v>
      </c>
      <c r="I184" s="73"/>
      <c r="Q184" s="85"/>
      <c r="R184" s="85"/>
      <c r="S184" s="85"/>
    </row>
    <row r="185" spans="1:20" s="74" customFormat="1" x14ac:dyDescent="0.35">
      <c r="A185" s="188" t="s">
        <v>219</v>
      </c>
      <c r="B185" s="188"/>
      <c r="C185" s="188"/>
      <c r="D185" s="188"/>
      <c r="E185" s="188"/>
      <c r="F185" s="188"/>
      <c r="G185" s="188"/>
      <c r="H185" s="188"/>
      <c r="I185" s="73"/>
      <c r="L185" s="93"/>
      <c r="M185" s="93"/>
      <c r="Q185" s="85"/>
      <c r="R185" s="85"/>
      <c r="S185" s="85"/>
    </row>
    <row r="186" spans="1:20" s="74" customFormat="1" x14ac:dyDescent="0.35">
      <c r="A186" s="188" t="s">
        <v>221</v>
      </c>
      <c r="B186" s="188"/>
      <c r="C186" s="188"/>
      <c r="D186" s="188"/>
      <c r="E186" s="188"/>
      <c r="F186" s="188"/>
      <c r="G186" s="188"/>
      <c r="H186" s="188"/>
      <c r="I186" s="73"/>
      <c r="L186" s="93"/>
      <c r="M186" s="93"/>
      <c r="Q186" s="85"/>
      <c r="R186" s="85"/>
      <c r="S186" s="85"/>
    </row>
    <row r="187" spans="1:20" s="74" customFormat="1" x14ac:dyDescent="0.35">
      <c r="A187" s="97">
        <v>1</v>
      </c>
      <c r="B187" s="97"/>
      <c r="C187" s="80" t="s">
        <v>222</v>
      </c>
      <c r="D187" s="80">
        <f>((3.2*5.7+3.35*5.7+3.45*3.65+2.4*1.26)+(3.35*2.2+3.45*3.65+3.5*1.2+1.05*2.15+2.4*1.26))*10.764</f>
        <v>886.90516200000013</v>
      </c>
      <c r="E187" s="80">
        <f>(3.35*1.5+0.75*(3.45+3.35))*10.764</f>
        <v>108.98549999999999</v>
      </c>
      <c r="F187" s="80">
        <f>D187+E187</f>
        <v>995.89066200000013</v>
      </c>
      <c r="G187" s="80">
        <f>(3.2*3.4)*10.764</f>
        <v>117.11232</v>
      </c>
      <c r="H187" s="80">
        <f>F187*(($H$184)+1)+(IF(G187&lt;101,G187,IF(G187&lt;201,G187/2,IF(G187&lt;=301,G187/3,G187/4))))</f>
        <v>1502.5976199000002</v>
      </c>
      <c r="I187" s="73"/>
      <c r="N187" s="73"/>
      <c r="Q187" s="85"/>
      <c r="R187" s="85"/>
      <c r="S187" s="85"/>
    </row>
    <row r="188" spans="1:20" s="74" customFormat="1" x14ac:dyDescent="0.35">
      <c r="A188" s="188" t="s">
        <v>220</v>
      </c>
      <c r="B188" s="188"/>
      <c r="C188" s="188"/>
      <c r="D188" s="188"/>
      <c r="E188" s="188"/>
      <c r="F188" s="188"/>
      <c r="G188" s="188"/>
      <c r="H188" s="188"/>
      <c r="I188" s="73"/>
      <c r="L188" s="93"/>
      <c r="M188" s="93"/>
    </row>
    <row r="189" spans="1:20" s="74" customFormat="1" x14ac:dyDescent="0.35">
      <c r="A189" s="188" t="s">
        <v>221</v>
      </c>
      <c r="B189" s="188"/>
      <c r="C189" s="188"/>
      <c r="D189" s="188"/>
      <c r="E189" s="188"/>
      <c r="F189" s="188"/>
      <c r="G189" s="188"/>
      <c r="H189" s="188"/>
      <c r="I189" s="73"/>
      <c r="L189" s="93"/>
      <c r="M189" s="93"/>
    </row>
    <row r="190" spans="1:20" s="74" customFormat="1" x14ac:dyDescent="0.35">
      <c r="A190" s="97">
        <v>1</v>
      </c>
      <c r="B190" s="97"/>
      <c r="C190" s="80" t="s">
        <v>222</v>
      </c>
      <c r="D190" s="81">
        <f>((3.2*5.7+3.35*5.7+3.45*3.65+2.4*1.26)+(3.35*2.2+3.45*3.65+3.5*1.2+1.05*2.15+2.4*1.26))*10.764</f>
        <v>886.90516200000013</v>
      </c>
      <c r="E190" s="80">
        <f>(3.35*1.5+0.75*(3.45+3.35))*10.764</f>
        <v>108.98549999999999</v>
      </c>
      <c r="F190" s="80">
        <f>D190+E190</f>
        <v>995.89066200000013</v>
      </c>
      <c r="G190" s="81">
        <f>(3.2*3.4)*10.764</f>
        <v>117.11232</v>
      </c>
      <c r="H190" s="80">
        <f>F190*(($H$184)+1)+(IF(G190&lt;101,G190,IF(G190&lt;201,G190/2,IF(G190&lt;=301,G190/3,G190/4))))</f>
        <v>1502.5976199000002</v>
      </c>
      <c r="I190" s="73"/>
      <c r="N190" s="73"/>
    </row>
    <row r="191" spans="1:20" ht="47.25" hidden="1" customHeight="1" x14ac:dyDescent="0.35">
      <c r="A191" s="30" t="s">
        <v>122</v>
      </c>
      <c r="B191" s="30" t="s">
        <v>123</v>
      </c>
      <c r="C191" s="17" t="s">
        <v>61</v>
      </c>
      <c r="D191" s="17" t="s">
        <v>62</v>
      </c>
      <c r="E191" s="18" t="s">
        <v>63</v>
      </c>
      <c r="F191" s="17" t="s">
        <v>175</v>
      </c>
      <c r="G191" s="194" t="s">
        <v>64</v>
      </c>
      <c r="H191" s="195"/>
      <c r="I191" s="55"/>
    </row>
    <row r="192" spans="1:20" s="56" customFormat="1" hidden="1" x14ac:dyDescent="0.35">
      <c r="A192" s="135" t="s">
        <v>169</v>
      </c>
      <c r="B192" s="135"/>
      <c r="C192" s="135"/>
      <c r="D192" s="135"/>
      <c r="E192" s="135"/>
      <c r="F192" s="135"/>
      <c r="G192" s="135"/>
      <c r="H192" s="135"/>
      <c r="I192" s="55"/>
      <c r="L192" s="134"/>
      <c r="M192" s="134"/>
    </row>
    <row r="193" spans="1:16" s="56" customFormat="1" hidden="1" x14ac:dyDescent="0.35">
      <c r="A193" s="135" t="s">
        <v>121</v>
      </c>
      <c r="B193" s="135"/>
      <c r="C193" s="135"/>
      <c r="D193" s="135"/>
      <c r="E193" s="135"/>
      <c r="F193" s="135"/>
      <c r="G193" s="135"/>
      <c r="H193" s="135"/>
      <c r="I193" s="55"/>
      <c r="L193" s="134"/>
      <c r="M193" s="134"/>
    </row>
    <row r="194" spans="1:16" s="56" customFormat="1" hidden="1" x14ac:dyDescent="0.35">
      <c r="A194" s="130">
        <v>1</v>
      </c>
      <c r="B194" s="130"/>
      <c r="C194" s="24" t="s">
        <v>170</v>
      </c>
      <c r="D194" s="24">
        <f>(26.24+0.9*2.75)*10.764</f>
        <v>309.08825999999999</v>
      </c>
      <c r="E194" s="24">
        <v>0</v>
      </c>
      <c r="F194" s="24">
        <v>650</v>
      </c>
      <c r="G194" s="130" t="str">
        <f>A193</f>
        <v>Ground Floor</v>
      </c>
      <c r="H194" s="130"/>
      <c r="I194" s="57"/>
      <c r="J194" s="58">
        <f>F194/D194</f>
        <v>2.1029592000679678</v>
      </c>
      <c r="N194" s="55"/>
    </row>
    <row r="195" spans="1:16" s="56" customFormat="1" hidden="1" x14ac:dyDescent="0.35">
      <c r="A195" s="130">
        <f>A194+1</f>
        <v>2</v>
      </c>
      <c r="B195" s="130"/>
      <c r="C195" s="24" t="s">
        <v>171</v>
      </c>
      <c r="D195" s="24">
        <f>(16.81+1.2*2.75)*10.764</f>
        <v>216.46403999999998</v>
      </c>
      <c r="E195" s="24">
        <v>0</v>
      </c>
      <c r="F195" s="24">
        <v>410</v>
      </c>
      <c r="G195" s="130" t="str">
        <f>G194</f>
        <v>Ground Floor</v>
      </c>
      <c r="H195" s="130"/>
      <c r="I195" s="59"/>
      <c r="J195" s="58">
        <f t="shared" ref="J195:J205" si="31">F195/D195</f>
        <v>1.8940790350212444</v>
      </c>
      <c r="N195" s="55"/>
    </row>
    <row r="196" spans="1:16" s="56" customFormat="1" hidden="1" x14ac:dyDescent="0.35">
      <c r="A196" s="130">
        <f>A195+1</f>
        <v>3</v>
      </c>
      <c r="B196" s="130"/>
      <c r="C196" s="24" t="s">
        <v>171</v>
      </c>
      <c r="D196" s="24">
        <f>(18.72+0.9*2.75)*10.764</f>
        <v>228.14297999999999</v>
      </c>
      <c r="E196" s="24">
        <v>0</v>
      </c>
      <c r="F196" s="24">
        <v>410</v>
      </c>
      <c r="G196" s="130" t="str">
        <f>G195</f>
        <v>Ground Floor</v>
      </c>
      <c r="H196" s="130"/>
      <c r="I196" s="55"/>
      <c r="J196" s="58">
        <f t="shared" si="31"/>
        <v>1.7971186314827658</v>
      </c>
      <c r="N196" s="55"/>
    </row>
    <row r="197" spans="1:16" s="56" customFormat="1" hidden="1" x14ac:dyDescent="0.35">
      <c r="A197" s="130">
        <f>A196+1</f>
        <v>4</v>
      </c>
      <c r="B197" s="130"/>
      <c r="C197" s="24" t="s">
        <v>170</v>
      </c>
      <c r="D197" s="24">
        <f>(26.23+0.9*2.75)*10.764</f>
        <v>308.98061999999999</v>
      </c>
      <c r="E197" s="24">
        <v>0</v>
      </c>
      <c r="F197" s="24">
        <v>650</v>
      </c>
      <c r="G197" s="130" t="str">
        <f>G196</f>
        <v>Ground Floor</v>
      </c>
      <c r="H197" s="130"/>
      <c r="I197" s="55"/>
      <c r="J197" s="58">
        <f t="shared" si="31"/>
        <v>2.1036918108326668</v>
      </c>
      <c r="N197" s="55"/>
    </row>
    <row r="198" spans="1:16" s="56" customFormat="1" hidden="1" x14ac:dyDescent="0.35">
      <c r="A198" s="130">
        <f>A197+1</f>
        <v>5</v>
      </c>
      <c r="B198" s="130"/>
      <c r="C198" s="24" t="s">
        <v>170</v>
      </c>
      <c r="D198" s="24">
        <f>(26.23+0.9*2.75)*10.764</f>
        <v>308.98061999999999</v>
      </c>
      <c r="E198" s="24">
        <v>0</v>
      </c>
      <c r="F198" s="24">
        <v>650</v>
      </c>
      <c r="G198" s="130" t="str">
        <f>G197</f>
        <v>Ground Floor</v>
      </c>
      <c r="H198" s="130"/>
      <c r="I198" s="55"/>
      <c r="J198" s="58">
        <f t="shared" si="31"/>
        <v>2.1036918108326668</v>
      </c>
      <c r="N198" s="55"/>
    </row>
    <row r="199" spans="1:16" s="56" customFormat="1" hidden="1" x14ac:dyDescent="0.35">
      <c r="A199" s="136" t="s">
        <v>172</v>
      </c>
      <c r="B199" s="137"/>
      <c r="C199" s="137"/>
      <c r="D199" s="137"/>
      <c r="E199" s="137"/>
      <c r="F199" s="137"/>
      <c r="G199" s="137"/>
      <c r="H199" s="138"/>
      <c r="I199" s="55"/>
      <c r="J199" s="58"/>
      <c r="P199" s="60"/>
    </row>
    <row r="200" spans="1:16" s="56" customFormat="1" hidden="1" x14ac:dyDescent="0.35">
      <c r="A200" s="128" t="str">
        <f t="shared" ref="A200:A205" ca="1" si="32">N200</f>
        <v>101 to 401</v>
      </c>
      <c r="B200" s="129"/>
      <c r="C200" s="24" t="s">
        <v>170</v>
      </c>
      <c r="D200" s="24">
        <f>(26.23+1.15*2.75+(0.75*(2.75+2+2.75)))*10.764</f>
        <v>376.92836999999997</v>
      </c>
      <c r="E200" s="24">
        <v>0</v>
      </c>
      <c r="F200" s="24">
        <v>650</v>
      </c>
      <c r="G200" s="128" t="str">
        <f>A199</f>
        <v>1st to 4th Floor</v>
      </c>
      <c r="H200" s="129"/>
      <c r="I200" s="55"/>
      <c r="J200" s="58">
        <f>F200/D200</f>
        <v>1.7244655794945869</v>
      </c>
      <c r="N200" s="56" t="str">
        <f t="shared" ref="N200:N205" ca="1" si="33">O200&amp;""&amp;" to "&amp;""&amp;P200</f>
        <v>101 to 401</v>
      </c>
      <c r="O200" s="56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10^ROW(INDIRECT("1:"&amp;LEN((LEFT(A199,SUM(LEN(A199)-LEN(SUBSTITUTE(A199,{"0","1","2"},""))))))))/10))*100+1</f>
        <v>101</v>
      </c>
      <c r="P200" s="56">
        <f ca="1">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",LEN(A199))),LEN(A199)))))))/10))*100+1</f>
        <v>401</v>
      </c>
    </row>
    <row r="201" spans="1:16" s="56" customFormat="1" hidden="1" x14ac:dyDescent="0.35">
      <c r="A201" s="128" t="str">
        <f t="shared" ca="1" si="32"/>
        <v>102 to 402</v>
      </c>
      <c r="B201" s="129"/>
      <c r="C201" s="24" t="s">
        <v>170</v>
      </c>
      <c r="D201" s="24">
        <f>(26.23+1.05*2.75+(0.75*(2.75+2+2.75)))*10.764</f>
        <v>373.96826999999996</v>
      </c>
      <c r="E201" s="24">
        <v>0</v>
      </c>
      <c r="F201" s="24">
        <v>650</v>
      </c>
      <c r="G201" s="128" t="str">
        <f>G200</f>
        <v>1st to 4th Floor</v>
      </c>
      <c r="H201" s="129"/>
      <c r="I201" s="55"/>
      <c r="J201" s="58">
        <f t="shared" si="31"/>
        <v>1.7381153754033734</v>
      </c>
      <c r="N201" s="56" t="str">
        <f t="shared" ca="1" si="33"/>
        <v>102 to 402</v>
      </c>
      <c r="O201" s="56">
        <f t="shared" ref="O201:P201" ca="1" si="34">O200+1</f>
        <v>102</v>
      </c>
      <c r="P201" s="56">
        <f t="shared" ca="1" si="34"/>
        <v>402</v>
      </c>
    </row>
    <row r="202" spans="1:16" s="56" customFormat="1" hidden="1" x14ac:dyDescent="0.35">
      <c r="A202" s="128" t="str">
        <f t="shared" ca="1" si="32"/>
        <v>103 to 403</v>
      </c>
      <c r="B202" s="129"/>
      <c r="C202" s="24" t="s">
        <v>170</v>
      </c>
      <c r="D202" s="24">
        <f>(26.23+0.9*2.75+(0.75*(2.75+2+2.75)))*10.764</f>
        <v>369.52811999999994</v>
      </c>
      <c r="E202" s="24">
        <v>0</v>
      </c>
      <c r="F202" s="24">
        <v>650</v>
      </c>
      <c r="G202" s="128" t="str">
        <f>G201</f>
        <v>1st to 4th Floor</v>
      </c>
      <c r="H202" s="129"/>
      <c r="I202" s="55"/>
      <c r="J202" s="58">
        <f t="shared" si="31"/>
        <v>1.7590000999112059</v>
      </c>
      <c r="N202" s="56" t="str">
        <f t="shared" ca="1" si="33"/>
        <v>103 to 403</v>
      </c>
      <c r="O202" s="56">
        <f t="shared" ref="O202:P202" ca="1" si="35">O201+1</f>
        <v>103</v>
      </c>
      <c r="P202" s="56">
        <f t="shared" ca="1" si="35"/>
        <v>403</v>
      </c>
    </row>
    <row r="203" spans="1:16" s="56" customFormat="1" hidden="1" x14ac:dyDescent="0.35">
      <c r="A203" s="128" t="str">
        <f t="shared" ca="1" si="32"/>
        <v>104 to 404</v>
      </c>
      <c r="B203" s="129"/>
      <c r="C203" s="24" t="s">
        <v>170</v>
      </c>
      <c r="D203" s="24">
        <f>(26.23+0.9*2.75+(0.75*(2.75+2+2.75)))*10.764</f>
        <v>369.52811999999994</v>
      </c>
      <c r="E203" s="24">
        <v>0</v>
      </c>
      <c r="F203" s="24">
        <v>650</v>
      </c>
      <c r="G203" s="128" t="str">
        <f>G202</f>
        <v>1st to 4th Floor</v>
      </c>
      <c r="H203" s="129"/>
      <c r="I203" s="55"/>
      <c r="J203" s="58">
        <f t="shared" si="31"/>
        <v>1.7590000999112059</v>
      </c>
      <c r="N203" s="56" t="str">
        <f t="shared" ca="1" si="33"/>
        <v>104 to 404</v>
      </c>
      <c r="O203" s="56">
        <f t="shared" ref="O203:P203" ca="1" si="36">O202+1</f>
        <v>104</v>
      </c>
      <c r="P203" s="56">
        <f t="shared" ca="1" si="36"/>
        <v>404</v>
      </c>
    </row>
    <row r="204" spans="1:16" s="56" customFormat="1" hidden="1" x14ac:dyDescent="0.35">
      <c r="A204" s="128" t="str">
        <f t="shared" ca="1" si="32"/>
        <v>105 to 405</v>
      </c>
      <c r="B204" s="129"/>
      <c r="C204" s="24" t="s">
        <v>170</v>
      </c>
      <c r="D204" s="24">
        <f>(26.23+0.9*2.75+(0.75*(2.75+2+2.75)))*10.764</f>
        <v>369.52811999999994</v>
      </c>
      <c r="E204" s="24">
        <v>0</v>
      </c>
      <c r="F204" s="24">
        <v>650</v>
      </c>
      <c r="G204" s="128" t="str">
        <f>G203</f>
        <v>1st to 4th Floor</v>
      </c>
      <c r="H204" s="129"/>
      <c r="I204" s="55"/>
      <c r="J204" s="58">
        <f t="shared" si="31"/>
        <v>1.7590000999112059</v>
      </c>
      <c r="N204" s="56" t="str">
        <f t="shared" ca="1" si="33"/>
        <v>105 to 405</v>
      </c>
      <c r="O204" s="56">
        <f t="shared" ref="O204:P204" ca="1" si="37">O203+1</f>
        <v>105</v>
      </c>
      <c r="P204" s="56">
        <f t="shared" ca="1" si="37"/>
        <v>405</v>
      </c>
    </row>
    <row r="205" spans="1:16" s="56" customFormat="1" hidden="1" x14ac:dyDescent="0.35">
      <c r="A205" s="128" t="str">
        <f t="shared" ca="1" si="32"/>
        <v>106 to 406</v>
      </c>
      <c r="B205" s="129"/>
      <c r="C205" s="24" t="s">
        <v>170</v>
      </c>
      <c r="D205" s="24">
        <f>(26.23+1.05*2.75+(0.75*(2.75+2+2.75)))*10.764</f>
        <v>373.96826999999996</v>
      </c>
      <c r="E205" s="24">
        <v>0</v>
      </c>
      <c r="F205" s="24">
        <v>650</v>
      </c>
      <c r="G205" s="128" t="str">
        <f>G204</f>
        <v>1st to 4th Floor</v>
      </c>
      <c r="H205" s="129"/>
      <c r="I205" s="55"/>
      <c r="J205" s="58">
        <f t="shared" si="31"/>
        <v>1.7381153754033734</v>
      </c>
      <c r="N205" s="56" t="str">
        <f t="shared" ca="1" si="33"/>
        <v>106 to 406</v>
      </c>
      <c r="O205" s="56">
        <f ca="1">O204+1</f>
        <v>106</v>
      </c>
      <c r="P205" s="56">
        <f ca="1">P204+1</f>
        <v>406</v>
      </c>
    </row>
    <row r="206" spans="1:16" s="56" customFormat="1" hidden="1" x14ac:dyDescent="0.35">
      <c r="A206" s="135" t="s">
        <v>173</v>
      </c>
      <c r="B206" s="135"/>
      <c r="C206" s="135"/>
      <c r="D206" s="135"/>
      <c r="E206" s="135"/>
      <c r="F206" s="135"/>
      <c r="G206" s="135"/>
      <c r="H206" s="135"/>
      <c r="I206" s="55"/>
      <c r="L206" s="134"/>
      <c r="M206" s="134"/>
    </row>
    <row r="207" spans="1:16" s="56" customFormat="1" hidden="1" x14ac:dyDescent="0.35">
      <c r="A207" s="135" t="s">
        <v>121</v>
      </c>
      <c r="B207" s="135"/>
      <c r="C207" s="135"/>
      <c r="D207" s="135"/>
      <c r="E207" s="135"/>
      <c r="F207" s="135"/>
      <c r="G207" s="135"/>
      <c r="H207" s="135"/>
      <c r="I207" s="55"/>
      <c r="L207" s="134"/>
      <c r="M207" s="134"/>
    </row>
    <row r="208" spans="1:16" s="56" customFormat="1" hidden="1" x14ac:dyDescent="0.35">
      <c r="A208" s="130">
        <v>1</v>
      </c>
      <c r="B208" s="130"/>
      <c r="C208" s="24" t="s">
        <v>170</v>
      </c>
      <c r="D208" s="24">
        <f>(26.23+0.9*2.75)*10.764</f>
        <v>308.98061999999999</v>
      </c>
      <c r="E208" s="24">
        <v>0</v>
      </c>
      <c r="F208" s="24">
        <v>650</v>
      </c>
      <c r="G208" s="130" t="str">
        <f>A207</f>
        <v>Ground Floor</v>
      </c>
      <c r="H208" s="130"/>
      <c r="I208" s="55"/>
      <c r="N208" s="55"/>
    </row>
    <row r="209" spans="1:16" s="56" customFormat="1" hidden="1" x14ac:dyDescent="0.35">
      <c r="A209" s="130">
        <f>A208+1</f>
        <v>2</v>
      </c>
      <c r="B209" s="130"/>
      <c r="C209" s="24" t="s">
        <v>170</v>
      </c>
      <c r="D209" s="24">
        <f t="shared" ref="D209:D210" si="38">(26.23+0.9*2.75)*10.764</f>
        <v>308.98061999999999</v>
      </c>
      <c r="E209" s="24">
        <v>0</v>
      </c>
      <c r="F209" s="24">
        <v>650</v>
      </c>
      <c r="G209" s="130" t="str">
        <f>G208</f>
        <v>Ground Floor</v>
      </c>
      <c r="H209" s="130"/>
      <c r="I209" s="55"/>
      <c r="N209" s="55"/>
    </row>
    <row r="210" spans="1:16" s="56" customFormat="1" hidden="1" x14ac:dyDescent="0.35">
      <c r="A210" s="130">
        <f>A209+1</f>
        <v>3</v>
      </c>
      <c r="B210" s="130"/>
      <c r="C210" s="24" t="s">
        <v>170</v>
      </c>
      <c r="D210" s="24">
        <f t="shared" si="38"/>
        <v>308.98061999999999</v>
      </c>
      <c r="E210" s="24">
        <v>0</v>
      </c>
      <c r="F210" s="24">
        <v>650</v>
      </c>
      <c r="G210" s="130" t="str">
        <f>G209</f>
        <v>Ground Floor</v>
      </c>
      <c r="H210" s="130"/>
      <c r="I210" s="55"/>
      <c r="N210" s="55"/>
    </row>
    <row r="211" spans="1:16" s="56" customFormat="1" hidden="1" x14ac:dyDescent="0.35">
      <c r="A211" s="130">
        <f>A210+1</f>
        <v>4</v>
      </c>
      <c r="B211" s="130"/>
      <c r="C211" s="24" t="s">
        <v>170</v>
      </c>
      <c r="D211" s="24">
        <f>(26.24+0.9*2.75)*10.764</f>
        <v>309.08825999999999</v>
      </c>
      <c r="E211" s="24">
        <v>0</v>
      </c>
      <c r="F211" s="24">
        <v>650</v>
      </c>
      <c r="G211" s="130" t="str">
        <f>G210</f>
        <v>Ground Floor</v>
      </c>
      <c r="H211" s="130"/>
      <c r="I211" s="55"/>
      <c r="N211" s="55"/>
    </row>
    <row r="212" spans="1:16" s="56" customFormat="1" hidden="1" x14ac:dyDescent="0.35">
      <c r="A212" s="136" t="s">
        <v>172</v>
      </c>
      <c r="B212" s="137"/>
      <c r="C212" s="137"/>
      <c r="D212" s="137"/>
      <c r="E212" s="137"/>
      <c r="F212" s="137"/>
      <c r="G212" s="137"/>
      <c r="H212" s="138"/>
      <c r="I212" s="55"/>
      <c r="P212" s="60"/>
    </row>
    <row r="213" spans="1:16" s="56" customFormat="1" hidden="1" x14ac:dyDescent="0.35">
      <c r="A213" s="128" t="str">
        <f t="shared" ref="A213:A217" ca="1" si="39">N213</f>
        <v>101 to 401</v>
      </c>
      <c r="B213" s="129"/>
      <c r="C213" s="24" t="s">
        <v>170</v>
      </c>
      <c r="D213" s="24">
        <f>(26.23+1.05*2.75+(0.75*(2.75+2+2.75)))*10.764</f>
        <v>373.96826999999996</v>
      </c>
      <c r="E213" s="24">
        <v>0</v>
      </c>
      <c r="F213" s="24">
        <v>650</v>
      </c>
      <c r="G213" s="128" t="str">
        <f>A212</f>
        <v>1st to 4th Floor</v>
      </c>
      <c r="H213" s="129"/>
      <c r="I213" s="55"/>
      <c r="J213" s="58"/>
      <c r="N213" s="56" t="str">
        <f t="shared" ref="N213:N217" ca="1" si="40">O213&amp;""&amp;" to "&amp;""&amp;P213</f>
        <v>101 to 401</v>
      </c>
      <c r="O213" s="56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10^ROW(INDIRECT("1:"&amp;LEN((LEFT(A212,SUM(LEN(A212)-LEN(SUBSTITUTE(A212,{"0","1","2"},""))))))))/10))*100+1</f>
        <v>101</v>
      </c>
      <c r="P213" s="56">
        <f ca="1">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",LEN(A212))),LEN(A212)))))))/10))*100+1</f>
        <v>401</v>
      </c>
    </row>
    <row r="214" spans="1:16" s="56" customFormat="1" hidden="1" x14ac:dyDescent="0.35">
      <c r="A214" s="128" t="str">
        <f t="shared" ca="1" si="39"/>
        <v>102 to 402</v>
      </c>
      <c r="B214" s="129"/>
      <c r="C214" s="24" t="s">
        <v>170</v>
      </c>
      <c r="D214" s="24">
        <f>(26.23+0.9*2.75+(0.75*(2.75+2+2.75)))*10.764</f>
        <v>369.52811999999994</v>
      </c>
      <c r="E214" s="24">
        <v>0</v>
      </c>
      <c r="F214" s="24">
        <v>650</v>
      </c>
      <c r="G214" s="128" t="str">
        <f>G213</f>
        <v>1st to 4th Floor</v>
      </c>
      <c r="H214" s="129"/>
      <c r="I214" s="55"/>
      <c r="J214" s="58"/>
      <c r="N214" s="56" t="str">
        <f t="shared" ca="1" si="40"/>
        <v>102 to 402</v>
      </c>
      <c r="O214" s="56">
        <f t="shared" ref="O214:P214" ca="1" si="41">O213+1</f>
        <v>102</v>
      </c>
      <c r="P214" s="56">
        <f t="shared" ca="1" si="41"/>
        <v>402</v>
      </c>
    </row>
    <row r="215" spans="1:16" s="56" customFormat="1" hidden="1" x14ac:dyDescent="0.35">
      <c r="A215" s="128" t="str">
        <f t="shared" ca="1" si="39"/>
        <v>103 to 403</v>
      </c>
      <c r="B215" s="129"/>
      <c r="C215" s="24" t="s">
        <v>170</v>
      </c>
      <c r="D215" s="24">
        <f>(26.23+0.9*2.75+(0.75*(2.75+2+2.75)))*10.764</f>
        <v>369.52811999999994</v>
      </c>
      <c r="E215" s="24">
        <v>0</v>
      </c>
      <c r="F215" s="24">
        <v>650</v>
      </c>
      <c r="G215" s="128" t="str">
        <f>G214</f>
        <v>1st to 4th Floor</v>
      </c>
      <c r="H215" s="129"/>
      <c r="I215" s="59"/>
      <c r="J215" s="58"/>
      <c r="N215" s="56" t="str">
        <f t="shared" ca="1" si="40"/>
        <v>103 to 403</v>
      </c>
      <c r="O215" s="56">
        <f t="shared" ref="O215:P215" ca="1" si="42">O214+1</f>
        <v>103</v>
      </c>
      <c r="P215" s="56">
        <f t="shared" ca="1" si="42"/>
        <v>403</v>
      </c>
    </row>
    <row r="216" spans="1:16" s="56" customFormat="1" hidden="1" x14ac:dyDescent="0.35">
      <c r="A216" s="128" t="str">
        <f t="shared" ca="1" si="39"/>
        <v>104 to 404</v>
      </c>
      <c r="B216" s="129"/>
      <c r="C216" s="24" t="s">
        <v>170</v>
      </c>
      <c r="D216" s="24">
        <f>(26.23+0.9*2.75+(0.75*(2.75+2+2.75)))*10.764</f>
        <v>369.52811999999994</v>
      </c>
      <c r="E216" s="24">
        <v>0</v>
      </c>
      <c r="F216" s="24">
        <v>650</v>
      </c>
      <c r="G216" s="128" t="str">
        <f>G215</f>
        <v>1st to 4th Floor</v>
      </c>
      <c r="H216" s="129"/>
      <c r="I216" s="55"/>
      <c r="J216" s="58"/>
      <c r="N216" s="56" t="str">
        <f t="shared" ca="1" si="40"/>
        <v>104 to 404</v>
      </c>
      <c r="O216" s="56">
        <f t="shared" ref="O216:P216" ca="1" si="43">O215+1</f>
        <v>104</v>
      </c>
      <c r="P216" s="56">
        <f t="shared" ca="1" si="43"/>
        <v>404</v>
      </c>
    </row>
    <row r="217" spans="1:16" s="56" customFormat="1" hidden="1" x14ac:dyDescent="0.35">
      <c r="A217" s="128" t="str">
        <f t="shared" ca="1" si="39"/>
        <v>105 to 405</v>
      </c>
      <c r="B217" s="129"/>
      <c r="C217" s="24" t="s">
        <v>170</v>
      </c>
      <c r="D217" s="24">
        <f>(26.23+1.05*2.75+(0.75*(2.75+2+2.75)))*10.764</f>
        <v>373.96826999999996</v>
      </c>
      <c r="E217" s="24">
        <v>0</v>
      </c>
      <c r="F217" s="24">
        <v>650</v>
      </c>
      <c r="G217" s="128" t="str">
        <f>G216</f>
        <v>1st to 4th Floor</v>
      </c>
      <c r="H217" s="129"/>
      <c r="I217" s="55"/>
      <c r="J217" s="58"/>
      <c r="N217" s="56" t="str">
        <f t="shared" ca="1" si="40"/>
        <v>105 to 405</v>
      </c>
      <c r="O217" s="56">
        <f t="shared" ref="O217:P217" ca="1" si="44">O216+1</f>
        <v>105</v>
      </c>
      <c r="P217" s="56">
        <f t="shared" ca="1" si="44"/>
        <v>405</v>
      </c>
    </row>
    <row r="218" spans="1:16" s="56" customFormat="1" hidden="1" x14ac:dyDescent="0.35">
      <c r="A218" s="135" t="s">
        <v>174</v>
      </c>
      <c r="B218" s="135"/>
      <c r="C218" s="135"/>
      <c r="D218" s="135"/>
      <c r="E218" s="135"/>
      <c r="F218" s="135"/>
      <c r="G218" s="135"/>
      <c r="H218" s="135"/>
      <c r="I218" s="55"/>
      <c r="L218" s="134"/>
      <c r="M218" s="134"/>
    </row>
    <row r="219" spans="1:16" s="56" customFormat="1" hidden="1" x14ac:dyDescent="0.35">
      <c r="A219" s="135" t="s">
        <v>121</v>
      </c>
      <c r="B219" s="135"/>
      <c r="C219" s="135"/>
      <c r="D219" s="135"/>
      <c r="E219" s="135"/>
      <c r="F219" s="135"/>
      <c r="G219" s="135"/>
      <c r="H219" s="135"/>
      <c r="I219" s="55"/>
      <c r="L219" s="134"/>
      <c r="M219" s="134"/>
    </row>
    <row r="220" spans="1:16" s="56" customFormat="1" hidden="1" x14ac:dyDescent="0.35">
      <c r="A220" s="130">
        <v>1</v>
      </c>
      <c r="B220" s="130"/>
      <c r="C220" s="24" t="s">
        <v>170</v>
      </c>
      <c r="D220" s="24">
        <f>(26.24+0.9*2.75)*10.764</f>
        <v>309.08825999999999</v>
      </c>
      <c r="E220" s="24">
        <v>0</v>
      </c>
      <c r="F220" s="24">
        <v>650</v>
      </c>
      <c r="G220" s="130" t="str">
        <f>A219</f>
        <v>Ground Floor</v>
      </c>
      <c r="H220" s="130"/>
      <c r="I220" s="55"/>
      <c r="N220" s="55"/>
    </row>
    <row r="221" spans="1:16" s="56" customFormat="1" hidden="1" x14ac:dyDescent="0.35">
      <c r="A221" s="130">
        <f t="shared" ref="A221:A227" si="45">A220+1</f>
        <v>2</v>
      </c>
      <c r="B221" s="130"/>
      <c r="C221" s="24" t="s">
        <v>170</v>
      </c>
      <c r="D221" s="24">
        <f>(26.24+0.9*2.75)*10.764</f>
        <v>309.08825999999999</v>
      </c>
      <c r="E221" s="24">
        <v>0</v>
      </c>
      <c r="F221" s="24">
        <v>650</v>
      </c>
      <c r="G221" s="130" t="str">
        <f t="shared" ref="G221:G227" si="46">G220</f>
        <v>Ground Floor</v>
      </c>
      <c r="H221" s="130"/>
      <c r="I221" s="55"/>
      <c r="N221" s="55"/>
    </row>
    <row r="222" spans="1:16" s="56" customFormat="1" hidden="1" x14ac:dyDescent="0.35">
      <c r="A222" s="130">
        <f t="shared" si="45"/>
        <v>3</v>
      </c>
      <c r="B222" s="130"/>
      <c r="C222" s="24" t="s">
        <v>171</v>
      </c>
      <c r="D222" s="24">
        <f>(18.54+0.9*2.75)*10.764</f>
        <v>226.20545999999999</v>
      </c>
      <c r="E222" s="24">
        <v>0</v>
      </c>
      <c r="F222" s="24">
        <v>410</v>
      </c>
      <c r="G222" s="130" t="str">
        <f t="shared" si="46"/>
        <v>Ground Floor</v>
      </c>
      <c r="H222" s="130"/>
      <c r="I222" s="55"/>
      <c r="N222" s="55"/>
    </row>
    <row r="223" spans="1:16" s="56" customFormat="1" hidden="1" x14ac:dyDescent="0.35">
      <c r="A223" s="130">
        <f t="shared" si="45"/>
        <v>4</v>
      </c>
      <c r="B223" s="130"/>
      <c r="C223" s="24" t="s">
        <v>170</v>
      </c>
      <c r="D223" s="24">
        <f>(26.23+0.9*2.75)*10.764</f>
        <v>308.98061999999999</v>
      </c>
      <c r="E223" s="24">
        <v>0</v>
      </c>
      <c r="F223" s="24">
        <v>650</v>
      </c>
      <c r="G223" s="130" t="str">
        <f t="shared" si="46"/>
        <v>Ground Floor</v>
      </c>
      <c r="H223" s="130"/>
      <c r="I223" s="55"/>
      <c r="N223" s="55"/>
    </row>
    <row r="224" spans="1:16" s="56" customFormat="1" hidden="1" x14ac:dyDescent="0.35">
      <c r="A224" s="130">
        <f t="shared" si="45"/>
        <v>5</v>
      </c>
      <c r="B224" s="130"/>
      <c r="C224" s="24" t="s">
        <v>170</v>
      </c>
      <c r="D224" s="24">
        <f t="shared" ref="D224:D227" si="47">(26.23+0.9*2.75)*10.764</f>
        <v>308.98061999999999</v>
      </c>
      <c r="E224" s="24">
        <v>0</v>
      </c>
      <c r="F224" s="24">
        <v>650</v>
      </c>
      <c r="G224" s="130" t="str">
        <f t="shared" si="46"/>
        <v>Ground Floor</v>
      </c>
      <c r="H224" s="130"/>
      <c r="I224" s="55"/>
      <c r="N224" s="55"/>
    </row>
    <row r="225" spans="1:16" s="56" customFormat="1" hidden="1" x14ac:dyDescent="0.35">
      <c r="A225" s="130">
        <f t="shared" si="45"/>
        <v>6</v>
      </c>
      <c r="B225" s="130"/>
      <c r="C225" s="24" t="s">
        <v>171</v>
      </c>
      <c r="D225" s="24">
        <f>(18.54+0.9*2.75)*10.764</f>
        <v>226.20545999999999</v>
      </c>
      <c r="E225" s="24">
        <v>0</v>
      </c>
      <c r="F225" s="24">
        <v>410</v>
      </c>
      <c r="G225" s="130" t="str">
        <f t="shared" si="46"/>
        <v>Ground Floor</v>
      </c>
      <c r="H225" s="130"/>
      <c r="I225" s="55"/>
      <c r="N225" s="55"/>
    </row>
    <row r="226" spans="1:16" s="56" customFormat="1" hidden="1" x14ac:dyDescent="0.35">
      <c r="A226" s="130">
        <f t="shared" si="45"/>
        <v>7</v>
      </c>
      <c r="B226" s="130"/>
      <c r="C226" s="24" t="s">
        <v>170</v>
      </c>
      <c r="D226" s="24">
        <f t="shared" si="47"/>
        <v>308.98061999999999</v>
      </c>
      <c r="E226" s="24">
        <v>0</v>
      </c>
      <c r="F226" s="24">
        <v>650</v>
      </c>
      <c r="G226" s="130" t="str">
        <f t="shared" si="46"/>
        <v>Ground Floor</v>
      </c>
      <c r="H226" s="130"/>
      <c r="I226" s="55"/>
      <c r="N226" s="55"/>
    </row>
    <row r="227" spans="1:16" s="56" customFormat="1" hidden="1" x14ac:dyDescent="0.35">
      <c r="A227" s="130">
        <f t="shared" si="45"/>
        <v>8</v>
      </c>
      <c r="B227" s="130"/>
      <c r="C227" s="24" t="s">
        <v>170</v>
      </c>
      <c r="D227" s="24">
        <f t="shared" si="47"/>
        <v>308.98061999999999</v>
      </c>
      <c r="E227" s="24">
        <v>0</v>
      </c>
      <c r="F227" s="24">
        <v>650</v>
      </c>
      <c r="G227" s="130" t="str">
        <f t="shared" si="46"/>
        <v>Ground Floor</v>
      </c>
      <c r="H227" s="130"/>
      <c r="I227" s="55"/>
      <c r="N227" s="55"/>
    </row>
    <row r="228" spans="1:16" s="56" customFormat="1" hidden="1" x14ac:dyDescent="0.35">
      <c r="A228" s="136" t="s">
        <v>172</v>
      </c>
      <c r="B228" s="137"/>
      <c r="C228" s="137"/>
      <c r="D228" s="137"/>
      <c r="E228" s="137"/>
      <c r="F228" s="137"/>
      <c r="G228" s="137"/>
      <c r="H228" s="138"/>
      <c r="I228" s="55"/>
      <c r="P228" s="60"/>
    </row>
    <row r="229" spans="1:16" s="56" customFormat="1" hidden="1" x14ac:dyDescent="0.35">
      <c r="A229" s="128" t="str">
        <f t="shared" ref="A229:A234" ca="1" si="48">N229</f>
        <v>101 to 401</v>
      </c>
      <c r="B229" s="129"/>
      <c r="C229" s="24" t="s">
        <v>170</v>
      </c>
      <c r="D229" s="24">
        <f t="shared" ref="D229:D230" si="49">(26.23+0.9*2.75+(0.75*(2.75+2+2.75)))*10.764</f>
        <v>369.52811999999994</v>
      </c>
      <c r="E229" s="24">
        <v>0</v>
      </c>
      <c r="F229" s="24">
        <v>650</v>
      </c>
      <c r="G229" s="128" t="str">
        <f>A228</f>
        <v>1st to 4th Floor</v>
      </c>
      <c r="H229" s="129"/>
      <c r="I229" s="55"/>
      <c r="N229" s="56" t="str">
        <f t="shared" ref="N229:N234" ca="1" si="50">O229&amp;""&amp;" to "&amp;""&amp;P229</f>
        <v>101 to 401</v>
      </c>
      <c r="O229" s="56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10^ROW(INDIRECT("1:"&amp;LEN((LEFT(A228,SUM(LEN(A228)-LEN(SUBSTITUTE(A228,{"0","1","2"},""))))))))/10))*100+1</f>
        <v>101</v>
      </c>
      <c r="P229" s="56">
        <f ca="1">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",LEN(A228))),LEN(A228)))))))/10))*100+1</f>
        <v>401</v>
      </c>
    </row>
    <row r="230" spans="1:16" s="56" customFormat="1" hidden="1" x14ac:dyDescent="0.35">
      <c r="A230" s="128" t="str">
        <f t="shared" ca="1" si="48"/>
        <v>102 to 402</v>
      </c>
      <c r="B230" s="129"/>
      <c r="C230" s="24" t="s">
        <v>170</v>
      </c>
      <c r="D230" s="24">
        <f t="shared" si="49"/>
        <v>369.52811999999994</v>
      </c>
      <c r="E230" s="24">
        <v>0</v>
      </c>
      <c r="F230" s="24">
        <v>650</v>
      </c>
      <c r="G230" s="128" t="str">
        <f t="shared" ref="G230:G236" si="51">G229</f>
        <v>1st to 4th Floor</v>
      </c>
      <c r="H230" s="129"/>
      <c r="I230" s="55"/>
      <c r="N230" s="56" t="str">
        <f t="shared" ca="1" si="50"/>
        <v>102 to 402</v>
      </c>
      <c r="O230" s="56">
        <f t="shared" ref="O230:P230" ca="1" si="52">O229+1</f>
        <v>102</v>
      </c>
      <c r="P230" s="56">
        <f t="shared" ca="1" si="52"/>
        <v>402</v>
      </c>
    </row>
    <row r="231" spans="1:16" s="56" customFormat="1" hidden="1" x14ac:dyDescent="0.35">
      <c r="A231" s="128" t="str">
        <f t="shared" ca="1" si="48"/>
        <v>103 to 403</v>
      </c>
      <c r="B231" s="129"/>
      <c r="C231" s="24" t="s">
        <v>170</v>
      </c>
      <c r="D231" s="24">
        <f>(26.23+0.9*2.75+(0.75*(2.75+2+2.75)))*10.764</f>
        <v>369.52811999999994</v>
      </c>
      <c r="E231" s="24">
        <v>0</v>
      </c>
      <c r="F231" s="24">
        <v>650</v>
      </c>
      <c r="G231" s="128" t="str">
        <f t="shared" si="51"/>
        <v>1st to 4th Floor</v>
      </c>
      <c r="H231" s="129"/>
      <c r="I231" s="55"/>
      <c r="N231" s="56" t="str">
        <f t="shared" ca="1" si="50"/>
        <v>103 to 403</v>
      </c>
      <c r="O231" s="56">
        <f t="shared" ref="O231:P231" ca="1" si="53">O230+1</f>
        <v>103</v>
      </c>
      <c r="P231" s="56">
        <f t="shared" ca="1" si="53"/>
        <v>403</v>
      </c>
    </row>
    <row r="232" spans="1:16" s="56" customFormat="1" hidden="1" x14ac:dyDescent="0.35">
      <c r="A232" s="128" t="str">
        <f t="shared" ca="1" si="48"/>
        <v>104 to 404</v>
      </c>
      <c r="B232" s="129"/>
      <c r="C232" s="24" t="s">
        <v>170</v>
      </c>
      <c r="D232" s="24">
        <f>(26.23+1.05*2.75+(0.75*(2.75+2+2.75)))*10.764</f>
        <v>373.96826999999996</v>
      </c>
      <c r="E232" s="24">
        <v>0</v>
      </c>
      <c r="F232" s="24">
        <v>650</v>
      </c>
      <c r="G232" s="128" t="str">
        <f t="shared" si="51"/>
        <v>1st to 4th Floor</v>
      </c>
      <c r="H232" s="129"/>
      <c r="I232" s="55"/>
      <c r="N232" s="56" t="str">
        <f t="shared" ca="1" si="50"/>
        <v>104 to 404</v>
      </c>
      <c r="O232" s="56">
        <f t="shared" ref="O232:P232" ca="1" si="54">O231+1</f>
        <v>104</v>
      </c>
      <c r="P232" s="56">
        <f t="shared" ca="1" si="54"/>
        <v>404</v>
      </c>
    </row>
    <row r="233" spans="1:16" s="56" customFormat="1" hidden="1" x14ac:dyDescent="0.35">
      <c r="A233" s="128" t="str">
        <f t="shared" ca="1" si="48"/>
        <v>105 to 405</v>
      </c>
      <c r="B233" s="129"/>
      <c r="C233" s="24" t="s">
        <v>170</v>
      </c>
      <c r="D233" s="24">
        <f>(26.23+1.05*2.75+(0.75*(2.75+2+2.75)))*10.764</f>
        <v>373.96826999999996</v>
      </c>
      <c r="E233" s="24">
        <v>0</v>
      </c>
      <c r="F233" s="24">
        <v>650</v>
      </c>
      <c r="G233" s="128" t="str">
        <f t="shared" si="51"/>
        <v>1st to 4th Floor</v>
      </c>
      <c r="H233" s="129"/>
      <c r="I233" s="55"/>
      <c r="N233" s="56" t="str">
        <f t="shared" ca="1" si="50"/>
        <v>105 to 405</v>
      </c>
      <c r="O233" s="56">
        <f t="shared" ref="O233:P233" ca="1" si="55">O232+1</f>
        <v>105</v>
      </c>
      <c r="P233" s="56">
        <f t="shared" ca="1" si="55"/>
        <v>405</v>
      </c>
    </row>
    <row r="234" spans="1:16" s="56" customFormat="1" hidden="1" x14ac:dyDescent="0.35">
      <c r="A234" s="128" t="str">
        <f t="shared" ca="1" si="48"/>
        <v>106 to 406</v>
      </c>
      <c r="B234" s="129"/>
      <c r="C234" s="24" t="s">
        <v>170</v>
      </c>
      <c r="D234" s="24">
        <f>(26.23+1.05*2.75+(0.75*(2.75+2+2.75)))*10.764</f>
        <v>373.96826999999996</v>
      </c>
      <c r="E234" s="24">
        <v>0</v>
      </c>
      <c r="F234" s="24">
        <v>650</v>
      </c>
      <c r="G234" s="128" t="str">
        <f t="shared" si="51"/>
        <v>1st to 4th Floor</v>
      </c>
      <c r="H234" s="129"/>
      <c r="I234" s="55"/>
      <c r="N234" s="56" t="str">
        <f t="shared" ca="1" si="50"/>
        <v>106 to 406</v>
      </c>
      <c r="O234" s="56">
        <f ca="1">O233+1</f>
        <v>106</v>
      </c>
      <c r="P234" s="56">
        <f ca="1">P233+1</f>
        <v>406</v>
      </c>
    </row>
    <row r="235" spans="1:16" s="56" customFormat="1" hidden="1" x14ac:dyDescent="0.35">
      <c r="A235" s="128" t="str">
        <f t="shared" ref="A235:A236" ca="1" si="56">N235</f>
        <v>107 to 407</v>
      </c>
      <c r="B235" s="129"/>
      <c r="C235" s="24" t="s">
        <v>170</v>
      </c>
      <c r="D235" s="24">
        <f>(26.23+0.9*2.75+(0.75*(2.75+2+2.75)))*10.764</f>
        <v>369.52811999999994</v>
      </c>
      <c r="E235" s="24">
        <v>0</v>
      </c>
      <c r="F235" s="24">
        <v>650</v>
      </c>
      <c r="G235" s="128" t="str">
        <f t="shared" si="51"/>
        <v>1st to 4th Floor</v>
      </c>
      <c r="H235" s="129"/>
      <c r="I235" s="55"/>
      <c r="N235" s="56" t="str">
        <f t="shared" ref="N235:N236" ca="1" si="57">O235&amp;""&amp;" to "&amp;""&amp;P235</f>
        <v>107 to 407</v>
      </c>
      <c r="O235" s="56">
        <f t="shared" ref="O235:P235" ca="1" si="58">O234+1</f>
        <v>107</v>
      </c>
      <c r="P235" s="56">
        <f t="shared" ca="1" si="58"/>
        <v>407</v>
      </c>
    </row>
    <row r="236" spans="1:16" s="56" customFormat="1" hidden="1" x14ac:dyDescent="0.35">
      <c r="A236" s="128" t="str">
        <f t="shared" ca="1" si="56"/>
        <v>108 to 408</v>
      </c>
      <c r="B236" s="129"/>
      <c r="C236" s="24" t="s">
        <v>170</v>
      </c>
      <c r="D236" s="24">
        <f>(26.23+0.9*2.75+(0.75*(2.75+2+2.75)))*10.764</f>
        <v>369.52811999999994</v>
      </c>
      <c r="E236" s="24">
        <v>0</v>
      </c>
      <c r="F236" s="24">
        <v>650</v>
      </c>
      <c r="G236" s="128" t="str">
        <f t="shared" si="51"/>
        <v>1st to 4th Floor</v>
      </c>
      <c r="H236" s="129"/>
      <c r="I236" s="55"/>
      <c r="N236" s="56" t="str">
        <f t="shared" ca="1" si="57"/>
        <v>108 to 408</v>
      </c>
      <c r="O236" s="56">
        <f ca="1">O235+1</f>
        <v>108</v>
      </c>
      <c r="P236" s="56">
        <f ca="1">P235+1</f>
        <v>408</v>
      </c>
    </row>
    <row r="237" spans="1:16" s="54" customFormat="1" x14ac:dyDescent="0.35">
      <c r="A237" s="186" t="s">
        <v>72</v>
      </c>
      <c r="B237" s="186"/>
      <c r="C237" s="186"/>
      <c r="D237" s="186"/>
      <c r="E237" s="186"/>
      <c r="F237" s="186"/>
      <c r="G237" s="186"/>
      <c r="H237" s="186"/>
    </row>
    <row r="238" spans="1:16" s="54" customFormat="1" ht="15.75" customHeight="1" x14ac:dyDescent="0.35">
      <c r="A238" s="27">
        <v>1</v>
      </c>
      <c r="B238" s="131" t="s">
        <v>244</v>
      </c>
      <c r="C238" s="132"/>
      <c r="D238" s="132"/>
      <c r="E238" s="132"/>
      <c r="F238" s="132"/>
      <c r="G238" s="132"/>
      <c r="H238" s="133"/>
    </row>
    <row r="239" spans="1:16" s="54" customFormat="1" x14ac:dyDescent="0.35">
      <c r="A239" s="27">
        <f t="shared" ref="A239:A249" si="59">A238+1</f>
        <v>2</v>
      </c>
      <c r="B239" s="131" t="str">
        <f>(IF(F191="Saleable area Loading :","We have considered Saleable area of Flats as per our Calculation.","We considered Saleable area of Flat as per Builder area Sheet."))</f>
        <v>We considered Saleable area of Flat as per Builder area Sheet.</v>
      </c>
      <c r="C239" s="132"/>
      <c r="D239" s="132"/>
      <c r="E239" s="132"/>
      <c r="F239" s="132"/>
      <c r="G239" s="132"/>
      <c r="H239" s="133"/>
    </row>
    <row r="240" spans="1:16" s="54" customFormat="1" x14ac:dyDescent="0.35">
      <c r="A240" s="27">
        <v>3</v>
      </c>
      <c r="B240" s="107" t="s">
        <v>126</v>
      </c>
      <c r="C240" s="108"/>
      <c r="D240" s="108"/>
      <c r="E240" s="108"/>
      <c r="F240" s="108"/>
      <c r="G240" s="108"/>
      <c r="H240" s="109"/>
    </row>
    <row r="241" spans="1:8" s="54" customFormat="1" x14ac:dyDescent="0.35">
      <c r="A241" s="27">
        <f t="shared" si="59"/>
        <v>4</v>
      </c>
      <c r="B241" s="107" t="s">
        <v>154</v>
      </c>
      <c r="C241" s="108"/>
      <c r="D241" s="108"/>
      <c r="E241" s="108"/>
      <c r="F241" s="108"/>
      <c r="G241" s="108"/>
      <c r="H241" s="109"/>
    </row>
    <row r="242" spans="1:8" s="54" customFormat="1" ht="34.5" customHeight="1" x14ac:dyDescent="0.35">
      <c r="A242" s="27">
        <f t="shared" si="59"/>
        <v>5</v>
      </c>
      <c r="B242" s="107" t="s">
        <v>225</v>
      </c>
      <c r="C242" s="108"/>
      <c r="D242" s="108"/>
      <c r="E242" s="108"/>
      <c r="F242" s="108"/>
      <c r="G242" s="108"/>
      <c r="H242" s="109"/>
    </row>
    <row r="243" spans="1:8" s="54" customFormat="1" x14ac:dyDescent="0.35">
      <c r="A243" s="27">
        <f t="shared" si="59"/>
        <v>6</v>
      </c>
      <c r="B243" s="107" t="s">
        <v>127</v>
      </c>
      <c r="C243" s="108"/>
      <c r="D243" s="108"/>
      <c r="E243" s="108"/>
      <c r="F243" s="108"/>
      <c r="G243" s="108"/>
      <c r="H243" s="109"/>
    </row>
    <row r="244" spans="1:8" s="54" customFormat="1" ht="31.5" customHeight="1" x14ac:dyDescent="0.35">
      <c r="A244" s="27">
        <f t="shared" si="59"/>
        <v>7</v>
      </c>
      <c r="B244" s="107" t="s">
        <v>183</v>
      </c>
      <c r="C244" s="108"/>
      <c r="D244" s="108"/>
      <c r="E244" s="108"/>
      <c r="F244" s="108"/>
      <c r="G244" s="108"/>
      <c r="H244" s="109"/>
    </row>
    <row r="245" spans="1:8" s="54" customFormat="1" x14ac:dyDescent="0.35">
      <c r="A245" s="69">
        <f t="shared" si="59"/>
        <v>8</v>
      </c>
      <c r="B245" s="107" t="s">
        <v>128</v>
      </c>
      <c r="C245" s="108"/>
      <c r="D245" s="108"/>
      <c r="E245" s="108"/>
      <c r="F245" s="108"/>
      <c r="G245" s="108"/>
      <c r="H245" s="109"/>
    </row>
    <row r="246" spans="1:8" s="54" customFormat="1" x14ac:dyDescent="0.35">
      <c r="A246" s="69">
        <f t="shared" si="59"/>
        <v>9</v>
      </c>
      <c r="B246" s="107" t="s">
        <v>226</v>
      </c>
      <c r="C246" s="108"/>
      <c r="D246" s="108"/>
      <c r="E246" s="108"/>
      <c r="F246" s="108"/>
      <c r="G246" s="108"/>
      <c r="H246" s="109"/>
    </row>
    <row r="247" spans="1:8" s="54" customFormat="1" ht="31.5" customHeight="1" x14ac:dyDescent="0.35">
      <c r="A247" s="88">
        <f t="shared" si="59"/>
        <v>10</v>
      </c>
      <c r="B247" s="208" t="s">
        <v>235</v>
      </c>
      <c r="C247" s="208"/>
      <c r="D247" s="208"/>
      <c r="E247" s="208"/>
      <c r="F247" s="208"/>
      <c r="G247" s="208"/>
      <c r="H247" s="208"/>
    </row>
    <row r="248" spans="1:8" s="54" customFormat="1" ht="31.5" customHeight="1" x14ac:dyDescent="0.35">
      <c r="A248" s="88">
        <f t="shared" si="59"/>
        <v>11</v>
      </c>
      <c r="B248" s="208" t="s">
        <v>239</v>
      </c>
      <c r="C248" s="208"/>
      <c r="D248" s="208"/>
      <c r="E248" s="208"/>
      <c r="F248" s="208"/>
      <c r="G248" s="208"/>
      <c r="H248" s="208"/>
    </row>
    <row r="249" spans="1:8" s="54" customFormat="1" x14ac:dyDescent="0.35">
      <c r="A249" s="88">
        <f t="shared" si="59"/>
        <v>12</v>
      </c>
      <c r="B249" s="208" t="s">
        <v>241</v>
      </c>
      <c r="C249" s="208"/>
      <c r="D249" s="208"/>
      <c r="E249" s="208"/>
      <c r="F249" s="208"/>
      <c r="G249" s="208"/>
      <c r="H249" s="208"/>
    </row>
    <row r="250" spans="1:8" x14ac:dyDescent="0.35">
      <c r="A250" s="187" t="s">
        <v>65</v>
      </c>
      <c r="B250" s="187"/>
      <c r="C250" s="187"/>
      <c r="D250" s="187"/>
      <c r="E250" s="187"/>
      <c r="F250" s="187"/>
      <c r="G250" s="187"/>
      <c r="H250" s="187"/>
    </row>
    <row r="251" spans="1:8" x14ac:dyDescent="0.35">
      <c r="A251" s="151" t="s">
        <v>66</v>
      </c>
      <c r="B251" s="151"/>
      <c r="C251" s="151"/>
      <c r="D251" s="151"/>
      <c r="E251" s="151"/>
      <c r="F251" s="151"/>
      <c r="G251" s="151"/>
      <c r="H251" s="151"/>
    </row>
    <row r="252" spans="1:8" ht="15.75" customHeight="1" x14ac:dyDescent="0.35">
      <c r="A252" s="193" t="s">
        <v>67</v>
      </c>
      <c r="B252" s="193"/>
      <c r="C252" s="193"/>
      <c r="D252" s="193"/>
      <c r="E252" s="193"/>
      <c r="F252" s="193"/>
      <c r="G252" s="193"/>
      <c r="H252" s="193"/>
    </row>
    <row r="253" spans="1:8" x14ac:dyDescent="0.35">
      <c r="A253" s="151" t="s">
        <v>68</v>
      </c>
      <c r="B253" s="151"/>
      <c r="C253" s="151"/>
      <c r="D253" s="151"/>
      <c r="E253" s="151"/>
      <c r="F253" s="151"/>
      <c r="G253" s="151"/>
      <c r="H253" s="151"/>
    </row>
    <row r="254" spans="1:8" x14ac:dyDescent="0.35">
      <c r="A254" s="151" t="s">
        <v>69</v>
      </c>
      <c r="B254" s="151"/>
      <c r="C254" s="151"/>
      <c r="D254" s="151"/>
      <c r="E254" s="151"/>
      <c r="F254" s="151"/>
      <c r="G254" s="151"/>
      <c r="H254" s="151"/>
    </row>
    <row r="255" spans="1:8" x14ac:dyDescent="0.35">
      <c r="A255" s="151" t="s">
        <v>129</v>
      </c>
      <c r="B255" s="151"/>
      <c r="C255" s="151"/>
      <c r="D255" s="151"/>
      <c r="E255" s="151"/>
      <c r="F255" s="151"/>
      <c r="G255" s="151"/>
      <c r="H255" s="151"/>
    </row>
    <row r="256" spans="1:8" ht="35.25" customHeight="1" x14ac:dyDescent="0.35">
      <c r="A256" s="162" t="s">
        <v>130</v>
      </c>
      <c r="B256" s="162"/>
      <c r="C256" s="162"/>
      <c r="D256" s="162"/>
      <c r="E256" s="162"/>
      <c r="F256" s="162"/>
      <c r="G256" s="162"/>
      <c r="H256" s="162"/>
    </row>
    <row r="257" spans="1:8" x14ac:dyDescent="0.35">
      <c r="A257" s="185" t="s">
        <v>82</v>
      </c>
      <c r="B257" s="185"/>
      <c r="C257" s="185" t="s">
        <v>242</v>
      </c>
      <c r="D257" s="185"/>
      <c r="E257" s="185" t="s">
        <v>108</v>
      </c>
      <c r="F257" s="185"/>
      <c r="G257" s="185" t="s">
        <v>245</v>
      </c>
      <c r="H257" s="185"/>
    </row>
    <row r="258" spans="1:8" x14ac:dyDescent="0.35">
      <c r="A258" s="184" t="s">
        <v>84</v>
      </c>
      <c r="B258" s="184"/>
      <c r="C258" s="184"/>
      <c r="D258" s="184"/>
      <c r="E258" s="184"/>
      <c r="F258" s="184"/>
      <c r="G258" s="184"/>
      <c r="H258" s="184"/>
    </row>
    <row r="259" spans="1:8" x14ac:dyDescent="0.35">
      <c r="A259" s="184"/>
      <c r="B259" s="184"/>
      <c r="C259" s="184"/>
      <c r="D259" s="184"/>
      <c r="E259" s="184"/>
      <c r="F259" s="184"/>
      <c r="G259" s="184"/>
      <c r="H259" s="184"/>
    </row>
    <row r="260" spans="1:8" x14ac:dyDescent="0.35">
      <c r="A260" s="184"/>
      <c r="B260" s="184"/>
      <c r="C260" s="184"/>
      <c r="D260" s="184"/>
      <c r="E260" s="184"/>
      <c r="F260" s="184"/>
      <c r="G260" s="184"/>
      <c r="H260" s="184"/>
    </row>
    <row r="261" spans="1:8" x14ac:dyDescent="0.35">
      <c r="A261" s="184"/>
      <c r="B261" s="184"/>
      <c r="C261" s="184"/>
      <c r="D261" s="184"/>
      <c r="E261" s="184"/>
      <c r="F261" s="184"/>
      <c r="G261" s="184"/>
      <c r="H261" s="184"/>
    </row>
    <row r="262" spans="1:8" x14ac:dyDescent="0.35">
      <c r="A262" s="61" t="s">
        <v>70</v>
      </c>
      <c r="B262" s="62"/>
      <c r="C262" s="62"/>
      <c r="D262" s="61" t="str">
        <f>E8</f>
        <v>Akshay Enclave</v>
      </c>
      <c r="F262" s="62"/>
      <c r="G262" s="62"/>
      <c r="H262" s="62"/>
    </row>
    <row r="263" spans="1:8" x14ac:dyDescent="0.35">
      <c r="A263" s="62"/>
      <c r="B263" s="62"/>
      <c r="C263" s="62"/>
      <c r="D263" s="62"/>
      <c r="E263" s="62"/>
      <c r="F263" s="62"/>
      <c r="G263" s="62"/>
      <c r="H263" s="62"/>
    </row>
    <row r="264" spans="1:8" x14ac:dyDescent="0.35">
      <c r="A264" s="62"/>
      <c r="B264" s="62"/>
      <c r="C264" s="62"/>
      <c r="D264" s="62"/>
      <c r="E264" s="62"/>
      <c r="F264" s="62"/>
      <c r="G264" s="62"/>
      <c r="H264" s="62"/>
    </row>
    <row r="265" spans="1:8" ht="15" customHeight="1" x14ac:dyDescent="0.35"/>
    <row r="308" spans="1:1" x14ac:dyDescent="0.35">
      <c r="A308" s="64" t="s">
        <v>227</v>
      </c>
    </row>
    <row r="347" spans="1:1" x14ac:dyDescent="0.35">
      <c r="A347" s="64" t="s">
        <v>71</v>
      </c>
    </row>
  </sheetData>
  <mergeCells count="475">
    <mergeCell ref="B249:H249"/>
    <mergeCell ref="L185:M185"/>
    <mergeCell ref="C172:H172"/>
    <mergeCell ref="A185:H185"/>
    <mergeCell ref="A187:B187"/>
    <mergeCell ref="A188:H188"/>
    <mergeCell ref="L188:M188"/>
    <mergeCell ref="A190:B190"/>
    <mergeCell ref="A186:H186"/>
    <mergeCell ref="L186:M186"/>
    <mergeCell ref="A189:H189"/>
    <mergeCell ref="L189:M189"/>
    <mergeCell ref="C183:C184"/>
    <mergeCell ref="D183:D184"/>
    <mergeCell ref="E183:E184"/>
    <mergeCell ref="F183:F184"/>
    <mergeCell ref="G183:G184"/>
    <mergeCell ref="A182:H182"/>
    <mergeCell ref="L182:M182"/>
    <mergeCell ref="A183:B184"/>
    <mergeCell ref="A177:B177"/>
    <mergeCell ref="L177:M177"/>
    <mergeCell ref="A178:B178"/>
    <mergeCell ref="L178:M178"/>
    <mergeCell ref="A179:B179"/>
    <mergeCell ref="L179:M179"/>
    <mergeCell ref="A180:B180"/>
    <mergeCell ref="L180:M180"/>
    <mergeCell ref="A181:B181"/>
    <mergeCell ref="L181:M181"/>
    <mergeCell ref="A173:B173"/>
    <mergeCell ref="L173:M173"/>
    <mergeCell ref="A174:B174"/>
    <mergeCell ref="L174:M174"/>
    <mergeCell ref="A175:B175"/>
    <mergeCell ref="L175:M175"/>
    <mergeCell ref="A176:H176"/>
    <mergeCell ref="A169:B169"/>
    <mergeCell ref="L169:M169"/>
    <mergeCell ref="A170:H170"/>
    <mergeCell ref="A171:B171"/>
    <mergeCell ref="L171:M171"/>
    <mergeCell ref="A172:B172"/>
    <mergeCell ref="L172:M172"/>
    <mergeCell ref="A163:H163"/>
    <mergeCell ref="A164:H164"/>
    <mergeCell ref="A165:B165"/>
    <mergeCell ref="L165:M165"/>
    <mergeCell ref="A166:B166"/>
    <mergeCell ref="L166:M166"/>
    <mergeCell ref="A167:B167"/>
    <mergeCell ref="L167:M167"/>
    <mergeCell ref="A168:B168"/>
    <mergeCell ref="L168:M168"/>
    <mergeCell ref="L152:M152"/>
    <mergeCell ref="A153:B153"/>
    <mergeCell ref="L153:M153"/>
    <mergeCell ref="A154:B154"/>
    <mergeCell ref="L154:M154"/>
    <mergeCell ref="A155:B155"/>
    <mergeCell ref="L155:M155"/>
    <mergeCell ref="A156:B156"/>
    <mergeCell ref="L156:M156"/>
    <mergeCell ref="A152:B152"/>
    <mergeCell ref="E41:H41"/>
    <mergeCell ref="A41:D41"/>
    <mergeCell ref="A255:H255"/>
    <mergeCell ref="A252:H252"/>
    <mergeCell ref="A119:B119"/>
    <mergeCell ref="G191:H191"/>
    <mergeCell ref="A103:B103"/>
    <mergeCell ref="A104:B104"/>
    <mergeCell ref="A105:B105"/>
    <mergeCell ref="A95:B95"/>
    <mergeCell ref="C95:H95"/>
    <mergeCell ref="A76:B76"/>
    <mergeCell ref="F110:H110"/>
    <mergeCell ref="A109:H109"/>
    <mergeCell ref="A48:B48"/>
    <mergeCell ref="C48:E48"/>
    <mergeCell ref="E123:F123"/>
    <mergeCell ref="G123:H123"/>
    <mergeCell ref="G121:H121"/>
    <mergeCell ref="A122:B122"/>
    <mergeCell ref="C122:D122"/>
    <mergeCell ref="E122:F122"/>
    <mergeCell ref="G48:H48"/>
    <mergeCell ref="G50:H50"/>
    <mergeCell ref="D54:H54"/>
    <mergeCell ref="C50:E50"/>
    <mergeCell ref="A57:C59"/>
    <mergeCell ref="D57:H57"/>
    <mergeCell ref="D59:H59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D58:H58"/>
    <mergeCell ref="A258:H261"/>
    <mergeCell ref="A257:B257"/>
    <mergeCell ref="E257:F257"/>
    <mergeCell ref="C257:D257"/>
    <mergeCell ref="G257:H257"/>
    <mergeCell ref="A113:E113"/>
    <mergeCell ref="F113:H113"/>
    <mergeCell ref="A114:E114"/>
    <mergeCell ref="F114:H114"/>
    <mergeCell ref="A120:B120"/>
    <mergeCell ref="A253:H253"/>
    <mergeCell ref="A118:H118"/>
    <mergeCell ref="A256:H256"/>
    <mergeCell ref="A254:H254"/>
    <mergeCell ref="A237:H237"/>
    <mergeCell ref="A250:H250"/>
    <mergeCell ref="A251:H251"/>
    <mergeCell ref="E119:F119"/>
    <mergeCell ref="A124:H124"/>
    <mergeCell ref="B246:H246"/>
    <mergeCell ref="B247:H247"/>
    <mergeCell ref="B243:H243"/>
    <mergeCell ref="B238:H238"/>
    <mergeCell ref="A157:H157"/>
    <mergeCell ref="A65:C65"/>
    <mergeCell ref="D65:H65"/>
    <mergeCell ref="A71:B71"/>
    <mergeCell ref="G70:H70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4:H64"/>
    <mergeCell ref="A60:C60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A44:D44"/>
    <mergeCell ref="A45:D45"/>
    <mergeCell ref="A46:H46"/>
    <mergeCell ref="D56:H56"/>
    <mergeCell ref="A56:C56"/>
    <mergeCell ref="G49:H49"/>
    <mergeCell ref="A50:B51"/>
    <mergeCell ref="A77:B77"/>
    <mergeCell ref="A70:B70"/>
    <mergeCell ref="A73:B73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9:D9"/>
    <mergeCell ref="E9:H9"/>
    <mergeCell ref="A12:D12"/>
    <mergeCell ref="E12:H12"/>
    <mergeCell ref="A21:D22"/>
    <mergeCell ref="E21:H22"/>
    <mergeCell ref="E14:H14"/>
    <mergeCell ref="A15:B15"/>
    <mergeCell ref="C15:H15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C38:H3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G223:H223"/>
    <mergeCell ref="A224:B224"/>
    <mergeCell ref="G224:H224"/>
    <mergeCell ref="A228:H228"/>
    <mergeCell ref="A40:D40"/>
    <mergeCell ref="E40:H40"/>
    <mergeCell ref="F32:H32"/>
    <mergeCell ref="F33:H33"/>
    <mergeCell ref="C31:E31"/>
    <mergeCell ref="F34:H34"/>
    <mergeCell ref="F35:H35"/>
    <mergeCell ref="A37:B37"/>
    <mergeCell ref="F31:H31"/>
    <mergeCell ref="A32:B32"/>
    <mergeCell ref="A31:B31"/>
    <mergeCell ref="C32:E32"/>
    <mergeCell ref="A33:B33"/>
    <mergeCell ref="C33:E33"/>
    <mergeCell ref="A36:H36"/>
    <mergeCell ref="A35:B35"/>
    <mergeCell ref="A39:H39"/>
    <mergeCell ref="C35:E35"/>
    <mergeCell ref="C37:H37"/>
    <mergeCell ref="A38:B38"/>
    <mergeCell ref="A78:B78"/>
    <mergeCell ref="C120:D120"/>
    <mergeCell ref="E120:F120"/>
    <mergeCell ref="G120:H120"/>
    <mergeCell ref="A110:E110"/>
    <mergeCell ref="A99:B99"/>
    <mergeCell ref="E99:F108"/>
    <mergeCell ref="A106:B106"/>
    <mergeCell ref="A107:B107"/>
    <mergeCell ref="A108:B108"/>
    <mergeCell ref="A112:E112"/>
    <mergeCell ref="C119:D119"/>
    <mergeCell ref="G119:H119"/>
    <mergeCell ref="A115:H115"/>
    <mergeCell ref="A116:B116"/>
    <mergeCell ref="C116:D116"/>
    <mergeCell ref="E116:F116"/>
    <mergeCell ref="G116:H116"/>
    <mergeCell ref="A117:B117"/>
    <mergeCell ref="C117:D117"/>
    <mergeCell ref="E117:F117"/>
    <mergeCell ref="G117:H117"/>
    <mergeCell ref="A111:E111"/>
    <mergeCell ref="F111:H111"/>
    <mergeCell ref="A197:B197"/>
    <mergeCell ref="G197:H197"/>
    <mergeCell ref="A198:B198"/>
    <mergeCell ref="G122:H122"/>
    <mergeCell ref="A121:B121"/>
    <mergeCell ref="C121:D121"/>
    <mergeCell ref="E121:F121"/>
    <mergeCell ref="A123:B123"/>
    <mergeCell ref="C123:D123"/>
    <mergeCell ref="A125:H125"/>
    <mergeCell ref="A126:A127"/>
    <mergeCell ref="B126:B127"/>
    <mergeCell ref="C126:C127"/>
    <mergeCell ref="D126:D127"/>
    <mergeCell ref="E126:E127"/>
    <mergeCell ref="F126:F127"/>
    <mergeCell ref="G126:G127"/>
    <mergeCell ref="A130:H130"/>
    <mergeCell ref="A131:B131"/>
    <mergeCell ref="A143:H143"/>
    <mergeCell ref="A144:B144"/>
    <mergeCell ref="A159:B159"/>
    <mergeCell ref="A128:H128"/>
    <mergeCell ref="A129:H129"/>
    <mergeCell ref="A47:B47"/>
    <mergeCell ref="C47:H47"/>
    <mergeCell ref="B241:H241"/>
    <mergeCell ref="G99:H108"/>
    <mergeCell ref="A100:B100"/>
    <mergeCell ref="A101:B101"/>
    <mergeCell ref="A102:B102"/>
    <mergeCell ref="F112:H112"/>
    <mergeCell ref="A97:B97"/>
    <mergeCell ref="C97:H97"/>
    <mergeCell ref="A98:B98"/>
    <mergeCell ref="E98:F98"/>
    <mergeCell ref="G98:H98"/>
    <mergeCell ref="A208:B208"/>
    <mergeCell ref="G208:H208"/>
    <mergeCell ref="A209:B209"/>
    <mergeCell ref="G209:H209"/>
    <mergeCell ref="A210:B210"/>
    <mergeCell ref="G210:H210"/>
    <mergeCell ref="A211:B211"/>
    <mergeCell ref="G211:H211"/>
    <mergeCell ref="A217:B217"/>
    <mergeCell ref="G217:H217"/>
    <mergeCell ref="A218:H218"/>
    <mergeCell ref="L192:M192"/>
    <mergeCell ref="A193:H193"/>
    <mergeCell ref="L193:M193"/>
    <mergeCell ref="A194:B194"/>
    <mergeCell ref="G194:H194"/>
    <mergeCell ref="A195:B195"/>
    <mergeCell ref="G195:H195"/>
    <mergeCell ref="A196:B196"/>
    <mergeCell ref="G196:H196"/>
    <mergeCell ref="A192:H192"/>
    <mergeCell ref="L206:M206"/>
    <mergeCell ref="A207:H207"/>
    <mergeCell ref="L207:M207"/>
    <mergeCell ref="G198:H198"/>
    <mergeCell ref="A199:H199"/>
    <mergeCell ref="A200:B200"/>
    <mergeCell ref="G200:H200"/>
    <mergeCell ref="A201:B201"/>
    <mergeCell ref="G201:H201"/>
    <mergeCell ref="A202:B202"/>
    <mergeCell ref="G202:H202"/>
    <mergeCell ref="A203:B203"/>
    <mergeCell ref="G203:H203"/>
    <mergeCell ref="A204:B204"/>
    <mergeCell ref="G204:H204"/>
    <mergeCell ref="A205:B205"/>
    <mergeCell ref="G205:H205"/>
    <mergeCell ref="A206:H206"/>
    <mergeCell ref="B239:H239"/>
    <mergeCell ref="B240:H240"/>
    <mergeCell ref="B242:H242"/>
    <mergeCell ref="L218:M218"/>
    <mergeCell ref="A219:H219"/>
    <mergeCell ref="L219:M219"/>
    <mergeCell ref="A220:B220"/>
    <mergeCell ref="G220:H220"/>
    <mergeCell ref="A212:H212"/>
    <mergeCell ref="A213:B213"/>
    <mergeCell ref="G213:H213"/>
    <mergeCell ref="A214:B214"/>
    <mergeCell ref="G214:H214"/>
    <mergeCell ref="A215:B215"/>
    <mergeCell ref="G215:H215"/>
    <mergeCell ref="A216:B216"/>
    <mergeCell ref="G216:H216"/>
    <mergeCell ref="A236:B236"/>
    <mergeCell ref="G236:H236"/>
    <mergeCell ref="A221:B221"/>
    <mergeCell ref="G221:H221"/>
    <mergeCell ref="A222:B222"/>
    <mergeCell ref="G222:H222"/>
    <mergeCell ref="A223:B223"/>
    <mergeCell ref="G225:H225"/>
    <mergeCell ref="A226:B226"/>
    <mergeCell ref="G226:H226"/>
    <mergeCell ref="A227:B227"/>
    <mergeCell ref="G227:H227"/>
    <mergeCell ref="A235:B235"/>
    <mergeCell ref="G235:H235"/>
    <mergeCell ref="A229:B229"/>
    <mergeCell ref="G229:H229"/>
    <mergeCell ref="A230:B230"/>
    <mergeCell ref="G230:H230"/>
    <mergeCell ref="A231:B231"/>
    <mergeCell ref="G231:H231"/>
    <mergeCell ref="A232:B232"/>
    <mergeCell ref="G232:H232"/>
    <mergeCell ref="A233:B233"/>
    <mergeCell ref="G233:H233"/>
    <mergeCell ref="B245:H245"/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B244:H244"/>
    <mergeCell ref="A234:B234"/>
    <mergeCell ref="G234:H234"/>
    <mergeCell ref="A225:B225"/>
    <mergeCell ref="A148:B148"/>
    <mergeCell ref="L148:M148"/>
    <mergeCell ref="L131:M131"/>
    <mergeCell ref="A132:B132"/>
    <mergeCell ref="L132:M132"/>
    <mergeCell ref="A133:B133"/>
    <mergeCell ref="L133:M133"/>
    <mergeCell ref="A134:B134"/>
    <mergeCell ref="L134:M134"/>
    <mergeCell ref="A138:H138"/>
    <mergeCell ref="A139:A140"/>
    <mergeCell ref="B139:B140"/>
    <mergeCell ref="C139:C140"/>
    <mergeCell ref="D139:D140"/>
    <mergeCell ref="E139:E140"/>
    <mergeCell ref="F139:F140"/>
    <mergeCell ref="G139:G140"/>
    <mergeCell ref="A135:B135"/>
    <mergeCell ref="L135:M135"/>
    <mergeCell ref="A136:B136"/>
    <mergeCell ref="L136:M136"/>
    <mergeCell ref="A137:B137"/>
    <mergeCell ref="L137:M137"/>
    <mergeCell ref="A149:B149"/>
    <mergeCell ref="L149:M149"/>
    <mergeCell ref="A141:H141"/>
    <mergeCell ref="A142:H142"/>
    <mergeCell ref="B248:H248"/>
    <mergeCell ref="L159:M159"/>
    <mergeCell ref="A160:B160"/>
    <mergeCell ref="L160:M160"/>
    <mergeCell ref="A161:B161"/>
    <mergeCell ref="L161:M161"/>
    <mergeCell ref="A162:B162"/>
    <mergeCell ref="L162:M162"/>
    <mergeCell ref="L144:M144"/>
    <mergeCell ref="A145:B145"/>
    <mergeCell ref="L145:M145"/>
    <mergeCell ref="A146:B146"/>
    <mergeCell ref="L146:M146"/>
    <mergeCell ref="A147:B147"/>
    <mergeCell ref="L147:M147"/>
    <mergeCell ref="A158:B158"/>
    <mergeCell ref="L158:M158"/>
    <mergeCell ref="A150:H150"/>
    <mergeCell ref="A151:B151"/>
    <mergeCell ref="L151:M151"/>
  </mergeCells>
  <dataValidations disablePrompts="1" count="7">
    <dataValidation type="list" allowBlank="1" showInputMessage="1" showErrorMessage="1" sqref="D139:D140 D126:D127 D183:D184">
      <formula1>"Carpet area,RERA Carpet area"</formula1>
    </dataValidation>
    <dataValidation type="list" allowBlank="1" showInputMessage="1" showErrorMessage="1" sqref="H126 H139 H183">
      <formula1>"Saleable area Loading :,Builder Saleable Area"</formula1>
    </dataValidation>
    <dataValidation type="list" allowBlank="1" showInputMessage="1" showErrorMessage="1" sqref="H140 H127 H184">
      <formula1>".45,.50,.55,.60"</formula1>
    </dataValidation>
    <dataValidation type="list" allowBlank="1" showInputMessage="1" showErrorMessage="1" sqref="B126:B127">
      <formula1>"Shop No. (Sale Plan),Sale / Rehab,Sale / Mhada"</formula1>
    </dataValidation>
    <dataValidation type="list" allowBlank="1" showInputMessage="1" showErrorMessage="1" sqref="E126:E127">
      <formula1>"Attached Loft area,Attached Otla area,Attached Mezzanine area"</formula1>
    </dataValidation>
    <dataValidation type="list" allowBlank="1" showInputMessage="1" showErrorMessage="1" sqref="E139:E140">
      <formula1>"Fungible area,Encl Balcony + Chajja Area,Cornice Area,AP Area,WS Area"</formula1>
    </dataValidation>
    <dataValidation type="list" allowBlank="1" showInputMessage="1" showErrorMessage="1" sqref="B139:B140">
      <formula1>"Flat No. (Sale Plan),Sale / Rehab,Sale / Mhada"</formula1>
    </dataValidation>
  </dataValidations>
  <hyperlinks>
    <hyperlink ref="C38" r:id="rId1"/>
  </hyperlinks>
  <printOptions horizontalCentered="1"/>
  <pageMargins left="0.39370078740157483" right="0.39370078740157483" top="0.86614173228346458" bottom="0.78740157480314965" header="0.19685039370078741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261" max="16383" man="1"/>
    <brk id="307" max="16383" man="1"/>
    <brk id="34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D11" sqref="D11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01" t="s">
        <v>109</v>
      </c>
      <c r="C3" s="201"/>
      <c r="D3" s="201"/>
      <c r="E3" s="201"/>
      <c r="F3" s="201"/>
      <c r="G3" s="201"/>
      <c r="H3" s="201"/>
    </row>
    <row r="4" spans="1:9" x14ac:dyDescent="0.35">
      <c r="A4" s="3"/>
      <c r="B4" s="4" t="s">
        <v>110</v>
      </c>
      <c r="C4" s="4" t="s">
        <v>111</v>
      </c>
      <c r="D4" s="4" t="s">
        <v>73</v>
      </c>
      <c r="E4" s="4" t="s">
        <v>112</v>
      </c>
      <c r="F4" s="4" t="s">
        <v>118</v>
      </c>
      <c r="G4" s="4" t="s">
        <v>119</v>
      </c>
      <c r="H4" s="4" t="s">
        <v>113</v>
      </c>
    </row>
    <row r="5" spans="1:9" ht="15" customHeight="1" x14ac:dyDescent="0.35">
      <c r="A5" s="3"/>
      <c r="B5" s="6" t="s">
        <v>114</v>
      </c>
      <c r="C5" s="7"/>
      <c r="D5" s="23" t="s">
        <v>180</v>
      </c>
      <c r="E5" s="6">
        <v>370</v>
      </c>
      <c r="F5" s="8">
        <v>650</v>
      </c>
      <c r="G5" s="8">
        <f>H5/F5</f>
        <v>5076.9230769230771</v>
      </c>
      <c r="H5" s="9">
        <v>3300000</v>
      </c>
    </row>
    <row r="6" spans="1:9" x14ac:dyDescent="0.35">
      <c r="A6" s="3"/>
      <c r="B6" s="6" t="s">
        <v>114</v>
      </c>
      <c r="C6" s="10"/>
      <c r="D6" s="23" t="s">
        <v>180</v>
      </c>
      <c r="E6" s="6">
        <v>375</v>
      </c>
      <c r="F6" s="8">
        <v>650</v>
      </c>
      <c r="G6" s="8">
        <f t="shared" ref="G6:G11" si="0">H6/F6</f>
        <v>5384.6153846153848</v>
      </c>
      <c r="H6" s="9">
        <v>3500000</v>
      </c>
    </row>
    <row r="7" spans="1:9" ht="15" customHeight="1" x14ac:dyDescent="0.35">
      <c r="A7" s="3"/>
      <c r="B7" s="6" t="s">
        <v>114</v>
      </c>
      <c r="C7" s="7"/>
      <c r="D7" s="6"/>
      <c r="E7" s="6"/>
      <c r="F7" s="8">
        <f t="shared" ref="F7:F11" si="1">E7*1.6</f>
        <v>0</v>
      </c>
      <c r="G7" s="8" t="e">
        <f t="shared" si="0"/>
        <v>#DIV/0!</v>
      </c>
      <c r="H7" s="9"/>
    </row>
    <row r="8" spans="1:9" x14ac:dyDescent="0.35">
      <c r="A8" s="3"/>
      <c r="B8" s="6" t="s">
        <v>114</v>
      </c>
      <c r="C8" s="10"/>
      <c r="D8" s="6"/>
      <c r="E8" s="6"/>
      <c r="F8" s="8">
        <f t="shared" si="1"/>
        <v>0</v>
      </c>
      <c r="G8" s="8" t="e">
        <f t="shared" si="0"/>
        <v>#DIV/0!</v>
      </c>
      <c r="H8" s="9"/>
    </row>
    <row r="9" spans="1:9" ht="15" customHeight="1" x14ac:dyDescent="0.35">
      <c r="A9" s="3"/>
      <c r="B9" s="6" t="s">
        <v>114</v>
      </c>
      <c r="C9" s="10"/>
      <c r="D9" s="6"/>
      <c r="E9" s="6"/>
      <c r="F9" s="8">
        <f t="shared" si="1"/>
        <v>0</v>
      </c>
      <c r="G9" s="8" t="e">
        <f t="shared" si="0"/>
        <v>#DIV/0!</v>
      </c>
      <c r="H9" s="9"/>
    </row>
    <row r="10" spans="1:9" ht="15" customHeight="1" x14ac:dyDescent="0.35">
      <c r="A10" s="3"/>
      <c r="B10" s="23" t="s">
        <v>179</v>
      </c>
      <c r="C10" s="7"/>
      <c r="D10" s="23" t="s">
        <v>181</v>
      </c>
      <c r="E10" s="6">
        <v>228</v>
      </c>
      <c r="F10" s="8">
        <v>410</v>
      </c>
      <c r="G10" s="8">
        <f t="shared" si="0"/>
        <v>3365.8536585365855</v>
      </c>
      <c r="H10" s="9">
        <v>1380000</v>
      </c>
    </row>
    <row r="11" spans="1:9" ht="15" customHeight="1" x14ac:dyDescent="0.35">
      <c r="A11" s="3"/>
      <c r="B11" s="6" t="s">
        <v>115</v>
      </c>
      <c r="C11" s="7"/>
      <c r="D11" s="6"/>
      <c r="E11" s="6"/>
      <c r="F11" s="8">
        <f t="shared" si="1"/>
        <v>0</v>
      </c>
      <c r="G11" s="8" t="e">
        <f t="shared" si="0"/>
        <v>#DIV/0!</v>
      </c>
      <c r="H11" s="9"/>
    </row>
    <row r="12" spans="1:9" ht="15" customHeight="1" x14ac:dyDescent="0.35">
      <c r="A12" s="3"/>
      <c r="B12" s="11" t="s">
        <v>116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117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2025-08-12T05:24:05Z</cp:lastPrinted>
  <dcterms:created xsi:type="dcterms:W3CDTF">2019-07-16T09:29:46Z</dcterms:created>
  <dcterms:modified xsi:type="dcterms:W3CDTF">2025-08-12T05:24:57Z</dcterms:modified>
</cp:coreProperties>
</file>