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  <c r="K71" i="1" l="1"/>
  <c r="C86" i="1" l="1"/>
  <c r="J90" i="1" l="1"/>
  <c r="J89" i="1"/>
  <c r="J88" i="1"/>
  <c r="J87" i="1"/>
  <c r="C87" i="1"/>
  <c r="C88" i="1" s="1"/>
  <c r="L84" i="1"/>
  <c r="L70" i="1" l="1"/>
  <c r="C72" i="1" l="1"/>
  <c r="C73" i="1" s="1"/>
  <c r="D279" i="1" l="1"/>
  <c r="F279" i="1" s="1"/>
  <c r="D278" i="1"/>
  <c r="F278" i="1" s="1"/>
  <c r="D277" i="1"/>
  <c r="F277" i="1" s="1"/>
  <c r="D275" i="1"/>
  <c r="F275" i="1" s="1"/>
  <c r="D272" i="1"/>
  <c r="F272" i="1" s="1"/>
  <c r="D271" i="1"/>
  <c r="F271" i="1" s="1"/>
  <c r="D270" i="1"/>
  <c r="F270" i="1" s="1"/>
  <c r="D269" i="1"/>
  <c r="F269" i="1" s="1"/>
  <c r="D267" i="1"/>
  <c r="D266" i="1"/>
  <c r="F266" i="1" s="1"/>
  <c r="I264" i="1" s="1"/>
  <c r="D265" i="1"/>
  <c r="F265" i="1" s="1"/>
  <c r="D264" i="1"/>
  <c r="F264" i="1" s="1"/>
  <c r="D263" i="1"/>
  <c r="F263" i="1" s="1"/>
  <c r="I263" i="1" s="1"/>
  <c r="D260" i="1"/>
  <c r="F260" i="1" s="1"/>
  <c r="D259" i="1"/>
  <c r="F259" i="1" s="1"/>
  <c r="D258" i="1"/>
  <c r="F258" i="1" s="1"/>
  <c r="D257" i="1"/>
  <c r="F257" i="1" s="1"/>
  <c r="D255" i="1"/>
  <c r="F255" i="1" s="1"/>
  <c r="D254" i="1"/>
  <c r="D253" i="1"/>
  <c r="F253" i="1" s="1"/>
  <c r="D252" i="1"/>
  <c r="F252" i="1" s="1"/>
  <c r="D251" i="1"/>
  <c r="F251" i="1" s="1"/>
  <c r="D249" i="1"/>
  <c r="F249" i="1" s="1"/>
  <c r="D248" i="1"/>
  <c r="F248" i="1" s="1"/>
  <c r="D247" i="1"/>
  <c r="F247" i="1" s="1"/>
  <c r="D246" i="1"/>
  <c r="F246" i="1" s="1"/>
  <c r="D245" i="1"/>
  <c r="F245" i="1" s="1"/>
  <c r="D242" i="1"/>
  <c r="F242" i="1" s="1"/>
  <c r="D241" i="1"/>
  <c r="F241" i="1" s="1"/>
  <c r="D240" i="1"/>
  <c r="F240" i="1" s="1"/>
  <c r="D239" i="1"/>
  <c r="F239" i="1" s="1"/>
  <c r="D236" i="1"/>
  <c r="F236" i="1" s="1"/>
  <c r="D235" i="1"/>
  <c r="F235" i="1" s="1"/>
  <c r="D234" i="1"/>
  <c r="F234" i="1" s="1"/>
  <c r="D233" i="1"/>
  <c r="D231" i="1"/>
  <c r="D230" i="1"/>
  <c r="F230" i="1" s="1"/>
  <c r="D229" i="1"/>
  <c r="F229" i="1" s="1"/>
  <c r="D228" i="1"/>
  <c r="F228" i="1" s="1"/>
  <c r="D227" i="1"/>
  <c r="F227" i="1" s="1"/>
  <c r="D224" i="1"/>
  <c r="F224" i="1" s="1"/>
  <c r="D223" i="1"/>
  <c r="F223" i="1" s="1"/>
  <c r="D222" i="1"/>
  <c r="F222" i="1" s="1"/>
  <c r="D221" i="1"/>
  <c r="F221" i="1" s="1"/>
  <c r="D219" i="1"/>
  <c r="F219" i="1" s="1"/>
  <c r="D216" i="1"/>
  <c r="F216" i="1" s="1"/>
  <c r="D215" i="1"/>
  <c r="F215" i="1" s="1"/>
  <c r="D210" i="1"/>
  <c r="F210" i="1" s="1"/>
  <c r="D209" i="1"/>
  <c r="F209" i="1" s="1"/>
  <c r="D204" i="1"/>
  <c r="F204" i="1" s="1"/>
  <c r="D203" i="1"/>
  <c r="F203" i="1" s="1"/>
  <c r="D198" i="1"/>
  <c r="D197" i="1"/>
  <c r="D196" i="1"/>
  <c r="D194" i="1"/>
  <c r="D191" i="1"/>
  <c r="D190" i="1"/>
  <c r="D189" i="1"/>
  <c r="D188" i="1"/>
  <c r="D186" i="1"/>
  <c r="D185" i="1"/>
  <c r="D184" i="1"/>
  <c r="D183" i="1"/>
  <c r="D182" i="1"/>
  <c r="D179" i="1"/>
  <c r="D178" i="1"/>
  <c r="D177" i="1"/>
  <c r="D176" i="1"/>
  <c r="D174" i="1"/>
  <c r="D173" i="1"/>
  <c r="D172" i="1"/>
  <c r="D171" i="1"/>
  <c r="D170" i="1"/>
  <c r="D168" i="1"/>
  <c r="F168" i="1" s="1"/>
  <c r="D167" i="1"/>
  <c r="F167" i="1" s="1"/>
  <c r="D166" i="1"/>
  <c r="F166" i="1" s="1"/>
  <c r="D165" i="1"/>
  <c r="F165" i="1" s="1"/>
  <c r="D164" i="1"/>
  <c r="F164" i="1" s="1"/>
  <c r="D161" i="1"/>
  <c r="F161" i="1" s="1"/>
  <c r="D160" i="1"/>
  <c r="F160" i="1" s="1"/>
  <c r="D159" i="1"/>
  <c r="F159" i="1" s="1"/>
  <c r="D158" i="1"/>
  <c r="F158" i="1" s="1"/>
  <c r="D155" i="1"/>
  <c r="D154" i="1"/>
  <c r="D153" i="1"/>
  <c r="D152" i="1"/>
  <c r="D150" i="1"/>
  <c r="D149" i="1"/>
  <c r="D148" i="1"/>
  <c r="D147" i="1"/>
  <c r="D146" i="1"/>
  <c r="D143" i="1"/>
  <c r="D142" i="1"/>
  <c r="D141" i="1"/>
  <c r="D140" i="1"/>
  <c r="D138" i="1"/>
  <c r="F138" i="1" s="1"/>
  <c r="D135" i="1"/>
  <c r="F135" i="1" s="1"/>
  <c r="D134" i="1"/>
  <c r="F134" i="1" s="1"/>
  <c r="D129" i="1"/>
  <c r="D128" i="1"/>
  <c r="D123" i="1"/>
  <c r="D122" i="1"/>
  <c r="J121" i="1"/>
  <c r="F231" i="1"/>
  <c r="G275" i="1"/>
  <c r="G276" i="1" s="1"/>
  <c r="G277" i="1" s="1"/>
  <c r="G278" i="1" s="1"/>
  <c r="G279" i="1" s="1"/>
  <c r="G269" i="1"/>
  <c r="G270" i="1" s="1"/>
  <c r="G271" i="1" s="1"/>
  <c r="G272" i="1" s="1"/>
  <c r="F267" i="1"/>
  <c r="G263" i="1"/>
  <c r="G257" i="1"/>
  <c r="F254" i="1"/>
  <c r="G251" i="1"/>
  <c r="G245" i="1"/>
  <c r="G239" i="1"/>
  <c r="G233" i="1"/>
  <c r="F233" i="1"/>
  <c r="G227" i="1"/>
  <c r="G221" i="1"/>
  <c r="G215" i="1"/>
  <c r="G209" i="1"/>
  <c r="G210" i="1" s="1"/>
  <c r="G211" i="1" s="1"/>
  <c r="G212" i="1" s="1"/>
  <c r="G213" i="1" s="1"/>
  <c r="G203" i="1"/>
  <c r="G204" i="1" s="1"/>
  <c r="G205" i="1" s="1"/>
  <c r="G206" i="1" s="1"/>
  <c r="G207" i="1" s="1"/>
  <c r="G164" i="1"/>
  <c r="G158" i="1"/>
  <c r="E109" i="1" l="1"/>
  <c r="C110" i="1"/>
  <c r="G110" i="1"/>
  <c r="E110" i="1"/>
  <c r="C109" i="1"/>
  <c r="C111" i="1" l="1"/>
  <c r="E111" i="1"/>
  <c r="F172" i="1"/>
  <c r="F178" i="1"/>
  <c r="F184" i="1"/>
  <c r="F190" i="1"/>
  <c r="F196" i="1"/>
  <c r="F182" i="1"/>
  <c r="I182" i="1" s="1"/>
  <c r="F194" i="1"/>
  <c r="F176" i="1"/>
  <c r="F191" i="1"/>
  <c r="F198" i="1"/>
  <c r="F197" i="1"/>
  <c r="G194" i="1"/>
  <c r="G195" i="1" s="1"/>
  <c r="G196" i="1" s="1"/>
  <c r="G197" i="1" s="1"/>
  <c r="G198" i="1" s="1"/>
  <c r="F189" i="1"/>
  <c r="G188" i="1"/>
  <c r="G189" i="1" s="1"/>
  <c r="G190" i="1" s="1"/>
  <c r="G191" i="1" s="1"/>
  <c r="F188" i="1"/>
  <c r="F185" i="1"/>
  <c r="I183" i="1" s="1"/>
  <c r="F179" i="1"/>
  <c r="F177" i="1"/>
  <c r="F186" i="1"/>
  <c r="F183" i="1"/>
  <c r="G182" i="1"/>
  <c r="G176" i="1"/>
  <c r="F173" i="1"/>
  <c r="F174" i="1"/>
  <c r="F171" i="1"/>
  <c r="G170" i="1"/>
  <c r="F170" i="1"/>
  <c r="F155" i="1"/>
  <c r="F154" i="1"/>
  <c r="F153" i="1"/>
  <c r="G152" i="1"/>
  <c r="F152" i="1"/>
  <c r="G134" i="1"/>
  <c r="F129" i="1"/>
  <c r="G128" i="1"/>
  <c r="G129" i="1" s="1"/>
  <c r="G130" i="1" s="1"/>
  <c r="G131" i="1" s="1"/>
  <c r="G132" i="1" s="1"/>
  <c r="F128" i="1"/>
  <c r="G122" i="1"/>
  <c r="E28" i="1" l="1"/>
  <c r="F123" i="1" l="1"/>
  <c r="F122" i="1"/>
  <c r="G123" i="1"/>
  <c r="G124" i="1" s="1"/>
  <c r="G125" i="1" s="1"/>
  <c r="G126" i="1" s="1"/>
  <c r="F106" i="1" l="1"/>
  <c r="B282" i="1" l="1"/>
  <c r="F150" i="1" l="1"/>
  <c r="F149" i="1"/>
  <c r="F148" i="1"/>
  <c r="F147" i="1"/>
  <c r="F146" i="1"/>
  <c r="F143" i="1"/>
  <c r="F141" i="1"/>
  <c r="F140" i="1"/>
  <c r="F142" i="1"/>
  <c r="G109" i="1" l="1"/>
  <c r="G111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6" i="1"/>
  <c r="G146" i="1"/>
  <c r="G140" i="1"/>
  <c r="J76" i="1"/>
  <c r="J75" i="1"/>
  <c r="J74" i="1"/>
  <c r="J73" i="1"/>
  <c r="D54" i="1"/>
  <c r="G48" i="1"/>
  <c r="C48" i="1"/>
  <c r="E41" i="1"/>
  <c r="E42" i="1" s="1"/>
  <c r="E25" i="1"/>
  <c r="E23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J78" i="1" s="1"/>
  <c r="G69" i="1"/>
  <c r="D63" i="1" s="1"/>
  <c r="D71" i="1"/>
  <c r="J67" i="1"/>
  <c r="D69" i="1"/>
  <c r="E69" i="1" l="1"/>
  <c r="D70" i="1"/>
  <c r="I66" i="1" s="1"/>
  <c r="J66" i="1"/>
  <c r="F64" i="1"/>
  <c r="D64" i="1"/>
  <c r="H80" i="1"/>
  <c r="E83" i="1" l="1"/>
  <c r="D84" i="1"/>
  <c r="D89" i="1"/>
  <c r="D86" i="1"/>
  <c r="D92" i="1"/>
  <c r="D88" i="1"/>
  <c r="J85" i="1"/>
  <c r="J86" i="1" s="1"/>
  <c r="J91" i="1" s="1"/>
  <c r="J92" i="1" s="1"/>
  <c r="D85" i="1"/>
  <c r="J79" i="1"/>
  <c r="J81" i="1" s="1"/>
  <c r="J82" i="1"/>
  <c r="D87" i="1"/>
  <c r="J84" i="1"/>
  <c r="C83" i="1" s="1"/>
  <c r="D90" i="1"/>
  <c r="D91" i="1"/>
  <c r="J83" i="1"/>
  <c r="I67" i="1"/>
  <c r="I65" i="1" s="1"/>
  <c r="C67" i="1" s="1"/>
  <c r="G83" i="1" l="1"/>
  <c r="D83" i="1"/>
  <c r="I80" i="1" s="1"/>
  <c r="I81" i="1" s="1"/>
  <c r="J80" i="1" l="1"/>
  <c r="I79" i="1" s="1"/>
  <c r="C81" i="1" s="1"/>
</calcChain>
</file>

<file path=xl/sharedStrings.xml><?xml version="1.0" encoding="utf-8"?>
<sst xmlns="http://schemas.openxmlformats.org/spreadsheetml/2006/main" count="349" uniqueCount="243">
  <si>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</si>
  <si>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</si>
  <si>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</si>
  <si>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</si>
  <si>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</si>
  <si>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</si>
  <si>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</si>
  <si>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</si>
  <si>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</si>
  <si>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</si>
  <si>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</si>
  <si>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</si>
  <si>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</si>
  <si>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</si>
  <si>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</si>
  <si>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</si>
  <si>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</si>
  <si>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</si>
  <si>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</si>
  <si>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</si>
  <si>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</si>
  <si>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</si>
  <si>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</si>
  <si>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</si>
  <si>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</si>
  <si>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</si>
  <si>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</si>
  <si>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</si>
  <si>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</si>
  <si>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</si>
  <si>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</si>
  <si>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</si>
  <si>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</si>
  <si>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</si>
  <si>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</si>
  <si>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</si>
  <si>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</si>
  <si>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</si>
  <si>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</si>
  <si>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</si>
  <si>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</si>
  <si>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</si>
  <si>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</si>
  <si>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</si>
  <si>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</si>
  <si>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</si>
  <si>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</si>
  <si>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</si>
  <si>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</si>
  <si>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</si>
  <si>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</si>
  <si>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</si>
  <si>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</si>
  <si>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</si>
  <si>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</si>
  <si>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</si>
  <si>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</si>
  <si>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</si>
  <si>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</si>
  <si>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</si>
  <si>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</si>
  <si>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</si>
  <si>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</si>
  <si>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</si>
  <si>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</si>
  <si>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</si>
  <si>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</si>
  <si>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</si>
  <si>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</si>
  <si>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</si>
  <si>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</si>
  <si>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</si>
  <si>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</si>
  <si>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</si>
  <si>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</si>
  <si>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</si>
  <si>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</si>
  <si>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</si>
  <si>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</si>
  <si>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</si>
  <si>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</si>
  <si>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</si>
  <si>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</si>
  <si>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</si>
  <si>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</si>
  <si>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</si>
  <si>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</si>
  <si>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</si>
  <si>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</si>
  <si>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</si>
  <si>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</si>
  <si>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</si>
  <si>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</si>
  <si>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</si>
  <si>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</si>
  <si>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</si>
  <si>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</si>
  <si>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</si>
  <si>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</si>
  <si>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</si>
  <si>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</si>
  <si>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</si>
  <si>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</si>
  <si>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</si>
  <si>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</si>
  <si>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</si>
  <si>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</si>
  <si>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</si>
  <si>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</si>
  <si>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</si>
  <si>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</si>
  <si>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</si>
  <si>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</si>
  <si>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</si>
  <si>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</si>
  <si>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</si>
  <si>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</si>
  <si>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</si>
  <si>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</si>
  <si>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</si>
  <si>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</si>
  <si>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</si>
  <si>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</si>
  <si>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</si>
  <si>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</si>
  <si>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</si>
  <si>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</si>
  <si>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</si>
  <si>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</si>
  <si>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</si>
  <si>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</si>
  <si>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</si>
  <si>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</si>
  <si>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</si>
  <si>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</si>
  <si>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</si>
  <si>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</si>
  <si>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</si>
  <si>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</si>
  <si>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</si>
  <si>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</si>
  <si>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</si>
  <si>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</si>
  <si>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</si>
  <si>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</si>
  <si>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</si>
  <si>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</si>
  <si>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</si>
  <si>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</si>
  <si>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</si>
  <si>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</si>
  <si>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</si>
  <si>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</si>
  <si>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</si>
  <si>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</si>
  <si>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</si>
  <si>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</si>
  <si>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</si>
  <si>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</si>
  <si>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</si>
  <si>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</si>
  <si>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</si>
  <si>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</si>
  <si>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Goregaon</t>
  </si>
  <si>
    <t xml:space="preserve">Proposed Redevelopment Of Propoerty Known As Azad Nagar, Bearing C.T.S. No.437(pt),335(pt) ,338(pt),339(pt), 340(pt),341(pt), 342(pt), 346(pt), 347(pt), 348(pt), 350(pt),351(pt), 352(pt), 353(pt), 354(pt), 355(pt), 356 (Pt), Wadala (W), Mumbai - 31.
</t>
  </si>
  <si>
    <t>437(pt),335(pt) ,338(pt),339(pt), 340(pt),341(pt), 342(pt), 346(pt), 347(pt), 348(pt), 350(pt),351(pt), 352(pt), 353(pt), 354(pt), 355(pt), 356 (Pt)</t>
  </si>
  <si>
    <t>CTS No</t>
  </si>
  <si>
    <t>Wadala</t>
  </si>
  <si>
    <t>500 M from Wadala Railway Station</t>
  </si>
  <si>
    <t>Mumbai</t>
  </si>
  <si>
    <t>Rafi Ahmed Kidwai</t>
  </si>
  <si>
    <t>Azad Nagar</t>
  </si>
  <si>
    <t>Wadala West</t>
  </si>
  <si>
    <t>Vijay Niwas</t>
  </si>
  <si>
    <t>Pardhandas House</t>
  </si>
  <si>
    <t>Amardeep Building</t>
  </si>
  <si>
    <t>Railway Track</t>
  </si>
  <si>
    <t>Rafi Ahmed Kidwai Road</t>
  </si>
  <si>
    <t>https://goo.gl/maps/yeQFyZFCTEFPzjfw9</t>
  </si>
  <si>
    <t>Municipal Corporation Of Greater Mumbai</t>
  </si>
  <si>
    <t xml:space="preserve">Basement For Tanks
</t>
  </si>
  <si>
    <t>Double Height Entrance</t>
  </si>
  <si>
    <t>3rd to 6th Floor</t>
  </si>
  <si>
    <t>Void</t>
  </si>
  <si>
    <t>7th Floor (Part Refuge Area)</t>
  </si>
  <si>
    <t>8th to 13th &amp; 15th to 20th Floor</t>
  </si>
  <si>
    <t>14th Floor (Part Refuge Area)</t>
  </si>
  <si>
    <t>31st to 34th, 36th to 41st, 43rd &amp; 44th Floor</t>
  </si>
  <si>
    <t>35th Floor (Part Refuge Area)</t>
  </si>
  <si>
    <t>42nd Floor (Part Refuge Area)</t>
  </si>
  <si>
    <t>Tower 1</t>
  </si>
  <si>
    <t>Residential Area Details : Flats</t>
  </si>
  <si>
    <t>Refuge Area</t>
  </si>
  <si>
    <t>Approved Plans, CC</t>
  </si>
  <si>
    <t xml:space="preserve">Godrej Projects Development Ltd
</t>
  </si>
  <si>
    <t>Latitude, Longitude</t>
  </si>
  <si>
    <t>19.013633,72.856078</t>
  </si>
  <si>
    <t>P-9221/2021/(354 And
Other)/F/North/DADAR-NAIGAON</t>
  </si>
  <si>
    <t xml:space="preserve">Commencement-CC No
Valid Up to: </t>
  </si>
  <si>
    <t>Wing A</t>
  </si>
  <si>
    <t>Wing B</t>
  </si>
  <si>
    <t>Phase I</t>
  </si>
  <si>
    <t>1st Floor Part Residential</t>
  </si>
  <si>
    <t>Name / No of the Building</t>
  </si>
  <si>
    <t>Ground Floor For parking, Society Office &amp; Common Electric Room &amp; Letter Box</t>
  </si>
  <si>
    <t>28th Floor (Part Refuge Area)</t>
  </si>
  <si>
    <t>21st Floor (Part Refuge Area)</t>
  </si>
  <si>
    <t>22nd to 24th Floor</t>
  </si>
  <si>
    <t>25th to 27th, 29th &amp; 30th Floor</t>
  </si>
  <si>
    <t>Phase I Tower 1</t>
  </si>
  <si>
    <t>Layout Plan</t>
  </si>
  <si>
    <t>Walkway, Terraced Pool, Gym, Kids Playing Area, Chess Court, Jogging Track, Green Surrounding, Badminton Court</t>
  </si>
  <si>
    <t>We considered Gross carpet area = Net carpet + Balcony Area + Utility Area.</t>
  </si>
  <si>
    <t>25000 to 25700 &amp; OC</t>
  </si>
  <si>
    <t>Sanket</t>
  </si>
  <si>
    <t>Cost sheet</t>
  </si>
  <si>
    <t>LUC Charges</t>
  </si>
  <si>
    <t>Corpus Fund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</si>
  <si>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</si>
  <si>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Godrej Horizon Phase I</t>
  </si>
  <si>
    <t>Phase I = Tower 1 (Wing A &amp; B)</t>
  </si>
  <si>
    <t>Phase I = P51900034851</t>
  </si>
  <si>
    <t>2 Buildings</t>
  </si>
  <si>
    <t>Flats - 400</t>
  </si>
  <si>
    <t>Tower 1 (Wing A &amp; B) = B + G + 1st to 44th Floor</t>
  </si>
  <si>
    <t>As per RERA - Phase I = 31/05/2028</t>
  </si>
  <si>
    <t>We have updated Approved Floor Plan &amp; CC of Phase I (on 19/04/2023).</t>
  </si>
  <si>
    <t>Ground Floor For Double Height Entrance, Meter Room, 
Multipurpose Hall, Common Electric Room</t>
  </si>
  <si>
    <t>25,700 &amp; 26500</t>
  </si>
  <si>
    <t>Trupti</t>
  </si>
  <si>
    <t>Recommended Rates of the Property have been revised on 14/03/2024.</t>
  </si>
  <si>
    <t>Floor Rise Rate from 4th Floor</t>
  </si>
  <si>
    <t>We have updated latest CC from MCGM site (On 16/08/2024).</t>
  </si>
  <si>
    <t>P-9221/2021/(354 And
Other)/F/North/DADARNAIGAON/FCC/1/Amend</t>
  </si>
  <si>
    <t xml:space="preserve">This Further C. C. Is Extended Upto Top Of 40th Floor For Sale Tower-1 Wing ‘A &amp; B’ And Further C.C. Is Issued Upto Top Of 44th Floor For Sale Tower-2 Wing ‘A &amp; B’ As Per Last Approved Plan Dated. 18.07.2023 Subject To Taking All Preecautions During Construction In Regards Of Air Polution Guidlines Issued U/No. Mgc/F/1102 Dtd. 25.10.2023 And D.O.No. Cap-2023/Cr-170/Tc-2 Dtd. 27.10.2023. </t>
  </si>
  <si>
    <t>We have updated revised approved CC from MCGM site (On 22/11/2024).</t>
  </si>
  <si>
    <t>x</t>
  </si>
  <si>
    <t>Construction work is in process at the time of visit. (Internal photo was not allowed)</t>
  </si>
  <si>
    <t>Tower 1 (Wing B) = B + G + 1st to 44th Floor</t>
  </si>
  <si>
    <t xml:space="preserve">Wing B </t>
  </si>
  <si>
    <t>Provide revised approved plans.</t>
  </si>
  <si>
    <t>Shruti Tathare</t>
  </si>
  <si>
    <t>Karan Misal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</si>
</sst>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0" borderId="1" xfId="0" applyFont="1" applyBorder="1"/>
    <xf numFmtId="0" fontId="24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4" fontId="16" fillId="0" borderId="0" xfId="1" applyNumberFormat="1" applyFont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7" fillId="0" borderId="0" xfId="0" applyFont="1"/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6" xfId="1" applyNumberFormat="1" applyFont="1" applyBorder="1" applyAlignment="1" applyProtection="1">
      <alignment horizontal="center" vertical="center" wrapText="1"/>
      <protection locked="0"/>
    </xf>
    <xf numFmtId="168" fontId="6" fillId="0" borderId="23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31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458272</xdr:colOff>
      <xdr:row>417</xdr:row>
      <xdr:rowOff>60385</xdr:rowOff>
    </xdr:from>
    <xdr:to>
      <xdr:col>7</xdr:col>
      <xdr:colOff>438737</xdr:colOff>
      <xdr:row>436</xdr:row>
      <xdr:rowOff>15767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8272" y="81279075"/>
          <a:ext cx="5818962" cy="37496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458272</xdr:colOff>
      <xdr:row>396</xdr:row>
      <xdr:rowOff>53916</xdr:rowOff>
    </xdr:from>
    <xdr:to>
      <xdr:col>7</xdr:col>
      <xdr:colOff>438737</xdr:colOff>
      <xdr:row>416</xdr:row>
      <xdr:rowOff>60146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8272" y="67986935"/>
          <a:ext cx="6081857" cy="3960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181301</xdr:colOff>
      <xdr:row>355</xdr:row>
      <xdr:rowOff>112568</xdr:rowOff>
    </xdr:from>
    <xdr:to>
      <xdr:col>7</xdr:col>
      <xdr:colOff>612278</xdr:colOff>
      <xdr:row>367</xdr:row>
      <xdr:rowOff>138759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01" y="70597568"/>
          <a:ext cx="6116211" cy="24550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570184</xdr:colOff>
      <xdr:row>368</xdr:row>
      <xdr:rowOff>41956</xdr:rowOff>
    </xdr:from>
    <xdr:to>
      <xdr:col>6</xdr:col>
      <xdr:colOff>272747</xdr:colOff>
      <xdr:row>394</xdr:row>
      <xdr:rowOff>31531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3205" y="71475515"/>
          <a:ext cx="3959252" cy="51816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3</xdr:col>
      <xdr:colOff>406978</xdr:colOff>
      <xdr:row>357</xdr:row>
      <xdr:rowOff>147205</xdr:rowOff>
    </xdr:from>
    <xdr:ext cx="60196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814205" y="98843523"/>
          <a:ext cx="6019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Phase I</a:t>
          </a:r>
        </a:p>
      </xdr:txBody>
    </xdr:sp>
    <xdr:clientData/>
  </xdr:oneCellAnchor>
  <xdr:oneCellAnchor>
    <xdr:from>
      <xdr:col>2</xdr:col>
      <xdr:colOff>342901</xdr:colOff>
      <xdr:row>357</xdr:row>
      <xdr:rowOff>135082</xdr:rowOff>
    </xdr:from>
    <xdr:ext cx="639599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1901537" y="98831400"/>
          <a:ext cx="63959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Phase II</a:t>
          </a:r>
        </a:p>
      </xdr:txBody>
    </xdr:sp>
    <xdr:clientData/>
  </xdr:oneCellAnchor>
  <xdr:oneCellAnchor>
    <xdr:from>
      <xdr:col>1</xdr:col>
      <xdr:colOff>311728</xdr:colOff>
      <xdr:row>358</xdr:row>
      <xdr:rowOff>8659</xdr:rowOff>
    </xdr:from>
    <xdr:ext cx="677237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1073728" y="98904136"/>
          <a:ext cx="677237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Phase III</a:t>
          </a:r>
        </a:p>
      </xdr:txBody>
    </xdr:sp>
    <xdr:clientData/>
  </xdr:oneCellAnchor>
  <xdr:oneCellAnchor>
    <xdr:from>
      <xdr:col>3</xdr:col>
      <xdr:colOff>822613</xdr:colOff>
      <xdr:row>359</xdr:row>
      <xdr:rowOff>190501</xdr:rowOff>
    </xdr:from>
    <xdr:ext cx="293478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229840" y="99285137"/>
          <a:ext cx="29347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FF"/>
              </a:solidFill>
            </a:rPr>
            <a:t>A</a:t>
          </a:r>
        </a:p>
      </xdr:txBody>
    </xdr:sp>
    <xdr:clientData/>
  </xdr:oneCellAnchor>
  <xdr:oneCellAnchor>
    <xdr:from>
      <xdr:col>2</xdr:col>
      <xdr:colOff>412172</xdr:colOff>
      <xdr:row>359</xdr:row>
      <xdr:rowOff>161061</xdr:rowOff>
    </xdr:from>
    <xdr:ext cx="293478" cy="31149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1970808" y="99255697"/>
          <a:ext cx="29347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FF"/>
              </a:solidFill>
            </a:rPr>
            <a:t>B</a:t>
          </a:r>
        </a:p>
      </xdr:txBody>
    </xdr:sp>
    <xdr:clientData/>
  </xdr:oneCellAnchor>
  <xdr:oneCellAnchor>
    <xdr:from>
      <xdr:col>3</xdr:col>
      <xdr:colOff>460663</xdr:colOff>
      <xdr:row>359</xdr:row>
      <xdr:rowOff>131619</xdr:rowOff>
    </xdr:from>
    <xdr:ext cx="285335" cy="31149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2867890" y="99226255"/>
          <a:ext cx="28533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FF"/>
              </a:solidFill>
            </a:rPr>
            <a:t>B</a:t>
          </a:r>
        </a:p>
      </xdr:txBody>
    </xdr:sp>
    <xdr:clientData/>
  </xdr:oneCellAnchor>
  <xdr:oneCellAnchor>
    <xdr:from>
      <xdr:col>2</xdr:col>
      <xdr:colOff>794904</xdr:colOff>
      <xdr:row>359</xdr:row>
      <xdr:rowOff>145474</xdr:rowOff>
    </xdr:from>
    <xdr:ext cx="293478" cy="31149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2353540" y="99240110"/>
          <a:ext cx="29347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FF"/>
              </a:solidFill>
            </a:rPr>
            <a:t>A</a:t>
          </a:r>
        </a:p>
      </xdr:txBody>
    </xdr:sp>
    <xdr:clientData/>
  </xdr:oneCellAnchor>
  <xdr:twoCellAnchor editAs="oneCell">
    <xdr:from>
      <xdr:col>9</xdr:col>
      <xdr:colOff>0</xdr:colOff>
      <xdr:row>55</xdr:row>
      <xdr:rowOff>0</xdr:rowOff>
    </xdr:from>
    <xdr:to>
      <xdr:col>21</xdr:col>
      <xdr:colOff>310656</xdr:colOff>
      <xdr:row>63</xdr:row>
      <xdr:rowOff>344362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80614" y="14434705"/>
          <a:ext cx="8571428" cy="2171429"/>
        </a:xfrm>
        <a:prstGeom prst="rect">
          <a:avLst/>
        </a:prstGeom>
      </xdr:spPr>
    </xdr:pic>
    <xdr:clientData/>
  </xdr:twoCellAnchor>
  <xdr:twoCellAnchor>
    <xdr:from>
      <xdr:col>4</xdr:col>
      <xdr:colOff>341587</xdr:colOff>
      <xdr:row>360</xdr:row>
      <xdr:rowOff>0</xdr:rowOff>
    </xdr:from>
    <xdr:to>
      <xdr:col>5</xdr:col>
      <xdr:colOff>236483</xdr:colOff>
      <xdr:row>360</xdr:row>
      <xdr:rowOff>26276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698328" y="69880655"/>
          <a:ext cx="676603" cy="26276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335018</xdr:colOff>
      <xdr:row>361</xdr:row>
      <xdr:rowOff>118242</xdr:rowOff>
    </xdr:from>
    <xdr:to>
      <xdr:col>5</xdr:col>
      <xdr:colOff>229915</xdr:colOff>
      <xdr:row>361</xdr:row>
      <xdr:rowOff>177363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CxnSpPr/>
      </xdr:nvCxnSpPr>
      <xdr:spPr>
        <a:xfrm flipH="1" flipV="1">
          <a:off x="3691759" y="70195966"/>
          <a:ext cx="676604" cy="59121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335018</xdr:colOff>
      <xdr:row>360</xdr:row>
      <xdr:rowOff>6569</xdr:rowOff>
    </xdr:from>
    <xdr:to>
      <xdr:col>4</xdr:col>
      <xdr:colOff>341587</xdr:colOff>
      <xdr:row>361</xdr:row>
      <xdr:rowOff>124810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CxnSpPr/>
      </xdr:nvCxnSpPr>
      <xdr:spPr>
        <a:xfrm flipH="1">
          <a:off x="3691759" y="69887224"/>
          <a:ext cx="6569" cy="31531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229914</xdr:colOff>
      <xdr:row>360</xdr:row>
      <xdr:rowOff>13138</xdr:rowOff>
    </xdr:from>
    <xdr:to>
      <xdr:col>5</xdr:col>
      <xdr:colOff>670035</xdr:colOff>
      <xdr:row>360</xdr:row>
      <xdr:rowOff>131379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CxnSpPr/>
      </xdr:nvCxnSpPr>
      <xdr:spPr>
        <a:xfrm>
          <a:off x="4368362" y="69893793"/>
          <a:ext cx="440121" cy="118241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591207</xdr:colOff>
      <xdr:row>360</xdr:row>
      <xdr:rowOff>124810</xdr:rowOff>
    </xdr:from>
    <xdr:to>
      <xdr:col>5</xdr:col>
      <xdr:colOff>663466</xdr:colOff>
      <xdr:row>362</xdr:row>
      <xdr:rowOff>78827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CxnSpPr/>
      </xdr:nvCxnSpPr>
      <xdr:spPr>
        <a:xfrm flipH="1">
          <a:off x="4729655" y="70005465"/>
          <a:ext cx="72259" cy="34815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218091</xdr:colOff>
      <xdr:row>361</xdr:row>
      <xdr:rowOff>165541</xdr:rowOff>
    </xdr:from>
    <xdr:to>
      <xdr:col>5</xdr:col>
      <xdr:colOff>597776</xdr:colOff>
      <xdr:row>362</xdr:row>
      <xdr:rowOff>65690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CxnSpPr/>
      </xdr:nvCxnSpPr>
      <xdr:spPr>
        <a:xfrm flipH="1" flipV="1">
          <a:off x="4356539" y="70243265"/>
          <a:ext cx="379685" cy="97218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210553</xdr:colOff>
      <xdr:row>360</xdr:row>
      <xdr:rowOff>28800</xdr:rowOff>
    </xdr:from>
    <xdr:to>
      <xdr:col>5</xdr:col>
      <xdr:colOff>226561</xdr:colOff>
      <xdr:row>361</xdr:row>
      <xdr:rowOff>180474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CxnSpPr/>
      </xdr:nvCxnSpPr>
      <xdr:spPr>
        <a:xfrm flipH="1">
          <a:off x="4346408" y="70980024"/>
          <a:ext cx="16008" cy="35220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102235</xdr:colOff>
      <xdr:row>361</xdr:row>
      <xdr:rowOff>63611</xdr:rowOff>
    </xdr:from>
    <xdr:to>
      <xdr:col>6</xdr:col>
      <xdr:colOff>659327</xdr:colOff>
      <xdr:row>362</xdr:row>
      <xdr:rowOff>172183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/>
      </xdr:nvSpPr>
      <xdr:spPr>
        <a:xfrm rot="918802">
          <a:off x="5022390" y="70141335"/>
          <a:ext cx="557092" cy="305641"/>
        </a:xfrm>
        <a:prstGeom prst="rect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398858</xdr:colOff>
      <xdr:row>355</xdr:row>
      <xdr:rowOff>130968</xdr:rowOff>
    </xdr:from>
    <xdr:ext cx="833439" cy="3690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3744514" y="70615968"/>
          <a:ext cx="833439" cy="36909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IN" sz="800" b="1"/>
            <a:t>Shree Azadnagar</a:t>
          </a:r>
        </a:p>
        <a:p>
          <a:pPr algn="ctr"/>
          <a:r>
            <a:rPr lang="en-IN" sz="800" b="1"/>
            <a:t>Tower 1</a:t>
          </a:r>
        </a:p>
      </xdr:txBody>
    </xdr:sp>
    <xdr:clientData/>
  </xdr:oneCellAnchor>
  <xdr:oneCellAnchor>
    <xdr:from>
      <xdr:col>5</xdr:col>
      <xdr:colOff>515539</xdr:colOff>
      <xdr:row>355</xdr:row>
      <xdr:rowOff>176212</xdr:rowOff>
    </xdr:from>
    <xdr:ext cx="833439" cy="3690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4641055" y="70661212"/>
          <a:ext cx="833439" cy="36909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IN" sz="800" b="1"/>
            <a:t>Shree Azadnagar</a:t>
          </a:r>
        </a:p>
        <a:p>
          <a:pPr algn="ctr"/>
          <a:r>
            <a:rPr lang="en-IN" sz="800" b="1"/>
            <a:t>Tower 2</a:t>
          </a:r>
        </a:p>
      </xdr:txBody>
    </xdr:sp>
    <xdr:clientData/>
  </xdr:oneCellAnchor>
  <xdr:oneCellAnchor>
    <xdr:from>
      <xdr:col>6</xdr:col>
      <xdr:colOff>376237</xdr:colOff>
      <xdr:row>358</xdr:row>
      <xdr:rowOff>102393</xdr:rowOff>
    </xdr:from>
    <xdr:ext cx="833439" cy="18931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5281612" y="71194612"/>
          <a:ext cx="833439" cy="18931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IN" sz="800" b="1"/>
            <a:t>OM Azadnagar</a:t>
          </a:r>
        </a:p>
      </xdr:txBody>
    </xdr:sp>
    <xdr:clientData/>
  </xdr:oneCellAnchor>
  <xdr:twoCellAnchor>
    <xdr:from>
      <xdr:col>4</xdr:col>
      <xdr:colOff>664369</xdr:colOff>
      <xdr:row>357</xdr:row>
      <xdr:rowOff>119062</xdr:rowOff>
    </xdr:from>
    <xdr:to>
      <xdr:col>4</xdr:col>
      <xdr:colOff>690563</xdr:colOff>
      <xdr:row>359</xdr:row>
      <xdr:rowOff>188119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CxnSpPr/>
      </xdr:nvCxnSpPr>
      <xdr:spPr>
        <a:xfrm flipH="1">
          <a:off x="4010025" y="71008875"/>
          <a:ext cx="26194" cy="473869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434578</xdr:colOff>
      <xdr:row>357</xdr:row>
      <xdr:rowOff>176212</xdr:rowOff>
    </xdr:from>
    <xdr:to>
      <xdr:col>5</xdr:col>
      <xdr:colOff>610790</xdr:colOff>
      <xdr:row>359</xdr:row>
      <xdr:rowOff>196453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CxnSpPr/>
      </xdr:nvCxnSpPr>
      <xdr:spPr>
        <a:xfrm flipH="1">
          <a:off x="4560094" y="71066025"/>
          <a:ext cx="176212" cy="425053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398859</xdr:colOff>
      <xdr:row>359</xdr:row>
      <xdr:rowOff>96440</xdr:rowOff>
    </xdr:from>
    <xdr:to>
      <xdr:col>6</xdr:col>
      <xdr:colOff>626268</xdr:colOff>
      <xdr:row>360</xdr:row>
      <xdr:rowOff>196453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CxnSpPr/>
      </xdr:nvCxnSpPr>
      <xdr:spPr>
        <a:xfrm flipH="1">
          <a:off x="5304234" y="71391065"/>
          <a:ext cx="227409" cy="302419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306</xdr:row>
      <xdr:rowOff>123825</xdr:rowOff>
    </xdr:from>
    <xdr:to>
      <xdr:col>7</xdr:col>
      <xdr:colOff>658818</xdr:colOff>
      <xdr:row>346</xdr:row>
      <xdr:rowOff>133350</xdr:rowOff>
    </xdr:to>
    <xdr:grpSp>
      <xdr:nvGrpSpPr>
        <xdr:cNvPr id="6" name="Group 5"/>
        <xdr:cNvGrpSpPr/>
      </xdr:nvGrpSpPr>
      <xdr:grpSpPr>
        <a:xfrm>
          <a:off x="152400" y="63617475"/>
          <a:ext cx="6173793" cy="6800850"/>
          <a:chOff x="152400" y="63617475"/>
          <a:chExt cx="6173793" cy="6800850"/>
        </a:xfrm>
      </xdr:grpSpPr>
      <xdr:pic>
        <xdr:nvPicPr>
          <xdr:cNvPr id="33" name="Picture 32" descr="https://vsjcllp.vsjadon.com/upload/insp-242879-1525.jp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4332"/>
          <a:stretch/>
        </xdr:blipFill>
        <xdr:spPr bwMode="auto">
          <a:xfrm>
            <a:off x="4324350" y="67779899"/>
            <a:ext cx="1976758" cy="26384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2879-843.jp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4693"/>
          <a:stretch/>
        </xdr:blipFill>
        <xdr:spPr bwMode="auto">
          <a:xfrm>
            <a:off x="161925" y="67779899"/>
            <a:ext cx="1976758" cy="263842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42879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86125" y="63627000"/>
            <a:ext cx="3040068" cy="4057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42879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2400" y="63617475"/>
            <a:ext cx="3040068" cy="4057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42879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38375" y="67779899"/>
            <a:ext cx="1976758" cy="26384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eQFyZFCTEFPzjfw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96"/>
  <sheetViews>
    <sheetView tabSelected="1" view="pageBreakPreview" zoomScaleNormal="100" zoomScaleSheetLayoutView="100" zoomScalePageLayoutView="106" workbookViewId="0">
      <selection activeCell="J11" sqref="J11"/>
    </sheetView>
  </sheetViews>
  <sheetFormatPr defaultColWidth="9.28515625" defaultRowHeight="15.75" x14ac:dyDescent="0.25"/>
  <cols>
    <col min="1" max="1" width="11.42578125" style="40" customWidth="1"/>
    <col min="2" max="2" width="12" style="40" customWidth="1"/>
    <col min="3" max="3" width="12.5703125" style="40" customWidth="1"/>
    <col min="4" max="4" width="14.28515625" style="40" customWidth="1"/>
    <col min="5" max="7" width="11.570312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7109375" style="21" customWidth="1"/>
    <col min="14" max="14" width="12.5703125" style="21" customWidth="1"/>
    <col min="15" max="15" width="9.7109375" style="21" customWidth="1"/>
    <col min="16" max="16" width="11.5703125" style="21" customWidth="1"/>
    <col min="17" max="247" width="9.28515625" style="21"/>
    <col min="248" max="248" width="8.5703125" style="21" customWidth="1"/>
    <col min="249" max="249" width="9.7109375" style="21" customWidth="1"/>
    <col min="250" max="250" width="14.42578125" style="21" customWidth="1"/>
    <col min="251" max="251" width="7.42578125" style="21" customWidth="1"/>
    <col min="252" max="252" width="5.5703125" style="21" customWidth="1"/>
    <col min="253" max="253" width="9" style="21" customWidth="1"/>
    <col min="254" max="255" width="9.7109375" style="21" customWidth="1"/>
    <col min="256" max="256" width="11.28515625" style="21" customWidth="1"/>
    <col min="257" max="257" width="2.7109375" style="21" customWidth="1"/>
    <col min="258" max="258" width="3.5703125" style="21" customWidth="1"/>
    <col min="259" max="503" width="9.28515625" style="21"/>
    <col min="504" max="504" width="8.5703125" style="21" customWidth="1"/>
    <col min="505" max="505" width="9.7109375" style="21" customWidth="1"/>
    <col min="506" max="506" width="14.42578125" style="21" customWidth="1"/>
    <col min="507" max="507" width="7.42578125" style="21" customWidth="1"/>
    <col min="508" max="508" width="5.5703125" style="21" customWidth="1"/>
    <col min="509" max="509" width="9" style="21" customWidth="1"/>
    <col min="510" max="511" width="9.7109375" style="21" customWidth="1"/>
    <col min="512" max="512" width="11.28515625" style="21" customWidth="1"/>
    <col min="513" max="513" width="2.7109375" style="21" customWidth="1"/>
    <col min="514" max="514" width="3.5703125" style="21" customWidth="1"/>
    <col min="515" max="759" width="9.28515625" style="21"/>
    <col min="760" max="760" width="8.5703125" style="21" customWidth="1"/>
    <col min="761" max="761" width="9.7109375" style="21" customWidth="1"/>
    <col min="762" max="762" width="14.42578125" style="21" customWidth="1"/>
    <col min="763" max="763" width="7.42578125" style="21" customWidth="1"/>
    <col min="764" max="764" width="5.5703125" style="21" customWidth="1"/>
    <col min="765" max="765" width="9" style="21" customWidth="1"/>
    <col min="766" max="767" width="9.7109375" style="21" customWidth="1"/>
    <col min="768" max="768" width="11.28515625" style="21" customWidth="1"/>
    <col min="769" max="769" width="2.7109375" style="21" customWidth="1"/>
    <col min="770" max="770" width="3.5703125" style="21" customWidth="1"/>
    <col min="771" max="1015" width="9.28515625" style="21"/>
    <col min="1016" max="1016" width="8.5703125" style="21" customWidth="1"/>
    <col min="1017" max="1017" width="9.7109375" style="21" customWidth="1"/>
    <col min="1018" max="1018" width="14.42578125" style="21" customWidth="1"/>
    <col min="1019" max="1019" width="7.42578125" style="21" customWidth="1"/>
    <col min="1020" max="1020" width="5.5703125" style="21" customWidth="1"/>
    <col min="1021" max="1021" width="9" style="21" customWidth="1"/>
    <col min="1022" max="1023" width="9.7109375" style="21" customWidth="1"/>
    <col min="1024" max="1024" width="11.28515625" style="21" customWidth="1"/>
    <col min="1025" max="1025" width="2.7109375" style="21" customWidth="1"/>
    <col min="1026" max="1026" width="3.5703125" style="21" customWidth="1"/>
    <col min="1027" max="1271" width="9.28515625" style="21"/>
    <col min="1272" max="1272" width="8.5703125" style="21" customWidth="1"/>
    <col min="1273" max="1273" width="9.7109375" style="21" customWidth="1"/>
    <col min="1274" max="1274" width="14.42578125" style="21" customWidth="1"/>
    <col min="1275" max="1275" width="7.42578125" style="21" customWidth="1"/>
    <col min="1276" max="1276" width="5.5703125" style="21" customWidth="1"/>
    <col min="1277" max="1277" width="9" style="21" customWidth="1"/>
    <col min="1278" max="1279" width="9.7109375" style="21" customWidth="1"/>
    <col min="1280" max="1280" width="11.28515625" style="21" customWidth="1"/>
    <col min="1281" max="1281" width="2.7109375" style="21" customWidth="1"/>
    <col min="1282" max="1282" width="3.5703125" style="21" customWidth="1"/>
    <col min="1283" max="1527" width="9.28515625" style="21"/>
    <col min="1528" max="1528" width="8.5703125" style="21" customWidth="1"/>
    <col min="1529" max="1529" width="9.7109375" style="21" customWidth="1"/>
    <col min="1530" max="1530" width="14.42578125" style="21" customWidth="1"/>
    <col min="1531" max="1531" width="7.42578125" style="21" customWidth="1"/>
    <col min="1532" max="1532" width="5.5703125" style="21" customWidth="1"/>
    <col min="1533" max="1533" width="9" style="21" customWidth="1"/>
    <col min="1534" max="1535" width="9.7109375" style="21" customWidth="1"/>
    <col min="1536" max="1536" width="11.28515625" style="21" customWidth="1"/>
    <col min="1537" max="1537" width="2.7109375" style="21" customWidth="1"/>
    <col min="1538" max="1538" width="3.5703125" style="21" customWidth="1"/>
    <col min="1539" max="1783" width="9.28515625" style="21"/>
    <col min="1784" max="1784" width="8.5703125" style="21" customWidth="1"/>
    <col min="1785" max="1785" width="9.7109375" style="21" customWidth="1"/>
    <col min="1786" max="1786" width="14.42578125" style="21" customWidth="1"/>
    <col min="1787" max="1787" width="7.42578125" style="21" customWidth="1"/>
    <col min="1788" max="1788" width="5.5703125" style="21" customWidth="1"/>
    <col min="1789" max="1789" width="9" style="21" customWidth="1"/>
    <col min="1790" max="1791" width="9.7109375" style="21" customWidth="1"/>
    <col min="1792" max="1792" width="11.28515625" style="21" customWidth="1"/>
    <col min="1793" max="1793" width="2.7109375" style="21" customWidth="1"/>
    <col min="1794" max="1794" width="3.5703125" style="21" customWidth="1"/>
    <col min="1795" max="2039" width="9.28515625" style="21"/>
    <col min="2040" max="2040" width="8.5703125" style="21" customWidth="1"/>
    <col min="2041" max="2041" width="9.7109375" style="21" customWidth="1"/>
    <col min="2042" max="2042" width="14.42578125" style="21" customWidth="1"/>
    <col min="2043" max="2043" width="7.42578125" style="21" customWidth="1"/>
    <col min="2044" max="2044" width="5.5703125" style="21" customWidth="1"/>
    <col min="2045" max="2045" width="9" style="21" customWidth="1"/>
    <col min="2046" max="2047" width="9.7109375" style="21" customWidth="1"/>
    <col min="2048" max="2048" width="11.28515625" style="21" customWidth="1"/>
    <col min="2049" max="2049" width="2.7109375" style="21" customWidth="1"/>
    <col min="2050" max="2050" width="3.5703125" style="21" customWidth="1"/>
    <col min="2051" max="2295" width="9.28515625" style="21"/>
    <col min="2296" max="2296" width="8.5703125" style="21" customWidth="1"/>
    <col min="2297" max="2297" width="9.7109375" style="21" customWidth="1"/>
    <col min="2298" max="2298" width="14.42578125" style="21" customWidth="1"/>
    <col min="2299" max="2299" width="7.42578125" style="21" customWidth="1"/>
    <col min="2300" max="2300" width="5.5703125" style="21" customWidth="1"/>
    <col min="2301" max="2301" width="9" style="21" customWidth="1"/>
    <col min="2302" max="2303" width="9.7109375" style="21" customWidth="1"/>
    <col min="2304" max="2304" width="11.28515625" style="21" customWidth="1"/>
    <col min="2305" max="2305" width="2.7109375" style="21" customWidth="1"/>
    <col min="2306" max="2306" width="3.5703125" style="21" customWidth="1"/>
    <col min="2307" max="2551" width="9.28515625" style="21"/>
    <col min="2552" max="2552" width="8.5703125" style="21" customWidth="1"/>
    <col min="2553" max="2553" width="9.7109375" style="21" customWidth="1"/>
    <col min="2554" max="2554" width="14.42578125" style="21" customWidth="1"/>
    <col min="2555" max="2555" width="7.42578125" style="21" customWidth="1"/>
    <col min="2556" max="2556" width="5.5703125" style="21" customWidth="1"/>
    <col min="2557" max="2557" width="9" style="21" customWidth="1"/>
    <col min="2558" max="2559" width="9.7109375" style="21" customWidth="1"/>
    <col min="2560" max="2560" width="11.28515625" style="21" customWidth="1"/>
    <col min="2561" max="2561" width="2.7109375" style="21" customWidth="1"/>
    <col min="2562" max="2562" width="3.5703125" style="21" customWidth="1"/>
    <col min="2563" max="2807" width="9.28515625" style="21"/>
    <col min="2808" max="2808" width="8.5703125" style="21" customWidth="1"/>
    <col min="2809" max="2809" width="9.7109375" style="21" customWidth="1"/>
    <col min="2810" max="2810" width="14.42578125" style="21" customWidth="1"/>
    <col min="2811" max="2811" width="7.42578125" style="21" customWidth="1"/>
    <col min="2812" max="2812" width="5.5703125" style="21" customWidth="1"/>
    <col min="2813" max="2813" width="9" style="21" customWidth="1"/>
    <col min="2814" max="2815" width="9.7109375" style="21" customWidth="1"/>
    <col min="2816" max="2816" width="11.28515625" style="21" customWidth="1"/>
    <col min="2817" max="2817" width="2.7109375" style="21" customWidth="1"/>
    <col min="2818" max="2818" width="3.5703125" style="21" customWidth="1"/>
    <col min="2819" max="3063" width="9.28515625" style="21"/>
    <col min="3064" max="3064" width="8.5703125" style="21" customWidth="1"/>
    <col min="3065" max="3065" width="9.7109375" style="21" customWidth="1"/>
    <col min="3066" max="3066" width="14.42578125" style="21" customWidth="1"/>
    <col min="3067" max="3067" width="7.42578125" style="21" customWidth="1"/>
    <col min="3068" max="3068" width="5.5703125" style="21" customWidth="1"/>
    <col min="3069" max="3069" width="9" style="21" customWidth="1"/>
    <col min="3070" max="3071" width="9.7109375" style="21" customWidth="1"/>
    <col min="3072" max="3072" width="11.28515625" style="21" customWidth="1"/>
    <col min="3073" max="3073" width="2.7109375" style="21" customWidth="1"/>
    <col min="3074" max="3074" width="3.5703125" style="21" customWidth="1"/>
    <col min="3075" max="3319" width="9.28515625" style="21"/>
    <col min="3320" max="3320" width="8.5703125" style="21" customWidth="1"/>
    <col min="3321" max="3321" width="9.7109375" style="21" customWidth="1"/>
    <col min="3322" max="3322" width="14.42578125" style="21" customWidth="1"/>
    <col min="3323" max="3323" width="7.42578125" style="21" customWidth="1"/>
    <col min="3324" max="3324" width="5.5703125" style="21" customWidth="1"/>
    <col min="3325" max="3325" width="9" style="21" customWidth="1"/>
    <col min="3326" max="3327" width="9.7109375" style="21" customWidth="1"/>
    <col min="3328" max="3328" width="11.28515625" style="21" customWidth="1"/>
    <col min="3329" max="3329" width="2.7109375" style="21" customWidth="1"/>
    <col min="3330" max="3330" width="3.5703125" style="21" customWidth="1"/>
    <col min="3331" max="3575" width="9.28515625" style="21"/>
    <col min="3576" max="3576" width="8.5703125" style="21" customWidth="1"/>
    <col min="3577" max="3577" width="9.7109375" style="21" customWidth="1"/>
    <col min="3578" max="3578" width="14.42578125" style="21" customWidth="1"/>
    <col min="3579" max="3579" width="7.42578125" style="21" customWidth="1"/>
    <col min="3580" max="3580" width="5.5703125" style="21" customWidth="1"/>
    <col min="3581" max="3581" width="9" style="21" customWidth="1"/>
    <col min="3582" max="3583" width="9.7109375" style="21" customWidth="1"/>
    <col min="3584" max="3584" width="11.28515625" style="21" customWidth="1"/>
    <col min="3585" max="3585" width="2.7109375" style="21" customWidth="1"/>
    <col min="3586" max="3586" width="3.5703125" style="21" customWidth="1"/>
    <col min="3587" max="3831" width="9.28515625" style="21"/>
    <col min="3832" max="3832" width="8.5703125" style="21" customWidth="1"/>
    <col min="3833" max="3833" width="9.7109375" style="21" customWidth="1"/>
    <col min="3834" max="3834" width="14.42578125" style="21" customWidth="1"/>
    <col min="3835" max="3835" width="7.42578125" style="21" customWidth="1"/>
    <col min="3836" max="3836" width="5.5703125" style="21" customWidth="1"/>
    <col min="3837" max="3837" width="9" style="21" customWidth="1"/>
    <col min="3838" max="3839" width="9.7109375" style="21" customWidth="1"/>
    <col min="3840" max="3840" width="11.28515625" style="21" customWidth="1"/>
    <col min="3841" max="3841" width="2.7109375" style="21" customWidth="1"/>
    <col min="3842" max="3842" width="3.5703125" style="21" customWidth="1"/>
    <col min="3843" max="4087" width="9.28515625" style="21"/>
    <col min="4088" max="4088" width="8.5703125" style="21" customWidth="1"/>
    <col min="4089" max="4089" width="9.7109375" style="21" customWidth="1"/>
    <col min="4090" max="4090" width="14.42578125" style="21" customWidth="1"/>
    <col min="4091" max="4091" width="7.42578125" style="21" customWidth="1"/>
    <col min="4092" max="4092" width="5.5703125" style="21" customWidth="1"/>
    <col min="4093" max="4093" width="9" style="21" customWidth="1"/>
    <col min="4094" max="4095" width="9.7109375" style="21" customWidth="1"/>
    <col min="4096" max="4096" width="11.28515625" style="21" customWidth="1"/>
    <col min="4097" max="4097" width="2.7109375" style="21" customWidth="1"/>
    <col min="4098" max="4098" width="3.5703125" style="21" customWidth="1"/>
    <col min="4099" max="4343" width="9.28515625" style="21"/>
    <col min="4344" max="4344" width="8.5703125" style="21" customWidth="1"/>
    <col min="4345" max="4345" width="9.7109375" style="21" customWidth="1"/>
    <col min="4346" max="4346" width="14.42578125" style="21" customWidth="1"/>
    <col min="4347" max="4347" width="7.42578125" style="21" customWidth="1"/>
    <col min="4348" max="4348" width="5.5703125" style="21" customWidth="1"/>
    <col min="4349" max="4349" width="9" style="21" customWidth="1"/>
    <col min="4350" max="4351" width="9.7109375" style="21" customWidth="1"/>
    <col min="4352" max="4352" width="11.28515625" style="21" customWidth="1"/>
    <col min="4353" max="4353" width="2.7109375" style="21" customWidth="1"/>
    <col min="4354" max="4354" width="3.5703125" style="21" customWidth="1"/>
    <col min="4355" max="4599" width="9.28515625" style="21"/>
    <col min="4600" max="4600" width="8.5703125" style="21" customWidth="1"/>
    <col min="4601" max="4601" width="9.7109375" style="21" customWidth="1"/>
    <col min="4602" max="4602" width="14.42578125" style="21" customWidth="1"/>
    <col min="4603" max="4603" width="7.42578125" style="21" customWidth="1"/>
    <col min="4604" max="4604" width="5.5703125" style="21" customWidth="1"/>
    <col min="4605" max="4605" width="9" style="21" customWidth="1"/>
    <col min="4606" max="4607" width="9.7109375" style="21" customWidth="1"/>
    <col min="4608" max="4608" width="11.28515625" style="21" customWidth="1"/>
    <col min="4609" max="4609" width="2.7109375" style="21" customWidth="1"/>
    <col min="4610" max="4610" width="3.5703125" style="21" customWidth="1"/>
    <col min="4611" max="4855" width="9.28515625" style="21"/>
    <col min="4856" max="4856" width="8.5703125" style="21" customWidth="1"/>
    <col min="4857" max="4857" width="9.7109375" style="21" customWidth="1"/>
    <col min="4858" max="4858" width="14.42578125" style="21" customWidth="1"/>
    <col min="4859" max="4859" width="7.42578125" style="21" customWidth="1"/>
    <col min="4860" max="4860" width="5.5703125" style="21" customWidth="1"/>
    <col min="4861" max="4861" width="9" style="21" customWidth="1"/>
    <col min="4862" max="4863" width="9.7109375" style="21" customWidth="1"/>
    <col min="4864" max="4864" width="11.28515625" style="21" customWidth="1"/>
    <col min="4865" max="4865" width="2.7109375" style="21" customWidth="1"/>
    <col min="4866" max="4866" width="3.5703125" style="21" customWidth="1"/>
    <col min="4867" max="5111" width="9.28515625" style="21"/>
    <col min="5112" max="5112" width="8.5703125" style="21" customWidth="1"/>
    <col min="5113" max="5113" width="9.7109375" style="21" customWidth="1"/>
    <col min="5114" max="5114" width="14.42578125" style="21" customWidth="1"/>
    <col min="5115" max="5115" width="7.42578125" style="21" customWidth="1"/>
    <col min="5116" max="5116" width="5.5703125" style="21" customWidth="1"/>
    <col min="5117" max="5117" width="9" style="21" customWidth="1"/>
    <col min="5118" max="5119" width="9.7109375" style="21" customWidth="1"/>
    <col min="5120" max="5120" width="11.28515625" style="21" customWidth="1"/>
    <col min="5121" max="5121" width="2.7109375" style="21" customWidth="1"/>
    <col min="5122" max="5122" width="3.5703125" style="21" customWidth="1"/>
    <col min="5123" max="5367" width="9.28515625" style="21"/>
    <col min="5368" max="5368" width="8.5703125" style="21" customWidth="1"/>
    <col min="5369" max="5369" width="9.7109375" style="21" customWidth="1"/>
    <col min="5370" max="5370" width="14.42578125" style="21" customWidth="1"/>
    <col min="5371" max="5371" width="7.42578125" style="21" customWidth="1"/>
    <col min="5372" max="5372" width="5.5703125" style="21" customWidth="1"/>
    <col min="5373" max="5373" width="9" style="21" customWidth="1"/>
    <col min="5374" max="5375" width="9.7109375" style="21" customWidth="1"/>
    <col min="5376" max="5376" width="11.28515625" style="21" customWidth="1"/>
    <col min="5377" max="5377" width="2.7109375" style="21" customWidth="1"/>
    <col min="5378" max="5378" width="3.5703125" style="21" customWidth="1"/>
    <col min="5379" max="5623" width="9.28515625" style="21"/>
    <col min="5624" max="5624" width="8.5703125" style="21" customWidth="1"/>
    <col min="5625" max="5625" width="9.7109375" style="21" customWidth="1"/>
    <col min="5626" max="5626" width="14.42578125" style="21" customWidth="1"/>
    <col min="5627" max="5627" width="7.42578125" style="21" customWidth="1"/>
    <col min="5628" max="5628" width="5.5703125" style="21" customWidth="1"/>
    <col min="5629" max="5629" width="9" style="21" customWidth="1"/>
    <col min="5630" max="5631" width="9.7109375" style="21" customWidth="1"/>
    <col min="5632" max="5632" width="11.28515625" style="21" customWidth="1"/>
    <col min="5633" max="5633" width="2.7109375" style="21" customWidth="1"/>
    <col min="5634" max="5634" width="3.5703125" style="21" customWidth="1"/>
    <col min="5635" max="5879" width="9.28515625" style="21"/>
    <col min="5880" max="5880" width="8.5703125" style="21" customWidth="1"/>
    <col min="5881" max="5881" width="9.7109375" style="21" customWidth="1"/>
    <col min="5882" max="5882" width="14.42578125" style="21" customWidth="1"/>
    <col min="5883" max="5883" width="7.42578125" style="21" customWidth="1"/>
    <col min="5884" max="5884" width="5.5703125" style="21" customWidth="1"/>
    <col min="5885" max="5885" width="9" style="21" customWidth="1"/>
    <col min="5886" max="5887" width="9.7109375" style="21" customWidth="1"/>
    <col min="5888" max="5888" width="11.28515625" style="21" customWidth="1"/>
    <col min="5889" max="5889" width="2.7109375" style="21" customWidth="1"/>
    <col min="5890" max="5890" width="3.5703125" style="21" customWidth="1"/>
    <col min="5891" max="6135" width="9.28515625" style="21"/>
    <col min="6136" max="6136" width="8.5703125" style="21" customWidth="1"/>
    <col min="6137" max="6137" width="9.7109375" style="21" customWidth="1"/>
    <col min="6138" max="6138" width="14.42578125" style="21" customWidth="1"/>
    <col min="6139" max="6139" width="7.42578125" style="21" customWidth="1"/>
    <col min="6140" max="6140" width="5.5703125" style="21" customWidth="1"/>
    <col min="6141" max="6141" width="9" style="21" customWidth="1"/>
    <col min="6142" max="6143" width="9.7109375" style="21" customWidth="1"/>
    <col min="6144" max="6144" width="11.28515625" style="21" customWidth="1"/>
    <col min="6145" max="6145" width="2.7109375" style="21" customWidth="1"/>
    <col min="6146" max="6146" width="3.5703125" style="21" customWidth="1"/>
    <col min="6147" max="6391" width="9.28515625" style="21"/>
    <col min="6392" max="6392" width="8.5703125" style="21" customWidth="1"/>
    <col min="6393" max="6393" width="9.7109375" style="21" customWidth="1"/>
    <col min="6394" max="6394" width="14.42578125" style="21" customWidth="1"/>
    <col min="6395" max="6395" width="7.42578125" style="21" customWidth="1"/>
    <col min="6396" max="6396" width="5.5703125" style="21" customWidth="1"/>
    <col min="6397" max="6397" width="9" style="21" customWidth="1"/>
    <col min="6398" max="6399" width="9.7109375" style="21" customWidth="1"/>
    <col min="6400" max="6400" width="11.28515625" style="21" customWidth="1"/>
    <col min="6401" max="6401" width="2.7109375" style="21" customWidth="1"/>
    <col min="6402" max="6402" width="3.5703125" style="21" customWidth="1"/>
    <col min="6403" max="6647" width="9.28515625" style="21"/>
    <col min="6648" max="6648" width="8.5703125" style="21" customWidth="1"/>
    <col min="6649" max="6649" width="9.7109375" style="21" customWidth="1"/>
    <col min="6650" max="6650" width="14.42578125" style="21" customWidth="1"/>
    <col min="6651" max="6651" width="7.42578125" style="21" customWidth="1"/>
    <col min="6652" max="6652" width="5.5703125" style="21" customWidth="1"/>
    <col min="6653" max="6653" width="9" style="21" customWidth="1"/>
    <col min="6654" max="6655" width="9.7109375" style="21" customWidth="1"/>
    <col min="6656" max="6656" width="11.28515625" style="21" customWidth="1"/>
    <col min="6657" max="6657" width="2.7109375" style="21" customWidth="1"/>
    <col min="6658" max="6658" width="3.5703125" style="21" customWidth="1"/>
    <col min="6659" max="6903" width="9.28515625" style="21"/>
    <col min="6904" max="6904" width="8.5703125" style="21" customWidth="1"/>
    <col min="6905" max="6905" width="9.7109375" style="21" customWidth="1"/>
    <col min="6906" max="6906" width="14.42578125" style="21" customWidth="1"/>
    <col min="6907" max="6907" width="7.42578125" style="21" customWidth="1"/>
    <col min="6908" max="6908" width="5.5703125" style="21" customWidth="1"/>
    <col min="6909" max="6909" width="9" style="21" customWidth="1"/>
    <col min="6910" max="6911" width="9.7109375" style="21" customWidth="1"/>
    <col min="6912" max="6912" width="11.28515625" style="21" customWidth="1"/>
    <col min="6913" max="6913" width="2.7109375" style="21" customWidth="1"/>
    <col min="6914" max="6914" width="3.5703125" style="21" customWidth="1"/>
    <col min="6915" max="7159" width="9.28515625" style="21"/>
    <col min="7160" max="7160" width="8.5703125" style="21" customWidth="1"/>
    <col min="7161" max="7161" width="9.7109375" style="21" customWidth="1"/>
    <col min="7162" max="7162" width="14.42578125" style="21" customWidth="1"/>
    <col min="7163" max="7163" width="7.42578125" style="21" customWidth="1"/>
    <col min="7164" max="7164" width="5.5703125" style="21" customWidth="1"/>
    <col min="7165" max="7165" width="9" style="21" customWidth="1"/>
    <col min="7166" max="7167" width="9.7109375" style="21" customWidth="1"/>
    <col min="7168" max="7168" width="11.28515625" style="21" customWidth="1"/>
    <col min="7169" max="7169" width="2.7109375" style="21" customWidth="1"/>
    <col min="7170" max="7170" width="3.5703125" style="21" customWidth="1"/>
    <col min="7171" max="7415" width="9.28515625" style="21"/>
    <col min="7416" max="7416" width="8.5703125" style="21" customWidth="1"/>
    <col min="7417" max="7417" width="9.7109375" style="21" customWidth="1"/>
    <col min="7418" max="7418" width="14.42578125" style="21" customWidth="1"/>
    <col min="7419" max="7419" width="7.42578125" style="21" customWidth="1"/>
    <col min="7420" max="7420" width="5.5703125" style="21" customWidth="1"/>
    <col min="7421" max="7421" width="9" style="21" customWidth="1"/>
    <col min="7422" max="7423" width="9.7109375" style="21" customWidth="1"/>
    <col min="7424" max="7424" width="11.28515625" style="21" customWidth="1"/>
    <col min="7425" max="7425" width="2.7109375" style="21" customWidth="1"/>
    <col min="7426" max="7426" width="3.5703125" style="21" customWidth="1"/>
    <col min="7427" max="7671" width="9.28515625" style="21"/>
    <col min="7672" max="7672" width="8.5703125" style="21" customWidth="1"/>
    <col min="7673" max="7673" width="9.7109375" style="21" customWidth="1"/>
    <col min="7674" max="7674" width="14.42578125" style="21" customWidth="1"/>
    <col min="7675" max="7675" width="7.42578125" style="21" customWidth="1"/>
    <col min="7676" max="7676" width="5.5703125" style="21" customWidth="1"/>
    <col min="7677" max="7677" width="9" style="21" customWidth="1"/>
    <col min="7678" max="7679" width="9.7109375" style="21" customWidth="1"/>
    <col min="7680" max="7680" width="11.28515625" style="21" customWidth="1"/>
    <col min="7681" max="7681" width="2.7109375" style="21" customWidth="1"/>
    <col min="7682" max="7682" width="3.5703125" style="21" customWidth="1"/>
    <col min="7683" max="7927" width="9.28515625" style="21"/>
    <col min="7928" max="7928" width="8.5703125" style="21" customWidth="1"/>
    <col min="7929" max="7929" width="9.7109375" style="21" customWidth="1"/>
    <col min="7930" max="7930" width="14.42578125" style="21" customWidth="1"/>
    <col min="7931" max="7931" width="7.42578125" style="21" customWidth="1"/>
    <col min="7932" max="7932" width="5.5703125" style="21" customWidth="1"/>
    <col min="7933" max="7933" width="9" style="21" customWidth="1"/>
    <col min="7934" max="7935" width="9.7109375" style="21" customWidth="1"/>
    <col min="7936" max="7936" width="11.28515625" style="21" customWidth="1"/>
    <col min="7937" max="7937" width="2.7109375" style="21" customWidth="1"/>
    <col min="7938" max="7938" width="3.5703125" style="21" customWidth="1"/>
    <col min="7939" max="8183" width="9.28515625" style="21"/>
    <col min="8184" max="8184" width="8.5703125" style="21" customWidth="1"/>
    <col min="8185" max="8185" width="9.7109375" style="21" customWidth="1"/>
    <col min="8186" max="8186" width="14.42578125" style="21" customWidth="1"/>
    <col min="8187" max="8187" width="7.42578125" style="21" customWidth="1"/>
    <col min="8188" max="8188" width="5.5703125" style="21" customWidth="1"/>
    <col min="8189" max="8189" width="9" style="21" customWidth="1"/>
    <col min="8190" max="8191" width="9.7109375" style="21" customWidth="1"/>
    <col min="8192" max="8192" width="11.28515625" style="21" customWidth="1"/>
    <col min="8193" max="8193" width="2.7109375" style="21" customWidth="1"/>
    <col min="8194" max="8194" width="3.5703125" style="21" customWidth="1"/>
    <col min="8195" max="8439" width="9.28515625" style="21"/>
    <col min="8440" max="8440" width="8.5703125" style="21" customWidth="1"/>
    <col min="8441" max="8441" width="9.7109375" style="21" customWidth="1"/>
    <col min="8442" max="8442" width="14.42578125" style="21" customWidth="1"/>
    <col min="8443" max="8443" width="7.42578125" style="21" customWidth="1"/>
    <col min="8444" max="8444" width="5.5703125" style="21" customWidth="1"/>
    <col min="8445" max="8445" width="9" style="21" customWidth="1"/>
    <col min="8446" max="8447" width="9.7109375" style="21" customWidth="1"/>
    <col min="8448" max="8448" width="11.28515625" style="21" customWidth="1"/>
    <col min="8449" max="8449" width="2.7109375" style="21" customWidth="1"/>
    <col min="8450" max="8450" width="3.5703125" style="21" customWidth="1"/>
    <col min="8451" max="8695" width="9.28515625" style="21"/>
    <col min="8696" max="8696" width="8.5703125" style="21" customWidth="1"/>
    <col min="8697" max="8697" width="9.7109375" style="21" customWidth="1"/>
    <col min="8698" max="8698" width="14.42578125" style="21" customWidth="1"/>
    <col min="8699" max="8699" width="7.42578125" style="21" customWidth="1"/>
    <col min="8700" max="8700" width="5.5703125" style="21" customWidth="1"/>
    <col min="8701" max="8701" width="9" style="21" customWidth="1"/>
    <col min="8702" max="8703" width="9.7109375" style="21" customWidth="1"/>
    <col min="8704" max="8704" width="11.28515625" style="21" customWidth="1"/>
    <col min="8705" max="8705" width="2.7109375" style="21" customWidth="1"/>
    <col min="8706" max="8706" width="3.5703125" style="21" customWidth="1"/>
    <col min="8707" max="8951" width="9.28515625" style="21"/>
    <col min="8952" max="8952" width="8.5703125" style="21" customWidth="1"/>
    <col min="8953" max="8953" width="9.7109375" style="21" customWidth="1"/>
    <col min="8954" max="8954" width="14.42578125" style="21" customWidth="1"/>
    <col min="8955" max="8955" width="7.42578125" style="21" customWidth="1"/>
    <col min="8956" max="8956" width="5.5703125" style="21" customWidth="1"/>
    <col min="8957" max="8957" width="9" style="21" customWidth="1"/>
    <col min="8958" max="8959" width="9.7109375" style="21" customWidth="1"/>
    <col min="8960" max="8960" width="11.28515625" style="21" customWidth="1"/>
    <col min="8961" max="8961" width="2.7109375" style="21" customWidth="1"/>
    <col min="8962" max="8962" width="3.5703125" style="21" customWidth="1"/>
    <col min="8963" max="9207" width="9.28515625" style="21"/>
    <col min="9208" max="9208" width="8.5703125" style="21" customWidth="1"/>
    <col min="9209" max="9209" width="9.7109375" style="21" customWidth="1"/>
    <col min="9210" max="9210" width="14.42578125" style="21" customWidth="1"/>
    <col min="9211" max="9211" width="7.42578125" style="21" customWidth="1"/>
    <col min="9212" max="9212" width="5.5703125" style="21" customWidth="1"/>
    <col min="9213" max="9213" width="9" style="21" customWidth="1"/>
    <col min="9214" max="9215" width="9.7109375" style="21" customWidth="1"/>
    <col min="9216" max="9216" width="11.28515625" style="21" customWidth="1"/>
    <col min="9217" max="9217" width="2.7109375" style="21" customWidth="1"/>
    <col min="9218" max="9218" width="3.5703125" style="21" customWidth="1"/>
    <col min="9219" max="9463" width="9.28515625" style="21"/>
    <col min="9464" max="9464" width="8.5703125" style="21" customWidth="1"/>
    <col min="9465" max="9465" width="9.7109375" style="21" customWidth="1"/>
    <col min="9466" max="9466" width="14.42578125" style="21" customWidth="1"/>
    <col min="9467" max="9467" width="7.42578125" style="21" customWidth="1"/>
    <col min="9468" max="9468" width="5.5703125" style="21" customWidth="1"/>
    <col min="9469" max="9469" width="9" style="21" customWidth="1"/>
    <col min="9470" max="9471" width="9.7109375" style="21" customWidth="1"/>
    <col min="9472" max="9472" width="11.28515625" style="21" customWidth="1"/>
    <col min="9473" max="9473" width="2.7109375" style="21" customWidth="1"/>
    <col min="9474" max="9474" width="3.5703125" style="21" customWidth="1"/>
    <col min="9475" max="9719" width="9.28515625" style="21"/>
    <col min="9720" max="9720" width="8.5703125" style="21" customWidth="1"/>
    <col min="9721" max="9721" width="9.7109375" style="21" customWidth="1"/>
    <col min="9722" max="9722" width="14.42578125" style="21" customWidth="1"/>
    <col min="9723" max="9723" width="7.42578125" style="21" customWidth="1"/>
    <col min="9724" max="9724" width="5.5703125" style="21" customWidth="1"/>
    <col min="9725" max="9725" width="9" style="21" customWidth="1"/>
    <col min="9726" max="9727" width="9.7109375" style="21" customWidth="1"/>
    <col min="9728" max="9728" width="11.28515625" style="21" customWidth="1"/>
    <col min="9729" max="9729" width="2.7109375" style="21" customWidth="1"/>
    <col min="9730" max="9730" width="3.5703125" style="21" customWidth="1"/>
    <col min="9731" max="9975" width="9.28515625" style="21"/>
    <col min="9976" max="9976" width="8.5703125" style="21" customWidth="1"/>
    <col min="9977" max="9977" width="9.7109375" style="21" customWidth="1"/>
    <col min="9978" max="9978" width="14.42578125" style="21" customWidth="1"/>
    <col min="9979" max="9979" width="7.42578125" style="21" customWidth="1"/>
    <col min="9980" max="9980" width="5.5703125" style="21" customWidth="1"/>
    <col min="9981" max="9981" width="9" style="21" customWidth="1"/>
    <col min="9982" max="9983" width="9.7109375" style="21" customWidth="1"/>
    <col min="9984" max="9984" width="11.28515625" style="21" customWidth="1"/>
    <col min="9985" max="9985" width="2.7109375" style="21" customWidth="1"/>
    <col min="9986" max="9986" width="3.5703125" style="21" customWidth="1"/>
    <col min="9987" max="10231" width="9.28515625" style="21"/>
    <col min="10232" max="10232" width="8.5703125" style="21" customWidth="1"/>
    <col min="10233" max="10233" width="9.7109375" style="21" customWidth="1"/>
    <col min="10234" max="10234" width="14.42578125" style="21" customWidth="1"/>
    <col min="10235" max="10235" width="7.42578125" style="21" customWidth="1"/>
    <col min="10236" max="10236" width="5.5703125" style="21" customWidth="1"/>
    <col min="10237" max="10237" width="9" style="21" customWidth="1"/>
    <col min="10238" max="10239" width="9.7109375" style="21" customWidth="1"/>
    <col min="10240" max="10240" width="11.28515625" style="21" customWidth="1"/>
    <col min="10241" max="10241" width="2.7109375" style="21" customWidth="1"/>
    <col min="10242" max="10242" width="3.5703125" style="21" customWidth="1"/>
    <col min="10243" max="10487" width="9.28515625" style="21"/>
    <col min="10488" max="10488" width="8.5703125" style="21" customWidth="1"/>
    <col min="10489" max="10489" width="9.7109375" style="21" customWidth="1"/>
    <col min="10490" max="10490" width="14.42578125" style="21" customWidth="1"/>
    <col min="10491" max="10491" width="7.42578125" style="21" customWidth="1"/>
    <col min="10492" max="10492" width="5.5703125" style="21" customWidth="1"/>
    <col min="10493" max="10493" width="9" style="21" customWidth="1"/>
    <col min="10494" max="10495" width="9.7109375" style="21" customWidth="1"/>
    <col min="10496" max="10496" width="11.28515625" style="21" customWidth="1"/>
    <col min="10497" max="10497" width="2.7109375" style="21" customWidth="1"/>
    <col min="10498" max="10498" width="3.5703125" style="21" customWidth="1"/>
    <col min="10499" max="10743" width="9.28515625" style="21"/>
    <col min="10744" max="10744" width="8.5703125" style="21" customWidth="1"/>
    <col min="10745" max="10745" width="9.7109375" style="21" customWidth="1"/>
    <col min="10746" max="10746" width="14.42578125" style="21" customWidth="1"/>
    <col min="10747" max="10747" width="7.42578125" style="21" customWidth="1"/>
    <col min="10748" max="10748" width="5.5703125" style="21" customWidth="1"/>
    <col min="10749" max="10749" width="9" style="21" customWidth="1"/>
    <col min="10750" max="10751" width="9.7109375" style="21" customWidth="1"/>
    <col min="10752" max="10752" width="11.28515625" style="21" customWidth="1"/>
    <col min="10753" max="10753" width="2.7109375" style="21" customWidth="1"/>
    <col min="10754" max="10754" width="3.5703125" style="21" customWidth="1"/>
    <col min="10755" max="10999" width="9.28515625" style="21"/>
    <col min="11000" max="11000" width="8.5703125" style="21" customWidth="1"/>
    <col min="11001" max="11001" width="9.7109375" style="21" customWidth="1"/>
    <col min="11002" max="11002" width="14.42578125" style="21" customWidth="1"/>
    <col min="11003" max="11003" width="7.42578125" style="21" customWidth="1"/>
    <col min="11004" max="11004" width="5.5703125" style="21" customWidth="1"/>
    <col min="11005" max="11005" width="9" style="21" customWidth="1"/>
    <col min="11006" max="11007" width="9.7109375" style="21" customWidth="1"/>
    <col min="11008" max="11008" width="11.28515625" style="21" customWidth="1"/>
    <col min="11009" max="11009" width="2.7109375" style="21" customWidth="1"/>
    <col min="11010" max="11010" width="3.5703125" style="21" customWidth="1"/>
    <col min="11011" max="11255" width="9.28515625" style="21"/>
    <col min="11256" max="11256" width="8.5703125" style="21" customWidth="1"/>
    <col min="11257" max="11257" width="9.7109375" style="21" customWidth="1"/>
    <col min="11258" max="11258" width="14.42578125" style="21" customWidth="1"/>
    <col min="11259" max="11259" width="7.42578125" style="21" customWidth="1"/>
    <col min="11260" max="11260" width="5.5703125" style="21" customWidth="1"/>
    <col min="11261" max="11261" width="9" style="21" customWidth="1"/>
    <col min="11262" max="11263" width="9.7109375" style="21" customWidth="1"/>
    <col min="11264" max="11264" width="11.28515625" style="21" customWidth="1"/>
    <col min="11265" max="11265" width="2.7109375" style="21" customWidth="1"/>
    <col min="11266" max="11266" width="3.5703125" style="21" customWidth="1"/>
    <col min="11267" max="11511" width="9.28515625" style="21"/>
    <col min="11512" max="11512" width="8.5703125" style="21" customWidth="1"/>
    <col min="11513" max="11513" width="9.7109375" style="21" customWidth="1"/>
    <col min="11514" max="11514" width="14.42578125" style="21" customWidth="1"/>
    <col min="11515" max="11515" width="7.42578125" style="21" customWidth="1"/>
    <col min="11516" max="11516" width="5.5703125" style="21" customWidth="1"/>
    <col min="11517" max="11517" width="9" style="21" customWidth="1"/>
    <col min="11518" max="11519" width="9.7109375" style="21" customWidth="1"/>
    <col min="11520" max="11520" width="11.28515625" style="21" customWidth="1"/>
    <col min="11521" max="11521" width="2.7109375" style="21" customWidth="1"/>
    <col min="11522" max="11522" width="3.5703125" style="21" customWidth="1"/>
    <col min="11523" max="11767" width="9.28515625" style="21"/>
    <col min="11768" max="11768" width="8.5703125" style="21" customWidth="1"/>
    <col min="11769" max="11769" width="9.7109375" style="21" customWidth="1"/>
    <col min="11770" max="11770" width="14.42578125" style="21" customWidth="1"/>
    <col min="11771" max="11771" width="7.42578125" style="21" customWidth="1"/>
    <col min="11772" max="11772" width="5.5703125" style="21" customWidth="1"/>
    <col min="11773" max="11773" width="9" style="21" customWidth="1"/>
    <col min="11774" max="11775" width="9.7109375" style="21" customWidth="1"/>
    <col min="11776" max="11776" width="11.28515625" style="21" customWidth="1"/>
    <col min="11777" max="11777" width="2.7109375" style="21" customWidth="1"/>
    <col min="11778" max="11778" width="3.5703125" style="21" customWidth="1"/>
    <col min="11779" max="12023" width="9.28515625" style="21"/>
    <col min="12024" max="12024" width="8.5703125" style="21" customWidth="1"/>
    <col min="12025" max="12025" width="9.7109375" style="21" customWidth="1"/>
    <col min="12026" max="12026" width="14.42578125" style="21" customWidth="1"/>
    <col min="12027" max="12027" width="7.42578125" style="21" customWidth="1"/>
    <col min="12028" max="12028" width="5.5703125" style="21" customWidth="1"/>
    <col min="12029" max="12029" width="9" style="21" customWidth="1"/>
    <col min="12030" max="12031" width="9.7109375" style="21" customWidth="1"/>
    <col min="12032" max="12032" width="11.28515625" style="21" customWidth="1"/>
    <col min="12033" max="12033" width="2.7109375" style="21" customWidth="1"/>
    <col min="12034" max="12034" width="3.5703125" style="21" customWidth="1"/>
    <col min="12035" max="12279" width="9.28515625" style="21"/>
    <col min="12280" max="12280" width="8.5703125" style="21" customWidth="1"/>
    <col min="12281" max="12281" width="9.7109375" style="21" customWidth="1"/>
    <col min="12282" max="12282" width="14.42578125" style="21" customWidth="1"/>
    <col min="12283" max="12283" width="7.42578125" style="21" customWidth="1"/>
    <col min="12284" max="12284" width="5.5703125" style="21" customWidth="1"/>
    <col min="12285" max="12285" width="9" style="21" customWidth="1"/>
    <col min="12286" max="12287" width="9.7109375" style="21" customWidth="1"/>
    <col min="12288" max="12288" width="11.28515625" style="21" customWidth="1"/>
    <col min="12289" max="12289" width="2.7109375" style="21" customWidth="1"/>
    <col min="12290" max="12290" width="3.5703125" style="21" customWidth="1"/>
    <col min="12291" max="12535" width="9.28515625" style="21"/>
    <col min="12536" max="12536" width="8.5703125" style="21" customWidth="1"/>
    <col min="12537" max="12537" width="9.7109375" style="21" customWidth="1"/>
    <col min="12538" max="12538" width="14.42578125" style="21" customWidth="1"/>
    <col min="12539" max="12539" width="7.42578125" style="21" customWidth="1"/>
    <col min="12540" max="12540" width="5.5703125" style="21" customWidth="1"/>
    <col min="12541" max="12541" width="9" style="21" customWidth="1"/>
    <col min="12542" max="12543" width="9.7109375" style="21" customWidth="1"/>
    <col min="12544" max="12544" width="11.28515625" style="21" customWidth="1"/>
    <col min="12545" max="12545" width="2.7109375" style="21" customWidth="1"/>
    <col min="12546" max="12546" width="3.5703125" style="21" customWidth="1"/>
    <col min="12547" max="12791" width="9.28515625" style="21"/>
    <col min="12792" max="12792" width="8.5703125" style="21" customWidth="1"/>
    <col min="12793" max="12793" width="9.7109375" style="21" customWidth="1"/>
    <col min="12794" max="12794" width="14.42578125" style="21" customWidth="1"/>
    <col min="12795" max="12795" width="7.42578125" style="21" customWidth="1"/>
    <col min="12796" max="12796" width="5.5703125" style="21" customWidth="1"/>
    <col min="12797" max="12797" width="9" style="21" customWidth="1"/>
    <col min="12798" max="12799" width="9.7109375" style="21" customWidth="1"/>
    <col min="12800" max="12800" width="11.28515625" style="21" customWidth="1"/>
    <col min="12801" max="12801" width="2.7109375" style="21" customWidth="1"/>
    <col min="12802" max="12802" width="3.5703125" style="21" customWidth="1"/>
    <col min="12803" max="13047" width="9.28515625" style="21"/>
    <col min="13048" max="13048" width="8.5703125" style="21" customWidth="1"/>
    <col min="13049" max="13049" width="9.7109375" style="21" customWidth="1"/>
    <col min="13050" max="13050" width="14.42578125" style="21" customWidth="1"/>
    <col min="13051" max="13051" width="7.42578125" style="21" customWidth="1"/>
    <col min="13052" max="13052" width="5.5703125" style="21" customWidth="1"/>
    <col min="13053" max="13053" width="9" style="21" customWidth="1"/>
    <col min="13054" max="13055" width="9.7109375" style="21" customWidth="1"/>
    <col min="13056" max="13056" width="11.28515625" style="21" customWidth="1"/>
    <col min="13057" max="13057" width="2.7109375" style="21" customWidth="1"/>
    <col min="13058" max="13058" width="3.5703125" style="21" customWidth="1"/>
    <col min="13059" max="13303" width="9.28515625" style="21"/>
    <col min="13304" max="13304" width="8.5703125" style="21" customWidth="1"/>
    <col min="13305" max="13305" width="9.7109375" style="21" customWidth="1"/>
    <col min="13306" max="13306" width="14.42578125" style="21" customWidth="1"/>
    <col min="13307" max="13307" width="7.42578125" style="21" customWidth="1"/>
    <col min="13308" max="13308" width="5.5703125" style="21" customWidth="1"/>
    <col min="13309" max="13309" width="9" style="21" customWidth="1"/>
    <col min="13310" max="13311" width="9.7109375" style="21" customWidth="1"/>
    <col min="13312" max="13312" width="11.28515625" style="21" customWidth="1"/>
    <col min="13313" max="13313" width="2.7109375" style="21" customWidth="1"/>
    <col min="13314" max="13314" width="3.5703125" style="21" customWidth="1"/>
    <col min="13315" max="13559" width="9.28515625" style="21"/>
    <col min="13560" max="13560" width="8.5703125" style="21" customWidth="1"/>
    <col min="13561" max="13561" width="9.7109375" style="21" customWidth="1"/>
    <col min="13562" max="13562" width="14.42578125" style="21" customWidth="1"/>
    <col min="13563" max="13563" width="7.42578125" style="21" customWidth="1"/>
    <col min="13564" max="13564" width="5.5703125" style="21" customWidth="1"/>
    <col min="13565" max="13565" width="9" style="21" customWidth="1"/>
    <col min="13566" max="13567" width="9.7109375" style="21" customWidth="1"/>
    <col min="13568" max="13568" width="11.28515625" style="21" customWidth="1"/>
    <col min="13569" max="13569" width="2.7109375" style="21" customWidth="1"/>
    <col min="13570" max="13570" width="3.5703125" style="21" customWidth="1"/>
    <col min="13571" max="13815" width="9.28515625" style="21"/>
    <col min="13816" max="13816" width="8.5703125" style="21" customWidth="1"/>
    <col min="13817" max="13817" width="9.7109375" style="21" customWidth="1"/>
    <col min="13818" max="13818" width="14.42578125" style="21" customWidth="1"/>
    <col min="13819" max="13819" width="7.42578125" style="21" customWidth="1"/>
    <col min="13820" max="13820" width="5.5703125" style="21" customWidth="1"/>
    <col min="13821" max="13821" width="9" style="21" customWidth="1"/>
    <col min="13822" max="13823" width="9.7109375" style="21" customWidth="1"/>
    <col min="13824" max="13824" width="11.28515625" style="21" customWidth="1"/>
    <col min="13825" max="13825" width="2.7109375" style="21" customWidth="1"/>
    <col min="13826" max="13826" width="3.5703125" style="21" customWidth="1"/>
    <col min="13827" max="14071" width="9.28515625" style="21"/>
    <col min="14072" max="14072" width="8.5703125" style="21" customWidth="1"/>
    <col min="14073" max="14073" width="9.7109375" style="21" customWidth="1"/>
    <col min="14074" max="14074" width="14.42578125" style="21" customWidth="1"/>
    <col min="14075" max="14075" width="7.42578125" style="21" customWidth="1"/>
    <col min="14076" max="14076" width="5.5703125" style="21" customWidth="1"/>
    <col min="14077" max="14077" width="9" style="21" customWidth="1"/>
    <col min="14078" max="14079" width="9.7109375" style="21" customWidth="1"/>
    <col min="14080" max="14080" width="11.28515625" style="21" customWidth="1"/>
    <col min="14081" max="14081" width="2.7109375" style="21" customWidth="1"/>
    <col min="14082" max="14082" width="3.5703125" style="21" customWidth="1"/>
    <col min="14083" max="14327" width="9.28515625" style="21"/>
    <col min="14328" max="14328" width="8.5703125" style="21" customWidth="1"/>
    <col min="14329" max="14329" width="9.7109375" style="21" customWidth="1"/>
    <col min="14330" max="14330" width="14.42578125" style="21" customWidth="1"/>
    <col min="14331" max="14331" width="7.42578125" style="21" customWidth="1"/>
    <col min="14332" max="14332" width="5.5703125" style="21" customWidth="1"/>
    <col min="14333" max="14333" width="9" style="21" customWidth="1"/>
    <col min="14334" max="14335" width="9.7109375" style="21" customWidth="1"/>
    <col min="14336" max="14336" width="11.28515625" style="21" customWidth="1"/>
    <col min="14337" max="14337" width="2.7109375" style="21" customWidth="1"/>
    <col min="14338" max="14338" width="3.5703125" style="21" customWidth="1"/>
    <col min="14339" max="14583" width="9.28515625" style="21"/>
    <col min="14584" max="14584" width="8.5703125" style="21" customWidth="1"/>
    <col min="14585" max="14585" width="9.7109375" style="21" customWidth="1"/>
    <col min="14586" max="14586" width="14.42578125" style="21" customWidth="1"/>
    <col min="14587" max="14587" width="7.42578125" style="21" customWidth="1"/>
    <col min="14588" max="14588" width="5.5703125" style="21" customWidth="1"/>
    <col min="14589" max="14589" width="9" style="21" customWidth="1"/>
    <col min="14590" max="14591" width="9.7109375" style="21" customWidth="1"/>
    <col min="14592" max="14592" width="11.28515625" style="21" customWidth="1"/>
    <col min="14593" max="14593" width="2.7109375" style="21" customWidth="1"/>
    <col min="14594" max="14594" width="3.5703125" style="21" customWidth="1"/>
    <col min="14595" max="14839" width="9.28515625" style="21"/>
    <col min="14840" max="14840" width="8.5703125" style="21" customWidth="1"/>
    <col min="14841" max="14841" width="9.7109375" style="21" customWidth="1"/>
    <col min="14842" max="14842" width="14.42578125" style="21" customWidth="1"/>
    <col min="14843" max="14843" width="7.42578125" style="21" customWidth="1"/>
    <col min="14844" max="14844" width="5.5703125" style="21" customWidth="1"/>
    <col min="14845" max="14845" width="9" style="21" customWidth="1"/>
    <col min="14846" max="14847" width="9.7109375" style="21" customWidth="1"/>
    <col min="14848" max="14848" width="11.28515625" style="21" customWidth="1"/>
    <col min="14849" max="14849" width="2.7109375" style="21" customWidth="1"/>
    <col min="14850" max="14850" width="3.5703125" style="21" customWidth="1"/>
    <col min="14851" max="15095" width="9.28515625" style="21"/>
    <col min="15096" max="15096" width="8.5703125" style="21" customWidth="1"/>
    <col min="15097" max="15097" width="9.7109375" style="21" customWidth="1"/>
    <col min="15098" max="15098" width="14.42578125" style="21" customWidth="1"/>
    <col min="15099" max="15099" width="7.42578125" style="21" customWidth="1"/>
    <col min="15100" max="15100" width="5.5703125" style="21" customWidth="1"/>
    <col min="15101" max="15101" width="9" style="21" customWidth="1"/>
    <col min="15102" max="15103" width="9.7109375" style="21" customWidth="1"/>
    <col min="15104" max="15104" width="11.28515625" style="21" customWidth="1"/>
    <col min="15105" max="15105" width="2.7109375" style="21" customWidth="1"/>
    <col min="15106" max="15106" width="3.5703125" style="21" customWidth="1"/>
    <col min="15107" max="15351" width="9.28515625" style="21"/>
    <col min="15352" max="15352" width="8.5703125" style="21" customWidth="1"/>
    <col min="15353" max="15353" width="9.7109375" style="21" customWidth="1"/>
    <col min="15354" max="15354" width="14.42578125" style="21" customWidth="1"/>
    <col min="15355" max="15355" width="7.42578125" style="21" customWidth="1"/>
    <col min="15356" max="15356" width="5.5703125" style="21" customWidth="1"/>
    <col min="15357" max="15357" width="9" style="21" customWidth="1"/>
    <col min="15358" max="15359" width="9.7109375" style="21" customWidth="1"/>
    <col min="15360" max="15360" width="11.28515625" style="21" customWidth="1"/>
    <col min="15361" max="15361" width="2.7109375" style="21" customWidth="1"/>
    <col min="15362" max="15362" width="3.5703125" style="21" customWidth="1"/>
    <col min="15363" max="15607" width="9.28515625" style="21"/>
    <col min="15608" max="15608" width="8.5703125" style="21" customWidth="1"/>
    <col min="15609" max="15609" width="9.7109375" style="21" customWidth="1"/>
    <col min="15610" max="15610" width="14.42578125" style="21" customWidth="1"/>
    <col min="15611" max="15611" width="7.42578125" style="21" customWidth="1"/>
    <col min="15612" max="15612" width="5.5703125" style="21" customWidth="1"/>
    <col min="15613" max="15613" width="9" style="21" customWidth="1"/>
    <col min="15614" max="15615" width="9.7109375" style="21" customWidth="1"/>
    <col min="15616" max="15616" width="11.28515625" style="21" customWidth="1"/>
    <col min="15617" max="15617" width="2.7109375" style="21" customWidth="1"/>
    <col min="15618" max="15618" width="3.5703125" style="21" customWidth="1"/>
    <col min="15619" max="15863" width="9.28515625" style="21"/>
    <col min="15864" max="15864" width="8.5703125" style="21" customWidth="1"/>
    <col min="15865" max="15865" width="9.7109375" style="21" customWidth="1"/>
    <col min="15866" max="15866" width="14.42578125" style="21" customWidth="1"/>
    <col min="15867" max="15867" width="7.42578125" style="21" customWidth="1"/>
    <col min="15868" max="15868" width="5.5703125" style="21" customWidth="1"/>
    <col min="15869" max="15869" width="9" style="21" customWidth="1"/>
    <col min="15870" max="15871" width="9.7109375" style="21" customWidth="1"/>
    <col min="15872" max="15872" width="11.28515625" style="21" customWidth="1"/>
    <col min="15873" max="15873" width="2.7109375" style="21" customWidth="1"/>
    <col min="15874" max="15874" width="3.5703125" style="21" customWidth="1"/>
    <col min="15875" max="16119" width="9.28515625" style="21"/>
    <col min="16120" max="16120" width="8.5703125" style="21" customWidth="1"/>
    <col min="16121" max="16121" width="9.7109375" style="21" customWidth="1"/>
    <col min="16122" max="16122" width="14.42578125" style="21" customWidth="1"/>
    <col min="16123" max="16123" width="7.42578125" style="21" customWidth="1"/>
    <col min="16124" max="16124" width="5.5703125" style="21" customWidth="1"/>
    <col min="16125" max="16125" width="9" style="21" customWidth="1"/>
    <col min="16126" max="16127" width="9.7109375" style="21" customWidth="1"/>
    <col min="16128" max="16128" width="11.28515625" style="21" customWidth="1"/>
    <col min="16129" max="16129" width="2.7109375" style="21" customWidth="1"/>
    <col min="16130" max="16130" width="3.5703125" style="21" customWidth="1"/>
    <col min="16131" max="16384" width="9.28515625" style="21"/>
  </cols>
  <sheetData>
    <row r="1" spans="1:8" ht="46.5" customHeight="1" x14ac:dyDescent="0.25">
      <c r="A1" s="167" t="s">
        <v>218</v>
      </c>
      <c r="B1" s="167"/>
      <c r="C1" s="167"/>
      <c r="D1" s="167"/>
      <c r="E1" s="167"/>
      <c r="F1" s="167"/>
      <c r="G1" s="167"/>
      <c r="H1" s="167"/>
    </row>
    <row r="2" spans="1:8" ht="16.5" customHeight="1" x14ac:dyDescent="0.25">
      <c r="A2" s="148" t="s">
        <v>0</v>
      </c>
      <c r="B2" s="148"/>
      <c r="C2" s="148"/>
      <c r="D2" s="148"/>
      <c r="E2" s="148"/>
      <c r="F2" s="148"/>
      <c r="G2" s="148"/>
      <c r="H2" s="148"/>
    </row>
    <row r="3" spans="1:8" x14ac:dyDescent="0.25">
      <c r="A3" s="136" t="s">
        <v>1</v>
      </c>
      <c r="B3" s="136"/>
      <c r="C3" s="136"/>
      <c r="D3" s="136"/>
      <c r="E3" s="136" t="str">
        <f ca="1">TEXT(TODAY(),"DD/MM/YYYY")</f>
        <v>12/08/2025</v>
      </c>
      <c r="F3" s="136"/>
      <c r="G3" s="136"/>
      <c r="H3" s="136"/>
    </row>
    <row r="4" spans="1:8" ht="15" customHeight="1" x14ac:dyDescent="0.25">
      <c r="A4" s="136" t="s">
        <v>2</v>
      </c>
      <c r="B4" s="136"/>
      <c r="C4" s="136"/>
      <c r="D4" s="136"/>
      <c r="E4" s="136" t="s">
        <v>163</v>
      </c>
      <c r="F4" s="136"/>
      <c r="G4" s="136"/>
      <c r="H4" s="136"/>
    </row>
    <row r="5" spans="1:8" x14ac:dyDescent="0.25">
      <c r="A5" s="136" t="s">
        <v>3</v>
      </c>
      <c r="B5" s="136"/>
      <c r="C5" s="136"/>
      <c r="D5" s="136"/>
      <c r="E5" s="168">
        <v>45878</v>
      </c>
      <c r="F5" s="136"/>
      <c r="G5" s="136"/>
      <c r="H5" s="136"/>
    </row>
    <row r="6" spans="1:8" ht="16.5" customHeight="1" x14ac:dyDescent="0.25">
      <c r="A6" s="136" t="s">
        <v>4</v>
      </c>
      <c r="B6" s="136"/>
      <c r="C6" s="136"/>
      <c r="D6" s="136"/>
      <c r="E6" s="160" t="s">
        <v>194</v>
      </c>
      <c r="F6" s="136"/>
      <c r="G6" s="136"/>
      <c r="H6" s="136"/>
    </row>
    <row r="7" spans="1:8" ht="15" customHeight="1" x14ac:dyDescent="0.25">
      <c r="A7" s="136" t="s">
        <v>5</v>
      </c>
      <c r="B7" s="136"/>
      <c r="C7" s="136"/>
      <c r="D7" s="136"/>
      <c r="E7" s="136" t="str">
        <f>E6</f>
        <v xml:space="preserve">Godrej Projects Development Ltd
</v>
      </c>
      <c r="F7" s="136"/>
      <c r="G7" s="136"/>
      <c r="H7" s="136"/>
    </row>
    <row r="8" spans="1:8" x14ac:dyDescent="0.25">
      <c r="A8" s="136" t="s">
        <v>6</v>
      </c>
      <c r="B8" s="136"/>
      <c r="C8" s="136"/>
      <c r="D8" s="136"/>
      <c r="E8" s="70" t="s">
        <v>219</v>
      </c>
      <c r="F8" s="70"/>
      <c r="G8" s="70"/>
      <c r="H8" s="70"/>
    </row>
    <row r="9" spans="1:8" x14ac:dyDescent="0.25">
      <c r="A9" s="136" t="s">
        <v>118</v>
      </c>
      <c r="B9" s="136"/>
      <c r="C9" s="136"/>
      <c r="D9" s="136"/>
      <c r="E9" s="136">
        <v>9812511860</v>
      </c>
      <c r="F9" s="136"/>
      <c r="G9" s="136"/>
      <c r="H9" s="136"/>
    </row>
    <row r="10" spans="1:8" x14ac:dyDescent="0.25">
      <c r="A10" s="136" t="s">
        <v>203</v>
      </c>
      <c r="B10" s="136"/>
      <c r="C10" s="136"/>
      <c r="D10" s="136"/>
      <c r="E10" s="160" t="s">
        <v>220</v>
      </c>
      <c r="F10" s="160"/>
      <c r="G10" s="160"/>
      <c r="H10" s="160"/>
    </row>
    <row r="11" spans="1:8" x14ac:dyDescent="0.25">
      <c r="A11" s="124" t="s">
        <v>7</v>
      </c>
      <c r="B11" s="124"/>
      <c r="C11" s="124"/>
      <c r="D11" s="124"/>
      <c r="E11" s="160" t="s">
        <v>193</v>
      </c>
      <c r="F11" s="160"/>
      <c r="G11" s="160"/>
      <c r="H11" s="160"/>
    </row>
    <row r="12" spans="1:8" x14ac:dyDescent="0.25">
      <c r="A12" s="124" t="s">
        <v>8</v>
      </c>
      <c r="B12" s="124"/>
      <c r="C12" s="124"/>
      <c r="D12" s="124"/>
      <c r="E12" s="160" t="s">
        <v>221</v>
      </c>
      <c r="F12" s="136"/>
      <c r="G12" s="136"/>
      <c r="H12" s="136"/>
    </row>
    <row r="13" spans="1:8" ht="65.25" customHeight="1" x14ac:dyDescent="0.25">
      <c r="A13" s="134" t="s">
        <v>9</v>
      </c>
      <c r="B13" s="134"/>
      <c r="C13" s="134" t="s">
        <v>164</v>
      </c>
      <c r="D13" s="134"/>
      <c r="E13" s="134"/>
      <c r="F13" s="134"/>
      <c r="G13" s="134"/>
      <c r="H13" s="134"/>
    </row>
    <row r="14" spans="1:8" ht="31.5" customHeight="1" x14ac:dyDescent="0.25">
      <c r="A14" s="160" t="s">
        <v>166</v>
      </c>
      <c r="B14" s="160"/>
      <c r="C14" s="160" t="s">
        <v>165</v>
      </c>
      <c r="D14" s="160"/>
      <c r="E14" s="160"/>
      <c r="F14" s="160"/>
      <c r="G14" s="160"/>
      <c r="H14" s="160"/>
    </row>
    <row r="15" spans="1:8" ht="15.75" customHeight="1" x14ac:dyDescent="0.25">
      <c r="A15" s="164" t="s">
        <v>160</v>
      </c>
      <c r="B15" s="165"/>
      <c r="C15" s="164" t="s">
        <v>171</v>
      </c>
      <c r="D15" s="166"/>
      <c r="E15" s="166"/>
      <c r="F15" s="166"/>
      <c r="G15" s="166"/>
      <c r="H15" s="165"/>
    </row>
    <row r="16" spans="1:8" ht="15.75" customHeight="1" x14ac:dyDescent="0.25">
      <c r="A16" s="134" t="s">
        <v>10</v>
      </c>
      <c r="B16" s="134"/>
      <c r="C16" s="136" t="s">
        <v>170</v>
      </c>
      <c r="D16" s="136"/>
      <c r="E16" s="134" t="s">
        <v>161</v>
      </c>
      <c r="F16" s="134"/>
      <c r="G16" s="160" t="s">
        <v>167</v>
      </c>
      <c r="H16" s="160"/>
    </row>
    <row r="17" spans="1:8" x14ac:dyDescent="0.25">
      <c r="A17" s="124" t="s">
        <v>12</v>
      </c>
      <c r="B17" s="124"/>
      <c r="C17" s="160" t="s">
        <v>172</v>
      </c>
      <c r="D17" s="160"/>
      <c r="E17" s="134" t="s">
        <v>11</v>
      </c>
      <c r="F17" s="134"/>
      <c r="G17" s="163" t="s">
        <v>169</v>
      </c>
      <c r="H17" s="163"/>
    </row>
    <row r="18" spans="1:8" x14ac:dyDescent="0.25">
      <c r="A18" s="124" t="s">
        <v>72</v>
      </c>
      <c r="B18" s="124"/>
      <c r="C18" s="160" t="s">
        <v>169</v>
      </c>
      <c r="D18" s="160"/>
      <c r="E18" s="134" t="s">
        <v>13</v>
      </c>
      <c r="F18" s="134"/>
      <c r="G18" s="160">
        <v>400031</v>
      </c>
      <c r="H18" s="160"/>
    </row>
    <row r="19" spans="1:8" ht="32.25" customHeight="1" x14ac:dyDescent="0.25">
      <c r="A19" s="124" t="s">
        <v>120</v>
      </c>
      <c r="B19" s="124"/>
      <c r="C19" s="160" t="s">
        <v>173</v>
      </c>
      <c r="D19" s="160"/>
      <c r="E19" s="134" t="s">
        <v>14</v>
      </c>
      <c r="F19" s="134"/>
      <c r="G19" s="160" t="s">
        <v>168</v>
      </c>
      <c r="H19" s="160"/>
    </row>
    <row r="20" spans="1:8" ht="15" customHeight="1" x14ac:dyDescent="0.25">
      <c r="A20" s="134" t="s">
        <v>74</v>
      </c>
      <c r="B20" s="134"/>
      <c r="C20" s="134"/>
      <c r="D20" s="134"/>
      <c r="E20" s="136" t="s">
        <v>15</v>
      </c>
      <c r="F20" s="136"/>
      <c r="G20" s="136"/>
      <c r="H20" s="136"/>
    </row>
    <row r="21" spans="1:8" ht="18.75" customHeight="1" x14ac:dyDescent="0.25">
      <c r="A21" s="134"/>
      <c r="B21" s="134"/>
      <c r="C21" s="134"/>
      <c r="D21" s="134"/>
      <c r="E21" s="136"/>
      <c r="F21" s="136"/>
      <c r="G21" s="136"/>
      <c r="H21" s="136"/>
    </row>
    <row r="22" spans="1:8" ht="15" customHeight="1" x14ac:dyDescent="0.25">
      <c r="A22" s="134" t="s">
        <v>16</v>
      </c>
      <c r="B22" s="134"/>
      <c r="C22" s="134"/>
      <c r="D22" s="134"/>
      <c r="E22" s="160" t="s">
        <v>17</v>
      </c>
      <c r="F22" s="160"/>
      <c r="G22" s="160"/>
      <c r="H22" s="160"/>
    </row>
    <row r="23" spans="1:8" ht="15" customHeight="1" x14ac:dyDescent="0.25">
      <c r="A23" s="124" t="s">
        <v>18</v>
      </c>
      <c r="B23" s="124"/>
      <c r="C23" s="124"/>
      <c r="D23" s="124"/>
      <c r="E23" s="160" t="str">
        <f>IF(AND(G17="Mumbai"),"Upper Class","Middle Class")</f>
        <v>Upper Class</v>
      </c>
      <c r="F23" s="160"/>
      <c r="G23" s="160"/>
      <c r="H23" s="160"/>
    </row>
    <row r="24" spans="1:8" x14ac:dyDescent="0.25">
      <c r="A24" s="124" t="s">
        <v>19</v>
      </c>
      <c r="B24" s="124"/>
      <c r="C24" s="124"/>
      <c r="D24" s="124"/>
      <c r="E24" s="160" t="s">
        <v>20</v>
      </c>
      <c r="F24" s="160"/>
      <c r="G24" s="160"/>
      <c r="H24" s="160"/>
    </row>
    <row r="25" spans="1:8" ht="15.75" customHeight="1" x14ac:dyDescent="0.25">
      <c r="A25" s="124" t="s">
        <v>21</v>
      </c>
      <c r="B25" s="124"/>
      <c r="C25" s="124"/>
      <c r="D25" s="124"/>
      <c r="E25" s="160" t="str">
        <f>IF(AND(G17="Mumbai"),"Developed","Developing")</f>
        <v>Developed</v>
      </c>
      <c r="F25" s="160"/>
      <c r="G25" s="160"/>
      <c r="H25" s="160"/>
    </row>
    <row r="26" spans="1:8" x14ac:dyDescent="0.25">
      <c r="A26" s="124" t="s">
        <v>22</v>
      </c>
      <c r="B26" s="124"/>
      <c r="C26" s="124"/>
      <c r="D26" s="124"/>
      <c r="E26" s="160" t="s">
        <v>23</v>
      </c>
      <c r="F26" s="160"/>
      <c r="G26" s="160"/>
      <c r="H26" s="160"/>
    </row>
    <row r="27" spans="1:8" ht="15.75" customHeight="1" x14ac:dyDescent="0.25">
      <c r="A27" s="124" t="s">
        <v>79</v>
      </c>
      <c r="B27" s="124"/>
      <c r="C27" s="124"/>
      <c r="D27" s="124"/>
      <c r="E27" s="160" t="s">
        <v>80</v>
      </c>
      <c r="F27" s="160"/>
      <c r="G27" s="160"/>
      <c r="H27" s="160"/>
    </row>
    <row r="28" spans="1:8" ht="15" customHeight="1" x14ac:dyDescent="0.25">
      <c r="A28" s="124" t="s">
        <v>32</v>
      </c>
      <c r="B28" s="124"/>
      <c r="C28" s="124"/>
      <c r="D28" s="124"/>
      <c r="E28" s="16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8" s="160"/>
      <c r="G28" s="160"/>
      <c r="H28" s="160"/>
    </row>
    <row r="29" spans="1:8" ht="15.75" customHeight="1" x14ac:dyDescent="0.25">
      <c r="A29" s="124" t="s">
        <v>91</v>
      </c>
      <c r="B29" s="124"/>
      <c r="C29" s="124"/>
      <c r="D29" s="124"/>
      <c r="E29" s="160" t="s">
        <v>33</v>
      </c>
      <c r="F29" s="160"/>
      <c r="G29" s="160"/>
      <c r="H29" s="160"/>
    </row>
    <row r="30" spans="1:8" s="22" customFormat="1" x14ac:dyDescent="0.25">
      <c r="A30" s="162" t="s">
        <v>92</v>
      </c>
      <c r="B30" s="162"/>
      <c r="C30" s="161" t="s">
        <v>28</v>
      </c>
      <c r="D30" s="161"/>
      <c r="E30" s="161"/>
      <c r="F30" s="161" t="s">
        <v>30</v>
      </c>
      <c r="G30" s="161"/>
      <c r="H30" s="161"/>
    </row>
    <row r="31" spans="1:8" s="22" customFormat="1" x14ac:dyDescent="0.25">
      <c r="A31" s="144" t="s">
        <v>24</v>
      </c>
      <c r="B31" s="144" t="s">
        <v>29</v>
      </c>
      <c r="C31" s="145" t="s">
        <v>29</v>
      </c>
      <c r="D31" s="145"/>
      <c r="E31" s="145"/>
      <c r="F31" s="145" t="s">
        <v>174</v>
      </c>
      <c r="G31" s="145"/>
      <c r="H31" s="145"/>
    </row>
    <row r="32" spans="1:8" x14ac:dyDescent="0.25">
      <c r="A32" s="144" t="s">
        <v>25</v>
      </c>
      <c r="B32" s="144" t="s">
        <v>29</v>
      </c>
      <c r="C32" s="145" t="s">
        <v>29</v>
      </c>
      <c r="D32" s="145"/>
      <c r="E32" s="145"/>
      <c r="F32" s="145" t="s">
        <v>175</v>
      </c>
      <c r="G32" s="145"/>
      <c r="H32" s="145"/>
    </row>
    <row r="33" spans="1:10" s="22" customFormat="1" x14ac:dyDescent="0.25">
      <c r="A33" s="144" t="s">
        <v>27</v>
      </c>
      <c r="B33" s="144" t="s">
        <v>29</v>
      </c>
      <c r="C33" s="145" t="s">
        <v>29</v>
      </c>
      <c r="D33" s="145"/>
      <c r="E33" s="145"/>
      <c r="F33" s="145" t="s">
        <v>176</v>
      </c>
      <c r="G33" s="145"/>
      <c r="H33" s="145"/>
    </row>
    <row r="34" spans="1:10" x14ac:dyDescent="0.25">
      <c r="A34" s="144" t="s">
        <v>26</v>
      </c>
      <c r="B34" s="144" t="s">
        <v>29</v>
      </c>
      <c r="C34" s="145" t="s">
        <v>29</v>
      </c>
      <c r="D34" s="145"/>
      <c r="E34" s="145"/>
      <c r="F34" s="145" t="s">
        <v>177</v>
      </c>
      <c r="G34" s="145"/>
      <c r="H34" s="145"/>
    </row>
    <row r="35" spans="1:10" x14ac:dyDescent="0.25">
      <c r="A35" s="124" t="s">
        <v>31</v>
      </c>
      <c r="B35" s="124"/>
      <c r="C35" s="124"/>
      <c r="D35" s="124"/>
      <c r="E35" s="124"/>
      <c r="F35" s="124"/>
      <c r="G35" s="124"/>
      <c r="H35" s="124"/>
    </row>
    <row r="36" spans="1:10" ht="15.75" customHeight="1" x14ac:dyDescent="0.25">
      <c r="A36" s="148" t="s">
        <v>195</v>
      </c>
      <c r="B36" s="148"/>
      <c r="C36" s="189" t="s">
        <v>196</v>
      </c>
      <c r="D36" s="189"/>
      <c r="E36" s="189"/>
      <c r="F36" s="189"/>
      <c r="G36" s="189"/>
      <c r="H36" s="189"/>
      <c r="J36" s="21" t="s">
        <v>236</v>
      </c>
    </row>
    <row r="37" spans="1:10" x14ac:dyDescent="0.25">
      <c r="A37" s="148" t="s">
        <v>159</v>
      </c>
      <c r="B37" s="148"/>
      <c r="C37" s="159" t="s">
        <v>178</v>
      </c>
      <c r="D37" s="160"/>
      <c r="E37" s="160"/>
      <c r="F37" s="160"/>
      <c r="G37" s="160"/>
      <c r="H37" s="160"/>
    </row>
    <row r="38" spans="1:10" x14ac:dyDescent="0.25">
      <c r="A38" s="147" t="s">
        <v>34</v>
      </c>
      <c r="B38" s="147"/>
      <c r="C38" s="147"/>
      <c r="D38" s="147"/>
      <c r="E38" s="147"/>
      <c r="F38" s="147"/>
      <c r="G38" s="147"/>
      <c r="H38" s="147"/>
    </row>
    <row r="39" spans="1:10" x14ac:dyDescent="0.25">
      <c r="A39" s="124" t="s">
        <v>35</v>
      </c>
      <c r="B39" s="124"/>
      <c r="C39" s="124"/>
      <c r="D39" s="124"/>
      <c r="E39" s="146">
        <v>30443</v>
      </c>
      <c r="F39" s="146"/>
      <c r="G39" s="146"/>
      <c r="H39" s="146"/>
    </row>
    <row r="40" spans="1:10" x14ac:dyDescent="0.25">
      <c r="A40" s="124" t="s">
        <v>36</v>
      </c>
      <c r="B40" s="124"/>
      <c r="C40" s="124"/>
      <c r="D40" s="124"/>
      <c r="E40" s="193">
        <v>3</v>
      </c>
      <c r="F40" s="193"/>
      <c r="G40" s="193"/>
      <c r="H40" s="193"/>
    </row>
    <row r="41" spans="1:10" x14ac:dyDescent="0.25">
      <c r="A41" s="124" t="s">
        <v>37</v>
      </c>
      <c r="B41" s="124"/>
      <c r="C41" s="124"/>
      <c r="D41" s="124"/>
      <c r="E41" s="193">
        <f>E43/E39-E40</f>
        <v>0.53807476267122167</v>
      </c>
      <c r="F41" s="193"/>
      <c r="G41" s="193"/>
      <c r="H41" s="193"/>
    </row>
    <row r="42" spans="1:10" x14ac:dyDescent="0.25">
      <c r="A42" s="124" t="s">
        <v>38</v>
      </c>
      <c r="B42" s="124"/>
      <c r="C42" s="124"/>
      <c r="D42" s="124"/>
      <c r="E42" s="193">
        <f>E40+E41</f>
        <v>3.5380747626712217</v>
      </c>
      <c r="F42" s="193"/>
      <c r="G42" s="193"/>
      <c r="H42" s="193"/>
    </row>
    <row r="43" spans="1:10" x14ac:dyDescent="0.25">
      <c r="A43" s="124" t="s">
        <v>90</v>
      </c>
      <c r="B43" s="124"/>
      <c r="C43" s="124"/>
      <c r="D43" s="124"/>
      <c r="E43" s="195">
        <v>107709.61</v>
      </c>
      <c r="F43" s="195"/>
      <c r="G43" s="195"/>
      <c r="H43" s="195"/>
    </row>
    <row r="44" spans="1:10" x14ac:dyDescent="0.25">
      <c r="A44" s="136" t="s">
        <v>39</v>
      </c>
      <c r="B44" s="136"/>
      <c r="C44" s="136"/>
      <c r="D44" s="136"/>
      <c r="E44" s="136" t="s">
        <v>222</v>
      </c>
      <c r="F44" s="136"/>
      <c r="G44" s="136"/>
      <c r="H44" s="136"/>
    </row>
    <row r="45" spans="1:10" x14ac:dyDescent="0.25">
      <c r="A45" s="147" t="s">
        <v>40</v>
      </c>
      <c r="B45" s="147"/>
      <c r="C45" s="147"/>
      <c r="D45" s="147"/>
      <c r="E45" s="147"/>
      <c r="F45" s="147"/>
      <c r="G45" s="147"/>
      <c r="H45" s="147"/>
    </row>
    <row r="46" spans="1:10" ht="33.75" customHeight="1" x14ac:dyDescent="0.25">
      <c r="A46" s="129" t="s">
        <v>149</v>
      </c>
      <c r="B46" s="130"/>
      <c r="C46" s="131" t="s">
        <v>179</v>
      </c>
      <c r="D46" s="132"/>
      <c r="E46" s="132"/>
      <c r="F46" s="132"/>
      <c r="G46" s="132"/>
      <c r="H46" s="133"/>
    </row>
    <row r="47" spans="1:10" ht="30" customHeight="1" x14ac:dyDescent="0.25">
      <c r="A47" s="129" t="s">
        <v>41</v>
      </c>
      <c r="B47" s="130"/>
      <c r="C47" s="129" t="s">
        <v>197</v>
      </c>
      <c r="D47" s="181"/>
      <c r="E47" s="130"/>
      <c r="F47" s="18" t="s">
        <v>42</v>
      </c>
      <c r="G47" s="143">
        <v>44988</v>
      </c>
      <c r="H47" s="130"/>
    </row>
    <row r="48" spans="1:10" ht="30" customHeight="1" x14ac:dyDescent="0.25">
      <c r="A48" s="129" t="s">
        <v>43</v>
      </c>
      <c r="B48" s="130"/>
      <c r="C48" s="129" t="str">
        <f>C47</f>
        <v>P-9221/2021/(354 And
Other)/F/North/DADAR-NAIGAON</v>
      </c>
      <c r="D48" s="181"/>
      <c r="E48" s="130"/>
      <c r="F48" s="18" t="s">
        <v>42</v>
      </c>
      <c r="G48" s="143">
        <f>G47</f>
        <v>44988</v>
      </c>
      <c r="H48" s="154"/>
    </row>
    <row r="49" spans="1:14" s="23" customFormat="1" ht="49.9" customHeight="1" x14ac:dyDescent="0.25">
      <c r="A49" s="155" t="s">
        <v>198</v>
      </c>
      <c r="B49" s="156"/>
      <c r="C49" s="129" t="s">
        <v>233</v>
      </c>
      <c r="D49" s="181"/>
      <c r="E49" s="130"/>
      <c r="F49" s="18" t="s">
        <v>42</v>
      </c>
      <c r="G49" s="143">
        <v>45582</v>
      </c>
      <c r="H49" s="154"/>
    </row>
    <row r="50" spans="1:14" s="23" customFormat="1" ht="174.6" customHeight="1" x14ac:dyDescent="0.25">
      <c r="A50" s="157"/>
      <c r="B50" s="158"/>
      <c r="C50" s="129" t="s">
        <v>234</v>
      </c>
      <c r="D50" s="181"/>
      <c r="E50" s="130"/>
      <c r="F50" s="18" t="s">
        <v>119</v>
      </c>
      <c r="G50" s="143">
        <v>45946</v>
      </c>
      <c r="H50" s="130"/>
    </row>
    <row r="51" spans="1:14" x14ac:dyDescent="0.25">
      <c r="A51" s="139" t="s">
        <v>162</v>
      </c>
      <c r="B51" s="140"/>
      <c r="C51" s="185" t="s">
        <v>29</v>
      </c>
      <c r="D51" s="186"/>
      <c r="E51" s="187"/>
      <c r="F51" s="51" t="s">
        <v>42</v>
      </c>
      <c r="G51" s="137" t="s">
        <v>29</v>
      </c>
      <c r="H51" s="138"/>
    </row>
    <row r="52" spans="1:14" hidden="1" x14ac:dyDescent="0.25">
      <c r="A52" s="141"/>
      <c r="B52" s="142"/>
      <c r="C52" s="185" t="s">
        <v>29</v>
      </c>
      <c r="D52" s="186"/>
      <c r="E52" s="186"/>
      <c r="F52" s="186"/>
      <c r="G52" s="186"/>
      <c r="H52" s="187"/>
    </row>
    <row r="53" spans="1:14" x14ac:dyDescent="0.25">
      <c r="A53" s="172" t="s">
        <v>45</v>
      </c>
      <c r="B53" s="172"/>
      <c r="C53" s="172"/>
      <c r="D53" s="172"/>
      <c r="E53" s="172"/>
      <c r="F53" s="172"/>
      <c r="G53" s="172"/>
      <c r="H53" s="172"/>
    </row>
    <row r="54" spans="1:14" x14ac:dyDescent="0.25">
      <c r="A54" s="134" t="s">
        <v>89</v>
      </c>
      <c r="B54" s="134"/>
      <c r="C54" s="134"/>
      <c r="D54" s="124">
        <f>E43</f>
        <v>107709.61</v>
      </c>
      <c r="E54" s="124"/>
      <c r="F54" s="124"/>
      <c r="G54" s="124"/>
      <c r="H54" s="124"/>
      <c r="I54" s="21">
        <v>35839.800000000003</v>
      </c>
    </row>
    <row r="55" spans="1:14" x14ac:dyDescent="0.25">
      <c r="A55" s="160" t="s">
        <v>46</v>
      </c>
      <c r="B55" s="136"/>
      <c r="C55" s="136"/>
      <c r="D55" s="136" t="s">
        <v>223</v>
      </c>
      <c r="E55" s="136"/>
      <c r="F55" s="136"/>
      <c r="G55" s="136"/>
      <c r="H55" s="136"/>
      <c r="I55" s="24"/>
    </row>
    <row r="56" spans="1:14" x14ac:dyDescent="0.25">
      <c r="A56" s="151" t="s">
        <v>47</v>
      </c>
      <c r="B56" s="152"/>
      <c r="C56" s="153"/>
      <c r="D56" s="149" t="s">
        <v>224</v>
      </c>
      <c r="E56" s="150"/>
      <c r="F56" s="150"/>
      <c r="G56" s="150"/>
      <c r="H56" s="150"/>
    </row>
    <row r="57" spans="1:14" ht="15.75" customHeight="1" x14ac:dyDescent="0.25">
      <c r="A57" s="151" t="s">
        <v>87</v>
      </c>
      <c r="B57" s="152"/>
      <c r="C57" s="152"/>
      <c r="D57" s="182" t="s">
        <v>224</v>
      </c>
      <c r="E57" s="183"/>
      <c r="F57" s="183"/>
      <c r="G57" s="183"/>
      <c r="H57" s="184"/>
    </row>
    <row r="58" spans="1:14" x14ac:dyDescent="0.25">
      <c r="A58" s="124" t="s">
        <v>44</v>
      </c>
      <c r="B58" s="124"/>
      <c r="C58" s="124"/>
      <c r="D58" s="134" t="s">
        <v>225</v>
      </c>
      <c r="E58" s="134"/>
      <c r="F58" s="134"/>
      <c r="G58" s="134"/>
      <c r="H58" s="134"/>
      <c r="J58" s="25"/>
      <c r="K58" s="24"/>
      <c r="N58" s="24"/>
    </row>
    <row r="59" spans="1:14" ht="15.75" customHeight="1" x14ac:dyDescent="0.25">
      <c r="A59" s="124" t="s">
        <v>85</v>
      </c>
      <c r="B59" s="124"/>
      <c r="C59" s="124"/>
      <c r="D59" s="135" t="str">
        <f>(IF(G51="NA","60 Years After Completion",IF(G51&lt;&gt;"NA",""&amp;60-ROUNDDOWN((E3-G51)/360,0)&amp;" Years"," ")))</f>
        <v>60 Years After Completion</v>
      </c>
      <c r="E59" s="135"/>
      <c r="F59" s="135"/>
      <c r="G59" s="135"/>
      <c r="H59" s="135"/>
      <c r="N59" s="24"/>
    </row>
    <row r="60" spans="1:14" ht="15.75" customHeight="1" x14ac:dyDescent="0.25">
      <c r="A60" s="124" t="s">
        <v>86</v>
      </c>
      <c r="B60" s="124"/>
      <c r="C60" s="124"/>
      <c r="D60" s="134" t="s">
        <v>23</v>
      </c>
      <c r="E60" s="134"/>
      <c r="F60" s="134"/>
      <c r="G60" s="134"/>
      <c r="H60" s="134"/>
      <c r="J60" s="26"/>
      <c r="K60" s="26"/>
    </row>
    <row r="61" spans="1:14" ht="33.75" customHeight="1" x14ac:dyDescent="0.25">
      <c r="A61" s="124" t="s">
        <v>73</v>
      </c>
      <c r="B61" s="124"/>
      <c r="C61" s="124"/>
      <c r="D61" s="160" t="s">
        <v>211</v>
      </c>
      <c r="E61" s="134"/>
      <c r="F61" s="134"/>
      <c r="G61" s="134"/>
      <c r="H61" s="134"/>
    </row>
    <row r="62" spans="1:14" x14ac:dyDescent="0.25">
      <c r="A62" s="134" t="s">
        <v>146</v>
      </c>
      <c r="B62" s="134"/>
      <c r="C62" s="134"/>
      <c r="D62" s="134" t="s">
        <v>29</v>
      </c>
      <c r="E62" s="134"/>
      <c r="F62" s="134"/>
      <c r="G62" s="134"/>
      <c r="H62" s="134"/>
      <c r="I62" s="27"/>
      <c r="J62" s="27"/>
      <c r="K62" s="27"/>
      <c r="L62" s="27"/>
      <c r="M62" s="27"/>
      <c r="N62" s="27"/>
    </row>
    <row r="63" spans="1:14" ht="15.75" customHeight="1" x14ac:dyDescent="0.25">
      <c r="A63" s="192" t="s">
        <v>84</v>
      </c>
      <c r="B63" s="192"/>
      <c r="C63" s="192"/>
      <c r="D63" s="149" t="str">
        <f ca="1">(IF(G69&gt;95%,"Nothing",IF(G69&gt;0%,"Cement, Aggregate, Steel, etc",IF(G69=0%,"Work not yet Started"))))</f>
        <v>Cement, Aggregate, Steel, etc</v>
      </c>
      <c r="E63" s="149"/>
      <c r="F63" s="149"/>
      <c r="G63" s="149"/>
      <c r="H63" s="149"/>
      <c r="J63" s="26"/>
    </row>
    <row r="64" spans="1:14" ht="33.75" customHeight="1" thickBot="1" x14ac:dyDescent="0.3">
      <c r="A64" s="194" t="s">
        <v>114</v>
      </c>
      <c r="B64" s="194"/>
      <c r="C64" s="194"/>
      <c r="D64" s="149" t="str">
        <f ca="1">(IF(D63="Nothing","Yes",IF(D63="Cement, Aggregate, Steel, etc","Under Construction",IF(D63="Work not yet Started","Work not yet Started"))))</f>
        <v>Under Construction</v>
      </c>
      <c r="E64" s="149"/>
      <c r="F64" s="149" t="str">
        <f ca="1">(IF(D63="Nothing","Yes",IF(D63="Cement, Aggregate, Steel, etc","Under Construction",IF(D63="Work not yet Started","Work not yet Started"))))</f>
        <v>Under Construction</v>
      </c>
      <c r="G64" s="149"/>
      <c r="H64" s="149"/>
    </row>
    <row r="65" spans="1:12" ht="15.75" customHeight="1" x14ac:dyDescent="0.25">
      <c r="A65" s="64" t="s">
        <v>138</v>
      </c>
      <c r="B65" s="65"/>
      <c r="C65" s="66" t="s">
        <v>224</v>
      </c>
      <c r="D65" s="67"/>
      <c r="E65" s="67"/>
      <c r="F65" s="67"/>
      <c r="G65" s="67"/>
      <c r="H65" s="68"/>
      <c r="I65" s="47" t="str">
        <f ca="1">IF(D78=100%,"All work Completed. Possession granted to the Building.",IF(D77=100%,"All work Completed, Waiting for OC",I66&amp;""&amp;I67&amp;""&amp;J66&amp;""&amp;J65&amp;" "&amp;J67))</f>
        <v>Excavation, Plinth Completed, RCC upto 41 Slab, Brickwork upto 40 Floor, Internal Plaster upto 30 Floor, External Plaster upto 28 Floor Completed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41 Slab, Brickwork upto 40 Floor, Internal Plaster upto 30 Floor, External Plaster upto 28 Floor</v>
      </c>
    </row>
    <row r="66" spans="1:12" s="23" customFormat="1" x14ac:dyDescent="0.25">
      <c r="A66" s="16" t="s">
        <v>140</v>
      </c>
      <c r="B66" s="54">
        <v>1</v>
      </c>
      <c r="C66" s="54" t="s">
        <v>71</v>
      </c>
      <c r="D66" s="54">
        <v>1</v>
      </c>
      <c r="E66" s="54" t="s">
        <v>70</v>
      </c>
      <c r="F66" s="54">
        <v>0</v>
      </c>
      <c r="G66" s="54" t="s">
        <v>78</v>
      </c>
      <c r="H66" s="17">
        <f ca="1">--TRIM(RIGHT(SUBSTITUTE(LEFT(C65,_xlfn.AGGREGATE(16,6,FIND({0,1,2,3,4,5,6,7,8,9},C65,ROW(INDIRECT("1:"&amp;LEN(C65)))),1))," ",REPT(" ",LEN(C65))),LEN(C65)))</f>
        <v>44</v>
      </c>
      <c r="I66" s="55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5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33" customHeight="1" x14ac:dyDescent="0.25">
      <c r="A67" s="69" t="s">
        <v>88</v>
      </c>
      <c r="B67" s="70"/>
      <c r="C67" s="71" t="str">
        <f ca="1">(IF($C$52=C65,"All work Completed. OC Received.",I65))</f>
        <v>Excavation, Plinth Completed, RCC upto 41 Slab, Brickwork upto 40 Floor, Internal Plaster upto 30 Floor, External Plaster upto 28 Floor Completed</v>
      </c>
      <c r="D67" s="71"/>
      <c r="E67" s="71"/>
      <c r="F67" s="71"/>
      <c r="G67" s="71"/>
      <c r="H67" s="72"/>
      <c r="I67" s="49" t="str">
        <f ca="1">IF(I66&lt;&gt;""," Completed","")</f>
        <v xml:space="preserve"> Completed</v>
      </c>
      <c r="J67" s="50" t="str">
        <f ca="1">IF(J65&lt;&gt;"","Completed","")</f>
        <v>Completed</v>
      </c>
    </row>
    <row r="68" spans="1:12" ht="15.75" customHeight="1" x14ac:dyDescent="0.25">
      <c r="A68" s="73" t="s">
        <v>48</v>
      </c>
      <c r="B68" s="74"/>
      <c r="C68" s="44" t="s">
        <v>137</v>
      </c>
      <c r="D68" s="44" t="s">
        <v>81</v>
      </c>
      <c r="E68" s="74" t="s">
        <v>83</v>
      </c>
      <c r="F68" s="74"/>
      <c r="G68" s="74" t="s">
        <v>82</v>
      </c>
      <c r="H68" s="75"/>
      <c r="I68" s="14" t="s">
        <v>139</v>
      </c>
      <c r="J68" s="28">
        <f ca="1">H66*25%</f>
        <v>11</v>
      </c>
    </row>
    <row r="69" spans="1:12" x14ac:dyDescent="0.25">
      <c r="A69" s="73" t="s">
        <v>126</v>
      </c>
      <c r="B69" s="74"/>
      <c r="C69" s="44">
        <f ca="1">J70</f>
        <v>44</v>
      </c>
      <c r="D69" s="19">
        <f ca="1">((100/H66)*C69)/100</f>
        <v>1.0000000000000002</v>
      </c>
      <c r="E69" s="76">
        <f ca="1">(((C70/H66*10)+(40/(D66+F66+H66)*C71)+(7.5/(H66)*C72)+(7.5/(H66)*C73)+(10/H66*C74)+(10/H66*C75)+(5/H66*C76)+(5/H66*C77)+(5/H66*C78))/100)</f>
        <v>0.64739898989898992</v>
      </c>
      <c r="F69" s="77"/>
      <c r="G69" s="76">
        <f ca="1">((((C69/H66)*20)+((C70/H66)*25)+(30/(H66+F66+D66)*C71)+(5/H66*C72)+(5/H66*C73)+(5/H66*C74)+(5/H66*C75)+(0/H66*C76)+(0/H66*C77)+(5/H66*C78))/100)</f>
        <v>0.83469696969696972</v>
      </c>
      <c r="H69" s="82"/>
      <c r="I69" s="14" t="s">
        <v>97</v>
      </c>
      <c r="J69" s="29">
        <f ca="1">H66*50%</f>
        <v>22</v>
      </c>
    </row>
    <row r="70" spans="1:12" x14ac:dyDescent="0.25">
      <c r="A70" s="73" t="s">
        <v>49</v>
      </c>
      <c r="B70" s="74"/>
      <c r="C70" s="58">
        <v>44</v>
      </c>
      <c r="D70" s="19">
        <f ca="1">((100/H66)*C70)/100</f>
        <v>1.0000000000000002</v>
      </c>
      <c r="E70" s="78"/>
      <c r="F70" s="79"/>
      <c r="G70" s="78"/>
      <c r="H70" s="83"/>
      <c r="I70" s="14" t="s">
        <v>98</v>
      </c>
      <c r="J70" s="29">
        <f ca="1">H66</f>
        <v>44</v>
      </c>
      <c r="L70" s="21">
        <f>0.25*44</f>
        <v>11</v>
      </c>
    </row>
    <row r="71" spans="1:12" ht="15.75" customHeight="1" x14ac:dyDescent="0.25">
      <c r="A71" s="73" t="s">
        <v>127</v>
      </c>
      <c r="B71" s="74"/>
      <c r="C71" s="44">
        <v>41</v>
      </c>
      <c r="D71" s="19">
        <f ca="1">((100/(D66+F66+H66))*C71)/100</f>
        <v>0.91111111111111109</v>
      </c>
      <c r="E71" s="78"/>
      <c r="F71" s="79"/>
      <c r="G71" s="78"/>
      <c r="H71" s="83"/>
      <c r="I71" s="14" t="s">
        <v>99</v>
      </c>
      <c r="J71" s="30">
        <f ca="1">(IF(B66&gt;1,(H66/(B66+2)),H66/4))</f>
        <v>11</v>
      </c>
      <c r="K71" s="21">
        <f>0.73*44</f>
        <v>32.119999999999997</v>
      </c>
    </row>
    <row r="72" spans="1:12" ht="15.75" customHeight="1" x14ac:dyDescent="0.25">
      <c r="A72" s="73" t="s">
        <v>134</v>
      </c>
      <c r="B72" s="74" t="s">
        <v>128</v>
      </c>
      <c r="C72" s="44">
        <f>C71-1</f>
        <v>40</v>
      </c>
      <c r="D72" s="19">
        <f ca="1">((100/H66)*C72)/100</f>
        <v>0.90909090909090917</v>
      </c>
      <c r="E72" s="78"/>
      <c r="F72" s="79"/>
      <c r="G72" s="78"/>
      <c r="H72" s="83"/>
      <c r="I72" s="14" t="s">
        <v>100</v>
      </c>
      <c r="J72" s="30">
        <f ca="1">(IF(B66&gt;1,(H66/(B66+2)+J71),H66/4+J71))</f>
        <v>22</v>
      </c>
    </row>
    <row r="73" spans="1:12" ht="15.75" customHeight="1" x14ac:dyDescent="0.25">
      <c r="A73" s="73" t="s">
        <v>135</v>
      </c>
      <c r="B73" s="74" t="s">
        <v>128</v>
      </c>
      <c r="C73" s="58">
        <f>C72*0.75</f>
        <v>30</v>
      </c>
      <c r="D73" s="19">
        <f ca="1">((100/H66)*C73)/100</f>
        <v>0.68181818181818188</v>
      </c>
      <c r="E73" s="78"/>
      <c r="F73" s="79"/>
      <c r="G73" s="78"/>
      <c r="H73" s="83"/>
      <c r="I73" s="14" t="s">
        <v>144</v>
      </c>
      <c r="J73" s="30">
        <f>(IF(B66&gt;1,(H66/(B66+2)+J72),0))</f>
        <v>0</v>
      </c>
    </row>
    <row r="74" spans="1:12" ht="15" customHeight="1" x14ac:dyDescent="0.25">
      <c r="A74" s="73" t="s">
        <v>133</v>
      </c>
      <c r="B74" s="74" t="s">
        <v>130</v>
      </c>
      <c r="C74" s="58">
        <f>C72*0.7</f>
        <v>28</v>
      </c>
      <c r="D74" s="19">
        <f ca="1">((100/(H66))*C74)/100</f>
        <v>0.63636363636363635</v>
      </c>
      <c r="E74" s="78"/>
      <c r="F74" s="79"/>
      <c r="G74" s="78"/>
      <c r="H74" s="83"/>
      <c r="I74" s="14" t="s">
        <v>141</v>
      </c>
      <c r="J74" s="30">
        <f>(IF(B66&gt;2,(H66/(B66+2)+J73),0))</f>
        <v>0</v>
      </c>
    </row>
    <row r="75" spans="1:12" ht="15.75" customHeight="1" x14ac:dyDescent="0.25">
      <c r="A75" s="73" t="s">
        <v>129</v>
      </c>
      <c r="B75" s="74" t="s">
        <v>129</v>
      </c>
      <c r="C75" s="44">
        <v>0</v>
      </c>
      <c r="D75" s="19">
        <f ca="1">((100/H66)*C75)/100</f>
        <v>0</v>
      </c>
      <c r="E75" s="78"/>
      <c r="F75" s="79"/>
      <c r="G75" s="78"/>
      <c r="H75" s="83"/>
      <c r="I75" s="14" t="s">
        <v>142</v>
      </c>
      <c r="J75" s="31">
        <f>(IF(B66&gt;3,(H66/(B66+2)+J74),0))</f>
        <v>0</v>
      </c>
    </row>
    <row r="76" spans="1:12" ht="15.75" customHeight="1" x14ac:dyDescent="0.25">
      <c r="A76" s="73" t="s">
        <v>136</v>
      </c>
      <c r="B76" s="74"/>
      <c r="C76" s="44">
        <v>0</v>
      </c>
      <c r="D76" s="19">
        <f ca="1">((100/H66)*C76)/100</f>
        <v>0</v>
      </c>
      <c r="E76" s="78"/>
      <c r="F76" s="79"/>
      <c r="G76" s="78"/>
      <c r="H76" s="83"/>
      <c r="I76" s="14" t="s">
        <v>143</v>
      </c>
      <c r="J76" s="30">
        <f>(IF(B66&gt;4,(H66/(B66+2)+J75),0))</f>
        <v>0</v>
      </c>
    </row>
    <row r="77" spans="1:12" ht="15.75" customHeight="1" x14ac:dyDescent="0.25">
      <c r="A77" s="73" t="s">
        <v>131</v>
      </c>
      <c r="B77" s="74" t="s">
        <v>131</v>
      </c>
      <c r="C77" s="44">
        <v>0</v>
      </c>
      <c r="D77" s="19">
        <f ca="1">((100/(H66))*C77)/100</f>
        <v>0</v>
      </c>
      <c r="E77" s="78"/>
      <c r="F77" s="79"/>
      <c r="G77" s="78"/>
      <c r="H77" s="83"/>
      <c r="I77" s="14" t="s">
        <v>145</v>
      </c>
      <c r="J77" s="30">
        <f ca="1">(IF(B66=1,(H66/(B66+3)+J72),IF(B66=0,(H66/4+J72),IF(B66&gt;1,0))))</f>
        <v>33</v>
      </c>
    </row>
    <row r="78" spans="1:12" ht="16.5" thickBot="1" x14ac:dyDescent="0.3">
      <c r="A78" s="85" t="s">
        <v>132</v>
      </c>
      <c r="B78" s="86"/>
      <c r="C78" s="45">
        <v>0</v>
      </c>
      <c r="D78" s="20">
        <f ca="1">((100/(H66))*C78)/100</f>
        <v>0</v>
      </c>
      <c r="E78" s="80"/>
      <c r="F78" s="81"/>
      <c r="G78" s="80"/>
      <c r="H78" s="84"/>
      <c r="I78" s="15" t="s">
        <v>101</v>
      </c>
      <c r="J78" s="32">
        <f ca="1">(IF(B66&gt;1.5,(H66/(B66+2)+J72+MAX(0,J73-J72)+MAX(0,J74-J73)+MAX(0,J75-J74)+MAX(0,J76-J75)+MAX(0,J77-J76)),IF(B66=1,(H66/(B66+3)+J77),IF(B66=0,H66/4+J77))))</f>
        <v>44</v>
      </c>
    </row>
    <row r="79" spans="1:12" ht="15.75" hidden="1" customHeight="1" x14ac:dyDescent="0.25">
      <c r="A79" s="64" t="s">
        <v>138</v>
      </c>
      <c r="B79" s="65"/>
      <c r="C79" s="66" t="s">
        <v>238</v>
      </c>
      <c r="D79" s="67"/>
      <c r="E79" s="67"/>
      <c r="F79" s="67"/>
      <c r="G79" s="67"/>
      <c r="H79" s="68"/>
      <c r="I79" s="47" t="str">
        <f ca="1">IF(D92=100%,"All work Completed. Possession granted to the Building.",IF(D91=100%,"All work Completed, Waiting for OC",I80&amp;""&amp;I81&amp;""&amp;J80&amp;""&amp;J79&amp;" "&amp;J81))</f>
        <v>Excavation, Plinth Completed, RCC upto 27 Slab, Brickwork upto 26 Floor, Internal Plaster upto 19.5 Floor, External Plaster upto 19.5 Floor Completed</v>
      </c>
      <c r="J79" s="48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RCC upto 27 Slab, Brickwork upto 26 Floor, Internal Plaster upto 19.5 Floor, External Plaster upto 19.5 Floor</v>
      </c>
    </row>
    <row r="80" spans="1:12" s="23" customFormat="1" hidden="1" x14ac:dyDescent="0.25">
      <c r="A80" s="16" t="s">
        <v>140</v>
      </c>
      <c r="B80" s="62">
        <v>1</v>
      </c>
      <c r="C80" s="62" t="s">
        <v>71</v>
      </c>
      <c r="D80" s="62">
        <v>1</v>
      </c>
      <c r="E80" s="62" t="s">
        <v>70</v>
      </c>
      <c r="F80" s="62">
        <v>0</v>
      </c>
      <c r="G80" s="62" t="s">
        <v>78</v>
      </c>
      <c r="H80" s="17">
        <f ca="1">--TRIM(RIGHT(SUBSTITUTE(LEFT(C79,_xlfn.AGGREGATE(16,6,FIND({0,1,2,3,4,5,6,7,8,9},C79,ROW(INDIRECT("1:"&amp;LEN(C79)))),1))," ",REPT(" ",LEN(C79))),LEN(C79)))</f>
        <v>44</v>
      </c>
      <c r="I80" s="55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</v>
      </c>
      <c r="J80" s="56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3" ht="33" hidden="1" customHeight="1" x14ac:dyDescent="0.25">
      <c r="A81" s="69" t="s">
        <v>88</v>
      </c>
      <c r="B81" s="70"/>
      <c r="C81" s="71" t="str">
        <f ca="1">(IF($C$52=C79,"All work Completed. OC Received.",I79))</f>
        <v>Excavation, Plinth Completed, RCC upto 27 Slab, Brickwork upto 26 Floor, Internal Plaster upto 19.5 Floor, External Plaster upto 19.5 Floor Completed</v>
      </c>
      <c r="D81" s="71"/>
      <c r="E81" s="71"/>
      <c r="F81" s="71"/>
      <c r="G81" s="71"/>
      <c r="H81" s="72"/>
      <c r="I81" s="49" t="str">
        <f ca="1">IF(I80&lt;&gt;""," Completed","")</f>
        <v xml:space="preserve"> Completed</v>
      </c>
      <c r="J81" s="50" t="str">
        <f ca="1">IF(J79&lt;&gt;"","Completed","")</f>
        <v>Completed</v>
      </c>
    </row>
    <row r="82" spans="1:13" ht="15.75" hidden="1" customHeight="1" x14ac:dyDescent="0.25">
      <c r="A82" s="73" t="s">
        <v>48</v>
      </c>
      <c r="B82" s="74"/>
      <c r="C82" s="60" t="s">
        <v>137</v>
      </c>
      <c r="D82" s="60" t="s">
        <v>81</v>
      </c>
      <c r="E82" s="74" t="s">
        <v>83</v>
      </c>
      <c r="F82" s="74"/>
      <c r="G82" s="74" t="s">
        <v>82</v>
      </c>
      <c r="H82" s="75"/>
      <c r="I82" s="14" t="s">
        <v>139</v>
      </c>
      <c r="J82" s="28">
        <f ca="1">H80*25%</f>
        <v>11</v>
      </c>
    </row>
    <row r="83" spans="1:13" hidden="1" x14ac:dyDescent="0.25">
      <c r="A83" s="73" t="s">
        <v>126</v>
      </c>
      <c r="B83" s="74"/>
      <c r="C83" s="60">
        <f ca="1">J84</f>
        <v>44</v>
      </c>
      <c r="D83" s="19">
        <f ca="1">((100/H80)*C83)/100</f>
        <v>1.0000000000000002</v>
      </c>
      <c r="E83" s="76">
        <f ca="1">(((C84/H80*10)+(40/(D80+F80+H80)*C85)+(7.5/(H80)*C86)+(7.5/(H80)*C87)+(10/H80*C88)+(10/H80*C89)+(5/H80*C90)+(5/H80*C91)+(5/H80*C92))/100)</f>
        <v>0.46187499999999992</v>
      </c>
      <c r="F83" s="77"/>
      <c r="G83" s="76">
        <f ca="1">((((C83/H80)*20)+((C84/H80)*25)+(30/(H80+F80+D80)*C85)+(5/H80*C86)+(5/H80*C87)+(5/H80*C88)+(5/H80*C89)+(0/H80*C90)+(0/H80*C91)+(5/H80*C92))/100)</f>
        <v>0.70386363636363636</v>
      </c>
      <c r="H83" s="82"/>
      <c r="I83" s="14" t="s">
        <v>97</v>
      </c>
      <c r="J83" s="29">
        <f ca="1">H80*50%</f>
        <v>22</v>
      </c>
    </row>
    <row r="84" spans="1:13" hidden="1" x14ac:dyDescent="0.25">
      <c r="A84" s="73" t="s">
        <v>49</v>
      </c>
      <c r="B84" s="74"/>
      <c r="C84" s="58">
        <v>44</v>
      </c>
      <c r="D84" s="19">
        <f ca="1">((100/H80)*C84)/100</f>
        <v>1.0000000000000002</v>
      </c>
      <c r="E84" s="78"/>
      <c r="F84" s="79"/>
      <c r="G84" s="78"/>
      <c r="H84" s="83"/>
      <c r="I84" s="14" t="s">
        <v>98</v>
      </c>
      <c r="J84" s="29">
        <f ca="1">H80</f>
        <v>44</v>
      </c>
      <c r="L84" s="21">
        <f>0.25*44</f>
        <v>11</v>
      </c>
    </row>
    <row r="85" spans="1:13" ht="15.75" hidden="1" customHeight="1" x14ac:dyDescent="0.25">
      <c r="A85" s="73" t="s">
        <v>127</v>
      </c>
      <c r="B85" s="74"/>
      <c r="C85" s="60">
        <v>27</v>
      </c>
      <c r="D85" s="19">
        <f ca="1">((100/(D80+F80+H80))*C85)/100</f>
        <v>0.6</v>
      </c>
      <c r="E85" s="78"/>
      <c r="F85" s="79"/>
      <c r="G85" s="78"/>
      <c r="H85" s="83"/>
      <c r="I85" s="14" t="s">
        <v>99</v>
      </c>
      <c r="J85" s="30">
        <f ca="1">(IF(B80&gt;1,(H80/(B80+2)),H80/4))</f>
        <v>11</v>
      </c>
    </row>
    <row r="86" spans="1:13" ht="15.75" hidden="1" customHeight="1" x14ac:dyDescent="0.25">
      <c r="A86" s="73" t="s">
        <v>134</v>
      </c>
      <c r="B86" s="74" t="s">
        <v>128</v>
      </c>
      <c r="C86" s="60">
        <f>C85-1</f>
        <v>26</v>
      </c>
      <c r="D86" s="19">
        <f ca="1">((100/H80)*C86)/100</f>
        <v>0.59090909090909094</v>
      </c>
      <c r="E86" s="78"/>
      <c r="F86" s="79"/>
      <c r="G86" s="78"/>
      <c r="H86" s="83"/>
      <c r="I86" s="14" t="s">
        <v>100</v>
      </c>
      <c r="J86" s="30">
        <f ca="1">(IF(B80&gt;1,(H80/(B80+2)+J85),H80/4+J85))</f>
        <v>22</v>
      </c>
    </row>
    <row r="87" spans="1:13" ht="15.75" hidden="1" customHeight="1" x14ac:dyDescent="0.25">
      <c r="A87" s="73" t="s">
        <v>135</v>
      </c>
      <c r="B87" s="74" t="s">
        <v>128</v>
      </c>
      <c r="C87" s="58">
        <f>C86*0.75</f>
        <v>19.5</v>
      </c>
      <c r="D87" s="19">
        <f ca="1">((100/H80)*C87)/100</f>
        <v>0.44318181818181818</v>
      </c>
      <c r="E87" s="78"/>
      <c r="F87" s="79"/>
      <c r="G87" s="78"/>
      <c r="H87" s="83"/>
      <c r="I87" s="14" t="s">
        <v>144</v>
      </c>
      <c r="J87" s="30">
        <f>(IF(B80&gt;1,(H80/(B80+2)+J86),0))</f>
        <v>0</v>
      </c>
    </row>
    <row r="88" spans="1:13" ht="15" hidden="1" customHeight="1" x14ac:dyDescent="0.25">
      <c r="A88" s="73" t="s">
        <v>133</v>
      </c>
      <c r="B88" s="74" t="s">
        <v>130</v>
      </c>
      <c r="C88" s="58">
        <f>C87</f>
        <v>19.5</v>
      </c>
      <c r="D88" s="19">
        <f ca="1">((100/(H80))*C88)/100</f>
        <v>0.44318181818181818</v>
      </c>
      <c r="E88" s="78"/>
      <c r="F88" s="79"/>
      <c r="G88" s="78"/>
      <c r="H88" s="83"/>
      <c r="I88" s="14" t="s">
        <v>141</v>
      </c>
      <c r="J88" s="30">
        <f>(IF(B80&gt;2,(H80/(B80+2)+J87),0))</f>
        <v>0</v>
      </c>
    </row>
    <row r="89" spans="1:13" ht="15.75" hidden="1" customHeight="1" x14ac:dyDescent="0.25">
      <c r="A89" s="73" t="s">
        <v>129</v>
      </c>
      <c r="B89" s="74" t="s">
        <v>129</v>
      </c>
      <c r="C89" s="60">
        <v>0</v>
      </c>
      <c r="D89" s="19">
        <f ca="1">((100/H80)*C89)/100</f>
        <v>0</v>
      </c>
      <c r="E89" s="78"/>
      <c r="F89" s="79"/>
      <c r="G89" s="78"/>
      <c r="H89" s="83"/>
      <c r="I89" s="14" t="s">
        <v>142</v>
      </c>
      <c r="J89" s="31">
        <f>(IF(B80&gt;3,(H80/(B80+2)+J88),0))</f>
        <v>0</v>
      </c>
    </row>
    <row r="90" spans="1:13" ht="15.75" hidden="1" customHeight="1" x14ac:dyDescent="0.25">
      <c r="A90" s="73" t="s">
        <v>136</v>
      </c>
      <c r="B90" s="74"/>
      <c r="C90" s="60">
        <v>0</v>
      </c>
      <c r="D90" s="19">
        <f ca="1">((100/H80)*C90)/100</f>
        <v>0</v>
      </c>
      <c r="E90" s="78"/>
      <c r="F90" s="79"/>
      <c r="G90" s="78"/>
      <c r="H90" s="83"/>
      <c r="I90" s="14" t="s">
        <v>143</v>
      </c>
      <c r="J90" s="30">
        <f>(IF(B80&gt;4,(H80/(B80+2)+J89),0))</f>
        <v>0</v>
      </c>
    </row>
    <row r="91" spans="1:13" ht="15.75" hidden="1" customHeight="1" x14ac:dyDescent="0.25">
      <c r="A91" s="73" t="s">
        <v>131</v>
      </c>
      <c r="B91" s="74" t="s">
        <v>131</v>
      </c>
      <c r="C91" s="60">
        <v>0</v>
      </c>
      <c r="D91" s="19">
        <f ca="1">((100/(H80))*C91)/100</f>
        <v>0</v>
      </c>
      <c r="E91" s="78"/>
      <c r="F91" s="79"/>
      <c r="G91" s="78"/>
      <c r="H91" s="83"/>
      <c r="I91" s="14" t="s">
        <v>145</v>
      </c>
      <c r="J91" s="30">
        <f ca="1">(IF(B80=1,(H80/(B80+3)+J86),IF(B80=0,(H80/4+J86),IF(B80&gt;1,0))))</f>
        <v>33</v>
      </c>
    </row>
    <row r="92" spans="1:13" ht="16.5" hidden="1" thickBot="1" x14ac:dyDescent="0.3">
      <c r="A92" s="85" t="s">
        <v>132</v>
      </c>
      <c r="B92" s="86"/>
      <c r="C92" s="61">
        <v>0</v>
      </c>
      <c r="D92" s="20">
        <f ca="1">((100/(H80))*C92)/100</f>
        <v>0</v>
      </c>
      <c r="E92" s="80"/>
      <c r="F92" s="81"/>
      <c r="G92" s="80"/>
      <c r="H92" s="84"/>
      <c r="I92" s="15" t="s">
        <v>101</v>
      </c>
      <c r="J92" s="32">
        <f ca="1">(IF(B80&gt;1.5,(H80/(B80+2)+J86+MAX(0,J87-J86)+MAX(0,J88-J87)+MAX(0,J89-J88)+MAX(0,J90-J89)+MAX(0,J91-J90)),IF(B80=1,(H80/(B80+3)+J91),IF(B80=0,H80/4+J91))))</f>
        <v>44</v>
      </c>
    </row>
    <row r="93" spans="1:13" x14ac:dyDescent="0.25">
      <c r="A93" s="173" t="s">
        <v>153</v>
      </c>
      <c r="B93" s="173"/>
      <c r="C93" s="173"/>
      <c r="D93" s="173"/>
      <c r="E93" s="173"/>
      <c r="F93" s="188" t="s">
        <v>157</v>
      </c>
      <c r="G93" s="188"/>
      <c r="H93" s="188"/>
    </row>
    <row r="94" spans="1:13" x14ac:dyDescent="0.25">
      <c r="A94" s="124" t="s">
        <v>155</v>
      </c>
      <c r="B94" s="124"/>
      <c r="C94" s="124"/>
      <c r="D94" s="124"/>
      <c r="E94" s="124"/>
      <c r="F94" s="123">
        <v>26500</v>
      </c>
      <c r="G94" s="123"/>
      <c r="H94" s="123"/>
      <c r="I94" s="21" t="s">
        <v>213</v>
      </c>
      <c r="K94" s="21" t="s">
        <v>214</v>
      </c>
      <c r="L94" s="21" t="s">
        <v>215</v>
      </c>
      <c r="M94" s="25">
        <v>45091</v>
      </c>
    </row>
    <row r="95" spans="1:13" hidden="1" x14ac:dyDescent="0.25">
      <c r="A95" s="124" t="s">
        <v>154</v>
      </c>
      <c r="B95" s="124"/>
      <c r="C95" s="124"/>
      <c r="D95" s="124"/>
      <c r="E95" s="124"/>
      <c r="F95" s="123"/>
      <c r="G95" s="123"/>
      <c r="H95" s="123"/>
    </row>
    <row r="96" spans="1:13" hidden="1" x14ac:dyDescent="0.25">
      <c r="A96" s="124" t="s">
        <v>156</v>
      </c>
      <c r="B96" s="124"/>
      <c r="C96" s="124"/>
      <c r="D96" s="124"/>
      <c r="E96" s="124"/>
      <c r="F96" s="123"/>
      <c r="G96" s="123"/>
      <c r="H96" s="123"/>
    </row>
    <row r="97" spans="1:11" s="33" customFormat="1" x14ac:dyDescent="0.25">
      <c r="A97" s="124" t="s">
        <v>231</v>
      </c>
      <c r="B97" s="124"/>
      <c r="C97" s="124"/>
      <c r="D97" s="124"/>
      <c r="E97" s="124"/>
      <c r="F97" s="123">
        <v>75</v>
      </c>
      <c r="G97" s="123"/>
      <c r="H97" s="123"/>
      <c r="I97" s="33" t="s">
        <v>228</v>
      </c>
      <c r="J97" s="59">
        <v>45365</v>
      </c>
      <c r="K97" s="33" t="s">
        <v>229</v>
      </c>
    </row>
    <row r="98" spans="1:11" s="33" customFormat="1" hidden="1" x14ac:dyDescent="0.25">
      <c r="A98" s="124" t="s">
        <v>93</v>
      </c>
      <c r="B98" s="124"/>
      <c r="C98" s="124"/>
      <c r="D98" s="124"/>
      <c r="E98" s="124"/>
      <c r="F98" s="123"/>
      <c r="G98" s="123"/>
      <c r="H98" s="123"/>
    </row>
    <row r="99" spans="1:11" s="33" customFormat="1" hidden="1" x14ac:dyDescent="0.25">
      <c r="A99" s="124" t="s">
        <v>158</v>
      </c>
      <c r="B99" s="124"/>
      <c r="C99" s="124"/>
      <c r="D99" s="124"/>
      <c r="E99" s="124"/>
      <c r="F99" s="123">
        <v>25000</v>
      </c>
      <c r="G99" s="123"/>
      <c r="H99" s="123"/>
    </row>
    <row r="100" spans="1:11" s="33" customFormat="1" x14ac:dyDescent="0.25">
      <c r="A100" s="124" t="s">
        <v>216</v>
      </c>
      <c r="B100" s="124"/>
      <c r="C100" s="124"/>
      <c r="D100" s="124"/>
      <c r="E100" s="124"/>
      <c r="F100" s="123">
        <v>450000</v>
      </c>
      <c r="G100" s="123"/>
      <c r="H100" s="123"/>
    </row>
    <row r="101" spans="1:11" s="33" customFormat="1" x14ac:dyDescent="0.25">
      <c r="A101" s="124" t="s">
        <v>217</v>
      </c>
      <c r="B101" s="124"/>
      <c r="C101" s="124"/>
      <c r="D101" s="124"/>
      <c r="E101" s="124"/>
      <c r="F101" s="123">
        <v>75000</v>
      </c>
      <c r="G101" s="123"/>
      <c r="H101" s="123"/>
    </row>
    <row r="102" spans="1:11" s="33" customFormat="1" x14ac:dyDescent="0.25">
      <c r="A102" s="124" t="s">
        <v>94</v>
      </c>
      <c r="B102" s="124"/>
      <c r="C102" s="124"/>
      <c r="D102" s="124"/>
      <c r="E102" s="124"/>
      <c r="F102" s="123">
        <v>70000</v>
      </c>
      <c r="G102" s="123"/>
      <c r="H102" s="123"/>
    </row>
    <row r="103" spans="1:11" s="33" customFormat="1" x14ac:dyDescent="0.25">
      <c r="A103" s="124" t="s">
        <v>95</v>
      </c>
      <c r="B103" s="124"/>
      <c r="C103" s="124"/>
      <c r="D103" s="124"/>
      <c r="E103" s="124"/>
      <c r="F103" s="123">
        <v>20000</v>
      </c>
      <c r="G103" s="123"/>
      <c r="H103" s="123"/>
    </row>
    <row r="104" spans="1:11" s="33" customFormat="1" x14ac:dyDescent="0.25">
      <c r="A104" s="124" t="s">
        <v>96</v>
      </c>
      <c r="B104" s="124"/>
      <c r="C104" s="124"/>
      <c r="D104" s="124"/>
      <c r="E104" s="124"/>
      <c r="F104" s="123">
        <v>225000</v>
      </c>
      <c r="G104" s="123"/>
      <c r="H104" s="123"/>
    </row>
    <row r="105" spans="1:11" x14ac:dyDescent="0.25">
      <c r="A105" s="124" t="s">
        <v>50</v>
      </c>
      <c r="B105" s="124"/>
      <c r="C105" s="124"/>
      <c r="D105" s="124"/>
      <c r="E105" s="124"/>
      <c r="F105" s="123">
        <v>1000000</v>
      </c>
      <c r="G105" s="123"/>
      <c r="H105" s="123"/>
    </row>
    <row r="106" spans="1:11" s="34" customFormat="1" x14ac:dyDescent="0.25">
      <c r="A106" s="147" t="s">
        <v>51</v>
      </c>
      <c r="B106" s="147"/>
      <c r="C106" s="147"/>
      <c r="D106" s="147"/>
      <c r="E106" s="147"/>
      <c r="F106" s="123">
        <f>F94*0.8</f>
        <v>21200</v>
      </c>
      <c r="G106" s="123"/>
      <c r="H106" s="123"/>
    </row>
    <row r="107" spans="1:11" s="35" customFormat="1" x14ac:dyDescent="0.25">
      <c r="A107" s="171" t="s">
        <v>191</v>
      </c>
      <c r="B107" s="171"/>
      <c r="C107" s="171"/>
      <c r="D107" s="171"/>
      <c r="E107" s="171"/>
      <c r="F107" s="171"/>
      <c r="G107" s="171"/>
      <c r="H107" s="171"/>
    </row>
    <row r="108" spans="1:11" s="35" customFormat="1" ht="15.75" customHeight="1" x14ac:dyDescent="0.25">
      <c r="A108" s="120" t="s">
        <v>52</v>
      </c>
      <c r="B108" s="120"/>
      <c r="C108" s="119" t="s">
        <v>76</v>
      </c>
      <c r="D108" s="119"/>
      <c r="E108" s="126" t="s">
        <v>53</v>
      </c>
      <c r="F108" s="126"/>
      <c r="G108" s="120" t="s">
        <v>54</v>
      </c>
      <c r="H108" s="120"/>
    </row>
    <row r="109" spans="1:11" s="35" customFormat="1" x14ac:dyDescent="0.25">
      <c r="A109" s="190" t="s">
        <v>209</v>
      </c>
      <c r="B109" s="46" t="s">
        <v>199</v>
      </c>
      <c r="C109" s="127">
        <f>COUNT(D122:D123)+COUNT(D128:D129)+COUNT(D134:D135,D138)*4+COUNT(D140:D143)+COUNT(D146:D150)*12+COUNT(D152:D155)+COUNT(D158:D161)+COUNT(D164:D168)*3+COUNT(D170:D174)*5+COUNT(D176:D179)+COUNT(D182:D186)*12+COUNT(D188:D191)+COUNT(D194,D196:D198)</f>
        <v>200</v>
      </c>
      <c r="D109" s="127"/>
      <c r="E109" s="128">
        <f>SUM(D122:D123)+SUM(D128:D129)+SUM(D134:D135,D138)*4+SUM(D140:D143)+SUM(D146:D150)*12+SUM(D152:D155)+SUM(D158:D161)+SUM(D164:D168)*3+SUM(D170:D174)*5+SUM(D176:D179)+SUM(D182:D186)*12+SUM(D188:D191)+SUM(D194,D196:D198)</f>
        <v>165538.37195999999</v>
      </c>
      <c r="F109" s="128"/>
      <c r="G109" s="128">
        <f>SUM(F122:F123)+SUM(F128:F129)+SUM(F134:F135,F138)*4+SUM(F140:F143)+SUM(F146:F150)*12+SUM(F152:F155)+SUM(F158:F161)+SUM(F164:F168)*3+SUM(F170:F174)*5+SUM(F176:F179)+SUM(F182:F186)*12+SUM(F188:F191)+SUM(F194,F196:F198)</f>
        <v>264861.39513600001</v>
      </c>
      <c r="H109" s="128"/>
    </row>
    <row r="110" spans="1:11" s="35" customFormat="1" x14ac:dyDescent="0.25">
      <c r="A110" s="191"/>
      <c r="B110" s="46" t="s">
        <v>200</v>
      </c>
      <c r="C110" s="127">
        <f>COUNT(D203:D204)+COUNT(D209:D210)+COUNT(D215:D216,D219)*4+COUNT(D221:D224)+COUNT(D227:D231)*12+COUNT(D233:D236)+COUNT(D239:D242)+COUNT(D245:D249)*3+COUNT(D251:D255)*5+COUNT(D257:D260)+COUNT(D263:D267)*12+COUNT(D269:D272)+COUNT(D275,D277:D279)</f>
        <v>200</v>
      </c>
      <c r="D110" s="127"/>
      <c r="E110" s="128">
        <f>SUM(D203:D204)+SUM(D209:D210)+SUM(D215:D216,D219)*4+SUM(D221:D224)+SUM(D227:D231)*12+SUM(D233:D236)+SUM(D239:D242)+SUM(D245:D249)*3+SUM(D251:D255)*5+SUM(D257:D260)+SUM(D263:D267)*12+SUM(D269:D272)+SUM(D275,D277:D279)</f>
        <v>165371.42231999998</v>
      </c>
      <c r="F110" s="128"/>
      <c r="G110" s="128">
        <f>SUM(F203:F204)+SUM(F209:F210)+SUM(F215:F216,F219)*4+SUM(F221:F224)+SUM(F227:F231)*12+SUM(F233:F236)+SUM(F239:F242)+SUM(F245:F249)*3+SUM(F251:F255)*5+SUM(F257:F260)+SUM(F263:F267)*12+SUM(F269:F272)+SUM(F275,F277:F279)</f>
        <v>264594.27571199997</v>
      </c>
      <c r="H110" s="128"/>
    </row>
    <row r="111" spans="1:11" s="35" customFormat="1" x14ac:dyDescent="0.25">
      <c r="A111" s="171" t="s">
        <v>148</v>
      </c>
      <c r="B111" s="171"/>
      <c r="C111" s="119">
        <f>SUM(C109:C110)</f>
        <v>400</v>
      </c>
      <c r="D111" s="119"/>
      <c r="E111" s="125">
        <f>SUM(E109:E110)</f>
        <v>330909.79427999997</v>
      </c>
      <c r="F111" s="126"/>
      <c r="G111" s="120">
        <f>SUM(G109:G110)</f>
        <v>529455.67084799998</v>
      </c>
      <c r="H111" s="120"/>
    </row>
    <row r="112" spans="1:11" s="34" customFormat="1" x14ac:dyDescent="0.25">
      <c r="A112" s="148" t="s">
        <v>55</v>
      </c>
      <c r="B112" s="148"/>
      <c r="C112" s="148"/>
      <c r="D112" s="148"/>
      <c r="E112" s="148"/>
      <c r="F112" s="148"/>
      <c r="G112" s="148"/>
      <c r="H112" s="148"/>
    </row>
    <row r="113" spans="1:14" x14ac:dyDescent="0.25">
      <c r="A113" s="148" t="s">
        <v>56</v>
      </c>
      <c r="B113" s="148"/>
      <c r="C113" s="148"/>
      <c r="D113" s="148"/>
      <c r="E113" s="148"/>
      <c r="F113" s="148"/>
      <c r="G113" s="148"/>
      <c r="H113" s="148"/>
    </row>
    <row r="114" spans="1:14" ht="47.25" customHeight="1" x14ac:dyDescent="0.25">
      <c r="A114" s="174" t="s">
        <v>116</v>
      </c>
      <c r="B114" s="121" t="s">
        <v>117</v>
      </c>
      <c r="C114" s="121" t="s">
        <v>57</v>
      </c>
      <c r="D114" s="121" t="s">
        <v>58</v>
      </c>
      <c r="E114" s="177" t="s">
        <v>59</v>
      </c>
      <c r="F114" s="43" t="s">
        <v>147</v>
      </c>
      <c r="G114" s="174" t="s">
        <v>60</v>
      </c>
      <c r="H114" s="179"/>
      <c r="I114" s="36"/>
    </row>
    <row r="115" spans="1:14" s="37" customFormat="1" x14ac:dyDescent="0.25">
      <c r="A115" s="175"/>
      <c r="B115" s="122"/>
      <c r="C115" s="122"/>
      <c r="D115" s="122"/>
      <c r="E115" s="178"/>
      <c r="F115" s="13">
        <v>0.6</v>
      </c>
      <c r="G115" s="175"/>
      <c r="H115" s="180"/>
      <c r="I115" s="36"/>
    </row>
    <row r="116" spans="1:14" s="37" customFormat="1" x14ac:dyDescent="0.25">
      <c r="A116" s="108" t="s">
        <v>201</v>
      </c>
      <c r="B116" s="109"/>
      <c r="C116" s="109"/>
      <c r="D116" s="109"/>
      <c r="E116" s="109"/>
      <c r="F116" s="109"/>
      <c r="G116" s="109"/>
      <c r="H116" s="110"/>
      <c r="J116" s="36"/>
    </row>
    <row r="117" spans="1:14" s="37" customFormat="1" x14ac:dyDescent="0.25">
      <c r="A117" s="108" t="s">
        <v>190</v>
      </c>
      <c r="B117" s="109"/>
      <c r="C117" s="109"/>
      <c r="D117" s="109"/>
      <c r="E117" s="109"/>
      <c r="F117" s="109"/>
      <c r="G117" s="109"/>
      <c r="H117" s="110"/>
      <c r="J117" s="36"/>
    </row>
    <row r="118" spans="1:14" s="37" customFormat="1" x14ac:dyDescent="0.25">
      <c r="A118" s="108" t="s">
        <v>199</v>
      </c>
      <c r="B118" s="109"/>
      <c r="C118" s="109"/>
      <c r="D118" s="109"/>
      <c r="E118" s="109"/>
      <c r="F118" s="109"/>
      <c r="G118" s="109"/>
      <c r="H118" s="110"/>
      <c r="J118" s="36"/>
    </row>
    <row r="119" spans="1:14" s="37" customFormat="1" x14ac:dyDescent="0.25">
      <c r="A119" s="118" t="s">
        <v>180</v>
      </c>
      <c r="B119" s="118"/>
      <c r="C119" s="118"/>
      <c r="D119" s="118"/>
      <c r="E119" s="118"/>
      <c r="F119" s="118"/>
      <c r="G119" s="118"/>
      <c r="H119" s="118"/>
      <c r="J119" s="36"/>
    </row>
    <row r="120" spans="1:14" s="37" customFormat="1" x14ac:dyDescent="0.25">
      <c r="A120" s="97" t="s">
        <v>204</v>
      </c>
      <c r="B120" s="97"/>
      <c r="C120" s="97"/>
      <c r="D120" s="97"/>
      <c r="E120" s="97"/>
      <c r="F120" s="97"/>
      <c r="G120" s="97"/>
      <c r="H120" s="97"/>
      <c r="J120" s="36"/>
    </row>
    <row r="121" spans="1:14" s="37" customFormat="1" x14ac:dyDescent="0.25">
      <c r="A121" s="97" t="s">
        <v>202</v>
      </c>
      <c r="B121" s="97"/>
      <c r="C121" s="97"/>
      <c r="D121" s="97"/>
      <c r="E121" s="97"/>
      <c r="F121" s="97"/>
      <c r="G121" s="97"/>
      <c r="H121" s="97"/>
      <c r="J121" s="57">
        <f>10.764</f>
        <v>10.763999999999999</v>
      </c>
    </row>
    <row r="122" spans="1:14" s="37" customFormat="1" ht="15.75" customHeight="1" x14ac:dyDescent="0.25">
      <c r="A122" s="104">
        <v>1</v>
      </c>
      <c r="B122" s="104"/>
      <c r="C122" s="52">
        <v>2</v>
      </c>
      <c r="D122" s="57">
        <f>(60.53)*(10.764)</f>
        <v>651.54491999999993</v>
      </c>
      <c r="E122" s="42">
        <v>0</v>
      </c>
      <c r="F122" s="42">
        <f>D122*(($F$115)+1)+(IF(E122&lt;101,E122,IF(E122&lt;201,E122/2,IF(E122&lt;=301,E122/3,E122/4))))</f>
        <v>1042.4718719999998</v>
      </c>
      <c r="G122" s="104" t="str">
        <f>A121</f>
        <v>1st Floor Part Residential</v>
      </c>
      <c r="H122" s="104"/>
      <c r="I122" s="36"/>
      <c r="L122" s="93"/>
      <c r="M122" s="93"/>
      <c r="N122" s="36"/>
    </row>
    <row r="123" spans="1:14" s="37" customFormat="1" ht="15.75" customHeight="1" x14ac:dyDescent="0.25">
      <c r="A123" s="104">
        <v>2</v>
      </c>
      <c r="B123" s="104"/>
      <c r="C123" s="52">
        <v>2</v>
      </c>
      <c r="D123" s="57">
        <f>(61.1)*(10.764)</f>
        <v>657.68039999999996</v>
      </c>
      <c r="E123" s="42">
        <v>0</v>
      </c>
      <c r="F123" s="42">
        <f>D123*(($F$115)+1)+(IF(E123&lt;101,E123,IF(E123&lt;201,E123/2,IF(E123&lt;=301,E123/3,E123/4))))</f>
        <v>1052.28864</v>
      </c>
      <c r="G123" s="104" t="str">
        <f t="shared" ref="G123:G126" si="0">G122</f>
        <v>1st Floor Part Residential</v>
      </c>
      <c r="H123" s="104"/>
      <c r="I123" s="36"/>
      <c r="L123" s="93"/>
      <c r="M123" s="93"/>
      <c r="N123" s="36"/>
    </row>
    <row r="124" spans="1:14" s="37" customFormat="1" ht="15.75" customHeight="1" x14ac:dyDescent="0.25">
      <c r="A124" s="104">
        <v>3</v>
      </c>
      <c r="B124" s="104"/>
      <c r="C124" s="111" t="s">
        <v>181</v>
      </c>
      <c r="D124" s="111"/>
      <c r="E124" s="111"/>
      <c r="F124" s="111"/>
      <c r="G124" s="104" t="str">
        <f t="shared" si="0"/>
        <v>1st Floor Part Residential</v>
      </c>
      <c r="H124" s="104"/>
      <c r="I124" s="36"/>
      <c r="L124" s="93"/>
      <c r="M124" s="93"/>
      <c r="N124" s="36"/>
    </row>
    <row r="125" spans="1:14" s="37" customFormat="1" ht="15.75" customHeight="1" x14ac:dyDescent="0.25">
      <c r="A125" s="104">
        <v>4</v>
      </c>
      <c r="B125" s="104"/>
      <c r="C125" s="111"/>
      <c r="D125" s="111"/>
      <c r="E125" s="111"/>
      <c r="F125" s="111"/>
      <c r="G125" s="104" t="str">
        <f t="shared" si="0"/>
        <v>1st Floor Part Residential</v>
      </c>
      <c r="H125" s="104"/>
      <c r="I125" s="36"/>
      <c r="L125" s="93"/>
      <c r="M125" s="93"/>
      <c r="N125" s="36"/>
    </row>
    <row r="126" spans="1:14" s="37" customFormat="1" ht="15.75" customHeight="1" x14ac:dyDescent="0.25">
      <c r="A126" s="104">
        <v>5</v>
      </c>
      <c r="B126" s="104"/>
      <c r="C126" s="111"/>
      <c r="D126" s="111"/>
      <c r="E126" s="111"/>
      <c r="F126" s="111"/>
      <c r="G126" s="104" t="str">
        <f t="shared" si="0"/>
        <v>1st Floor Part Residential</v>
      </c>
      <c r="H126" s="104"/>
      <c r="I126" s="36"/>
      <c r="L126" s="93"/>
      <c r="M126" s="93"/>
      <c r="N126" s="36"/>
    </row>
    <row r="127" spans="1:14" s="37" customFormat="1" x14ac:dyDescent="0.25">
      <c r="A127" s="97" t="s">
        <v>115</v>
      </c>
      <c r="B127" s="97"/>
      <c r="C127" s="97"/>
      <c r="D127" s="97"/>
      <c r="E127" s="97"/>
      <c r="F127" s="97"/>
      <c r="G127" s="97"/>
      <c r="H127" s="97"/>
      <c r="J127" s="36"/>
    </row>
    <row r="128" spans="1:14" s="37" customFormat="1" x14ac:dyDescent="0.25">
      <c r="A128" s="104">
        <v>1</v>
      </c>
      <c r="B128" s="104"/>
      <c r="C128" s="52">
        <v>2</v>
      </c>
      <c r="D128" s="57">
        <f>(60.53)*(10.764)</f>
        <v>651.54491999999993</v>
      </c>
      <c r="E128" s="42">
        <v>0</v>
      </c>
      <c r="F128" s="42">
        <f>D128*(($F$115)+1)+(IF(E128&lt;101,E128,IF(E128&lt;201,E128/2,IF(E128&lt;=301,E128/3,E128/4))))</f>
        <v>1042.4718719999998</v>
      </c>
      <c r="G128" s="104" t="str">
        <f>A127</f>
        <v>2nd Floor</v>
      </c>
      <c r="H128" s="104"/>
      <c r="I128" s="36"/>
      <c r="L128" s="93"/>
      <c r="M128" s="93"/>
      <c r="N128" s="36"/>
    </row>
    <row r="129" spans="1:14" s="37" customFormat="1" x14ac:dyDescent="0.25">
      <c r="A129" s="104">
        <v>2</v>
      </c>
      <c r="B129" s="104"/>
      <c r="C129" s="52">
        <v>2</v>
      </c>
      <c r="D129" s="57">
        <f>(61.1)*(10.764)</f>
        <v>657.68039999999996</v>
      </c>
      <c r="E129" s="42">
        <v>0</v>
      </c>
      <c r="F129" s="42">
        <f>D129*(($F$115)+1)+(IF(E129&lt;101,E129,IF(E129&lt;201,E129/2,IF(E129&lt;=301,E129/3,E129/4))))</f>
        <v>1052.28864</v>
      </c>
      <c r="G129" s="104" t="str">
        <f t="shared" ref="G129:G132" si="1">G128</f>
        <v>2nd Floor</v>
      </c>
      <c r="H129" s="104"/>
      <c r="I129" s="36"/>
      <c r="L129" s="93"/>
      <c r="M129" s="93"/>
      <c r="N129" s="36"/>
    </row>
    <row r="130" spans="1:14" s="37" customFormat="1" ht="15.75" customHeight="1" x14ac:dyDescent="0.25">
      <c r="A130" s="104">
        <v>3</v>
      </c>
      <c r="B130" s="104"/>
      <c r="C130" s="111" t="s">
        <v>183</v>
      </c>
      <c r="D130" s="111"/>
      <c r="E130" s="111"/>
      <c r="F130" s="111"/>
      <c r="G130" s="104" t="str">
        <f t="shared" si="1"/>
        <v>2nd Floor</v>
      </c>
      <c r="H130" s="104"/>
      <c r="I130" s="36"/>
      <c r="L130" s="93"/>
      <c r="M130" s="93"/>
      <c r="N130" s="36"/>
    </row>
    <row r="131" spans="1:14" s="37" customFormat="1" ht="15.75" customHeight="1" x14ac:dyDescent="0.25">
      <c r="A131" s="104">
        <v>4</v>
      </c>
      <c r="B131" s="104"/>
      <c r="C131" s="111"/>
      <c r="D131" s="111"/>
      <c r="E131" s="111"/>
      <c r="F131" s="111"/>
      <c r="G131" s="104" t="str">
        <f t="shared" si="1"/>
        <v>2nd Floor</v>
      </c>
      <c r="H131" s="104"/>
      <c r="I131" s="36"/>
      <c r="L131" s="93"/>
      <c r="M131" s="93"/>
      <c r="N131" s="36"/>
    </row>
    <row r="132" spans="1:14" s="37" customFormat="1" ht="15.75" customHeight="1" x14ac:dyDescent="0.25">
      <c r="A132" s="104">
        <v>5</v>
      </c>
      <c r="B132" s="104"/>
      <c r="C132" s="111"/>
      <c r="D132" s="111"/>
      <c r="E132" s="111"/>
      <c r="F132" s="111"/>
      <c r="G132" s="104" t="str">
        <f t="shared" si="1"/>
        <v>2nd Floor</v>
      </c>
      <c r="H132" s="104"/>
      <c r="I132" s="36"/>
      <c r="L132" s="93"/>
      <c r="M132" s="93"/>
      <c r="N132" s="36"/>
    </row>
    <row r="133" spans="1:14" s="37" customFormat="1" x14ac:dyDescent="0.25">
      <c r="A133" s="108" t="s">
        <v>182</v>
      </c>
      <c r="B133" s="109"/>
      <c r="C133" s="109"/>
      <c r="D133" s="109"/>
      <c r="E133" s="109"/>
      <c r="F133" s="109"/>
      <c r="G133" s="109"/>
      <c r="H133" s="110"/>
      <c r="J133" s="36"/>
    </row>
    <row r="134" spans="1:14" s="37" customFormat="1" ht="15.75" customHeight="1" x14ac:dyDescent="0.25">
      <c r="A134" s="105">
        <v>1</v>
      </c>
      <c r="B134" s="107"/>
      <c r="C134" s="52">
        <v>2</v>
      </c>
      <c r="D134" s="57">
        <f>(60.53)*(10.764)</f>
        <v>651.54491999999993</v>
      </c>
      <c r="E134" s="42">
        <v>0</v>
      </c>
      <c r="F134" s="42">
        <f>D134*(($F$115)+1)+(IF(E134&lt;101,E134,IF(E134&lt;201,E134/2,IF(E134&lt;=301,E134/3,E134/4))))</f>
        <v>1042.4718719999998</v>
      </c>
      <c r="G134" s="98" t="str">
        <f>A133</f>
        <v>3rd to 6th Floor</v>
      </c>
      <c r="H134" s="99"/>
      <c r="I134" s="36"/>
      <c r="L134" s="93"/>
      <c r="M134" s="93"/>
      <c r="N134" s="36"/>
    </row>
    <row r="135" spans="1:14" s="37" customFormat="1" ht="15.75" customHeight="1" x14ac:dyDescent="0.25">
      <c r="A135" s="105">
        <v>2</v>
      </c>
      <c r="B135" s="107"/>
      <c r="C135" s="52">
        <v>2</v>
      </c>
      <c r="D135" s="57">
        <f>(61.1)*(10.764)</f>
        <v>657.68039999999996</v>
      </c>
      <c r="E135" s="42">
        <v>0</v>
      </c>
      <c r="F135" s="42">
        <f>D135*(($F$115)+1)+(IF(E135&lt;101,E135,IF(E135&lt;201,E135/2,IF(E135&lt;=301,E135/3,E135/4))))</f>
        <v>1052.28864</v>
      </c>
      <c r="G135" s="100"/>
      <c r="H135" s="101"/>
      <c r="I135" s="36"/>
      <c r="L135" s="93"/>
      <c r="M135" s="93"/>
      <c r="N135" s="36"/>
    </row>
    <row r="136" spans="1:14" s="37" customFormat="1" ht="15.75" customHeight="1" x14ac:dyDescent="0.25">
      <c r="A136" s="105">
        <v>3</v>
      </c>
      <c r="B136" s="107"/>
      <c r="C136" s="112" t="s">
        <v>183</v>
      </c>
      <c r="D136" s="113"/>
      <c r="E136" s="113"/>
      <c r="F136" s="114"/>
      <c r="G136" s="100"/>
      <c r="H136" s="101"/>
      <c r="I136" s="36"/>
      <c r="L136" s="93"/>
      <c r="M136" s="93"/>
      <c r="N136" s="36"/>
    </row>
    <row r="137" spans="1:14" s="37" customFormat="1" ht="15.75" customHeight="1" x14ac:dyDescent="0.25">
      <c r="A137" s="105">
        <v>4</v>
      </c>
      <c r="B137" s="107"/>
      <c r="C137" s="115"/>
      <c r="D137" s="116"/>
      <c r="E137" s="116"/>
      <c r="F137" s="117"/>
      <c r="G137" s="100"/>
      <c r="H137" s="101"/>
      <c r="I137" s="36"/>
      <c r="L137" s="93"/>
      <c r="M137" s="93"/>
      <c r="N137" s="36"/>
    </row>
    <row r="138" spans="1:14" s="37" customFormat="1" ht="15.75" customHeight="1" x14ac:dyDescent="0.25">
      <c r="A138" s="105">
        <v>5</v>
      </c>
      <c r="B138" s="107"/>
      <c r="C138" s="52">
        <v>1</v>
      </c>
      <c r="D138" s="57">
        <f>(45.96)*(10.764)</f>
        <v>494.71343999999999</v>
      </c>
      <c r="E138" s="42">
        <v>0</v>
      </c>
      <c r="F138" s="42">
        <f>D138*(($F$115)+1)+(IF(E138&lt;101,E138,IF(E138&lt;201,E138/2,IF(E138&lt;=301,E138/3,E138/4))))</f>
        <v>791.54150400000003</v>
      </c>
      <c r="G138" s="100"/>
      <c r="H138" s="101"/>
      <c r="I138" s="36"/>
      <c r="L138" s="93"/>
      <c r="M138" s="93"/>
      <c r="N138" s="36"/>
    </row>
    <row r="139" spans="1:14" s="37" customFormat="1" x14ac:dyDescent="0.25">
      <c r="A139" s="97" t="s">
        <v>184</v>
      </c>
      <c r="B139" s="97"/>
      <c r="C139" s="97"/>
      <c r="D139" s="97"/>
      <c r="E139" s="97"/>
      <c r="F139" s="97"/>
      <c r="G139" s="97"/>
      <c r="H139" s="97"/>
      <c r="I139" s="36"/>
      <c r="L139" s="93"/>
      <c r="M139" s="93"/>
    </row>
    <row r="140" spans="1:14" s="37" customFormat="1" ht="15.75" customHeight="1" x14ac:dyDescent="0.25">
      <c r="A140" s="105">
        <v>1</v>
      </c>
      <c r="B140" s="107"/>
      <c r="C140" s="52">
        <v>2</v>
      </c>
      <c r="D140" s="57">
        <f>(65.17)*(10.764)</f>
        <v>701.48987999999997</v>
      </c>
      <c r="E140" s="42">
        <v>0</v>
      </c>
      <c r="F140" s="42">
        <f t="shared" ref="F140:F141" si="2">D140*(($F$115)+1)+(IF(E140&lt;101,E140,IF(E140&lt;201,E140/2,IF(E140&lt;=301,E140/3,E140/4))))</f>
        <v>1122.383808</v>
      </c>
      <c r="G140" s="98" t="str">
        <f>A139</f>
        <v>7th Floor (Part Refuge Area)</v>
      </c>
      <c r="H140" s="99"/>
      <c r="I140" s="36"/>
      <c r="N140" s="36"/>
    </row>
    <row r="141" spans="1:14" s="37" customFormat="1" ht="15.75" customHeight="1" x14ac:dyDescent="0.25">
      <c r="A141" s="105">
        <v>2</v>
      </c>
      <c r="B141" s="107"/>
      <c r="C141" s="52">
        <v>2</v>
      </c>
      <c r="D141" s="57">
        <f>(61.23)*(10.764)</f>
        <v>659.07971999999995</v>
      </c>
      <c r="E141" s="42">
        <v>0</v>
      </c>
      <c r="F141" s="42">
        <f t="shared" si="2"/>
        <v>1054.527552</v>
      </c>
      <c r="G141" s="100"/>
      <c r="H141" s="101"/>
      <c r="I141" s="36"/>
      <c r="L141" s="53"/>
      <c r="N141" s="36"/>
    </row>
    <row r="142" spans="1:14" s="37" customFormat="1" ht="15.75" customHeight="1" x14ac:dyDescent="0.25">
      <c r="A142" s="105">
        <v>3</v>
      </c>
      <c r="B142" s="107"/>
      <c r="C142" s="52">
        <v>2</v>
      </c>
      <c r="D142" s="57">
        <f>(64.62)*(10.764)</f>
        <v>695.56968000000006</v>
      </c>
      <c r="E142" s="42">
        <v>0</v>
      </c>
      <c r="F142" s="42">
        <f>D142*(($F$115)+1)+(IF(E142&lt;101,E142,IF(E142&lt;201,E142/2,IF(E142&lt;=301,E142/3,E142/4))))</f>
        <v>1112.9114880000002</v>
      </c>
      <c r="G142" s="100"/>
      <c r="H142" s="101"/>
      <c r="I142" s="36"/>
      <c r="N142" s="36"/>
    </row>
    <row r="143" spans="1:14" s="37" customFormat="1" ht="15.75" customHeight="1" x14ac:dyDescent="0.25">
      <c r="A143" s="105">
        <v>4</v>
      </c>
      <c r="B143" s="107"/>
      <c r="C143" s="52">
        <v>3</v>
      </c>
      <c r="D143" s="57">
        <f>(93.63)*(10.764)</f>
        <v>1007.8333199999998</v>
      </c>
      <c r="E143" s="42">
        <v>0</v>
      </c>
      <c r="F143" s="42">
        <f>D143*(($F$115)+1)+(IF(E143&lt;101,E143,IF(E143&lt;201,E143/2,IF(E143&lt;=301,E143/3,E143/4))))</f>
        <v>1612.5333119999998</v>
      </c>
      <c r="G143" s="100"/>
      <c r="H143" s="101"/>
      <c r="I143" s="36"/>
      <c r="N143" s="36"/>
    </row>
    <row r="144" spans="1:14" s="37" customFormat="1" ht="15.75" customHeight="1" x14ac:dyDescent="0.25">
      <c r="A144" s="105">
        <v>5</v>
      </c>
      <c r="B144" s="107"/>
      <c r="C144" s="94" t="s">
        <v>192</v>
      </c>
      <c r="D144" s="95"/>
      <c r="E144" s="95"/>
      <c r="F144" s="96"/>
      <c r="G144" s="102"/>
      <c r="H144" s="103"/>
      <c r="I144" s="36"/>
      <c r="N144" s="36"/>
    </row>
    <row r="145" spans="1:14" s="37" customFormat="1" ht="15.75" customHeight="1" x14ac:dyDescent="0.25">
      <c r="A145" s="108" t="s">
        <v>185</v>
      </c>
      <c r="B145" s="109"/>
      <c r="C145" s="109"/>
      <c r="D145" s="109"/>
      <c r="E145" s="109"/>
      <c r="F145" s="109"/>
      <c r="G145" s="109"/>
      <c r="H145" s="110"/>
      <c r="I145" s="36"/>
    </row>
    <row r="146" spans="1:14" s="37" customFormat="1" ht="15.75" customHeight="1" x14ac:dyDescent="0.25">
      <c r="A146" s="105">
        <v>1</v>
      </c>
      <c r="B146" s="107"/>
      <c r="C146" s="52">
        <v>2</v>
      </c>
      <c r="D146" s="57">
        <f>(65.17)*(10.764)</f>
        <v>701.48987999999997</v>
      </c>
      <c r="E146" s="42">
        <v>0</v>
      </c>
      <c r="F146" s="42">
        <f t="shared" ref="F146:F150" si="3">D146*(($F$115)+1)+(IF(E146&lt;101,E146,IF(E146&lt;201,E146/2,IF(E146&lt;=301,E146/3,E146/4))))</f>
        <v>1122.383808</v>
      </c>
      <c r="G146" s="98" t="str">
        <f>A145</f>
        <v>8th to 13th &amp; 15th to 20th Floor</v>
      </c>
      <c r="H146" s="99"/>
      <c r="I146" s="36"/>
    </row>
    <row r="147" spans="1:14" s="37" customFormat="1" ht="15.75" customHeight="1" x14ac:dyDescent="0.25">
      <c r="A147" s="105">
        <v>2</v>
      </c>
      <c r="B147" s="107"/>
      <c r="C147" s="52">
        <v>2</v>
      </c>
      <c r="D147" s="57">
        <f>(61.23)*(10.764)</f>
        <v>659.07971999999995</v>
      </c>
      <c r="E147" s="42">
        <v>0</v>
      </c>
      <c r="F147" s="42">
        <f t="shared" si="3"/>
        <v>1054.527552</v>
      </c>
      <c r="G147" s="100"/>
      <c r="H147" s="101"/>
      <c r="I147" s="36"/>
    </row>
    <row r="148" spans="1:14" s="37" customFormat="1" ht="15.75" customHeight="1" x14ac:dyDescent="0.25">
      <c r="A148" s="105">
        <v>3</v>
      </c>
      <c r="B148" s="107"/>
      <c r="C148" s="52">
        <v>2</v>
      </c>
      <c r="D148" s="57">
        <f>(64.62)*(10.764)</f>
        <v>695.56968000000006</v>
      </c>
      <c r="E148" s="42">
        <v>0</v>
      </c>
      <c r="F148" s="42">
        <f t="shared" si="3"/>
        <v>1112.9114880000002</v>
      </c>
      <c r="G148" s="100"/>
      <c r="H148" s="101"/>
      <c r="I148" s="36"/>
    </row>
    <row r="149" spans="1:14" s="37" customFormat="1" ht="15.75" customHeight="1" x14ac:dyDescent="0.25">
      <c r="A149" s="105">
        <v>4</v>
      </c>
      <c r="B149" s="107"/>
      <c r="C149" s="52">
        <v>3</v>
      </c>
      <c r="D149" s="57">
        <f>(93.63)*(10.764)</f>
        <v>1007.8333199999998</v>
      </c>
      <c r="E149" s="42">
        <v>0</v>
      </c>
      <c r="F149" s="42">
        <f t="shared" si="3"/>
        <v>1612.5333119999998</v>
      </c>
      <c r="G149" s="100"/>
      <c r="H149" s="101"/>
      <c r="I149" s="36"/>
    </row>
    <row r="150" spans="1:14" s="37" customFormat="1" ht="15.75" customHeight="1" x14ac:dyDescent="0.25">
      <c r="A150" s="105">
        <v>5</v>
      </c>
      <c r="B150" s="107"/>
      <c r="C150" s="52">
        <v>3</v>
      </c>
      <c r="D150" s="57">
        <f>(108.94)*(10.764)</f>
        <v>1172.6301599999999</v>
      </c>
      <c r="E150" s="42">
        <v>0</v>
      </c>
      <c r="F150" s="42">
        <f t="shared" si="3"/>
        <v>1876.2082559999999</v>
      </c>
      <c r="G150" s="100"/>
      <c r="H150" s="101"/>
      <c r="I150" s="36"/>
    </row>
    <row r="151" spans="1:14" s="37" customFormat="1" x14ac:dyDescent="0.25">
      <c r="A151" s="97" t="s">
        <v>186</v>
      </c>
      <c r="B151" s="97"/>
      <c r="C151" s="97"/>
      <c r="D151" s="97"/>
      <c r="E151" s="97"/>
      <c r="F151" s="97"/>
      <c r="G151" s="97"/>
      <c r="H151" s="97"/>
      <c r="I151" s="36"/>
      <c r="L151" s="93"/>
      <c r="M151" s="93"/>
    </row>
    <row r="152" spans="1:14" s="37" customFormat="1" ht="15.75" customHeight="1" x14ac:dyDescent="0.25">
      <c r="A152" s="105">
        <v>1</v>
      </c>
      <c r="B152" s="107"/>
      <c r="C152" s="52">
        <v>2</v>
      </c>
      <c r="D152" s="57">
        <f>(65.17)*(10.764)</f>
        <v>701.48987999999997</v>
      </c>
      <c r="E152" s="42">
        <v>0</v>
      </c>
      <c r="F152" s="42">
        <f t="shared" ref="F152:F153" si="4">D152*(($F$115)+1)+(IF(E152&lt;101,E152,IF(E152&lt;201,E152/2,IF(E152&lt;=301,E152/3,E152/4))))</f>
        <v>1122.383808</v>
      </c>
      <c r="G152" s="98" t="str">
        <f>A151</f>
        <v>14th Floor (Part Refuge Area)</v>
      </c>
      <c r="H152" s="99"/>
      <c r="I152" s="36"/>
      <c r="N152" s="36"/>
    </row>
    <row r="153" spans="1:14" s="37" customFormat="1" ht="15.75" customHeight="1" x14ac:dyDescent="0.25">
      <c r="A153" s="105">
        <v>2</v>
      </c>
      <c r="B153" s="107"/>
      <c r="C153" s="52">
        <v>2</v>
      </c>
      <c r="D153" s="57">
        <f>(61.23)*(10.764)</f>
        <v>659.07971999999995</v>
      </c>
      <c r="E153" s="42">
        <v>0</v>
      </c>
      <c r="F153" s="42">
        <f t="shared" si="4"/>
        <v>1054.527552</v>
      </c>
      <c r="G153" s="100"/>
      <c r="H153" s="101"/>
      <c r="I153" s="36"/>
      <c r="L153" s="53"/>
      <c r="N153" s="36"/>
    </row>
    <row r="154" spans="1:14" s="37" customFormat="1" ht="15.75" customHeight="1" x14ac:dyDescent="0.25">
      <c r="A154" s="105">
        <v>3</v>
      </c>
      <c r="B154" s="107"/>
      <c r="C154" s="52">
        <v>2</v>
      </c>
      <c r="D154" s="57">
        <f>(64.62)*(10.764)</f>
        <v>695.56968000000006</v>
      </c>
      <c r="E154" s="42">
        <v>0</v>
      </c>
      <c r="F154" s="42">
        <f>D154*(($F$115)+1)+(IF(E154&lt;101,E154,IF(E154&lt;201,E154/2,IF(E154&lt;=301,E154/3,E154/4))))</f>
        <v>1112.9114880000002</v>
      </c>
      <c r="G154" s="100"/>
      <c r="H154" s="101"/>
      <c r="I154" s="36"/>
      <c r="N154" s="36"/>
    </row>
    <row r="155" spans="1:14" s="37" customFormat="1" ht="15.75" customHeight="1" x14ac:dyDescent="0.25">
      <c r="A155" s="105">
        <v>4</v>
      </c>
      <c r="B155" s="107"/>
      <c r="C155" s="52">
        <v>3</v>
      </c>
      <c r="D155" s="57">
        <f>(93.63)*(10.764)</f>
        <v>1007.8333199999998</v>
      </c>
      <c r="E155" s="42">
        <v>0</v>
      </c>
      <c r="F155" s="42">
        <f>D155*(($F$115)+1)+(IF(E155&lt;101,E155,IF(E155&lt;201,E155/2,IF(E155&lt;=301,E155/3,E155/4))))</f>
        <v>1612.5333119999998</v>
      </c>
      <c r="G155" s="100"/>
      <c r="H155" s="101"/>
      <c r="I155" s="36"/>
      <c r="N155" s="36"/>
    </row>
    <row r="156" spans="1:14" s="37" customFormat="1" ht="15.75" customHeight="1" x14ac:dyDescent="0.25">
      <c r="A156" s="105">
        <v>5</v>
      </c>
      <c r="B156" s="107"/>
      <c r="C156" s="94" t="s">
        <v>192</v>
      </c>
      <c r="D156" s="95"/>
      <c r="E156" s="95"/>
      <c r="F156" s="96"/>
      <c r="G156" s="102"/>
      <c r="H156" s="103"/>
      <c r="I156" s="36"/>
      <c r="N156" s="36"/>
    </row>
    <row r="157" spans="1:14" s="37" customFormat="1" x14ac:dyDescent="0.25">
      <c r="A157" s="97" t="s">
        <v>206</v>
      </c>
      <c r="B157" s="97"/>
      <c r="C157" s="97"/>
      <c r="D157" s="97"/>
      <c r="E157" s="97"/>
      <c r="F157" s="97"/>
      <c r="G157" s="97"/>
      <c r="H157" s="97"/>
      <c r="I157" s="36"/>
      <c r="L157" s="93"/>
      <c r="M157" s="93"/>
    </row>
    <row r="158" spans="1:14" s="37" customFormat="1" ht="15.75" customHeight="1" x14ac:dyDescent="0.25">
      <c r="A158" s="105">
        <v>1</v>
      </c>
      <c r="B158" s="107"/>
      <c r="C158" s="52">
        <v>2</v>
      </c>
      <c r="D158" s="57">
        <f>(65.17)*(10.764)</f>
        <v>701.48987999999997</v>
      </c>
      <c r="E158" s="42">
        <v>0</v>
      </c>
      <c r="F158" s="42">
        <f t="shared" ref="F158:F159" si="5">D158*(($F$115)+1)+(IF(E158&lt;101,E158,IF(E158&lt;201,E158/2,IF(E158&lt;=301,E158/3,E158/4))))</f>
        <v>1122.383808</v>
      </c>
      <c r="G158" s="98" t="str">
        <f>A157</f>
        <v>21st Floor (Part Refuge Area)</v>
      </c>
      <c r="H158" s="99"/>
      <c r="I158" s="36"/>
      <c r="N158" s="36"/>
    </row>
    <row r="159" spans="1:14" s="37" customFormat="1" ht="15.75" customHeight="1" x14ac:dyDescent="0.25">
      <c r="A159" s="105">
        <v>2</v>
      </c>
      <c r="B159" s="107"/>
      <c r="C159" s="52">
        <v>2</v>
      </c>
      <c r="D159" s="57">
        <f>(61.38)*(10.764)</f>
        <v>660.69431999999995</v>
      </c>
      <c r="E159" s="42">
        <v>0</v>
      </c>
      <c r="F159" s="42">
        <f t="shared" si="5"/>
        <v>1057.1109119999999</v>
      </c>
      <c r="G159" s="100"/>
      <c r="H159" s="101"/>
      <c r="I159" s="36"/>
      <c r="L159" s="53"/>
      <c r="N159" s="36"/>
    </row>
    <row r="160" spans="1:14" s="37" customFormat="1" ht="15.75" customHeight="1" x14ac:dyDescent="0.25">
      <c r="A160" s="105">
        <v>3</v>
      </c>
      <c r="B160" s="107"/>
      <c r="C160" s="52">
        <v>2</v>
      </c>
      <c r="D160" s="57">
        <f>(64.77)*(10.764)</f>
        <v>697.18427999999994</v>
      </c>
      <c r="E160" s="42">
        <v>0</v>
      </c>
      <c r="F160" s="42">
        <f>D160*(($F$115)+1)+(IF(E160&lt;101,E160,IF(E160&lt;201,E160/2,IF(E160&lt;=301,E160/3,E160/4))))</f>
        <v>1115.494848</v>
      </c>
      <c r="G160" s="100"/>
      <c r="H160" s="101"/>
      <c r="I160" s="36"/>
      <c r="N160" s="36"/>
    </row>
    <row r="161" spans="1:14" s="37" customFormat="1" ht="15.75" customHeight="1" x14ac:dyDescent="0.25">
      <c r="A161" s="105">
        <v>4</v>
      </c>
      <c r="B161" s="107"/>
      <c r="C161" s="52">
        <v>3</v>
      </c>
      <c r="D161" s="57">
        <f>(93.94)*(10.764)</f>
        <v>1011.1701599999999</v>
      </c>
      <c r="E161" s="42">
        <v>0</v>
      </c>
      <c r="F161" s="42">
        <f>D161*(($F$115)+1)+(IF(E161&lt;101,E161,IF(E161&lt;201,E161/2,IF(E161&lt;=301,E161/3,E161/4))))</f>
        <v>1617.8722559999999</v>
      </c>
      <c r="G161" s="100"/>
      <c r="H161" s="101"/>
      <c r="I161" s="36"/>
      <c r="N161" s="36"/>
    </row>
    <row r="162" spans="1:14" s="37" customFormat="1" ht="15.75" customHeight="1" x14ac:dyDescent="0.25">
      <c r="A162" s="105">
        <v>5</v>
      </c>
      <c r="B162" s="107"/>
      <c r="C162" s="94" t="s">
        <v>192</v>
      </c>
      <c r="D162" s="95"/>
      <c r="E162" s="95"/>
      <c r="F162" s="96"/>
      <c r="G162" s="102"/>
      <c r="H162" s="103"/>
      <c r="I162" s="36"/>
      <c r="N162" s="36"/>
    </row>
    <row r="163" spans="1:14" s="37" customFormat="1" x14ac:dyDescent="0.25">
      <c r="A163" s="97" t="s">
        <v>207</v>
      </c>
      <c r="B163" s="97"/>
      <c r="C163" s="97"/>
      <c r="D163" s="97"/>
      <c r="E163" s="97"/>
      <c r="F163" s="97"/>
      <c r="G163" s="97"/>
      <c r="H163" s="97"/>
      <c r="I163" s="36"/>
      <c r="L163" s="93"/>
      <c r="M163" s="93"/>
    </row>
    <row r="164" spans="1:14" s="37" customFormat="1" ht="15.75" customHeight="1" x14ac:dyDescent="0.25">
      <c r="A164" s="104">
        <v>1</v>
      </c>
      <c r="B164" s="104"/>
      <c r="C164" s="52">
        <v>2</v>
      </c>
      <c r="D164" s="57">
        <f>(65.17)*(10.764)</f>
        <v>701.48987999999997</v>
      </c>
      <c r="E164" s="42">
        <v>0</v>
      </c>
      <c r="F164" s="42">
        <f t="shared" ref="F164:F165" si="6">D164*(($F$115)+1)+(IF(E164&lt;101,E164,IF(E164&lt;201,E164/2,IF(E164&lt;=301,E164/3,E164/4))))</f>
        <v>1122.383808</v>
      </c>
      <c r="G164" s="104" t="str">
        <f>A163</f>
        <v>22nd to 24th Floor</v>
      </c>
      <c r="H164" s="104"/>
      <c r="I164" s="36"/>
      <c r="N164" s="36"/>
    </row>
    <row r="165" spans="1:14" s="37" customFormat="1" ht="15.75" customHeight="1" x14ac:dyDescent="0.25">
      <c r="A165" s="104">
        <v>2</v>
      </c>
      <c r="B165" s="104"/>
      <c r="C165" s="52">
        <v>2</v>
      </c>
      <c r="D165" s="57">
        <f>(61.38)*(10.764)</f>
        <v>660.69431999999995</v>
      </c>
      <c r="E165" s="42">
        <v>0</v>
      </c>
      <c r="F165" s="42">
        <f t="shared" si="6"/>
        <v>1057.1109119999999</v>
      </c>
      <c r="G165" s="104"/>
      <c r="H165" s="104"/>
      <c r="I165" s="36"/>
      <c r="L165" s="53"/>
      <c r="N165" s="36"/>
    </row>
    <row r="166" spans="1:14" s="37" customFormat="1" ht="15.75" customHeight="1" x14ac:dyDescent="0.25">
      <c r="A166" s="104">
        <v>3</v>
      </c>
      <c r="B166" s="104"/>
      <c r="C166" s="52">
        <v>2</v>
      </c>
      <c r="D166" s="57">
        <f>(64.77)*(10.764)</f>
        <v>697.18427999999994</v>
      </c>
      <c r="E166" s="42">
        <v>0</v>
      </c>
      <c r="F166" s="42">
        <f>D166*(($F$115)+1)+(IF(E166&lt;101,E166,IF(E166&lt;201,E166/2,IF(E166&lt;=301,E166/3,E166/4))))</f>
        <v>1115.494848</v>
      </c>
      <c r="G166" s="104"/>
      <c r="H166" s="104"/>
      <c r="I166" s="36"/>
      <c r="N166" s="36"/>
    </row>
    <row r="167" spans="1:14" s="37" customFormat="1" ht="15.75" customHeight="1" x14ac:dyDescent="0.25">
      <c r="A167" s="104">
        <v>4</v>
      </c>
      <c r="B167" s="104"/>
      <c r="C167" s="52">
        <v>3</v>
      </c>
      <c r="D167" s="57">
        <f>(93.94)*(10.764)</f>
        <v>1011.1701599999999</v>
      </c>
      <c r="E167" s="42">
        <v>0</v>
      </c>
      <c r="F167" s="42">
        <f>D167*(($F$115)+1)+(IF(E167&lt;101,E167,IF(E167&lt;201,E167/2,IF(E167&lt;=301,E167/3,E167/4))))</f>
        <v>1617.8722559999999</v>
      </c>
      <c r="G167" s="104"/>
      <c r="H167" s="104"/>
      <c r="I167" s="36"/>
      <c r="N167" s="36"/>
    </row>
    <row r="168" spans="1:14" s="37" customFormat="1" ht="15.75" customHeight="1" x14ac:dyDescent="0.25">
      <c r="A168" s="104">
        <v>5</v>
      </c>
      <c r="B168" s="104"/>
      <c r="C168" s="52">
        <v>3</v>
      </c>
      <c r="D168" s="57">
        <f>(109.05)*(10.764)</f>
        <v>1173.8141999999998</v>
      </c>
      <c r="E168" s="42">
        <v>0</v>
      </c>
      <c r="F168" s="42">
        <f>D168*(($F$115)+1)+(IF(E168&lt;101,E168,IF(E168&lt;201,E168/2,IF(E168&lt;=301,E168/3,E168/4))))</f>
        <v>1878.1027199999999</v>
      </c>
      <c r="G168" s="104"/>
      <c r="H168" s="104"/>
      <c r="I168" s="36"/>
      <c r="N168" s="36"/>
    </row>
    <row r="169" spans="1:14" s="37" customFormat="1" ht="15.75" customHeight="1" x14ac:dyDescent="0.25">
      <c r="A169" s="97" t="s">
        <v>208</v>
      </c>
      <c r="B169" s="97"/>
      <c r="C169" s="97"/>
      <c r="D169" s="97"/>
      <c r="E169" s="97"/>
      <c r="F169" s="97"/>
      <c r="G169" s="97"/>
      <c r="H169" s="97"/>
      <c r="I169" s="36"/>
    </row>
    <row r="170" spans="1:14" s="37" customFormat="1" ht="15.75" customHeight="1" x14ac:dyDescent="0.25">
      <c r="A170" s="104">
        <v>1</v>
      </c>
      <c r="B170" s="104"/>
      <c r="C170" s="52">
        <v>2</v>
      </c>
      <c r="D170" s="57">
        <f>(65.17)*(10.764)</f>
        <v>701.48987999999997</v>
      </c>
      <c r="E170" s="42">
        <v>0</v>
      </c>
      <c r="F170" s="42">
        <f t="shared" ref="F170:F174" si="7">D170*(($F$115)+1)+(IF(E170&lt;101,E170,IF(E170&lt;201,E170/2,IF(E170&lt;=301,E170/3,E170/4))))</f>
        <v>1122.383808</v>
      </c>
      <c r="G170" s="104" t="str">
        <f>A169</f>
        <v>25th to 27th, 29th &amp; 30th Floor</v>
      </c>
      <c r="H170" s="104"/>
      <c r="I170" s="36"/>
    </row>
    <row r="171" spans="1:14" s="37" customFormat="1" ht="15.75" customHeight="1" x14ac:dyDescent="0.25">
      <c r="A171" s="104">
        <v>2</v>
      </c>
      <c r="B171" s="104"/>
      <c r="C171" s="52">
        <v>2</v>
      </c>
      <c r="D171" s="57">
        <f>(64.74)*(10.764)</f>
        <v>696.86135999999988</v>
      </c>
      <c r="E171" s="42">
        <v>0</v>
      </c>
      <c r="F171" s="42">
        <f t="shared" si="7"/>
        <v>1114.9781759999998</v>
      </c>
      <c r="G171" s="104"/>
      <c r="H171" s="104"/>
      <c r="I171" s="36"/>
    </row>
    <row r="172" spans="1:14" s="37" customFormat="1" ht="15.75" customHeight="1" x14ac:dyDescent="0.25">
      <c r="A172" s="104">
        <v>3</v>
      </c>
      <c r="B172" s="104"/>
      <c r="C172" s="52">
        <v>2</v>
      </c>
      <c r="D172" s="57">
        <f>(64.77)*(10.764)</f>
        <v>697.18427999999994</v>
      </c>
      <c r="E172" s="42">
        <v>0</v>
      </c>
      <c r="F172" s="42">
        <f t="shared" si="7"/>
        <v>1115.494848</v>
      </c>
      <c r="G172" s="104"/>
      <c r="H172" s="104"/>
      <c r="I172" s="36"/>
    </row>
    <row r="173" spans="1:14" s="37" customFormat="1" ht="15.75" customHeight="1" x14ac:dyDescent="0.25">
      <c r="A173" s="104">
        <v>4</v>
      </c>
      <c r="B173" s="104"/>
      <c r="C173" s="52">
        <v>3</v>
      </c>
      <c r="D173" s="57">
        <f>(93.94)*(10.764)</f>
        <v>1011.1701599999999</v>
      </c>
      <c r="E173" s="42">
        <v>0</v>
      </c>
      <c r="F173" s="42">
        <f t="shared" si="7"/>
        <v>1617.8722559999999</v>
      </c>
      <c r="G173" s="104"/>
      <c r="H173" s="104"/>
      <c r="I173" s="36"/>
    </row>
    <row r="174" spans="1:14" s="37" customFormat="1" ht="15.75" customHeight="1" x14ac:dyDescent="0.25">
      <c r="A174" s="104">
        <v>5</v>
      </c>
      <c r="B174" s="104"/>
      <c r="C174" s="52">
        <v>3</v>
      </c>
      <c r="D174" s="57">
        <f>(109.05)*(10.764)</f>
        <v>1173.8141999999998</v>
      </c>
      <c r="E174" s="42">
        <v>0</v>
      </c>
      <c r="F174" s="42">
        <f t="shared" si="7"/>
        <v>1878.1027199999999</v>
      </c>
      <c r="G174" s="104"/>
      <c r="H174" s="104"/>
      <c r="I174" s="36"/>
    </row>
    <row r="175" spans="1:14" s="37" customFormat="1" x14ac:dyDescent="0.25">
      <c r="A175" s="97" t="s">
        <v>205</v>
      </c>
      <c r="B175" s="97"/>
      <c r="C175" s="97"/>
      <c r="D175" s="97"/>
      <c r="E175" s="97"/>
      <c r="F175" s="97"/>
      <c r="G175" s="97"/>
      <c r="H175" s="97"/>
      <c r="I175" s="36"/>
      <c r="L175" s="93"/>
      <c r="M175" s="93"/>
    </row>
    <row r="176" spans="1:14" s="37" customFormat="1" ht="15.75" customHeight="1" x14ac:dyDescent="0.25">
      <c r="A176" s="105">
        <v>1</v>
      </c>
      <c r="B176" s="107"/>
      <c r="C176" s="52">
        <v>2</v>
      </c>
      <c r="D176" s="57">
        <f>(65.17)*(10.764)</f>
        <v>701.48987999999997</v>
      </c>
      <c r="E176" s="42">
        <v>0</v>
      </c>
      <c r="F176" s="42">
        <f t="shared" ref="F176:F177" si="8">D176*(($F$115)+1)+(IF(E176&lt;101,E176,IF(E176&lt;201,E176/2,IF(E176&lt;=301,E176/3,E176/4))))</f>
        <v>1122.383808</v>
      </c>
      <c r="G176" s="98" t="str">
        <f>A175</f>
        <v>28th Floor (Part Refuge Area)</v>
      </c>
      <c r="H176" s="99"/>
      <c r="I176" s="36"/>
      <c r="N176" s="36"/>
    </row>
    <row r="177" spans="1:14" s="37" customFormat="1" ht="15.75" customHeight="1" x14ac:dyDescent="0.25">
      <c r="A177" s="105">
        <v>2</v>
      </c>
      <c r="B177" s="107"/>
      <c r="C177" s="52">
        <v>2</v>
      </c>
      <c r="D177" s="57">
        <f>(64.74)*(10.764)</f>
        <v>696.86135999999988</v>
      </c>
      <c r="E177" s="42">
        <v>0</v>
      </c>
      <c r="F177" s="42">
        <f t="shared" si="8"/>
        <v>1114.9781759999998</v>
      </c>
      <c r="G177" s="100"/>
      <c r="H177" s="101"/>
      <c r="I177" s="36"/>
      <c r="L177" s="53"/>
      <c r="N177" s="36"/>
    </row>
    <row r="178" spans="1:14" s="37" customFormat="1" ht="15.75" customHeight="1" x14ac:dyDescent="0.25">
      <c r="A178" s="105">
        <v>3</v>
      </c>
      <c r="B178" s="107"/>
      <c r="C178" s="52">
        <v>2</v>
      </c>
      <c r="D178" s="57">
        <f>(64.77)*(10.764)</f>
        <v>697.18427999999994</v>
      </c>
      <c r="E178" s="42">
        <v>0</v>
      </c>
      <c r="F178" s="42">
        <f>D178*(($F$115)+1)+(IF(E178&lt;101,E178,IF(E178&lt;201,E178/2,IF(E178&lt;=301,E178/3,E178/4))))</f>
        <v>1115.494848</v>
      </c>
      <c r="G178" s="100"/>
      <c r="H178" s="101"/>
      <c r="I178" s="36"/>
      <c r="N178" s="36"/>
    </row>
    <row r="179" spans="1:14" s="37" customFormat="1" ht="15.75" customHeight="1" x14ac:dyDescent="0.25">
      <c r="A179" s="105">
        <v>4</v>
      </c>
      <c r="B179" s="107"/>
      <c r="C179" s="52">
        <v>3</v>
      </c>
      <c r="D179" s="57">
        <f>(93.94)*(10.764)</f>
        <v>1011.1701599999999</v>
      </c>
      <c r="E179" s="42">
        <v>0</v>
      </c>
      <c r="F179" s="42">
        <f>D179*(($F$115)+1)+(IF(E179&lt;101,E179,IF(E179&lt;201,E179/2,IF(E179&lt;=301,E179/3,E179/4))))</f>
        <v>1617.8722559999999</v>
      </c>
      <c r="G179" s="100"/>
      <c r="H179" s="101"/>
      <c r="I179" s="36"/>
      <c r="N179" s="36"/>
    </row>
    <row r="180" spans="1:14" s="37" customFormat="1" ht="15.75" customHeight="1" x14ac:dyDescent="0.25">
      <c r="A180" s="105">
        <v>5</v>
      </c>
      <c r="B180" s="107"/>
      <c r="C180" s="105" t="s">
        <v>192</v>
      </c>
      <c r="D180" s="106"/>
      <c r="E180" s="106"/>
      <c r="F180" s="107"/>
      <c r="G180" s="100"/>
      <c r="H180" s="101"/>
      <c r="I180" s="36"/>
      <c r="N180" s="36"/>
    </row>
    <row r="181" spans="1:14" s="37" customFormat="1" ht="15.75" customHeight="1" x14ac:dyDescent="0.25">
      <c r="A181" s="108" t="s">
        <v>187</v>
      </c>
      <c r="B181" s="109"/>
      <c r="C181" s="109"/>
      <c r="D181" s="109"/>
      <c r="E181" s="109"/>
      <c r="F181" s="109"/>
      <c r="G181" s="109"/>
      <c r="H181" s="110"/>
      <c r="I181" s="36"/>
    </row>
    <row r="182" spans="1:14" s="37" customFormat="1" ht="15.75" customHeight="1" x14ac:dyDescent="0.25">
      <c r="A182" s="105">
        <v>1</v>
      </c>
      <c r="B182" s="107"/>
      <c r="C182" s="52">
        <v>2</v>
      </c>
      <c r="D182" s="57">
        <f>(65.17)*(10.764)</f>
        <v>701.48987999999997</v>
      </c>
      <c r="E182" s="42">
        <v>0</v>
      </c>
      <c r="F182" s="42">
        <f t="shared" ref="F182:F186" si="9">D182*(($F$115)+1)+(IF(E182&lt;101,E182,IF(E182&lt;201,E182/2,IF(E182&lt;=301,E182/3,E182/4))))</f>
        <v>1122.383808</v>
      </c>
      <c r="G182" s="98" t="str">
        <f>A181</f>
        <v>31st to 34th, 36th to 41st, 43rd &amp; 44th Floor</v>
      </c>
      <c r="H182" s="99"/>
      <c r="I182" s="36">
        <f>269000000/F182</f>
        <v>239668.46107601724</v>
      </c>
    </row>
    <row r="183" spans="1:14" s="37" customFormat="1" ht="15.75" customHeight="1" x14ac:dyDescent="0.25">
      <c r="A183" s="105">
        <v>2</v>
      </c>
      <c r="B183" s="107"/>
      <c r="C183" s="52">
        <v>2</v>
      </c>
      <c r="D183" s="57">
        <f>(64.93)*(10.764)</f>
        <v>698.90652</v>
      </c>
      <c r="E183" s="42">
        <v>0</v>
      </c>
      <c r="F183" s="42">
        <f t="shared" si="9"/>
        <v>1118.250432</v>
      </c>
      <c r="G183" s="100"/>
      <c r="H183" s="101"/>
      <c r="I183" s="36">
        <f>39900000/F185</f>
        <v>24155.46114802211</v>
      </c>
    </row>
    <row r="184" spans="1:14" s="37" customFormat="1" ht="15.75" customHeight="1" x14ac:dyDescent="0.25">
      <c r="A184" s="105">
        <v>3</v>
      </c>
      <c r="B184" s="107"/>
      <c r="C184" s="52">
        <v>2</v>
      </c>
      <c r="D184" s="57">
        <f>(64.96)*(10.764)</f>
        <v>699.22943999999984</v>
      </c>
      <c r="E184" s="42">
        <v>0</v>
      </c>
      <c r="F184" s="42">
        <f t="shared" si="9"/>
        <v>1118.7671039999998</v>
      </c>
      <c r="G184" s="100"/>
      <c r="H184" s="101"/>
      <c r="I184" s="36"/>
    </row>
    <row r="185" spans="1:14" s="37" customFormat="1" ht="15.75" customHeight="1" x14ac:dyDescent="0.25">
      <c r="A185" s="105">
        <v>4</v>
      </c>
      <c r="B185" s="107"/>
      <c r="C185" s="52">
        <v>3</v>
      </c>
      <c r="D185" s="57">
        <f>(95.91)*(10.764)</f>
        <v>1032.3752399999998</v>
      </c>
      <c r="E185" s="42">
        <v>0</v>
      </c>
      <c r="F185" s="42">
        <f t="shared" si="9"/>
        <v>1651.8003839999999</v>
      </c>
      <c r="G185" s="100"/>
      <c r="H185" s="101"/>
      <c r="I185" s="36"/>
    </row>
    <row r="186" spans="1:14" s="37" customFormat="1" ht="15.75" customHeight="1" x14ac:dyDescent="0.25">
      <c r="A186" s="105">
        <v>5</v>
      </c>
      <c r="B186" s="107"/>
      <c r="C186" s="52">
        <v>3</v>
      </c>
      <c r="D186" s="57">
        <f>(109.16)*(10.764)</f>
        <v>1174.9982399999999</v>
      </c>
      <c r="E186" s="42">
        <v>0</v>
      </c>
      <c r="F186" s="42">
        <f t="shared" si="9"/>
        <v>1879.9971839999998</v>
      </c>
      <c r="G186" s="100"/>
      <c r="H186" s="101"/>
      <c r="I186" s="36"/>
    </row>
    <row r="187" spans="1:14" s="37" customFormat="1" x14ac:dyDescent="0.25">
      <c r="A187" s="97" t="s">
        <v>188</v>
      </c>
      <c r="B187" s="97"/>
      <c r="C187" s="97"/>
      <c r="D187" s="97"/>
      <c r="E187" s="97"/>
      <c r="F187" s="97"/>
      <c r="G187" s="97"/>
      <c r="H187" s="97"/>
      <c r="I187" s="36"/>
      <c r="L187" s="93"/>
      <c r="M187" s="93"/>
    </row>
    <row r="188" spans="1:14" s="37" customFormat="1" ht="15.75" customHeight="1" x14ac:dyDescent="0.25">
      <c r="A188" s="105">
        <v>1</v>
      </c>
      <c r="B188" s="107"/>
      <c r="C188" s="52">
        <v>2</v>
      </c>
      <c r="D188" s="57">
        <f>(65.17)*(10.764)</f>
        <v>701.48987999999997</v>
      </c>
      <c r="E188" s="42">
        <v>0</v>
      </c>
      <c r="F188" s="42">
        <f t="shared" ref="F188:F189" si="10">D188*(($F$115)+1)+(IF(E188&lt;101,E188,IF(E188&lt;201,E188/2,IF(E188&lt;=301,E188/3,E188/4))))</f>
        <v>1122.383808</v>
      </c>
      <c r="G188" s="98" t="str">
        <f>A187</f>
        <v>35th Floor (Part Refuge Area)</v>
      </c>
      <c r="H188" s="99"/>
      <c r="I188" s="36"/>
      <c r="N188" s="36"/>
    </row>
    <row r="189" spans="1:14" s="37" customFormat="1" ht="15.75" customHeight="1" x14ac:dyDescent="0.25">
      <c r="A189" s="105">
        <v>2</v>
      </c>
      <c r="B189" s="107"/>
      <c r="C189" s="52">
        <v>2</v>
      </c>
      <c r="D189" s="57">
        <f>(64.93)*(10.764)</f>
        <v>698.90652</v>
      </c>
      <c r="E189" s="42">
        <v>0</v>
      </c>
      <c r="F189" s="42">
        <f t="shared" si="10"/>
        <v>1118.250432</v>
      </c>
      <c r="G189" s="100" t="str">
        <f>G188</f>
        <v>35th Floor (Part Refuge Area)</v>
      </c>
      <c r="H189" s="101"/>
      <c r="I189" s="36"/>
      <c r="L189" s="53"/>
      <c r="N189" s="36"/>
    </row>
    <row r="190" spans="1:14" s="37" customFormat="1" ht="15.75" customHeight="1" x14ac:dyDescent="0.25">
      <c r="A190" s="105">
        <v>3</v>
      </c>
      <c r="B190" s="107"/>
      <c r="C190" s="52">
        <v>2</v>
      </c>
      <c r="D190" s="57">
        <f>(64.96)*(10.764)</f>
        <v>699.22943999999984</v>
      </c>
      <c r="E190" s="42">
        <v>0</v>
      </c>
      <c r="F190" s="42">
        <f>D190*(($F$115)+1)+(IF(E190&lt;101,E190,IF(E190&lt;201,E190/2,IF(E190&lt;=301,E190/3,E190/4))))</f>
        <v>1118.7671039999998</v>
      </c>
      <c r="G190" s="100" t="str">
        <f>G189</f>
        <v>35th Floor (Part Refuge Area)</v>
      </c>
      <c r="H190" s="101"/>
      <c r="I190" s="36"/>
      <c r="N190" s="36"/>
    </row>
    <row r="191" spans="1:14" s="37" customFormat="1" ht="15.75" customHeight="1" x14ac:dyDescent="0.25">
      <c r="A191" s="105">
        <v>4</v>
      </c>
      <c r="B191" s="107"/>
      <c r="C191" s="52">
        <v>3</v>
      </c>
      <c r="D191" s="57">
        <f>(95.91)*(10.764)</f>
        <v>1032.3752399999998</v>
      </c>
      <c r="E191" s="42">
        <v>0</v>
      </c>
      <c r="F191" s="42">
        <f>D191*(($F$115)+1)+(IF(E191&lt;101,E191,IF(E191&lt;201,E191/2,IF(E191&lt;=301,E191/3,E191/4))))</f>
        <v>1651.8003839999999</v>
      </c>
      <c r="G191" s="100" t="str">
        <f>G190</f>
        <v>35th Floor (Part Refuge Area)</v>
      </c>
      <c r="H191" s="101"/>
      <c r="I191" s="36"/>
      <c r="N191" s="36"/>
    </row>
    <row r="192" spans="1:14" s="37" customFormat="1" ht="15.75" customHeight="1" x14ac:dyDescent="0.25">
      <c r="A192" s="105">
        <v>5</v>
      </c>
      <c r="B192" s="107"/>
      <c r="C192" s="105" t="s">
        <v>192</v>
      </c>
      <c r="D192" s="106"/>
      <c r="E192" s="106"/>
      <c r="F192" s="107"/>
      <c r="G192" s="100"/>
      <c r="H192" s="101"/>
      <c r="I192" s="36"/>
      <c r="N192" s="36"/>
    </row>
    <row r="193" spans="1:14" s="37" customFormat="1" ht="15.75" customHeight="1" x14ac:dyDescent="0.25">
      <c r="A193" s="108" t="s">
        <v>189</v>
      </c>
      <c r="B193" s="109"/>
      <c r="C193" s="109"/>
      <c r="D193" s="109"/>
      <c r="E193" s="109"/>
      <c r="F193" s="109"/>
      <c r="G193" s="109"/>
      <c r="H193" s="110"/>
      <c r="I193" s="36"/>
    </row>
    <row r="194" spans="1:14" s="37" customFormat="1" ht="15.75" customHeight="1" x14ac:dyDescent="0.25">
      <c r="A194" s="105">
        <v>1</v>
      </c>
      <c r="B194" s="107"/>
      <c r="C194" s="52">
        <v>2</v>
      </c>
      <c r="D194" s="57">
        <f>(65.17)*(10.764)</f>
        <v>701.48987999999997</v>
      </c>
      <c r="E194" s="42">
        <v>0</v>
      </c>
      <c r="F194" s="42">
        <f>D194*(($F$115)+1)+(IF(E194&lt;101,E194,IF(E194&lt;201,E194/2,IF(E194&lt;=301,E194/3,E194/4))))</f>
        <v>1122.383808</v>
      </c>
      <c r="G194" s="98" t="str">
        <f>A193</f>
        <v>42nd Floor (Part Refuge Area)</v>
      </c>
      <c r="H194" s="99"/>
      <c r="I194" s="36"/>
    </row>
    <row r="195" spans="1:14" s="37" customFormat="1" ht="15.75" customHeight="1" x14ac:dyDescent="0.25">
      <c r="A195" s="105">
        <v>2</v>
      </c>
      <c r="B195" s="107"/>
      <c r="C195" s="105" t="s">
        <v>192</v>
      </c>
      <c r="D195" s="106"/>
      <c r="E195" s="106"/>
      <c r="F195" s="107"/>
      <c r="G195" s="100" t="str">
        <f>G194</f>
        <v>42nd Floor (Part Refuge Area)</v>
      </c>
      <c r="H195" s="101"/>
      <c r="I195" s="36"/>
    </row>
    <row r="196" spans="1:14" s="37" customFormat="1" ht="15.75" customHeight="1" x14ac:dyDescent="0.25">
      <c r="A196" s="105">
        <v>3</v>
      </c>
      <c r="B196" s="107"/>
      <c r="C196" s="52">
        <v>2</v>
      </c>
      <c r="D196" s="57">
        <f>(64.96)*(10.764)</f>
        <v>699.22943999999984</v>
      </c>
      <c r="E196" s="42">
        <v>0</v>
      </c>
      <c r="F196" s="42">
        <f>D196*(($F$115)+1)+(IF(E196&lt;101,E196,IF(E196&lt;201,E196/2,IF(E196&lt;=301,E196/3,E196/4))))</f>
        <v>1118.7671039999998</v>
      </c>
      <c r="G196" s="100" t="str">
        <f>G195</f>
        <v>42nd Floor (Part Refuge Area)</v>
      </c>
      <c r="H196" s="101"/>
      <c r="I196" s="36"/>
    </row>
    <row r="197" spans="1:14" s="37" customFormat="1" ht="15.75" customHeight="1" x14ac:dyDescent="0.25">
      <c r="A197" s="105">
        <v>4</v>
      </c>
      <c r="B197" s="107"/>
      <c r="C197" s="52">
        <v>3</v>
      </c>
      <c r="D197" s="57">
        <f>(95.91)*(10.764)</f>
        <v>1032.3752399999998</v>
      </c>
      <c r="E197" s="42">
        <v>0</v>
      </c>
      <c r="F197" s="42">
        <f>D197*(($F$115)+1)+(IF(E197&lt;101,E197,IF(E197&lt;201,E197/2,IF(E197&lt;=301,E197/3,E197/4))))</f>
        <v>1651.8003839999999</v>
      </c>
      <c r="G197" s="100" t="str">
        <f>G196</f>
        <v>42nd Floor (Part Refuge Area)</v>
      </c>
      <c r="H197" s="101"/>
      <c r="I197" s="36"/>
    </row>
    <row r="198" spans="1:14" s="37" customFormat="1" ht="15.75" customHeight="1" x14ac:dyDescent="0.25">
      <c r="A198" s="105">
        <v>5</v>
      </c>
      <c r="B198" s="107"/>
      <c r="C198" s="52">
        <v>3</v>
      </c>
      <c r="D198" s="57">
        <f>(109.16)*(10.764)</f>
        <v>1174.9982399999999</v>
      </c>
      <c r="E198" s="42">
        <v>0</v>
      </c>
      <c r="F198" s="42">
        <f>D198*(($F$115)+1)+(IF(E198&lt;101,E198,IF(E198&lt;201,E198/2,IF(E198&lt;=301,E198/3,E198/4))))</f>
        <v>1879.9971839999998</v>
      </c>
      <c r="G198" s="100" t="str">
        <f>G197</f>
        <v>42nd Floor (Part Refuge Area)</v>
      </c>
      <c r="H198" s="101"/>
      <c r="I198" s="36"/>
    </row>
    <row r="199" spans="1:14" s="37" customFormat="1" x14ac:dyDescent="0.25">
      <c r="A199" s="108" t="s">
        <v>200</v>
      </c>
      <c r="B199" s="109"/>
      <c r="C199" s="109"/>
      <c r="D199" s="109"/>
      <c r="E199" s="109"/>
      <c r="F199" s="109"/>
      <c r="G199" s="109"/>
      <c r="H199" s="110"/>
      <c r="J199" s="36"/>
    </row>
    <row r="200" spans="1:14" s="37" customFormat="1" x14ac:dyDescent="0.25">
      <c r="A200" s="118" t="s">
        <v>180</v>
      </c>
      <c r="B200" s="118"/>
      <c r="C200" s="118"/>
      <c r="D200" s="118"/>
      <c r="E200" s="118"/>
      <c r="F200" s="118"/>
      <c r="G200" s="118"/>
      <c r="H200" s="118"/>
      <c r="J200" s="36"/>
    </row>
    <row r="201" spans="1:14" s="37" customFormat="1" ht="33" customHeight="1" x14ac:dyDescent="0.25">
      <c r="A201" s="97" t="s">
        <v>227</v>
      </c>
      <c r="B201" s="97"/>
      <c r="C201" s="97"/>
      <c r="D201" s="97"/>
      <c r="E201" s="97"/>
      <c r="F201" s="97"/>
      <c r="G201" s="97"/>
      <c r="H201" s="97"/>
      <c r="J201" s="36"/>
    </row>
    <row r="202" spans="1:14" s="37" customFormat="1" x14ac:dyDescent="0.25">
      <c r="A202" s="97" t="s">
        <v>202</v>
      </c>
      <c r="B202" s="97"/>
      <c r="C202" s="97"/>
      <c r="D202" s="97"/>
      <c r="E202" s="97"/>
      <c r="F202" s="97"/>
      <c r="G202" s="97"/>
      <c r="H202" s="97"/>
      <c r="J202" s="36"/>
    </row>
    <row r="203" spans="1:14" s="37" customFormat="1" ht="15.75" customHeight="1" x14ac:dyDescent="0.25">
      <c r="A203" s="104">
        <v>1</v>
      </c>
      <c r="B203" s="104"/>
      <c r="C203" s="52">
        <v>2</v>
      </c>
      <c r="D203" s="57">
        <f>(60.53)*(10.764)</f>
        <v>651.54491999999993</v>
      </c>
      <c r="E203" s="42">
        <v>0</v>
      </c>
      <c r="F203" s="42">
        <f>D203*(($F$115)+1)+(IF(E203&lt;101,E203,IF(E203&lt;201,E203/2,IF(E203&lt;=301,E203/3,E203/4))))</f>
        <v>1042.4718719999998</v>
      </c>
      <c r="G203" s="104" t="str">
        <f>A202</f>
        <v>1st Floor Part Residential</v>
      </c>
      <c r="H203" s="104"/>
      <c r="I203" s="36"/>
      <c r="L203" s="93"/>
      <c r="M203" s="93"/>
      <c r="N203" s="36"/>
    </row>
    <row r="204" spans="1:14" s="37" customFormat="1" ht="15.75" customHeight="1" x14ac:dyDescent="0.25">
      <c r="A204" s="104">
        <v>2</v>
      </c>
      <c r="B204" s="104"/>
      <c r="C204" s="52">
        <v>2</v>
      </c>
      <c r="D204" s="57">
        <f>(61.1)*(10.764)</f>
        <v>657.68039999999996</v>
      </c>
      <c r="E204" s="42">
        <v>0</v>
      </c>
      <c r="F204" s="42">
        <f>D204*(($F$115)+1)+(IF(E204&lt;101,E204,IF(E204&lt;201,E204/2,IF(E204&lt;=301,E204/3,E204/4))))</f>
        <v>1052.28864</v>
      </c>
      <c r="G204" s="104" t="str">
        <f t="shared" ref="G204:G207" si="11">G203</f>
        <v>1st Floor Part Residential</v>
      </c>
      <c r="H204" s="104"/>
      <c r="I204" s="36"/>
      <c r="L204" s="93"/>
      <c r="M204" s="93"/>
      <c r="N204" s="36"/>
    </row>
    <row r="205" spans="1:14" s="37" customFormat="1" ht="15.75" customHeight="1" x14ac:dyDescent="0.25">
      <c r="A205" s="104">
        <v>3</v>
      </c>
      <c r="B205" s="104"/>
      <c r="C205" s="111" t="s">
        <v>181</v>
      </c>
      <c r="D205" s="111"/>
      <c r="E205" s="111"/>
      <c r="F205" s="111"/>
      <c r="G205" s="104" t="str">
        <f t="shared" si="11"/>
        <v>1st Floor Part Residential</v>
      </c>
      <c r="H205" s="104"/>
      <c r="I205" s="36"/>
      <c r="L205" s="93"/>
      <c r="M205" s="93"/>
      <c r="N205" s="36"/>
    </row>
    <row r="206" spans="1:14" s="37" customFormat="1" ht="15.75" customHeight="1" x14ac:dyDescent="0.25">
      <c r="A206" s="104">
        <v>4</v>
      </c>
      <c r="B206" s="104"/>
      <c r="C206" s="111"/>
      <c r="D206" s="111"/>
      <c r="E206" s="111"/>
      <c r="F206" s="111"/>
      <c r="G206" s="104" t="str">
        <f t="shared" si="11"/>
        <v>1st Floor Part Residential</v>
      </c>
      <c r="H206" s="104"/>
      <c r="I206" s="36"/>
      <c r="L206" s="93"/>
      <c r="M206" s="93"/>
      <c r="N206" s="36"/>
    </row>
    <row r="207" spans="1:14" s="37" customFormat="1" ht="15.75" customHeight="1" x14ac:dyDescent="0.25">
      <c r="A207" s="104">
        <v>5</v>
      </c>
      <c r="B207" s="104"/>
      <c r="C207" s="111"/>
      <c r="D207" s="111"/>
      <c r="E207" s="111"/>
      <c r="F207" s="111"/>
      <c r="G207" s="104" t="str">
        <f t="shared" si="11"/>
        <v>1st Floor Part Residential</v>
      </c>
      <c r="H207" s="104"/>
      <c r="I207" s="36"/>
      <c r="L207" s="93"/>
      <c r="M207" s="93"/>
      <c r="N207" s="36"/>
    </row>
    <row r="208" spans="1:14" s="37" customFormat="1" x14ac:dyDescent="0.25">
      <c r="A208" s="97" t="s">
        <v>115</v>
      </c>
      <c r="B208" s="97"/>
      <c r="C208" s="97"/>
      <c r="D208" s="97"/>
      <c r="E208" s="97"/>
      <c r="F208" s="97"/>
      <c r="G208" s="97"/>
      <c r="H208" s="97"/>
      <c r="J208" s="36"/>
    </row>
    <row r="209" spans="1:14" s="37" customFormat="1" x14ac:dyDescent="0.25">
      <c r="A209" s="104">
        <v>1</v>
      </c>
      <c r="B209" s="104"/>
      <c r="C209" s="52">
        <v>2</v>
      </c>
      <c r="D209" s="57">
        <f>(60.53)*(10.764)</f>
        <v>651.54491999999993</v>
      </c>
      <c r="E209" s="42">
        <v>0</v>
      </c>
      <c r="F209" s="42">
        <f>D209*(($F$115)+1)+(IF(E209&lt;101,E209,IF(E209&lt;201,E209/2,IF(E209&lt;=301,E209/3,E209/4))))</f>
        <v>1042.4718719999998</v>
      </c>
      <c r="G209" s="104" t="str">
        <f>A208</f>
        <v>2nd Floor</v>
      </c>
      <c r="H209" s="104"/>
      <c r="I209" s="36"/>
      <c r="L209" s="93"/>
      <c r="M209" s="93"/>
      <c r="N209" s="36"/>
    </row>
    <row r="210" spans="1:14" s="37" customFormat="1" x14ac:dyDescent="0.25">
      <c r="A210" s="104">
        <v>2</v>
      </c>
      <c r="B210" s="104"/>
      <c r="C210" s="52">
        <v>2</v>
      </c>
      <c r="D210" s="57">
        <f>(61.1)*(10.764)</f>
        <v>657.68039999999996</v>
      </c>
      <c r="E210" s="42">
        <v>0</v>
      </c>
      <c r="F210" s="42">
        <f>D210*(($F$115)+1)+(IF(E210&lt;101,E210,IF(E210&lt;201,E210/2,IF(E210&lt;=301,E210/3,E210/4))))</f>
        <v>1052.28864</v>
      </c>
      <c r="G210" s="104" t="str">
        <f t="shared" ref="G210:G213" si="12">G209</f>
        <v>2nd Floor</v>
      </c>
      <c r="H210" s="104"/>
      <c r="I210" s="36"/>
      <c r="L210" s="93"/>
      <c r="M210" s="93"/>
      <c r="N210" s="36"/>
    </row>
    <row r="211" spans="1:14" s="37" customFormat="1" ht="15.75" customHeight="1" x14ac:dyDescent="0.25">
      <c r="A211" s="104">
        <v>3</v>
      </c>
      <c r="B211" s="104"/>
      <c r="C211" s="111" t="s">
        <v>183</v>
      </c>
      <c r="D211" s="111"/>
      <c r="E211" s="111"/>
      <c r="F211" s="111"/>
      <c r="G211" s="104" t="str">
        <f t="shared" si="12"/>
        <v>2nd Floor</v>
      </c>
      <c r="H211" s="104"/>
      <c r="I211" s="36"/>
      <c r="L211" s="93"/>
      <c r="M211" s="93"/>
      <c r="N211" s="36"/>
    </row>
    <row r="212" spans="1:14" s="37" customFormat="1" ht="15.75" customHeight="1" x14ac:dyDescent="0.25">
      <c r="A212" s="104">
        <v>4</v>
      </c>
      <c r="B212" s="104"/>
      <c r="C212" s="111"/>
      <c r="D212" s="111"/>
      <c r="E212" s="111"/>
      <c r="F212" s="111"/>
      <c r="G212" s="104" t="str">
        <f t="shared" si="12"/>
        <v>2nd Floor</v>
      </c>
      <c r="H212" s="104"/>
      <c r="I212" s="36"/>
      <c r="L212" s="93"/>
      <c r="M212" s="93"/>
      <c r="N212" s="36"/>
    </row>
    <row r="213" spans="1:14" s="37" customFormat="1" ht="15.75" customHeight="1" x14ac:dyDescent="0.25">
      <c r="A213" s="104">
        <v>5</v>
      </c>
      <c r="B213" s="104"/>
      <c r="C213" s="111"/>
      <c r="D213" s="111"/>
      <c r="E213" s="111"/>
      <c r="F213" s="111"/>
      <c r="G213" s="104" t="str">
        <f t="shared" si="12"/>
        <v>2nd Floor</v>
      </c>
      <c r="H213" s="104"/>
      <c r="I213" s="36"/>
      <c r="L213" s="93"/>
      <c r="M213" s="93"/>
      <c r="N213" s="36"/>
    </row>
    <row r="214" spans="1:14" s="37" customFormat="1" x14ac:dyDescent="0.25">
      <c r="A214" s="108" t="s">
        <v>182</v>
      </c>
      <c r="B214" s="109"/>
      <c r="C214" s="109"/>
      <c r="D214" s="109"/>
      <c r="E214" s="109"/>
      <c r="F214" s="109"/>
      <c r="G214" s="109"/>
      <c r="H214" s="110"/>
      <c r="J214" s="36"/>
    </row>
    <row r="215" spans="1:14" s="37" customFormat="1" ht="15.75" customHeight="1" x14ac:dyDescent="0.25">
      <c r="A215" s="105">
        <v>1</v>
      </c>
      <c r="B215" s="107"/>
      <c r="C215" s="52">
        <v>2</v>
      </c>
      <c r="D215" s="57">
        <f>(60.53)*(10.764)</f>
        <v>651.54491999999993</v>
      </c>
      <c r="E215" s="42">
        <v>0</v>
      </c>
      <c r="F215" s="42">
        <f>D215*(($F$115)+1)+(IF(E215&lt;101,E215,IF(E215&lt;201,E215/2,IF(E215&lt;=301,E215/3,E215/4))))</f>
        <v>1042.4718719999998</v>
      </c>
      <c r="G215" s="98" t="str">
        <f>A214</f>
        <v>3rd to 6th Floor</v>
      </c>
      <c r="H215" s="99"/>
      <c r="I215" s="36"/>
      <c r="L215" s="93"/>
      <c r="M215" s="93"/>
      <c r="N215" s="36"/>
    </row>
    <row r="216" spans="1:14" s="37" customFormat="1" ht="15.75" customHeight="1" x14ac:dyDescent="0.25">
      <c r="A216" s="105">
        <v>2</v>
      </c>
      <c r="B216" s="107"/>
      <c r="C216" s="52">
        <v>2</v>
      </c>
      <c r="D216" s="57">
        <f>(61.1)*(10.764)</f>
        <v>657.68039999999996</v>
      </c>
      <c r="E216" s="42">
        <v>0</v>
      </c>
      <c r="F216" s="42">
        <f>D216*(($F$115)+1)+(IF(E216&lt;101,E216,IF(E216&lt;201,E216/2,IF(E216&lt;=301,E216/3,E216/4))))</f>
        <v>1052.28864</v>
      </c>
      <c r="G216" s="100"/>
      <c r="H216" s="101"/>
      <c r="I216" s="36"/>
      <c r="L216" s="93"/>
      <c r="M216" s="93"/>
      <c r="N216" s="36"/>
    </row>
    <row r="217" spans="1:14" s="37" customFormat="1" ht="15.75" customHeight="1" x14ac:dyDescent="0.25">
      <c r="A217" s="105">
        <v>3</v>
      </c>
      <c r="B217" s="107"/>
      <c r="C217" s="112" t="s">
        <v>183</v>
      </c>
      <c r="D217" s="113"/>
      <c r="E217" s="113"/>
      <c r="F217" s="114"/>
      <c r="G217" s="100"/>
      <c r="H217" s="101"/>
      <c r="I217" s="36"/>
      <c r="L217" s="93"/>
      <c r="M217" s="93"/>
      <c r="N217" s="36"/>
    </row>
    <row r="218" spans="1:14" s="37" customFormat="1" ht="15.75" customHeight="1" x14ac:dyDescent="0.25">
      <c r="A218" s="105">
        <v>4</v>
      </c>
      <c r="B218" s="107"/>
      <c r="C218" s="115"/>
      <c r="D218" s="116"/>
      <c r="E218" s="116"/>
      <c r="F218" s="117"/>
      <c r="G218" s="100"/>
      <c r="H218" s="101"/>
      <c r="I218" s="36"/>
      <c r="L218" s="93"/>
      <c r="M218" s="93"/>
      <c r="N218" s="36"/>
    </row>
    <row r="219" spans="1:14" s="37" customFormat="1" ht="15.75" customHeight="1" x14ac:dyDescent="0.25">
      <c r="A219" s="105">
        <v>5</v>
      </c>
      <c r="B219" s="107"/>
      <c r="C219" s="52">
        <v>1</v>
      </c>
      <c r="D219" s="57">
        <f>(45.96)*(10.764)</f>
        <v>494.71343999999999</v>
      </c>
      <c r="E219" s="42">
        <v>0</v>
      </c>
      <c r="F219" s="42">
        <f>D219*(($F$115)+1)+(IF(E219&lt;101,E219,IF(E219&lt;201,E219/2,IF(E219&lt;=301,E219/3,E219/4))))</f>
        <v>791.54150400000003</v>
      </c>
      <c r="G219" s="100"/>
      <c r="H219" s="101"/>
      <c r="I219" s="36"/>
      <c r="L219" s="93"/>
      <c r="M219" s="93"/>
      <c r="N219" s="36"/>
    </row>
    <row r="220" spans="1:14" s="37" customFormat="1" x14ac:dyDescent="0.25">
      <c r="A220" s="97" t="s">
        <v>184</v>
      </c>
      <c r="B220" s="97"/>
      <c r="C220" s="97"/>
      <c r="D220" s="97"/>
      <c r="E220" s="97"/>
      <c r="F220" s="97"/>
      <c r="G220" s="97"/>
      <c r="H220" s="97"/>
      <c r="I220" s="36"/>
      <c r="L220" s="93"/>
      <c r="M220" s="93"/>
    </row>
    <row r="221" spans="1:14" s="37" customFormat="1" ht="15.75" customHeight="1" x14ac:dyDescent="0.25">
      <c r="A221" s="105">
        <v>1</v>
      </c>
      <c r="B221" s="107"/>
      <c r="C221" s="52">
        <v>2</v>
      </c>
      <c r="D221" s="57">
        <f>(65.17)*(10.764)</f>
        <v>701.48987999999997</v>
      </c>
      <c r="E221" s="42">
        <v>0</v>
      </c>
      <c r="F221" s="42">
        <f t="shared" ref="F221:F222" si="13">D221*(($F$115)+1)+(IF(E221&lt;101,E221,IF(E221&lt;201,E221/2,IF(E221&lt;=301,E221/3,E221/4))))</f>
        <v>1122.383808</v>
      </c>
      <c r="G221" s="98" t="str">
        <f>A220</f>
        <v>7th Floor (Part Refuge Area)</v>
      </c>
      <c r="H221" s="99"/>
      <c r="I221" s="36"/>
      <c r="N221" s="36"/>
    </row>
    <row r="222" spans="1:14" s="37" customFormat="1" ht="15.75" customHeight="1" x14ac:dyDescent="0.25">
      <c r="A222" s="105">
        <v>2</v>
      </c>
      <c r="B222" s="107"/>
      <c r="C222" s="52">
        <v>2</v>
      </c>
      <c r="D222" s="57">
        <f>(61.23)*(10.764)</f>
        <v>659.07971999999995</v>
      </c>
      <c r="E222" s="42">
        <v>0</v>
      </c>
      <c r="F222" s="42">
        <f t="shared" si="13"/>
        <v>1054.527552</v>
      </c>
      <c r="G222" s="100"/>
      <c r="H222" s="101"/>
      <c r="I222" s="36"/>
      <c r="L222" s="53"/>
      <c r="N222" s="36"/>
    </row>
    <row r="223" spans="1:14" s="37" customFormat="1" ht="15.75" customHeight="1" x14ac:dyDescent="0.25">
      <c r="A223" s="105">
        <v>3</v>
      </c>
      <c r="B223" s="107"/>
      <c r="C223" s="52">
        <v>2</v>
      </c>
      <c r="D223" s="57">
        <f>(64.62)*(10.764)</f>
        <v>695.56968000000006</v>
      </c>
      <c r="E223" s="42">
        <v>0</v>
      </c>
      <c r="F223" s="42">
        <f>D223*(($F$115)+1)+(IF(E223&lt;101,E223,IF(E223&lt;201,E223/2,IF(E223&lt;=301,E223/3,E223/4))))</f>
        <v>1112.9114880000002</v>
      </c>
      <c r="G223" s="100"/>
      <c r="H223" s="101"/>
      <c r="I223" s="36"/>
      <c r="N223" s="36"/>
    </row>
    <row r="224" spans="1:14" s="37" customFormat="1" ht="15.75" customHeight="1" x14ac:dyDescent="0.25">
      <c r="A224" s="105">
        <v>4</v>
      </c>
      <c r="B224" s="107"/>
      <c r="C224" s="52">
        <v>3</v>
      </c>
      <c r="D224" s="57">
        <f>(93.63)*(10.764)</f>
        <v>1007.8333199999998</v>
      </c>
      <c r="E224" s="42">
        <v>0</v>
      </c>
      <c r="F224" s="42">
        <f>D224*(($F$115)+1)+(IF(E224&lt;101,E224,IF(E224&lt;201,E224/2,IF(E224&lt;=301,E224/3,E224/4))))</f>
        <v>1612.5333119999998</v>
      </c>
      <c r="G224" s="100"/>
      <c r="H224" s="101"/>
      <c r="I224" s="36"/>
      <c r="N224" s="36"/>
    </row>
    <row r="225" spans="1:14" s="37" customFormat="1" ht="15.75" customHeight="1" x14ac:dyDescent="0.25">
      <c r="A225" s="105">
        <v>5</v>
      </c>
      <c r="B225" s="107"/>
      <c r="C225" s="94" t="s">
        <v>192</v>
      </c>
      <c r="D225" s="95"/>
      <c r="E225" s="95"/>
      <c r="F225" s="96"/>
      <c r="G225" s="102"/>
      <c r="H225" s="103"/>
      <c r="I225" s="36"/>
      <c r="N225" s="36"/>
    </row>
    <row r="226" spans="1:14" s="37" customFormat="1" ht="15.75" customHeight="1" x14ac:dyDescent="0.25">
      <c r="A226" s="108" t="s">
        <v>185</v>
      </c>
      <c r="B226" s="109"/>
      <c r="C226" s="109"/>
      <c r="D226" s="109"/>
      <c r="E226" s="109"/>
      <c r="F226" s="109"/>
      <c r="G226" s="109"/>
      <c r="H226" s="110"/>
      <c r="I226" s="36"/>
    </row>
    <row r="227" spans="1:14" s="37" customFormat="1" ht="15.75" customHeight="1" x14ac:dyDescent="0.25">
      <c r="A227" s="105">
        <v>1</v>
      </c>
      <c r="B227" s="107"/>
      <c r="C227" s="52">
        <v>2</v>
      </c>
      <c r="D227" s="57">
        <f>(65.17)*(10.764)</f>
        <v>701.48987999999997</v>
      </c>
      <c r="E227" s="42">
        <v>0</v>
      </c>
      <c r="F227" s="42">
        <f t="shared" ref="F227:F231" si="14">D227*(($F$115)+1)+(IF(E227&lt;101,E227,IF(E227&lt;201,E227/2,IF(E227&lt;=301,E227/3,E227/4))))</f>
        <v>1122.383808</v>
      </c>
      <c r="G227" s="98" t="str">
        <f>A226</f>
        <v>8th to 13th &amp; 15th to 20th Floor</v>
      </c>
      <c r="H227" s="99"/>
      <c r="I227" s="36"/>
    </row>
    <row r="228" spans="1:14" s="37" customFormat="1" ht="15.75" customHeight="1" x14ac:dyDescent="0.25">
      <c r="A228" s="105">
        <v>2</v>
      </c>
      <c r="B228" s="107"/>
      <c r="C228" s="52">
        <v>2</v>
      </c>
      <c r="D228" s="57">
        <f>(61.23)*(10.764)</f>
        <v>659.07971999999995</v>
      </c>
      <c r="E228" s="42">
        <v>0</v>
      </c>
      <c r="F228" s="42">
        <f t="shared" si="14"/>
        <v>1054.527552</v>
      </c>
      <c r="G228" s="100"/>
      <c r="H228" s="101"/>
      <c r="I228" s="36"/>
    </row>
    <row r="229" spans="1:14" s="37" customFormat="1" ht="15.75" customHeight="1" x14ac:dyDescent="0.25">
      <c r="A229" s="105">
        <v>3</v>
      </c>
      <c r="B229" s="107"/>
      <c r="C229" s="52">
        <v>2</v>
      </c>
      <c r="D229" s="57">
        <f>(64.62)*(10.764)</f>
        <v>695.56968000000006</v>
      </c>
      <c r="E229" s="42">
        <v>0</v>
      </c>
      <c r="F229" s="42">
        <f t="shared" si="14"/>
        <v>1112.9114880000002</v>
      </c>
      <c r="G229" s="100"/>
      <c r="H229" s="101"/>
      <c r="I229" s="36"/>
    </row>
    <row r="230" spans="1:14" s="37" customFormat="1" ht="15.75" customHeight="1" x14ac:dyDescent="0.25">
      <c r="A230" s="105">
        <v>4</v>
      </c>
      <c r="B230" s="107"/>
      <c r="C230" s="52">
        <v>3</v>
      </c>
      <c r="D230" s="57">
        <f>(93.63)*(10.764)</f>
        <v>1007.8333199999998</v>
      </c>
      <c r="E230" s="42">
        <v>0</v>
      </c>
      <c r="F230" s="42">
        <f t="shared" si="14"/>
        <v>1612.5333119999998</v>
      </c>
      <c r="G230" s="100"/>
      <c r="H230" s="101"/>
      <c r="I230" s="36"/>
    </row>
    <row r="231" spans="1:14" s="37" customFormat="1" ht="15.75" customHeight="1" x14ac:dyDescent="0.25">
      <c r="A231" s="105">
        <v>5</v>
      </c>
      <c r="B231" s="107"/>
      <c r="C231" s="52">
        <v>3</v>
      </c>
      <c r="D231" s="57">
        <f>(108.47)*(10.764)</f>
        <v>1167.5710799999999</v>
      </c>
      <c r="E231" s="42">
        <v>0</v>
      </c>
      <c r="F231" s="42">
        <f t="shared" si="14"/>
        <v>1868.113728</v>
      </c>
      <c r="G231" s="100"/>
      <c r="H231" s="101"/>
      <c r="I231" s="36"/>
    </row>
    <row r="232" spans="1:14" s="37" customFormat="1" x14ac:dyDescent="0.25">
      <c r="A232" s="97" t="s">
        <v>186</v>
      </c>
      <c r="B232" s="97"/>
      <c r="C232" s="97"/>
      <c r="D232" s="97"/>
      <c r="E232" s="97"/>
      <c r="F232" s="97"/>
      <c r="G232" s="97"/>
      <c r="H232" s="97"/>
      <c r="I232" s="36"/>
      <c r="L232" s="93"/>
      <c r="M232" s="93"/>
    </row>
    <row r="233" spans="1:14" s="37" customFormat="1" ht="15.75" customHeight="1" x14ac:dyDescent="0.25">
      <c r="A233" s="105">
        <v>1</v>
      </c>
      <c r="B233" s="107"/>
      <c r="C233" s="52">
        <v>2</v>
      </c>
      <c r="D233" s="57">
        <f>(65.17)*(10.764)</f>
        <v>701.48987999999997</v>
      </c>
      <c r="E233" s="42">
        <v>0</v>
      </c>
      <c r="F233" s="42">
        <f t="shared" ref="F233:F234" si="15">D233*(($F$115)+1)+(IF(E233&lt;101,E233,IF(E233&lt;201,E233/2,IF(E233&lt;=301,E233/3,E233/4))))</f>
        <v>1122.383808</v>
      </c>
      <c r="G233" s="98" t="str">
        <f>A232</f>
        <v>14th Floor (Part Refuge Area)</v>
      </c>
      <c r="H233" s="99"/>
      <c r="I233" s="36"/>
      <c r="N233" s="36"/>
    </row>
    <row r="234" spans="1:14" s="37" customFormat="1" ht="15.75" customHeight="1" x14ac:dyDescent="0.25">
      <c r="A234" s="105">
        <v>2</v>
      </c>
      <c r="B234" s="107"/>
      <c r="C234" s="52">
        <v>2</v>
      </c>
      <c r="D234" s="57">
        <f>(61.23)*(10.764)</f>
        <v>659.07971999999995</v>
      </c>
      <c r="E234" s="42">
        <v>0</v>
      </c>
      <c r="F234" s="42">
        <f t="shared" si="15"/>
        <v>1054.527552</v>
      </c>
      <c r="G234" s="100"/>
      <c r="H234" s="101"/>
      <c r="I234" s="36"/>
      <c r="L234" s="53"/>
      <c r="N234" s="36"/>
    </row>
    <row r="235" spans="1:14" s="37" customFormat="1" ht="15.75" customHeight="1" x14ac:dyDescent="0.25">
      <c r="A235" s="105">
        <v>3</v>
      </c>
      <c r="B235" s="107"/>
      <c r="C235" s="52">
        <v>2</v>
      </c>
      <c r="D235" s="57">
        <f>(64.62)*(10.764)</f>
        <v>695.56968000000006</v>
      </c>
      <c r="E235" s="42">
        <v>0</v>
      </c>
      <c r="F235" s="42">
        <f>D235*(($F$115)+1)+(IF(E235&lt;101,E235,IF(E235&lt;201,E235/2,IF(E235&lt;=301,E235/3,E235/4))))</f>
        <v>1112.9114880000002</v>
      </c>
      <c r="G235" s="100"/>
      <c r="H235" s="101"/>
      <c r="I235" s="36"/>
      <c r="N235" s="36"/>
    </row>
    <row r="236" spans="1:14" s="37" customFormat="1" ht="15.75" customHeight="1" x14ac:dyDescent="0.25">
      <c r="A236" s="105">
        <v>4</v>
      </c>
      <c r="B236" s="107"/>
      <c r="C236" s="52">
        <v>3</v>
      </c>
      <c r="D236" s="57">
        <f>(93.63)*(10.764)</f>
        <v>1007.8333199999998</v>
      </c>
      <c r="E236" s="42">
        <v>0</v>
      </c>
      <c r="F236" s="42">
        <f>D236*(($F$115)+1)+(IF(E236&lt;101,E236,IF(E236&lt;201,E236/2,IF(E236&lt;=301,E236/3,E236/4))))</f>
        <v>1612.5333119999998</v>
      </c>
      <c r="G236" s="100"/>
      <c r="H236" s="101"/>
      <c r="I236" s="36"/>
      <c r="N236" s="36"/>
    </row>
    <row r="237" spans="1:14" s="37" customFormat="1" ht="15.75" customHeight="1" x14ac:dyDescent="0.25">
      <c r="A237" s="105">
        <v>5</v>
      </c>
      <c r="B237" s="107"/>
      <c r="C237" s="94" t="s">
        <v>192</v>
      </c>
      <c r="D237" s="95"/>
      <c r="E237" s="95"/>
      <c r="F237" s="96"/>
      <c r="G237" s="102"/>
      <c r="H237" s="103"/>
      <c r="I237" s="36"/>
      <c r="N237" s="36"/>
    </row>
    <row r="238" spans="1:14" s="37" customFormat="1" x14ac:dyDescent="0.25">
      <c r="A238" s="97" t="s">
        <v>206</v>
      </c>
      <c r="B238" s="97"/>
      <c r="C238" s="97"/>
      <c r="D238" s="97"/>
      <c r="E238" s="97"/>
      <c r="F238" s="97"/>
      <c r="G238" s="97"/>
      <c r="H238" s="97"/>
      <c r="I238" s="36"/>
      <c r="L238" s="93"/>
      <c r="M238" s="93"/>
    </row>
    <row r="239" spans="1:14" s="37" customFormat="1" ht="15.75" customHeight="1" x14ac:dyDescent="0.25">
      <c r="A239" s="105">
        <v>1</v>
      </c>
      <c r="B239" s="107"/>
      <c r="C239" s="52">
        <v>2</v>
      </c>
      <c r="D239" s="57">
        <f>(65.17)*(10.764)</f>
        <v>701.48987999999997</v>
      </c>
      <c r="E239" s="42">
        <v>0</v>
      </c>
      <c r="F239" s="42">
        <f t="shared" ref="F239:F240" si="16">D239*(($F$115)+1)+(IF(E239&lt;101,E239,IF(E239&lt;201,E239/2,IF(E239&lt;=301,E239/3,E239/4))))</f>
        <v>1122.383808</v>
      </c>
      <c r="G239" s="98" t="str">
        <f>A238</f>
        <v>21st Floor (Part Refuge Area)</v>
      </c>
      <c r="H239" s="99"/>
      <c r="I239" s="36"/>
      <c r="N239" s="36"/>
    </row>
    <row r="240" spans="1:14" s="37" customFormat="1" ht="15.75" customHeight="1" x14ac:dyDescent="0.25">
      <c r="A240" s="105">
        <v>2</v>
      </c>
      <c r="B240" s="107"/>
      <c r="C240" s="52">
        <v>2</v>
      </c>
      <c r="D240" s="57">
        <f>(61.38)*(10.764)</f>
        <v>660.69431999999995</v>
      </c>
      <c r="E240" s="42">
        <v>0</v>
      </c>
      <c r="F240" s="42">
        <f t="shared" si="16"/>
        <v>1057.1109119999999</v>
      </c>
      <c r="G240" s="100"/>
      <c r="H240" s="101"/>
      <c r="I240" s="36"/>
      <c r="L240" s="53"/>
      <c r="N240" s="36"/>
    </row>
    <row r="241" spans="1:14" s="37" customFormat="1" ht="15.75" customHeight="1" x14ac:dyDescent="0.25">
      <c r="A241" s="105">
        <v>3</v>
      </c>
      <c r="B241" s="107"/>
      <c r="C241" s="52">
        <v>2</v>
      </c>
      <c r="D241" s="57">
        <f>(64.77)*(10.764)</f>
        <v>697.18427999999994</v>
      </c>
      <c r="E241" s="42">
        <v>0</v>
      </c>
      <c r="F241" s="42">
        <f>D241*(($F$115)+1)+(IF(E241&lt;101,E241,IF(E241&lt;201,E241/2,IF(E241&lt;=301,E241/3,E241/4))))</f>
        <v>1115.494848</v>
      </c>
      <c r="G241" s="100"/>
      <c r="H241" s="101"/>
      <c r="I241" s="36"/>
      <c r="N241" s="36"/>
    </row>
    <row r="242" spans="1:14" s="37" customFormat="1" ht="15.75" customHeight="1" x14ac:dyDescent="0.25">
      <c r="A242" s="105">
        <v>4</v>
      </c>
      <c r="B242" s="107"/>
      <c r="C242" s="52">
        <v>3</v>
      </c>
      <c r="D242" s="57">
        <f>(93.94)*(10.764)</f>
        <v>1011.1701599999999</v>
      </c>
      <c r="E242" s="42">
        <v>0</v>
      </c>
      <c r="F242" s="42">
        <f>D242*(($F$115)+1)+(IF(E242&lt;101,E242,IF(E242&lt;201,E242/2,IF(E242&lt;=301,E242/3,E242/4))))</f>
        <v>1617.8722559999999</v>
      </c>
      <c r="G242" s="100"/>
      <c r="H242" s="101"/>
      <c r="I242" s="36"/>
      <c r="N242" s="36"/>
    </row>
    <row r="243" spans="1:14" s="37" customFormat="1" ht="15.75" customHeight="1" x14ac:dyDescent="0.25">
      <c r="A243" s="105">
        <v>5</v>
      </c>
      <c r="B243" s="107"/>
      <c r="C243" s="94" t="s">
        <v>192</v>
      </c>
      <c r="D243" s="95"/>
      <c r="E243" s="95"/>
      <c r="F243" s="96"/>
      <c r="G243" s="102"/>
      <c r="H243" s="103"/>
      <c r="I243" s="36"/>
      <c r="N243" s="36"/>
    </row>
    <row r="244" spans="1:14" s="37" customFormat="1" x14ac:dyDescent="0.25">
      <c r="A244" s="97" t="s">
        <v>207</v>
      </c>
      <c r="B244" s="97"/>
      <c r="C244" s="97"/>
      <c r="D244" s="97"/>
      <c r="E244" s="97"/>
      <c r="F244" s="97"/>
      <c r="G244" s="97"/>
      <c r="H244" s="97"/>
      <c r="I244" s="36"/>
      <c r="L244" s="93"/>
      <c r="M244" s="93"/>
    </row>
    <row r="245" spans="1:14" s="37" customFormat="1" ht="15.75" customHeight="1" x14ac:dyDescent="0.25">
      <c r="A245" s="105">
        <v>1</v>
      </c>
      <c r="B245" s="107"/>
      <c r="C245" s="52">
        <v>2</v>
      </c>
      <c r="D245" s="57">
        <f>(65.17)*(10.764)</f>
        <v>701.48987999999997</v>
      </c>
      <c r="E245" s="42">
        <v>0</v>
      </c>
      <c r="F245" s="42">
        <f t="shared" ref="F245:F246" si="17">D245*(($F$115)+1)+(IF(E245&lt;101,E245,IF(E245&lt;201,E245/2,IF(E245&lt;=301,E245/3,E245/4))))</f>
        <v>1122.383808</v>
      </c>
      <c r="G245" s="98" t="str">
        <f>A244</f>
        <v>22nd to 24th Floor</v>
      </c>
      <c r="H245" s="99"/>
      <c r="I245" s="36"/>
      <c r="N245" s="36"/>
    </row>
    <row r="246" spans="1:14" s="37" customFormat="1" ht="15.75" customHeight="1" x14ac:dyDescent="0.25">
      <c r="A246" s="105">
        <v>2</v>
      </c>
      <c r="B246" s="107"/>
      <c r="C246" s="52">
        <v>2</v>
      </c>
      <c r="D246" s="57">
        <f>(61.38)*(10.764)</f>
        <v>660.69431999999995</v>
      </c>
      <c r="E246" s="42">
        <v>0</v>
      </c>
      <c r="F246" s="42">
        <f t="shared" si="17"/>
        <v>1057.1109119999999</v>
      </c>
      <c r="G246" s="100"/>
      <c r="H246" s="101"/>
      <c r="I246" s="36"/>
      <c r="L246" s="53"/>
      <c r="N246" s="36"/>
    </row>
    <row r="247" spans="1:14" s="37" customFormat="1" ht="15.75" customHeight="1" x14ac:dyDescent="0.25">
      <c r="A247" s="105">
        <v>3</v>
      </c>
      <c r="B247" s="107"/>
      <c r="C247" s="52">
        <v>2</v>
      </c>
      <c r="D247" s="57">
        <f>(64.77)*(10.764)</f>
        <v>697.18427999999994</v>
      </c>
      <c r="E247" s="42">
        <v>0</v>
      </c>
      <c r="F247" s="42">
        <f>D247*(($F$115)+1)+(IF(E247&lt;101,E247,IF(E247&lt;201,E247/2,IF(E247&lt;=301,E247/3,E247/4))))</f>
        <v>1115.494848</v>
      </c>
      <c r="G247" s="100"/>
      <c r="H247" s="101"/>
      <c r="I247" s="36"/>
      <c r="N247" s="36"/>
    </row>
    <row r="248" spans="1:14" s="37" customFormat="1" ht="15.75" customHeight="1" x14ac:dyDescent="0.25">
      <c r="A248" s="105">
        <v>4</v>
      </c>
      <c r="B248" s="107"/>
      <c r="C248" s="52">
        <v>3</v>
      </c>
      <c r="D248" s="57">
        <f>(93.94)*(10.764)</f>
        <v>1011.1701599999999</v>
      </c>
      <c r="E248" s="42">
        <v>0</v>
      </c>
      <c r="F248" s="42">
        <f>D248*(($F$115)+1)+(IF(E248&lt;101,E248,IF(E248&lt;201,E248/2,IF(E248&lt;=301,E248/3,E248/4))))</f>
        <v>1617.8722559999999</v>
      </c>
      <c r="G248" s="100"/>
      <c r="H248" s="101"/>
      <c r="I248" s="36"/>
      <c r="N248" s="36"/>
    </row>
    <row r="249" spans="1:14" s="37" customFormat="1" ht="15.75" customHeight="1" x14ac:dyDescent="0.25">
      <c r="A249" s="105">
        <v>5</v>
      </c>
      <c r="B249" s="107"/>
      <c r="C249" s="52">
        <v>3</v>
      </c>
      <c r="D249" s="57">
        <f>(108.58)*(10.764)</f>
        <v>1168.7551199999998</v>
      </c>
      <c r="E249" s="42">
        <v>0</v>
      </c>
      <c r="F249" s="42">
        <f>D249*(($F$115)+1)+(IF(E249&lt;101,E249,IF(E249&lt;201,E249/2,IF(E249&lt;=301,E249/3,E249/4))))</f>
        <v>1870.0081919999998</v>
      </c>
      <c r="G249" s="102"/>
      <c r="H249" s="103"/>
      <c r="I249" s="36"/>
      <c r="N249" s="36"/>
    </row>
    <row r="250" spans="1:14" s="37" customFormat="1" ht="15.75" customHeight="1" x14ac:dyDescent="0.25">
      <c r="A250" s="108" t="s">
        <v>208</v>
      </c>
      <c r="B250" s="109"/>
      <c r="C250" s="109"/>
      <c r="D250" s="109"/>
      <c r="E250" s="109"/>
      <c r="F250" s="109"/>
      <c r="G250" s="109"/>
      <c r="H250" s="110"/>
      <c r="I250" s="36"/>
    </row>
    <row r="251" spans="1:14" s="37" customFormat="1" ht="15.75" customHeight="1" x14ac:dyDescent="0.25">
      <c r="A251" s="105">
        <v>1</v>
      </c>
      <c r="B251" s="107"/>
      <c r="C251" s="52">
        <v>2</v>
      </c>
      <c r="D251" s="57">
        <f>(65.17)*(10.764)</f>
        <v>701.48987999999997</v>
      </c>
      <c r="E251" s="42">
        <v>0</v>
      </c>
      <c r="F251" s="42">
        <f t="shared" ref="F251:F255" si="18">D251*(($F$115)+1)+(IF(E251&lt;101,E251,IF(E251&lt;201,E251/2,IF(E251&lt;=301,E251/3,E251/4))))</f>
        <v>1122.383808</v>
      </c>
      <c r="G251" s="98" t="str">
        <f>A250</f>
        <v>25th to 27th, 29th &amp; 30th Floor</v>
      </c>
      <c r="H251" s="99"/>
      <c r="I251" s="36"/>
    </row>
    <row r="252" spans="1:14" s="37" customFormat="1" ht="15.75" customHeight="1" x14ac:dyDescent="0.25">
      <c r="A252" s="105">
        <v>2</v>
      </c>
      <c r="B252" s="107"/>
      <c r="C252" s="52">
        <v>2</v>
      </c>
      <c r="D252" s="57">
        <f>(64.74)*(10.764)</f>
        <v>696.86135999999988</v>
      </c>
      <c r="E252" s="42">
        <v>0</v>
      </c>
      <c r="F252" s="42">
        <f t="shared" si="18"/>
        <v>1114.9781759999998</v>
      </c>
      <c r="G252" s="100"/>
      <c r="H252" s="101"/>
      <c r="I252" s="36"/>
    </row>
    <row r="253" spans="1:14" s="37" customFormat="1" ht="15.75" customHeight="1" x14ac:dyDescent="0.25">
      <c r="A253" s="105">
        <v>3</v>
      </c>
      <c r="B253" s="107"/>
      <c r="C253" s="52">
        <v>2</v>
      </c>
      <c r="D253" s="57">
        <f>(64.77)*(10.764)</f>
        <v>697.18427999999994</v>
      </c>
      <c r="E253" s="42">
        <v>0</v>
      </c>
      <c r="F253" s="42">
        <f t="shared" si="18"/>
        <v>1115.494848</v>
      </c>
      <c r="G253" s="100"/>
      <c r="H253" s="101"/>
      <c r="I253" s="36"/>
    </row>
    <row r="254" spans="1:14" s="37" customFormat="1" ht="15.75" customHeight="1" x14ac:dyDescent="0.25">
      <c r="A254" s="105">
        <v>4</v>
      </c>
      <c r="B254" s="107"/>
      <c r="C254" s="52">
        <v>3</v>
      </c>
      <c r="D254" s="57">
        <f>(93.94)*(10.764)</f>
        <v>1011.1701599999999</v>
      </c>
      <c r="E254" s="42">
        <v>0</v>
      </c>
      <c r="F254" s="42">
        <f t="shared" si="18"/>
        <v>1617.8722559999999</v>
      </c>
      <c r="G254" s="100"/>
      <c r="H254" s="101"/>
      <c r="I254" s="36"/>
    </row>
    <row r="255" spans="1:14" s="37" customFormat="1" ht="15.75" customHeight="1" x14ac:dyDescent="0.25">
      <c r="A255" s="105">
        <v>5</v>
      </c>
      <c r="B255" s="107"/>
      <c r="C255" s="52">
        <v>3</v>
      </c>
      <c r="D255" s="57">
        <f>(108.58)*(10.764)</f>
        <v>1168.7551199999998</v>
      </c>
      <c r="E255" s="42">
        <v>0</v>
      </c>
      <c r="F255" s="42">
        <f t="shared" si="18"/>
        <v>1870.0081919999998</v>
      </c>
      <c r="G255" s="100"/>
      <c r="H255" s="101"/>
      <c r="I255" s="36"/>
    </row>
    <row r="256" spans="1:14" s="37" customFormat="1" x14ac:dyDescent="0.25">
      <c r="A256" s="97" t="s">
        <v>205</v>
      </c>
      <c r="B256" s="97"/>
      <c r="C256" s="97"/>
      <c r="D256" s="97"/>
      <c r="E256" s="97"/>
      <c r="F256" s="97"/>
      <c r="G256" s="97"/>
      <c r="H256" s="97"/>
      <c r="I256" s="36"/>
      <c r="L256" s="93"/>
      <c r="M256" s="93"/>
    </row>
    <row r="257" spans="1:14" s="37" customFormat="1" ht="15.75" customHeight="1" x14ac:dyDescent="0.25">
      <c r="A257" s="105">
        <v>1</v>
      </c>
      <c r="B257" s="107"/>
      <c r="C257" s="52">
        <v>2</v>
      </c>
      <c r="D257" s="57">
        <f>(65.17)*(10.764)</f>
        <v>701.48987999999997</v>
      </c>
      <c r="E257" s="42">
        <v>0</v>
      </c>
      <c r="F257" s="42">
        <f t="shared" ref="F257:F258" si="19">D257*(($F$115)+1)+(IF(E257&lt;101,E257,IF(E257&lt;201,E257/2,IF(E257&lt;=301,E257/3,E257/4))))</f>
        <v>1122.383808</v>
      </c>
      <c r="G257" s="98" t="str">
        <f>A256</f>
        <v>28th Floor (Part Refuge Area)</v>
      </c>
      <c r="H257" s="99"/>
      <c r="I257" s="36"/>
      <c r="N257" s="36"/>
    </row>
    <row r="258" spans="1:14" s="37" customFormat="1" ht="15.75" customHeight="1" x14ac:dyDescent="0.25">
      <c r="A258" s="105">
        <v>2</v>
      </c>
      <c r="B258" s="107"/>
      <c r="C258" s="52">
        <v>2</v>
      </c>
      <c r="D258" s="57">
        <f>(64.74)*(10.764)</f>
        <v>696.86135999999988</v>
      </c>
      <c r="E258" s="42">
        <v>0</v>
      </c>
      <c r="F258" s="42">
        <f t="shared" si="19"/>
        <v>1114.9781759999998</v>
      </c>
      <c r="G258" s="100"/>
      <c r="H258" s="101"/>
      <c r="I258" s="36"/>
      <c r="L258" s="53"/>
      <c r="N258" s="36"/>
    </row>
    <row r="259" spans="1:14" s="37" customFormat="1" ht="15.75" customHeight="1" x14ac:dyDescent="0.25">
      <c r="A259" s="105">
        <v>3</v>
      </c>
      <c r="B259" s="107"/>
      <c r="C259" s="52">
        <v>2</v>
      </c>
      <c r="D259" s="57">
        <f>(64.77)*(10.764)</f>
        <v>697.18427999999994</v>
      </c>
      <c r="E259" s="42">
        <v>0</v>
      </c>
      <c r="F259" s="42">
        <f>D259*(($F$115)+1)+(IF(E259&lt;101,E259,IF(E259&lt;201,E259/2,IF(E259&lt;=301,E259/3,E259/4))))</f>
        <v>1115.494848</v>
      </c>
      <c r="G259" s="100"/>
      <c r="H259" s="101"/>
      <c r="I259" s="36"/>
      <c r="N259" s="36"/>
    </row>
    <row r="260" spans="1:14" s="37" customFormat="1" ht="15.75" customHeight="1" x14ac:dyDescent="0.25">
      <c r="A260" s="105">
        <v>4</v>
      </c>
      <c r="B260" s="107"/>
      <c r="C260" s="52">
        <v>3</v>
      </c>
      <c r="D260" s="57">
        <f>(93.94)*(10.764)</f>
        <v>1011.1701599999999</v>
      </c>
      <c r="E260" s="42">
        <v>0</v>
      </c>
      <c r="F260" s="42">
        <f>D260*(($F$115)+1)+(IF(E260&lt;101,E260,IF(E260&lt;201,E260/2,IF(E260&lt;=301,E260/3,E260/4))))</f>
        <v>1617.8722559999999</v>
      </c>
      <c r="G260" s="100"/>
      <c r="H260" s="101"/>
      <c r="I260" s="36"/>
      <c r="N260" s="36"/>
    </row>
    <row r="261" spans="1:14" s="37" customFormat="1" ht="15.75" customHeight="1" x14ac:dyDescent="0.25">
      <c r="A261" s="105">
        <v>5</v>
      </c>
      <c r="B261" s="107"/>
      <c r="C261" s="105" t="s">
        <v>192</v>
      </c>
      <c r="D261" s="106"/>
      <c r="E261" s="106"/>
      <c r="F261" s="107"/>
      <c r="G261" s="100"/>
      <c r="H261" s="101"/>
      <c r="I261" s="36"/>
      <c r="N261" s="36"/>
    </row>
    <row r="262" spans="1:14" s="37" customFormat="1" ht="15.75" customHeight="1" x14ac:dyDescent="0.25">
      <c r="A262" s="108" t="s">
        <v>187</v>
      </c>
      <c r="B262" s="109"/>
      <c r="C262" s="109"/>
      <c r="D262" s="109"/>
      <c r="E262" s="109"/>
      <c r="F262" s="109"/>
      <c r="G262" s="109"/>
      <c r="H262" s="110"/>
      <c r="I262" s="36"/>
    </row>
    <row r="263" spans="1:14" s="37" customFormat="1" ht="15.75" customHeight="1" x14ac:dyDescent="0.25">
      <c r="A263" s="105">
        <v>1</v>
      </c>
      <c r="B263" s="107"/>
      <c r="C263" s="52">
        <v>2</v>
      </c>
      <c r="D263" s="57">
        <f>(65.17)*(10.764)</f>
        <v>701.48987999999997</v>
      </c>
      <c r="E263" s="42">
        <v>0</v>
      </c>
      <c r="F263" s="42">
        <f t="shared" ref="F263:F267" si="20">D263*(($F$115)+1)+(IF(E263&lt;101,E263,IF(E263&lt;201,E263/2,IF(E263&lt;=301,E263/3,E263/4))))</f>
        <v>1122.383808</v>
      </c>
      <c r="G263" s="98" t="str">
        <f>A262</f>
        <v>31st to 34th, 36th to 41st, 43rd &amp; 44th Floor</v>
      </c>
      <c r="H263" s="99"/>
      <c r="I263" s="36">
        <f>269000000/F263</f>
        <v>239668.46107601724</v>
      </c>
    </row>
    <row r="264" spans="1:14" s="37" customFormat="1" ht="15.75" customHeight="1" x14ac:dyDescent="0.25">
      <c r="A264" s="105">
        <v>2</v>
      </c>
      <c r="B264" s="107"/>
      <c r="C264" s="52">
        <v>2</v>
      </c>
      <c r="D264" s="57">
        <f>(64.93)*(10.764)</f>
        <v>698.90652</v>
      </c>
      <c r="E264" s="42">
        <v>0</v>
      </c>
      <c r="F264" s="42">
        <f t="shared" si="20"/>
        <v>1118.250432</v>
      </c>
      <c r="G264" s="100"/>
      <c r="H264" s="101"/>
      <c r="I264" s="36">
        <f>39900000/F266</f>
        <v>24155.46114802211</v>
      </c>
    </row>
    <row r="265" spans="1:14" s="37" customFormat="1" ht="15.75" customHeight="1" x14ac:dyDescent="0.25">
      <c r="A265" s="105">
        <v>3</v>
      </c>
      <c r="B265" s="107"/>
      <c r="C265" s="52">
        <v>2</v>
      </c>
      <c r="D265" s="57">
        <f>(64.96)*(10.764)</f>
        <v>699.22943999999984</v>
      </c>
      <c r="E265" s="42">
        <v>0</v>
      </c>
      <c r="F265" s="42">
        <f t="shared" si="20"/>
        <v>1118.7671039999998</v>
      </c>
      <c r="G265" s="100"/>
      <c r="H265" s="101"/>
      <c r="I265" s="36"/>
    </row>
    <row r="266" spans="1:14" s="37" customFormat="1" ht="15.75" customHeight="1" x14ac:dyDescent="0.25">
      <c r="A266" s="105">
        <v>4</v>
      </c>
      <c r="B266" s="107"/>
      <c r="C266" s="52">
        <v>3</v>
      </c>
      <c r="D266" s="57">
        <f>(95.91)*(10.764)</f>
        <v>1032.3752399999998</v>
      </c>
      <c r="E266" s="42">
        <v>0</v>
      </c>
      <c r="F266" s="42">
        <f t="shared" si="20"/>
        <v>1651.8003839999999</v>
      </c>
      <c r="G266" s="100"/>
      <c r="H266" s="101"/>
      <c r="I266" s="36"/>
    </row>
    <row r="267" spans="1:14" s="37" customFormat="1" ht="15.75" customHeight="1" x14ac:dyDescent="0.25">
      <c r="A267" s="105">
        <v>5</v>
      </c>
      <c r="B267" s="107"/>
      <c r="C267" s="52">
        <v>3</v>
      </c>
      <c r="D267" s="57">
        <f>(108.69)*(10.764)</f>
        <v>1169.9391599999999</v>
      </c>
      <c r="E267" s="42">
        <v>0</v>
      </c>
      <c r="F267" s="42">
        <f t="shared" si="20"/>
        <v>1871.902656</v>
      </c>
      <c r="G267" s="100"/>
      <c r="H267" s="101"/>
      <c r="I267" s="36"/>
    </row>
    <row r="268" spans="1:14" s="37" customFormat="1" x14ac:dyDescent="0.25">
      <c r="A268" s="97" t="s">
        <v>188</v>
      </c>
      <c r="B268" s="97"/>
      <c r="C268" s="97"/>
      <c r="D268" s="97"/>
      <c r="E268" s="97"/>
      <c r="F268" s="97"/>
      <c r="G268" s="97"/>
      <c r="H268" s="97"/>
      <c r="I268" s="36"/>
      <c r="L268" s="93"/>
      <c r="M268" s="93"/>
    </row>
    <row r="269" spans="1:14" s="37" customFormat="1" ht="15.75" customHeight="1" x14ac:dyDescent="0.25">
      <c r="A269" s="105">
        <v>1</v>
      </c>
      <c r="B269" s="107"/>
      <c r="C269" s="52">
        <v>2</v>
      </c>
      <c r="D269" s="57">
        <f>(65.17)*(10.764)</f>
        <v>701.48987999999997</v>
      </c>
      <c r="E269" s="42">
        <v>0</v>
      </c>
      <c r="F269" s="42">
        <f t="shared" ref="F269:F270" si="21">D269*(($F$115)+1)+(IF(E269&lt;101,E269,IF(E269&lt;201,E269/2,IF(E269&lt;=301,E269/3,E269/4))))</f>
        <v>1122.383808</v>
      </c>
      <c r="G269" s="98" t="str">
        <f>A268</f>
        <v>35th Floor (Part Refuge Area)</v>
      </c>
      <c r="H269" s="99"/>
      <c r="I269" s="36"/>
      <c r="N269" s="36"/>
    </row>
    <row r="270" spans="1:14" s="37" customFormat="1" ht="15.75" customHeight="1" x14ac:dyDescent="0.25">
      <c r="A270" s="105">
        <v>2</v>
      </c>
      <c r="B270" s="107"/>
      <c r="C270" s="52">
        <v>2</v>
      </c>
      <c r="D270" s="57">
        <f>(64.93)*(10.764)</f>
        <v>698.90652</v>
      </c>
      <c r="E270" s="42">
        <v>0</v>
      </c>
      <c r="F270" s="42">
        <f t="shared" si="21"/>
        <v>1118.250432</v>
      </c>
      <c r="G270" s="100" t="str">
        <f>G269</f>
        <v>35th Floor (Part Refuge Area)</v>
      </c>
      <c r="H270" s="101"/>
      <c r="I270" s="36"/>
      <c r="L270" s="53"/>
      <c r="N270" s="36"/>
    </row>
    <row r="271" spans="1:14" s="37" customFormat="1" ht="15.75" customHeight="1" x14ac:dyDescent="0.25">
      <c r="A271" s="105">
        <v>3</v>
      </c>
      <c r="B271" s="107"/>
      <c r="C271" s="52">
        <v>2</v>
      </c>
      <c r="D271" s="57">
        <f>(64.96)*(10.764)</f>
        <v>699.22943999999984</v>
      </c>
      <c r="E271" s="42">
        <v>0</v>
      </c>
      <c r="F271" s="42">
        <f>D271*(($F$115)+1)+(IF(E271&lt;101,E271,IF(E271&lt;201,E271/2,IF(E271&lt;=301,E271/3,E271/4))))</f>
        <v>1118.7671039999998</v>
      </c>
      <c r="G271" s="100" t="str">
        <f>G270</f>
        <v>35th Floor (Part Refuge Area)</v>
      </c>
      <c r="H271" s="101"/>
      <c r="I271" s="36"/>
      <c r="N271" s="36"/>
    </row>
    <row r="272" spans="1:14" s="37" customFormat="1" ht="15.75" customHeight="1" x14ac:dyDescent="0.25">
      <c r="A272" s="105">
        <v>4</v>
      </c>
      <c r="B272" s="107"/>
      <c r="C272" s="52">
        <v>3</v>
      </c>
      <c r="D272" s="57">
        <f>(95.91)*(10.764)</f>
        <v>1032.3752399999998</v>
      </c>
      <c r="E272" s="42">
        <v>0</v>
      </c>
      <c r="F272" s="42">
        <f>D272*(($F$115)+1)+(IF(E272&lt;101,E272,IF(E272&lt;201,E272/2,IF(E272&lt;=301,E272/3,E272/4))))</f>
        <v>1651.8003839999999</v>
      </c>
      <c r="G272" s="100" t="str">
        <f>G271</f>
        <v>35th Floor (Part Refuge Area)</v>
      </c>
      <c r="H272" s="101"/>
      <c r="I272" s="36"/>
      <c r="N272" s="36"/>
    </row>
    <row r="273" spans="1:14" s="37" customFormat="1" ht="15.75" customHeight="1" x14ac:dyDescent="0.25">
      <c r="A273" s="105">
        <v>5</v>
      </c>
      <c r="B273" s="107"/>
      <c r="C273" s="105" t="s">
        <v>192</v>
      </c>
      <c r="D273" s="106"/>
      <c r="E273" s="106"/>
      <c r="F273" s="107"/>
      <c r="G273" s="100"/>
      <c r="H273" s="101"/>
      <c r="I273" s="36"/>
      <c r="N273" s="36"/>
    </row>
    <row r="274" spans="1:14" s="37" customFormat="1" ht="15.75" customHeight="1" x14ac:dyDescent="0.25">
      <c r="A274" s="108" t="s">
        <v>189</v>
      </c>
      <c r="B274" s="109"/>
      <c r="C274" s="109"/>
      <c r="D274" s="109"/>
      <c r="E274" s="109"/>
      <c r="F274" s="109"/>
      <c r="G274" s="109"/>
      <c r="H274" s="110"/>
      <c r="I274" s="36"/>
    </row>
    <row r="275" spans="1:14" s="37" customFormat="1" ht="15.75" customHeight="1" x14ac:dyDescent="0.25">
      <c r="A275" s="105">
        <v>1</v>
      </c>
      <c r="B275" s="107"/>
      <c r="C275" s="52">
        <v>2</v>
      </c>
      <c r="D275" s="57">
        <f>(65.17)*(10.764)</f>
        <v>701.48987999999997</v>
      </c>
      <c r="E275" s="42">
        <v>0</v>
      </c>
      <c r="F275" s="42">
        <f>D275*(($F$115)+1)+(IF(E275&lt;101,E275,IF(E275&lt;201,E275/2,IF(E275&lt;=301,E275/3,E275/4))))</f>
        <v>1122.383808</v>
      </c>
      <c r="G275" s="98" t="str">
        <f>A274</f>
        <v>42nd Floor (Part Refuge Area)</v>
      </c>
      <c r="H275" s="99"/>
      <c r="I275" s="36"/>
    </row>
    <row r="276" spans="1:14" s="37" customFormat="1" ht="15.75" customHeight="1" x14ac:dyDescent="0.25">
      <c r="A276" s="105">
        <v>2</v>
      </c>
      <c r="B276" s="107"/>
      <c r="C276" s="105" t="s">
        <v>192</v>
      </c>
      <c r="D276" s="106"/>
      <c r="E276" s="106"/>
      <c r="F276" s="107"/>
      <c r="G276" s="100" t="str">
        <f>G275</f>
        <v>42nd Floor (Part Refuge Area)</v>
      </c>
      <c r="H276" s="101"/>
      <c r="I276" s="36"/>
    </row>
    <row r="277" spans="1:14" s="37" customFormat="1" ht="15.75" customHeight="1" x14ac:dyDescent="0.25">
      <c r="A277" s="105">
        <v>3</v>
      </c>
      <c r="B277" s="107"/>
      <c r="C277" s="52">
        <v>2</v>
      </c>
      <c r="D277" s="57">
        <f>(64.96)*(10.764)</f>
        <v>699.22943999999984</v>
      </c>
      <c r="E277" s="42">
        <v>0</v>
      </c>
      <c r="F277" s="42">
        <f>D277*(($F$115)+1)+(IF(E277&lt;101,E277,IF(E277&lt;201,E277/2,IF(E277&lt;=301,E277/3,E277/4))))</f>
        <v>1118.7671039999998</v>
      </c>
      <c r="G277" s="100" t="str">
        <f>G276</f>
        <v>42nd Floor (Part Refuge Area)</v>
      </c>
      <c r="H277" s="101"/>
      <c r="I277" s="36"/>
    </row>
    <row r="278" spans="1:14" s="37" customFormat="1" ht="15.75" customHeight="1" x14ac:dyDescent="0.25">
      <c r="A278" s="105">
        <v>4</v>
      </c>
      <c r="B278" s="107"/>
      <c r="C278" s="52">
        <v>3</v>
      </c>
      <c r="D278" s="57">
        <f>(95.91)*(10.764)</f>
        <v>1032.3752399999998</v>
      </c>
      <c r="E278" s="42">
        <v>0</v>
      </c>
      <c r="F278" s="42">
        <f>D278*(($F$115)+1)+(IF(E278&lt;101,E278,IF(E278&lt;201,E278/2,IF(E278&lt;=301,E278/3,E278/4))))</f>
        <v>1651.8003839999999</v>
      </c>
      <c r="G278" s="100" t="str">
        <f>G277</f>
        <v>42nd Floor (Part Refuge Area)</v>
      </c>
      <c r="H278" s="101"/>
      <c r="I278" s="36"/>
    </row>
    <row r="279" spans="1:14" s="37" customFormat="1" ht="15.75" customHeight="1" x14ac:dyDescent="0.25">
      <c r="A279" s="105">
        <v>5</v>
      </c>
      <c r="B279" s="107"/>
      <c r="C279" s="52">
        <v>3</v>
      </c>
      <c r="D279" s="57">
        <f>(108.69)*(10.764)</f>
        <v>1169.9391599999999</v>
      </c>
      <c r="E279" s="42">
        <v>0</v>
      </c>
      <c r="F279" s="42">
        <f>D279*(($F$115)+1)+(IF(E279&lt;101,E279,IF(E279&lt;201,E279/2,IF(E279&lt;=301,E279/3,E279/4))))</f>
        <v>1871.902656</v>
      </c>
      <c r="G279" s="100" t="str">
        <f>G278</f>
        <v>42nd Floor (Part Refuge Area)</v>
      </c>
      <c r="H279" s="101"/>
      <c r="I279" s="36"/>
    </row>
    <row r="280" spans="1:14" s="35" customFormat="1" x14ac:dyDescent="0.25">
      <c r="A280" s="196" t="s">
        <v>68</v>
      </c>
      <c r="B280" s="196"/>
      <c r="C280" s="196"/>
      <c r="D280" s="196"/>
      <c r="E280" s="196"/>
      <c r="F280" s="196"/>
      <c r="G280" s="196"/>
      <c r="H280" s="196"/>
    </row>
    <row r="281" spans="1:14" s="35" customFormat="1" x14ac:dyDescent="0.25">
      <c r="A281" s="46" t="s">
        <v>151</v>
      </c>
      <c r="B281" s="87" t="s">
        <v>237</v>
      </c>
      <c r="C281" s="88"/>
      <c r="D281" s="88"/>
      <c r="E281" s="88"/>
      <c r="F281" s="88"/>
      <c r="G281" s="88"/>
      <c r="H281" s="89"/>
    </row>
    <row r="282" spans="1:14" s="35" customFormat="1" x14ac:dyDescent="0.25">
      <c r="A282" s="46" t="s">
        <v>151</v>
      </c>
      <c r="B282" s="87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282" s="88"/>
      <c r="D282" s="88"/>
      <c r="E282" s="88"/>
      <c r="F282" s="88"/>
      <c r="G282" s="88"/>
      <c r="H282" s="89"/>
    </row>
    <row r="283" spans="1:14" s="35" customFormat="1" x14ac:dyDescent="0.25">
      <c r="A283" s="46" t="s">
        <v>151</v>
      </c>
      <c r="B283" s="90" t="s">
        <v>121</v>
      </c>
      <c r="C283" s="91"/>
      <c r="D283" s="91"/>
      <c r="E283" s="91"/>
      <c r="F283" s="91"/>
      <c r="G283" s="91"/>
      <c r="H283" s="92"/>
    </row>
    <row r="284" spans="1:14" s="35" customFormat="1" x14ac:dyDescent="0.25">
      <c r="A284" s="46" t="s">
        <v>151</v>
      </c>
      <c r="B284" s="90" t="s">
        <v>212</v>
      </c>
      <c r="C284" s="91"/>
      <c r="D284" s="91"/>
      <c r="E284" s="91"/>
      <c r="F284" s="91"/>
      <c r="G284" s="91"/>
      <c r="H284" s="92"/>
    </row>
    <row r="285" spans="1:14" s="35" customFormat="1" x14ac:dyDescent="0.25">
      <c r="A285" s="46" t="s">
        <v>151</v>
      </c>
      <c r="B285" s="90" t="s">
        <v>150</v>
      </c>
      <c r="C285" s="91"/>
      <c r="D285" s="91"/>
      <c r="E285" s="91"/>
      <c r="F285" s="91"/>
      <c r="G285" s="91"/>
      <c r="H285" s="92"/>
    </row>
    <row r="286" spans="1:14" s="35" customFormat="1" x14ac:dyDescent="0.25">
      <c r="A286" s="46" t="s">
        <v>151</v>
      </c>
      <c r="B286" s="90" t="s">
        <v>122</v>
      </c>
      <c r="C286" s="91"/>
      <c r="D286" s="91"/>
      <c r="E286" s="91"/>
      <c r="F286" s="91"/>
      <c r="G286" s="91"/>
      <c r="H286" s="92"/>
    </row>
    <row r="287" spans="1:14" s="35" customFormat="1" ht="34.5" customHeight="1" x14ac:dyDescent="0.25">
      <c r="A287" s="46" t="s">
        <v>151</v>
      </c>
      <c r="B287" s="90" t="s">
        <v>152</v>
      </c>
      <c r="C287" s="91"/>
      <c r="D287" s="91"/>
      <c r="E287" s="91"/>
      <c r="F287" s="91"/>
      <c r="G287" s="91"/>
      <c r="H287" s="92"/>
    </row>
    <row r="288" spans="1:14" s="35" customFormat="1" x14ac:dyDescent="0.25">
      <c r="A288" s="46" t="s">
        <v>151</v>
      </c>
      <c r="B288" s="90" t="s">
        <v>123</v>
      </c>
      <c r="C288" s="91"/>
      <c r="D288" s="91"/>
      <c r="E288" s="91"/>
      <c r="F288" s="91"/>
      <c r="G288" s="91"/>
      <c r="H288" s="92"/>
    </row>
    <row r="289" spans="1:11" s="35" customFormat="1" x14ac:dyDescent="0.25">
      <c r="A289" s="46" t="s">
        <v>151</v>
      </c>
      <c r="B289" s="90" t="s">
        <v>226</v>
      </c>
      <c r="C289" s="91"/>
      <c r="D289" s="91"/>
      <c r="E289" s="91"/>
      <c r="F289" s="91"/>
      <c r="G289" s="91"/>
      <c r="H289" s="92"/>
    </row>
    <row r="290" spans="1:11" s="35" customFormat="1" x14ac:dyDescent="0.25">
      <c r="A290" s="46" t="s">
        <v>151</v>
      </c>
      <c r="B290" s="90" t="s">
        <v>230</v>
      </c>
      <c r="C290" s="91"/>
      <c r="D290" s="91"/>
      <c r="E290" s="91"/>
      <c r="F290" s="91"/>
      <c r="G290" s="91"/>
      <c r="H290" s="92"/>
    </row>
    <row r="291" spans="1:11" s="35" customFormat="1" x14ac:dyDescent="0.25">
      <c r="A291" s="46" t="s">
        <v>151</v>
      </c>
      <c r="B291" s="90" t="s">
        <v>232</v>
      </c>
      <c r="C291" s="91"/>
      <c r="D291" s="91"/>
      <c r="E291" s="91"/>
      <c r="F291" s="91"/>
      <c r="G291" s="91"/>
      <c r="H291" s="92"/>
    </row>
    <row r="292" spans="1:11" s="35" customFormat="1" x14ac:dyDescent="0.25">
      <c r="A292" s="46" t="s">
        <v>151</v>
      </c>
      <c r="B292" s="87" t="s">
        <v>235</v>
      </c>
      <c r="C292" s="88"/>
      <c r="D292" s="88"/>
      <c r="E292" s="88"/>
      <c r="F292" s="88"/>
      <c r="G292" s="88"/>
      <c r="H292" s="89"/>
    </row>
    <row r="293" spans="1:11" s="35" customFormat="1" x14ac:dyDescent="0.25">
      <c r="A293" s="46" t="s">
        <v>151</v>
      </c>
      <c r="B293" s="90" t="s">
        <v>240</v>
      </c>
      <c r="C293" s="91"/>
      <c r="D293" s="91"/>
      <c r="E293" s="91"/>
      <c r="F293" s="91"/>
      <c r="G293" s="91"/>
      <c r="H293" s="92"/>
    </row>
    <row r="294" spans="1:11" x14ac:dyDescent="0.25">
      <c r="A294" s="172" t="s">
        <v>61</v>
      </c>
      <c r="B294" s="172"/>
      <c r="C294" s="172"/>
      <c r="D294" s="172"/>
      <c r="E294" s="172"/>
      <c r="F294" s="172"/>
      <c r="G294" s="172"/>
      <c r="H294" s="172"/>
    </row>
    <row r="295" spans="1:11" x14ac:dyDescent="0.25">
      <c r="A295" s="124" t="s">
        <v>62</v>
      </c>
      <c r="B295" s="124"/>
      <c r="C295" s="124"/>
      <c r="D295" s="124"/>
      <c r="E295" s="124"/>
      <c r="F295" s="124"/>
      <c r="G295" s="124"/>
      <c r="H295" s="124"/>
    </row>
    <row r="296" spans="1:11" ht="15.75" customHeight="1" x14ac:dyDescent="0.25">
      <c r="A296" s="176" t="s">
        <v>63</v>
      </c>
      <c r="B296" s="176"/>
      <c r="C296" s="176"/>
      <c r="D296" s="176"/>
      <c r="E296" s="176"/>
      <c r="F296" s="176"/>
      <c r="G296" s="176"/>
      <c r="H296" s="176"/>
    </row>
    <row r="297" spans="1:11" x14ac:dyDescent="0.25">
      <c r="A297" s="124" t="s">
        <v>64</v>
      </c>
      <c r="B297" s="124"/>
      <c r="C297" s="124"/>
      <c r="D297" s="124"/>
      <c r="E297" s="124"/>
      <c r="F297" s="124"/>
      <c r="G297" s="124"/>
      <c r="H297" s="124"/>
    </row>
    <row r="298" spans="1:11" x14ac:dyDescent="0.25">
      <c r="A298" s="124" t="s">
        <v>65</v>
      </c>
      <c r="B298" s="124"/>
      <c r="C298" s="124"/>
      <c r="D298" s="124"/>
      <c r="E298" s="124"/>
      <c r="F298" s="124"/>
      <c r="G298" s="124"/>
      <c r="H298" s="124"/>
    </row>
    <row r="299" spans="1:11" x14ac:dyDescent="0.25">
      <c r="A299" s="124" t="s">
        <v>124</v>
      </c>
      <c r="B299" s="124"/>
      <c r="C299" s="124"/>
      <c r="D299" s="124"/>
      <c r="E299" s="124"/>
      <c r="F299" s="124"/>
      <c r="G299" s="124"/>
      <c r="H299" s="124"/>
    </row>
    <row r="300" spans="1:11" x14ac:dyDescent="0.25">
      <c r="A300" s="134" t="s">
        <v>125</v>
      </c>
      <c r="B300" s="134"/>
      <c r="C300" s="134"/>
      <c r="D300" s="134"/>
      <c r="E300" s="134"/>
      <c r="F300" s="134"/>
      <c r="G300" s="134"/>
      <c r="H300" s="134"/>
    </row>
    <row r="301" spans="1:11" x14ac:dyDescent="0.25">
      <c r="A301" s="170" t="s">
        <v>75</v>
      </c>
      <c r="B301" s="170"/>
      <c r="C301" s="170" t="s">
        <v>242</v>
      </c>
      <c r="D301" s="170"/>
      <c r="E301" s="170" t="s">
        <v>102</v>
      </c>
      <c r="F301" s="170"/>
      <c r="G301" s="170" t="s">
        <v>241</v>
      </c>
      <c r="H301" s="170"/>
    </row>
    <row r="302" spans="1:11" x14ac:dyDescent="0.25">
      <c r="A302" s="169" t="s">
        <v>77</v>
      </c>
      <c r="B302" s="169"/>
      <c r="C302" s="169"/>
      <c r="D302" s="169"/>
      <c r="E302" s="169"/>
      <c r="F302" s="169"/>
      <c r="G302" s="169"/>
      <c r="H302" s="169"/>
    </row>
    <row r="303" spans="1:11" ht="23.25" x14ac:dyDescent="0.35">
      <c r="A303" s="169"/>
      <c r="B303" s="169"/>
      <c r="C303" s="169"/>
      <c r="D303" s="169"/>
      <c r="E303" s="169"/>
      <c r="F303" s="169"/>
      <c r="G303" s="169"/>
      <c r="H303" s="169"/>
      <c r="K303" s="63" t="s">
        <v>239</v>
      </c>
    </row>
    <row r="304" spans="1:11" x14ac:dyDescent="0.25">
      <c r="A304" s="169"/>
      <c r="B304" s="169"/>
      <c r="C304" s="169"/>
      <c r="D304" s="169"/>
      <c r="E304" s="169"/>
      <c r="F304" s="169"/>
      <c r="G304" s="169"/>
      <c r="H304" s="169"/>
    </row>
    <row r="305" spans="1:8" x14ac:dyDescent="0.25">
      <c r="A305" s="169"/>
      <c r="B305" s="169"/>
      <c r="C305" s="169"/>
      <c r="D305" s="169"/>
      <c r="E305" s="169"/>
      <c r="F305" s="169"/>
      <c r="G305" s="169"/>
      <c r="H305" s="169"/>
    </row>
    <row r="306" spans="1:8" x14ac:dyDescent="0.25">
      <c r="A306" s="38" t="s">
        <v>66</v>
      </c>
      <c r="B306" s="39"/>
      <c r="C306" s="39"/>
      <c r="D306" s="38" t="str">
        <f>E8</f>
        <v>Godrej Horizon Phase I</v>
      </c>
      <c r="F306" s="39"/>
      <c r="G306" s="39"/>
      <c r="H306" s="39"/>
    </row>
    <row r="307" spans="1:8" x14ac:dyDescent="0.25">
      <c r="A307" s="39"/>
      <c r="B307" s="39"/>
      <c r="C307" s="39"/>
      <c r="D307" s="39"/>
      <c r="E307" s="39"/>
      <c r="F307" s="39"/>
      <c r="G307" s="39"/>
      <c r="H307" s="39"/>
    </row>
    <row r="308" spans="1:8" x14ac:dyDescent="0.25">
      <c r="A308" s="39"/>
      <c r="B308" s="39"/>
      <c r="C308" s="39"/>
      <c r="D308" s="39"/>
      <c r="E308" s="39"/>
      <c r="F308" s="39"/>
      <c r="G308" s="39"/>
      <c r="H308" s="39"/>
    </row>
    <row r="309" spans="1:8" ht="15" customHeight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54" spans="1:1" x14ac:dyDescent="0.25">
      <c r="A354" s="41" t="s">
        <v>210</v>
      </c>
    </row>
    <row r="396" spans="1:1" x14ac:dyDescent="0.25">
      <c r="A396" s="41" t="s">
        <v>67</v>
      </c>
    </row>
  </sheetData>
  <mergeCells count="502">
    <mergeCell ref="B290:H290"/>
    <mergeCell ref="G269:H273"/>
    <mergeCell ref="C273:F273"/>
    <mergeCell ref="B289:H289"/>
    <mergeCell ref="A241:B241"/>
    <mergeCell ref="A242:B242"/>
    <mergeCell ref="A274:H274"/>
    <mergeCell ref="G275:H279"/>
    <mergeCell ref="C276:F276"/>
    <mergeCell ref="A243:B243"/>
    <mergeCell ref="A245:B245"/>
    <mergeCell ref="A246:B246"/>
    <mergeCell ref="A267:B267"/>
    <mergeCell ref="A269:B269"/>
    <mergeCell ref="A270:B270"/>
    <mergeCell ref="A256:H256"/>
    <mergeCell ref="A271:B271"/>
    <mergeCell ref="A272:B272"/>
    <mergeCell ref="B284:H284"/>
    <mergeCell ref="A280:H280"/>
    <mergeCell ref="B282:H282"/>
    <mergeCell ref="B283:H283"/>
    <mergeCell ref="A250:H250"/>
    <mergeCell ref="A244:H244"/>
    <mergeCell ref="B291:H291"/>
    <mergeCell ref="A279:B279"/>
    <mergeCell ref="A247:B247"/>
    <mergeCell ref="A248:B248"/>
    <mergeCell ref="A249:B249"/>
    <mergeCell ref="A251:B251"/>
    <mergeCell ref="A252:B252"/>
    <mergeCell ref="A253:B253"/>
    <mergeCell ref="A254:B254"/>
    <mergeCell ref="A255:B255"/>
    <mergeCell ref="A257:B257"/>
    <mergeCell ref="A258:B258"/>
    <mergeCell ref="A259:B259"/>
    <mergeCell ref="A260:B260"/>
    <mergeCell ref="A261:B261"/>
    <mergeCell ref="A263:B263"/>
    <mergeCell ref="A264:B264"/>
    <mergeCell ref="A265:B265"/>
    <mergeCell ref="A266:B266"/>
    <mergeCell ref="A273:B273"/>
    <mergeCell ref="A275:B275"/>
    <mergeCell ref="A276:B276"/>
    <mergeCell ref="A277:B277"/>
    <mergeCell ref="A278:B278"/>
    <mergeCell ref="A233:B233"/>
    <mergeCell ref="A234:B234"/>
    <mergeCell ref="A230:B230"/>
    <mergeCell ref="A231:B231"/>
    <mergeCell ref="A207:B207"/>
    <mergeCell ref="A202:H202"/>
    <mergeCell ref="G203:H207"/>
    <mergeCell ref="C205:F207"/>
    <mergeCell ref="G233:H237"/>
    <mergeCell ref="C36:H36"/>
    <mergeCell ref="A109:A110"/>
    <mergeCell ref="A62:C62"/>
    <mergeCell ref="D62:H62"/>
    <mergeCell ref="A63:C63"/>
    <mergeCell ref="D63:H63"/>
    <mergeCell ref="A69:B69"/>
    <mergeCell ref="C52:H52"/>
    <mergeCell ref="E40:H40"/>
    <mergeCell ref="A40:D40"/>
    <mergeCell ref="E109:F109"/>
    <mergeCell ref="A70:B70"/>
    <mergeCell ref="E68:F68"/>
    <mergeCell ref="A61:C61"/>
    <mergeCell ref="D61:H61"/>
    <mergeCell ref="A64:C64"/>
    <mergeCell ref="D64:H64"/>
    <mergeCell ref="G68:H68"/>
    <mergeCell ref="E41:H41"/>
    <mergeCell ref="E42:H42"/>
    <mergeCell ref="E43:H43"/>
    <mergeCell ref="E44:H44"/>
    <mergeCell ref="A42:D42"/>
    <mergeCell ref="A76:B76"/>
    <mergeCell ref="A299:H299"/>
    <mergeCell ref="A296:H296"/>
    <mergeCell ref="A108:B108"/>
    <mergeCell ref="D114:D115"/>
    <mergeCell ref="E114:E115"/>
    <mergeCell ref="G114:H115"/>
    <mergeCell ref="A74:B74"/>
    <mergeCell ref="F94:H94"/>
    <mergeCell ref="A47:B47"/>
    <mergeCell ref="C47:E47"/>
    <mergeCell ref="C50:E50"/>
    <mergeCell ref="C49:E49"/>
    <mergeCell ref="A57:C57"/>
    <mergeCell ref="D57:H57"/>
    <mergeCell ref="C48:E48"/>
    <mergeCell ref="C51:E51"/>
    <mergeCell ref="A48:B48"/>
    <mergeCell ref="A53:H53"/>
    <mergeCell ref="A54:C54"/>
    <mergeCell ref="A55:C55"/>
    <mergeCell ref="C109:D109"/>
    <mergeCell ref="F93:H93"/>
    <mergeCell ref="F98:H98"/>
    <mergeCell ref="E108:F108"/>
    <mergeCell ref="A93:E93"/>
    <mergeCell ref="B287:H287"/>
    <mergeCell ref="B285:H285"/>
    <mergeCell ref="F95:H95"/>
    <mergeCell ref="A95:E95"/>
    <mergeCell ref="A97:E97"/>
    <mergeCell ref="F97:H97"/>
    <mergeCell ref="A99:E99"/>
    <mergeCell ref="F99:H99"/>
    <mergeCell ref="A100:E100"/>
    <mergeCell ref="F96:H96"/>
    <mergeCell ref="A98:E98"/>
    <mergeCell ref="A96:E96"/>
    <mergeCell ref="F100:H100"/>
    <mergeCell ref="A94:E94"/>
    <mergeCell ref="A235:B235"/>
    <mergeCell ref="A236:B236"/>
    <mergeCell ref="A237:B237"/>
    <mergeCell ref="A239:B239"/>
    <mergeCell ref="A196:B196"/>
    <mergeCell ref="G110:H110"/>
    <mergeCell ref="A102:E102"/>
    <mergeCell ref="A101:E101"/>
    <mergeCell ref="A114:A115"/>
    <mergeCell ref="A302:H305"/>
    <mergeCell ref="A301:B301"/>
    <mergeCell ref="E301:F301"/>
    <mergeCell ref="C301:D301"/>
    <mergeCell ref="G301:H301"/>
    <mergeCell ref="A105:E105"/>
    <mergeCell ref="F105:H105"/>
    <mergeCell ref="A106:E106"/>
    <mergeCell ref="F106:H106"/>
    <mergeCell ref="A139:H139"/>
    <mergeCell ref="A297:H297"/>
    <mergeCell ref="A107:H107"/>
    <mergeCell ref="A300:H300"/>
    <mergeCell ref="A298:H298"/>
    <mergeCell ref="A294:H294"/>
    <mergeCell ref="G109:H109"/>
    <mergeCell ref="A113:H113"/>
    <mergeCell ref="A111:B111"/>
    <mergeCell ref="B288:H288"/>
    <mergeCell ref="B286:H286"/>
    <mergeCell ref="A112:H112"/>
    <mergeCell ref="B281:H281"/>
    <mergeCell ref="A295:H295"/>
    <mergeCell ref="A133:H13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0:D10"/>
    <mergeCell ref="E10:H10"/>
    <mergeCell ref="A20:D21"/>
    <mergeCell ref="E20:H21"/>
    <mergeCell ref="E12:H12"/>
    <mergeCell ref="A13:B13"/>
    <mergeCell ref="C13:H13"/>
    <mergeCell ref="C14:H14"/>
    <mergeCell ref="A15:B15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A39:D39"/>
    <mergeCell ref="E39:H39"/>
    <mergeCell ref="F31:H31"/>
    <mergeCell ref="F32:H32"/>
    <mergeCell ref="A38:H38"/>
    <mergeCell ref="A58:C58"/>
    <mergeCell ref="F34:H34"/>
    <mergeCell ref="A36:B36"/>
    <mergeCell ref="A43:D43"/>
    <mergeCell ref="A44:D44"/>
    <mergeCell ref="A45:H45"/>
    <mergeCell ref="D56:H56"/>
    <mergeCell ref="A56:C56"/>
    <mergeCell ref="G48:H48"/>
    <mergeCell ref="A49:B50"/>
    <mergeCell ref="G47:H47"/>
    <mergeCell ref="G49:H49"/>
    <mergeCell ref="D54:H54"/>
    <mergeCell ref="A37:B37"/>
    <mergeCell ref="C37:H37"/>
    <mergeCell ref="A41:D41"/>
    <mergeCell ref="A46:B46"/>
    <mergeCell ref="C46:H46"/>
    <mergeCell ref="A72:B72"/>
    <mergeCell ref="A59:C59"/>
    <mergeCell ref="D58:H58"/>
    <mergeCell ref="E69:F78"/>
    <mergeCell ref="G69:H78"/>
    <mergeCell ref="A77:B77"/>
    <mergeCell ref="A78:B78"/>
    <mergeCell ref="D59:H59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D55:H55"/>
    <mergeCell ref="G51:H51"/>
    <mergeCell ref="A51:B52"/>
    <mergeCell ref="G50:H50"/>
    <mergeCell ref="C108:D108"/>
    <mergeCell ref="G108:H108"/>
    <mergeCell ref="A127:H127"/>
    <mergeCell ref="A116:H116"/>
    <mergeCell ref="A118:H118"/>
    <mergeCell ref="B114:B115"/>
    <mergeCell ref="F101:H101"/>
    <mergeCell ref="F104:H104"/>
    <mergeCell ref="F102:H102"/>
    <mergeCell ref="A103:E103"/>
    <mergeCell ref="C114:C115"/>
    <mergeCell ref="C111:D111"/>
    <mergeCell ref="A117:H117"/>
    <mergeCell ref="E111:F111"/>
    <mergeCell ref="A119:H119"/>
    <mergeCell ref="A120:H120"/>
    <mergeCell ref="G111:H111"/>
    <mergeCell ref="C110:D110"/>
    <mergeCell ref="E110:F110"/>
    <mergeCell ref="A122:B122"/>
    <mergeCell ref="F103:H103"/>
    <mergeCell ref="A104:E104"/>
    <mergeCell ref="A121:H121"/>
    <mergeCell ref="G122:H126"/>
    <mergeCell ref="L122:M122"/>
    <mergeCell ref="A142:B142"/>
    <mergeCell ref="A123:B123"/>
    <mergeCell ref="A124:B124"/>
    <mergeCell ref="L128:M128"/>
    <mergeCell ref="L129:M129"/>
    <mergeCell ref="C124:F126"/>
    <mergeCell ref="C130:F132"/>
    <mergeCell ref="C136:F137"/>
    <mergeCell ref="G140:H144"/>
    <mergeCell ref="L139:M139"/>
    <mergeCell ref="L136:M136"/>
    <mergeCell ref="L137:M137"/>
    <mergeCell ref="L138:M138"/>
    <mergeCell ref="G134:H138"/>
    <mergeCell ref="G128:H132"/>
    <mergeCell ref="A188:B188"/>
    <mergeCell ref="A189:B189"/>
    <mergeCell ref="A190:B190"/>
    <mergeCell ref="A191:B191"/>
    <mergeCell ref="A192:B192"/>
    <mergeCell ref="A194:B194"/>
    <mergeCell ref="A195:B195"/>
    <mergeCell ref="G194:H198"/>
    <mergeCell ref="L123:M123"/>
    <mergeCell ref="L124:M124"/>
    <mergeCell ref="L126:M126"/>
    <mergeCell ref="L132:M132"/>
    <mergeCell ref="L134:M134"/>
    <mergeCell ref="L130:M130"/>
    <mergeCell ref="L125:M125"/>
    <mergeCell ref="L151:M151"/>
    <mergeCell ref="G146:H150"/>
    <mergeCell ref="A146:B146"/>
    <mergeCell ref="A208:H208"/>
    <mergeCell ref="A213:B213"/>
    <mergeCell ref="A215:B215"/>
    <mergeCell ref="A216:B216"/>
    <mergeCell ref="A217:B217"/>
    <mergeCell ref="A197:B197"/>
    <mergeCell ref="A198:B198"/>
    <mergeCell ref="A203:B203"/>
    <mergeCell ref="A204:B204"/>
    <mergeCell ref="A205:B205"/>
    <mergeCell ref="A206:B206"/>
    <mergeCell ref="L216:M216"/>
    <mergeCell ref="L232:M232"/>
    <mergeCell ref="L204:M204"/>
    <mergeCell ref="L205:M205"/>
    <mergeCell ref="L206:M206"/>
    <mergeCell ref="L207:M207"/>
    <mergeCell ref="L210:M210"/>
    <mergeCell ref="L211:M211"/>
    <mergeCell ref="L175:M175"/>
    <mergeCell ref="L187:M187"/>
    <mergeCell ref="A199:H199"/>
    <mergeCell ref="L135:M135"/>
    <mergeCell ref="L131:M131"/>
    <mergeCell ref="G188:H192"/>
    <mergeCell ref="A200:H200"/>
    <mergeCell ref="A201:H201"/>
    <mergeCell ref="A193:H193"/>
    <mergeCell ref="A154:B154"/>
    <mergeCell ref="A155:B155"/>
    <mergeCell ref="A156:B156"/>
    <mergeCell ref="A158:B158"/>
    <mergeCell ref="A159:B159"/>
    <mergeCell ref="A160:B160"/>
    <mergeCell ref="A161:B161"/>
    <mergeCell ref="A162:B162"/>
    <mergeCell ref="A131:B131"/>
    <mergeCell ref="A132:B132"/>
    <mergeCell ref="A134:B134"/>
    <mergeCell ref="A140:B140"/>
    <mergeCell ref="A141:B141"/>
    <mergeCell ref="A143:B143"/>
    <mergeCell ref="A144:B144"/>
    <mergeCell ref="A164:B164"/>
    <mergeCell ref="A187:H187"/>
    <mergeCell ref="A165:B165"/>
    <mergeCell ref="C237:F237"/>
    <mergeCell ref="A238:H238"/>
    <mergeCell ref="A240:B240"/>
    <mergeCell ref="L212:M212"/>
    <mergeCell ref="L213:M213"/>
    <mergeCell ref="L215:M215"/>
    <mergeCell ref="L217:M217"/>
    <mergeCell ref="L218:M218"/>
    <mergeCell ref="L219:M219"/>
    <mergeCell ref="G209:H213"/>
    <mergeCell ref="L209:M209"/>
    <mergeCell ref="C211:F213"/>
    <mergeCell ref="A214:H214"/>
    <mergeCell ref="G215:H219"/>
    <mergeCell ref="C217:F218"/>
    <mergeCell ref="A209:B209"/>
    <mergeCell ref="A210:B210"/>
    <mergeCell ref="A211:B211"/>
    <mergeCell ref="A212:B212"/>
    <mergeCell ref="C192:F192"/>
    <mergeCell ref="C195:F195"/>
    <mergeCell ref="A229:B229"/>
    <mergeCell ref="A166:B166"/>
    <mergeCell ref="A268:H268"/>
    <mergeCell ref="L268:M268"/>
    <mergeCell ref="A218:B218"/>
    <mergeCell ref="A219:B219"/>
    <mergeCell ref="A221:B221"/>
    <mergeCell ref="A222:B222"/>
    <mergeCell ref="A223:B223"/>
    <mergeCell ref="A224:B224"/>
    <mergeCell ref="A225:B225"/>
    <mergeCell ref="A227:B227"/>
    <mergeCell ref="A228:B228"/>
    <mergeCell ref="G251:H255"/>
    <mergeCell ref="L220:M220"/>
    <mergeCell ref="C225:F225"/>
    <mergeCell ref="A220:H220"/>
    <mergeCell ref="G221:H225"/>
    <mergeCell ref="A226:H226"/>
    <mergeCell ref="G227:H231"/>
    <mergeCell ref="A232:H232"/>
    <mergeCell ref="L238:M238"/>
    <mergeCell ref="G239:H243"/>
    <mergeCell ref="C243:F243"/>
    <mergeCell ref="L244:M244"/>
    <mergeCell ref="G245:H249"/>
    <mergeCell ref="G152:H156"/>
    <mergeCell ref="A157:H157"/>
    <mergeCell ref="A125:B125"/>
    <mergeCell ref="A126:B126"/>
    <mergeCell ref="A128:B128"/>
    <mergeCell ref="A129:B129"/>
    <mergeCell ref="A130:B130"/>
    <mergeCell ref="A135:B135"/>
    <mergeCell ref="A136:B136"/>
    <mergeCell ref="A137:B137"/>
    <mergeCell ref="A138:B138"/>
    <mergeCell ref="A145:H145"/>
    <mergeCell ref="A151:H151"/>
    <mergeCell ref="A167:B167"/>
    <mergeCell ref="A168:B168"/>
    <mergeCell ref="A170:B170"/>
    <mergeCell ref="A171:B171"/>
    <mergeCell ref="A172:B172"/>
    <mergeCell ref="A173:B173"/>
    <mergeCell ref="A174:B174"/>
    <mergeCell ref="A176:B176"/>
    <mergeCell ref="A177:B177"/>
    <mergeCell ref="A178:B178"/>
    <mergeCell ref="A179:B179"/>
    <mergeCell ref="A180:B180"/>
    <mergeCell ref="A182:B182"/>
    <mergeCell ref="A183:B183"/>
    <mergeCell ref="A181:H181"/>
    <mergeCell ref="A169:H169"/>
    <mergeCell ref="A175:H175"/>
    <mergeCell ref="G182:H186"/>
    <mergeCell ref="G170:H174"/>
    <mergeCell ref="A184:B184"/>
    <mergeCell ref="A185:B185"/>
    <mergeCell ref="A186:B186"/>
    <mergeCell ref="B292:H292"/>
    <mergeCell ref="B293:H293"/>
    <mergeCell ref="L203:M203"/>
    <mergeCell ref="L157:M157"/>
    <mergeCell ref="C156:F156"/>
    <mergeCell ref="C144:F144"/>
    <mergeCell ref="C162:F162"/>
    <mergeCell ref="A163:H163"/>
    <mergeCell ref="L163:M163"/>
    <mergeCell ref="G158:H162"/>
    <mergeCell ref="G164:H168"/>
    <mergeCell ref="G176:H180"/>
    <mergeCell ref="C180:F180"/>
    <mergeCell ref="A147:B147"/>
    <mergeCell ref="A148:B148"/>
    <mergeCell ref="A149:B149"/>
    <mergeCell ref="A150:B150"/>
    <mergeCell ref="A152:B152"/>
    <mergeCell ref="A153:B153"/>
    <mergeCell ref="L256:M256"/>
    <mergeCell ref="G257:H261"/>
    <mergeCell ref="C261:F261"/>
    <mergeCell ref="A262:H262"/>
    <mergeCell ref="G263:H267"/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305" max="16383" man="1"/>
    <brk id="353" max="16383" man="1"/>
    <brk id="39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7" t="s">
        <v>103</v>
      </c>
      <c r="C3" s="197"/>
      <c r="D3" s="197"/>
      <c r="E3" s="197"/>
      <c r="F3" s="197"/>
      <c r="G3" s="197"/>
      <c r="H3" s="197"/>
    </row>
    <row r="4" spans="1:9" x14ac:dyDescent="0.25">
      <c r="A4" s="2"/>
      <c r="B4" s="3" t="s">
        <v>104</v>
      </c>
      <c r="C4" s="3" t="s">
        <v>105</v>
      </c>
      <c r="D4" s="3" t="s">
        <v>69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25">
      <c r="A5" s="2"/>
      <c r="B5" s="5" t="s">
        <v>108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2025-08-12T12:43:28Z</cp:lastPrinted>
  <dcterms:created xsi:type="dcterms:W3CDTF">2019-07-16T09:29:46Z</dcterms:created>
  <dcterms:modified xsi:type="dcterms:W3CDTF">2025-08-12T12:43:30Z</dcterms:modified>
</cp:coreProperties>
</file>