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6525" tabRatio="857"/>
  </bookViews>
  <sheets>
    <sheet name="Report (2)" sheetId="1" r:id="rId1"/>
    <sheet name="Note" sheetId="5" r:id="rId2"/>
    <sheet name="VALUATION" sheetId="6" r:id="rId3"/>
    <sheet name="6%" sheetId="4" r:id="rId4"/>
    <sheet name="Flat detail" sheetId="3" r:id="rId5"/>
  </sheets>
  <definedNames>
    <definedName name="_xlnm.Print_Area" localSheetId="0">'Report (2)'!$A$1:$J$219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1" i="1" l="1"/>
  <c r="N89" i="1"/>
  <c r="O88" i="1"/>
  <c r="P88" i="1"/>
  <c r="F3" i="1" l="1"/>
  <c r="C56" i="1"/>
  <c r="L67" i="1"/>
  <c r="L66" i="1"/>
  <c r="L65" i="1"/>
  <c r="L64" i="1"/>
  <c r="I57" i="1"/>
  <c r="L60" i="1" l="1"/>
  <c r="D69" i="1"/>
  <c r="D67" i="1"/>
  <c r="D65" i="1"/>
  <c r="D63" i="1"/>
  <c r="L61" i="1"/>
  <c r="C60" i="1" s="1"/>
  <c r="D60" i="1" s="1"/>
  <c r="L59" i="1"/>
  <c r="L62" i="1"/>
  <c r="L63" i="1" s="1"/>
  <c r="L68" i="1" s="1"/>
  <c r="L69" i="1" s="1"/>
  <c r="C61" i="1" s="1"/>
  <c r="D68" i="1"/>
  <c r="D66" i="1"/>
  <c r="D64" i="1"/>
  <c r="D62" i="1"/>
  <c r="D139" i="1"/>
  <c r="F60" i="1" l="1"/>
  <c r="K56" i="1" s="1"/>
  <c r="C58" i="1" s="1"/>
  <c r="D61" i="1"/>
  <c r="H60" i="1"/>
  <c r="L101" i="1"/>
  <c r="L102" i="1" s="1"/>
  <c r="I107" i="1"/>
  <c r="D123" i="1"/>
  <c r="D122" i="1"/>
  <c r="D121" i="1"/>
  <c r="D120" i="1"/>
  <c r="D119" i="1"/>
  <c r="D118" i="1"/>
  <c r="D117" i="1"/>
  <c r="D116" i="1"/>
  <c r="D115" i="1"/>
  <c r="D114" i="1"/>
  <c r="D113" i="1"/>
  <c r="D112" i="1"/>
  <c r="D111" i="1"/>
  <c r="D110" i="1"/>
  <c r="D109" i="1"/>
  <c r="D108" i="1"/>
  <c r="D107" i="1"/>
  <c r="O99" i="1" s="1"/>
  <c r="D105" i="1"/>
  <c r="D104" i="1"/>
  <c r="D103" i="1"/>
  <c r="D102" i="1"/>
  <c r="D101" i="1"/>
  <c r="D100" i="1"/>
  <c r="D99" i="1"/>
  <c r="D98" i="1"/>
  <c r="D97" i="1"/>
  <c r="D96" i="1"/>
  <c r="D95" i="1"/>
  <c r="D94" i="1"/>
  <c r="D93" i="1"/>
  <c r="D92" i="1"/>
  <c r="D91" i="1"/>
  <c r="D90" i="1"/>
  <c r="D89" i="1"/>
  <c r="D88" i="1"/>
  <c r="L88" i="1"/>
  <c r="L87" i="1"/>
  <c r="I88" i="1"/>
  <c r="F21" i="6" l="1"/>
  <c r="F20" i="6"/>
  <c r="G20" i="6" s="1"/>
  <c r="F19" i="6"/>
  <c r="G19" i="6" s="1"/>
  <c r="F18" i="6"/>
  <c r="G18" i="6" s="1"/>
  <c r="F17" i="6"/>
  <c r="G17" i="6" s="1"/>
  <c r="F16" i="6"/>
  <c r="G16" i="6" s="1"/>
  <c r="F15" i="6"/>
  <c r="G15" i="6" s="1"/>
  <c r="F14" i="6"/>
  <c r="G14" i="6" s="1"/>
  <c r="F13" i="6"/>
  <c r="G13" i="6" s="1"/>
  <c r="F12" i="6"/>
  <c r="G12" i="6" s="1"/>
  <c r="F11" i="6"/>
  <c r="G11" i="6" s="1"/>
  <c r="F10" i="6"/>
  <c r="G10" i="6" s="1"/>
  <c r="F9" i="6"/>
  <c r="G9" i="6" s="1"/>
  <c r="G8" i="6"/>
  <c r="G7" i="6"/>
  <c r="G6" i="6"/>
  <c r="G5" i="6"/>
  <c r="G21" i="6" l="1"/>
  <c r="D124" i="1"/>
  <c r="D81" i="1" s="1"/>
  <c r="L117" i="1"/>
  <c r="L111" i="1"/>
  <c r="L110" i="1"/>
  <c r="L109" i="1"/>
  <c r="G15" i="4"/>
  <c r="B15" i="4" s="1"/>
  <c r="B7" i="4"/>
  <c r="H16" i="4" s="1"/>
  <c r="C16" i="4" s="1"/>
  <c r="D6" i="4"/>
  <c r="C5" i="4"/>
  <c r="B11" i="4" s="1"/>
  <c r="C13" i="1"/>
  <c r="F7" i="1"/>
  <c r="D7" i="4" l="1"/>
  <c r="G81" i="1"/>
  <c r="C81" i="1"/>
  <c r="D11" i="4"/>
  <c r="L16" i="4"/>
  <c r="C20" i="4" s="1"/>
  <c r="L15" i="4"/>
  <c r="B20" i="4" s="1"/>
  <c r="B8" i="4"/>
  <c r="B10" i="4"/>
  <c r="B12" i="4"/>
  <c r="H15" i="4"/>
  <c r="B16" i="4" s="1"/>
  <c r="G16" i="4"/>
  <c r="C15" i="4" s="1"/>
  <c r="B9" i="4"/>
  <c r="M16" i="4" l="1"/>
  <c r="C21" i="4" s="1"/>
  <c r="M15" i="4"/>
  <c r="B21" i="4" s="1"/>
  <c r="D12" i="4"/>
  <c r="I16" i="4"/>
  <c r="C17" i="4" s="1"/>
  <c r="I15" i="4"/>
  <c r="B17" i="4" s="1"/>
  <c r="D8" i="4"/>
  <c r="J15" i="4"/>
  <c r="B18" i="4" s="1"/>
  <c r="J16" i="4"/>
  <c r="C18" i="4" s="1"/>
  <c r="D9" i="4"/>
  <c r="K16" i="4"/>
  <c r="C19" i="4" s="1"/>
  <c r="D10" i="4"/>
  <c r="K15" i="4"/>
  <c r="B19" i="4" s="1"/>
  <c r="G82" i="1"/>
  <c r="D82" i="1"/>
  <c r="C82" i="1"/>
  <c r="G78" i="1"/>
  <c r="H46" i="1"/>
  <c r="C46" i="1"/>
  <c r="F41" i="1"/>
  <c r="F42" i="1" s="1"/>
  <c r="D49" i="1" l="1"/>
  <c r="H47" i="1"/>
  <c r="B22" i="4"/>
  <c r="C22" i="4"/>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<sst xmlns="http://schemas.openxmlformats.org/spreadsheetml/2006/main" count="454" uniqueCount="285">
  <si>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</si>
  <si>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</si>
  <si>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</si>
  <si>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</si>
  <si>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</si>
  <si>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</si>
  <si>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</si>
  <si>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</si>
  <si>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</si>
  <si>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</si>
  <si>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</si>
  <si>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</si>
  <si>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</si>
  <si>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</si>
  <si>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</si>
  <si>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</si>
  <si>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</si>
  <si>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</si>
  <si>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</si>
  <si>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</si>
  <si>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</si>
  <si>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</si>
  <si>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</si>
  <si>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</si>
  <si>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</si>
  <si>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</si>
  <si>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</si>
  <si>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</si>
  <si>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</si>
  <si>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</si>
  <si>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</si>
  <si>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</si>
  <si>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</si>
  <si>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</si>
  <si>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</si>
  <si>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</si>
  <si>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</si>
  <si>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</si>
  <si>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</si>
  <si>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</si>
  <si>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</si>
  <si>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</si>
  <si>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</si>
  <si>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</si>
  <si>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</si>
  <si>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</si>
  <si>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</si>
  <si>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</si>
  <si>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</si>
  <si>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</si>
  <si>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</si>
  <si>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</si>
  <si>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</si>
  <si>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</si>
  <si>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</si>
  <si>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</si>
  <si>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</si>
  <si>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</si>
  <si>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</si>
  <si>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</si>
  <si>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</si>
  <si>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</si>
  <si>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</si>
  <si>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</si>
  <si>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</si>
  <si>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</si>
  <si>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</si>
  <si>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</si>
  <si>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 xml:space="preserve">Construction details:                                                                  </t>
  </si>
  <si>
    <t>Type of Work</t>
  </si>
  <si>
    <t>Plinth</t>
  </si>
  <si>
    <t>RCC</t>
  </si>
  <si>
    <t>Plaster</t>
  </si>
  <si>
    <t>Flooring</t>
  </si>
  <si>
    <t>Finishing</t>
  </si>
  <si>
    <t>Violations Observed if any : NA</t>
  </si>
  <si>
    <t>Recommended Rates of the Property :</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</si>
  <si>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</si>
  <si>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</si>
  <si>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</si>
  <si>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</si>
  <si>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</si>
  <si>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</si>
  <si>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</si>
  <si>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</si>
  <si>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</si>
  <si>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</si>
  <si>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</si>
  <si>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</si>
  <si>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</si>
  <si>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</si>
  <si>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</si>
  <si>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</si>
  <si>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</si>
  <si>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</si>
  <si>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</si>
  <si>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</si>
  <si>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</si>
  <si>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</si>
  <si>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</si>
  <si>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</si>
  <si>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</si>
  <si>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</si>
  <si>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</si>
  <si>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</si>
  <si>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</si>
  <si>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</si>
  <si>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</si>
  <si>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</si>
  <si>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</si>
  <si>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</si>
  <si>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</si>
  <si>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</si>
  <si>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</si>
  <si>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</si>
  <si>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</si>
  <si>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</si>
  <si>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</si>
  <si>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</si>
  <si>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</si>
  <si>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</si>
  <si>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</si>
  <si>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</si>
  <si>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</si>
  <si>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</si>
  <si>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</si>
  <si>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</si>
  <si>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</si>
  <si>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</si>
  <si>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</si>
  <si>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</si>
  <si>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</si>
  <si>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</si>
  <si>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</si>
  <si>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</si>
  <si>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</si>
  <si>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</si>
  <si>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</si>
  <si>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</si>
  <si>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</si>
  <si>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</si>
  <si>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</si>
  <si>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</si>
  <si>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</si>
  <si>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</si>
  <si>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</si>
  <si>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</si>
  <si>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</si>
  <si>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</si>
  <si>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</si>
  <si>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</si>
  <si>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</si>
  <si>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</si>
  <si>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</si>
  <si>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</si>
  <si>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</si>
  <si>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</si>
  <si>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</si>
  <si>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</si>
  <si>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</si>
  <si>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</si>
  <si>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</si>
  <si>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</si>
  <si>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</si>
  <si>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</si>
  <si>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</si>
  <si>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</si>
  <si>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</si>
  <si>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</si>
  <si>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</si>
  <si>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</si>
  <si>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</si>
  <si>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</si>
  <si>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</si>
  <si>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</si>
  <si>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</si>
  <si>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</si>
  <si>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</si>
  <si>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</si>
  <si>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</si>
  <si>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Goregaon</t>
  </si>
  <si>
    <t>M/s.SRA Project Developers Private Limited</t>
  </si>
  <si>
    <t>Boisar- Tarapur Road</t>
  </si>
  <si>
    <t>Kurgoan</t>
  </si>
  <si>
    <t>Survey No</t>
  </si>
  <si>
    <t>Open Plot</t>
  </si>
  <si>
    <t>Internal Road</t>
  </si>
  <si>
    <t>Vrindavan A, B, C</t>
  </si>
  <si>
    <t>Building No.6</t>
  </si>
  <si>
    <t>Shalimar Swayam</t>
  </si>
  <si>
    <t>About 8.6 Km from Boisar Railway Station</t>
  </si>
  <si>
    <t>28/3, 30/4, 28/3/1 &amp; 30/3</t>
  </si>
  <si>
    <t>MHSL/KS.1/T.1/BSP/SR/CR/69/2018.</t>
  </si>
  <si>
    <t>Boisar</t>
  </si>
  <si>
    <t>Material laying at Site: Bricks, Cement &amp; Steel etc.</t>
  </si>
  <si>
    <t>Wheather the construction is as per approved Building plan : Under Construction</t>
  </si>
  <si>
    <t>Ground Floor for Residential</t>
  </si>
  <si>
    <t>1st to 4th Floor</t>
  </si>
  <si>
    <t>Pratiksha</t>
  </si>
  <si>
    <t>Residential</t>
  </si>
  <si>
    <t>05/06/2020.</t>
  </si>
  <si>
    <t>9. On Site, we meet Mr.Chetan Gawade (9320334470). As per his information, rate is 2689/-</t>
  </si>
  <si>
    <t>60000/-</t>
  </si>
  <si>
    <t>Development charges</t>
  </si>
  <si>
    <t>90000/-</t>
  </si>
  <si>
    <t>22/09/2020.</t>
  </si>
  <si>
    <t>13/10/2020.</t>
  </si>
  <si>
    <t>DHANASHREE</t>
  </si>
  <si>
    <t>OLD APF</t>
  </si>
  <si>
    <t>Market Research Data</t>
  </si>
  <si>
    <t>Source</t>
  </si>
  <si>
    <t>Distance from proposed property</t>
  </si>
  <si>
    <t>Net Carpet</t>
  </si>
  <si>
    <t>Saleable Area</t>
  </si>
  <si>
    <t>Rate on Saleable</t>
  </si>
  <si>
    <t>Market Value</t>
  </si>
  <si>
    <t>housing</t>
  </si>
  <si>
    <t>1BHK</t>
  </si>
  <si>
    <t>Sai park</t>
  </si>
  <si>
    <t>1RK</t>
  </si>
  <si>
    <t>roofandfloor</t>
  </si>
  <si>
    <t>Average</t>
  </si>
  <si>
    <t xml:space="preserve">Valuation Adopted </t>
  </si>
  <si>
    <t>Index II of 2020</t>
  </si>
  <si>
    <t>Vrindavan City (Wing F)</t>
  </si>
  <si>
    <t>F Wing = Building No. 6 (Type C)</t>
  </si>
  <si>
    <t>P99000027989</t>
  </si>
  <si>
    <t>01 Building</t>
  </si>
  <si>
    <t>MHSL/KS.1/T.1/BSP/SR/CR/69/2018.
Valid Up to: 
F Wing = Building No. 6 (Type C) = G + 4th Floor</t>
  </si>
  <si>
    <t>Wing F</t>
  </si>
  <si>
    <t>1 Room(1RK)</t>
  </si>
  <si>
    <t>101 to 401</t>
  </si>
  <si>
    <t>102 to 402</t>
  </si>
  <si>
    <t>103 to 403</t>
  </si>
  <si>
    <t>104 to 404</t>
  </si>
  <si>
    <t>105 to 405</t>
  </si>
  <si>
    <t>106 to 406</t>
  </si>
  <si>
    <t>107 to 407</t>
  </si>
  <si>
    <t>108 to 408</t>
  </si>
  <si>
    <t>109 to 409</t>
  </si>
  <si>
    <t>110 to 410</t>
  </si>
  <si>
    <t>111 to 411</t>
  </si>
  <si>
    <t>112 to 412</t>
  </si>
  <si>
    <t>113 to 413</t>
  </si>
  <si>
    <t>114 to 414</t>
  </si>
  <si>
    <t>115 to 415</t>
  </si>
  <si>
    <t>116 to 416</t>
  </si>
  <si>
    <t>117 to 417</t>
  </si>
  <si>
    <t>118 to 418</t>
  </si>
  <si>
    <t>Approved Plans, CC, Builder Salable Area, Sale Plan, Cost Sheet</t>
  </si>
  <si>
    <t>Builder Saleable area</t>
  </si>
  <si>
    <t>Flats = 90</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</si>
  <si>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</si>
  <si>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</si>
  <si>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</si>
  <si>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</si>
  <si>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</si>
  <si>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</si>
  <si>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</si>
  <si>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</si>
  <si>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</si>
  <si>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</si>
  <si>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</si>
  <si>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</si>
  <si>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</si>
  <si>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</si>
  <si>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</si>
  <si>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</si>
  <si>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</si>
  <si>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</si>
  <si>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</si>
  <si>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</si>
  <si>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</si>
  <si>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</si>
  <si>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</si>
  <si>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</si>
  <si>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F Wing = Building No. 6 (Type C) = G + 1st to 4th Floor</t>
  </si>
  <si>
    <t>Location Link</t>
  </si>
  <si>
    <t>https://goo.gl/maps/YPMFv2iypEdeRHUMA</t>
  </si>
  <si>
    <t xml:space="preserve">Office No. 1031, Wing J, Akshar Business Park, Plot No. 03 Sector 25, Near APMC Market, Vashi, Navi Mumbai, Maharashtra 400703 TEL: 022-46090378/79/80                                                                       
E mail : vsjcapf@gmail.com. Web site : www.vsjadon.com
</t>
  </si>
  <si>
    <t>19.839596,72.725083</t>
  </si>
  <si>
    <t>As per RERA-30/04/2025</t>
  </si>
  <si>
    <t>Shruti Tathare</t>
  </si>
  <si>
    <t>Yadnyesh Patil</t>
  </si>
  <si>
    <r>
      <t xml:space="preserve">1. Construction work is in process at the time of Visit. (Slow Speed)
2. We considered Saleable area as per Builder Salable Area Sheet.
3. We considered Carpet area as per Approved Plan.
4. We considered Gross carpet area = Net carpet + Enclose balcony.
5. We have considered rate by verifying it from market inquire.
6. We have considered Other charges from cost sheet.
7. Car parking is subjected to authentic documentation.
8. Recommended Rates of the Property have been revised as per market inquire on 14/02/2024.
9. The project has received first CC on 01/12/2018, But construction work is not yet completed.
10. </t>
    </r>
    <r>
      <rPr>
        <b/>
        <sz val="12"/>
        <color rgb="FFFF0000"/>
        <rFont val="Times New Roman"/>
        <family val="1"/>
      </rPr>
      <t>As per RERA, completion period of project Vrindavan City (Wing F) is expired on 30/04/2025 but still project is under construction.</t>
    </r>
    <r>
      <rPr>
        <b/>
        <sz val="12"/>
        <rFont val="Times New Roman"/>
        <family val="1"/>
      </rPr>
      <t xml:space="preserve">
8. On site, we meet Mr.Shakti Singh - 9321444470.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</si>
</sst>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b/>
      <sz val="11"/>
      <name val="Times New Roman"/>
      <family val="1"/>
    </font>
    <font>
      <sz val="11"/>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4" fontId="6" fillId="0" borderId="0" applyFont="0" applyFill="0" applyBorder="0" applyAlignment="0" applyProtection="0"/>
    <xf numFmtId="0" fontId="24" fillId="0" borderId="0" applyNumberFormat="0" applyFill="0" applyBorder="0" applyAlignment="0" applyProtection="0"/>
  </cellStyleXfs>
  <cellXfs count="271">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9" fontId="17" fillId="0" borderId="0" xfId="4" applyFont="1" applyBorder="1"/>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0" fontId="17" fillId="0" borderId="4" xfId="0" applyFont="1" applyBorder="1" applyAlignment="1">
      <alignment horizontal="center"/>
    </xf>
    <xf numFmtId="0" fontId="17" fillId="3" borderId="4" xfId="0" applyFont="1" applyFill="1" applyBorder="1" applyAlignment="1">
      <alignment horizontal="center"/>
    </xf>
    <xf numFmtId="0" fontId="16" fillId="0" borderId="4" xfId="0" applyFont="1" applyBorder="1" applyAlignment="1">
      <alignment horizontal="center"/>
    </xf>
    <xf numFmtId="0" fontId="5" fillId="2" borderId="4" xfId="0" applyFont="1" applyFill="1" applyBorder="1" applyAlignment="1">
      <alignment horizontal="left" vertical="top"/>
    </xf>
    <xf numFmtId="1" fontId="5" fillId="0" borderId="4" xfId="1" applyNumberFormat="1" applyFont="1" applyBorder="1" applyAlignment="1">
      <alignment horizontal="center" vertical="center" wrapText="1"/>
    </xf>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top" wrapText="1"/>
    </xf>
    <xf numFmtId="0" fontId="1" fillId="0" borderId="4" xfId="6" applyBorder="1" applyAlignment="1">
      <alignment horizontal="left" vertical="center"/>
    </xf>
    <xf numFmtId="0" fontId="1" fillId="0" borderId="4" xfId="6" applyBorder="1" applyAlignment="1">
      <alignment horizontal="center"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0" fillId="0" borderId="4" xfId="6" applyNumberFormat="1" applyFont="1" applyBorder="1" applyAlignment="1">
      <alignment horizontal="center" vertical="center"/>
    </xf>
    <xf numFmtId="0" fontId="6" fillId="0" borderId="4" xfId="5" applyBorder="1" applyAlignment="1">
      <alignment horizontal="center" vertical="center"/>
    </xf>
    <xf numFmtId="0" fontId="21" fillId="0" borderId="0" xfId="5" applyFont="1"/>
    <xf numFmtId="1" fontId="6" fillId="0" borderId="0" xfId="5" applyNumberFormat="1"/>
    <xf numFmtId="0" fontId="6" fillId="0" borderId="0" xfId="5" applyAlignment="1">
      <alignment wrapText="1"/>
    </xf>
    <xf numFmtId="0" fontId="8" fillId="0" borderId="0" xfId="1" applyFont="1" applyAlignment="1">
      <alignment wrapText="1"/>
    </xf>
    <xf numFmtId="0" fontId="19" fillId="0" borderId="19" xfId="1" applyFont="1" applyBorder="1" applyProtection="1">
      <protection hidden="1"/>
    </xf>
    <xf numFmtId="0" fontId="19" fillId="0" borderId="20" xfId="1" applyFont="1" applyBorder="1" applyProtection="1">
      <protection hidden="1"/>
    </xf>
    <xf numFmtId="0" fontId="19" fillId="0" borderId="21" xfId="1" applyFont="1" applyBorder="1" applyAlignment="1" applyProtection="1">
      <alignment horizontal="center" vertical="top"/>
      <protection locked="0"/>
    </xf>
    <xf numFmtId="0" fontId="19" fillId="0" borderId="4" xfId="1" applyFont="1" applyBorder="1" applyAlignment="1" applyProtection="1">
      <alignment horizontal="center" vertical="top"/>
      <protection locked="0"/>
    </xf>
    <xf numFmtId="0" fontId="19" fillId="0" borderId="0" xfId="1" applyFont="1" applyProtection="1">
      <protection hidden="1"/>
    </xf>
    <xf numFmtId="0" fontId="19" fillId="0" borderId="23" xfId="1" applyFont="1" applyBorder="1" applyProtection="1">
      <protection hidden="1"/>
    </xf>
    <xf numFmtId="0" fontId="19" fillId="0" borderId="4" xfId="1" applyFont="1" applyBorder="1" applyAlignment="1" applyProtection="1">
      <alignment horizontal="center" vertical="top" wrapText="1"/>
      <protection locked="0"/>
    </xf>
    <xf numFmtId="0" fontId="19" fillId="0" borderId="0" xfId="3" applyFont="1" applyProtection="1">
      <protection hidden="1"/>
    </xf>
    <xf numFmtId="0" fontId="19" fillId="0" borderId="23" xfId="1" applyFont="1" applyBorder="1"/>
    <xf numFmtId="0" fontId="19" fillId="0" borderId="4" xfId="1" applyFont="1" applyBorder="1" applyAlignment="1" applyProtection="1">
      <alignment horizontal="center" wrapText="1"/>
      <protection locked="0"/>
    </xf>
    <xf numFmtId="0" fontId="19" fillId="0" borderId="23" xfId="3" applyFont="1" applyBorder="1" applyProtection="1">
      <protection hidden="1"/>
    </xf>
    <xf numFmtId="1" fontId="19" fillId="0" borderId="4" xfId="1" applyNumberFormat="1" applyFont="1" applyBorder="1" applyAlignment="1" applyProtection="1">
      <alignment horizontal="center" wrapText="1"/>
      <protection locked="0"/>
    </xf>
    <xf numFmtId="1" fontId="23" fillId="0" borderId="23" xfId="3" applyNumberFormat="1" applyFont="1" applyBorder="1"/>
    <xf numFmtId="1" fontId="23" fillId="0" borderId="23" xfId="3" applyNumberFormat="1" applyFont="1" applyBorder="1" applyAlignment="1">
      <alignment horizontal="right"/>
    </xf>
    <xf numFmtId="0" fontId="19" fillId="0" borderId="28" xfId="1" applyFont="1" applyBorder="1" applyAlignment="1" applyProtection="1">
      <alignment horizontal="center" wrapText="1"/>
      <protection locked="0"/>
    </xf>
    <xf numFmtId="0" fontId="19" fillId="0" borderId="32" xfId="3" applyFont="1" applyBorder="1" applyProtection="1">
      <protection hidden="1"/>
    </xf>
    <xf numFmtId="1" fontId="23" fillId="0" borderId="33" xfId="3" applyNumberFormat="1" applyFont="1" applyBorder="1"/>
    <xf numFmtId="2" fontId="8" fillId="0" borderId="0" xfId="1" applyNumberFormat="1" applyFont="1" applyAlignment="1">
      <alignment horizontal="center" vertical="center"/>
    </xf>
    <xf numFmtId="9" fontId="19" fillId="2" borderId="1" xfId="1" applyNumberFormat="1" applyFont="1" applyFill="1" applyBorder="1" applyAlignment="1" applyProtection="1">
      <alignment horizontal="center" vertical="center" wrapText="1"/>
      <protection hidden="1"/>
    </xf>
    <xf numFmtId="9" fontId="19" fillId="2" borderId="3" xfId="1" applyNumberFormat="1" applyFont="1" applyFill="1" applyBorder="1" applyAlignment="1" applyProtection="1">
      <alignment horizontal="center" vertical="center" wrapText="1"/>
      <protection hidden="1"/>
    </xf>
    <xf numFmtId="0" fontId="19" fillId="0" borderId="21" xfId="1" applyFont="1" applyBorder="1" applyAlignment="1" applyProtection="1">
      <alignment horizontal="center" vertical="top" wrapText="1"/>
      <protection locked="0"/>
    </xf>
    <xf numFmtId="0" fontId="19" fillId="0" borderId="4" xfId="1" applyFont="1" applyBorder="1" applyAlignment="1" applyProtection="1">
      <alignment horizontal="center" vertical="top" wrapText="1"/>
      <protection locked="0"/>
    </xf>
    <xf numFmtId="0" fontId="19" fillId="0" borderId="27" xfId="1" applyFont="1" applyBorder="1" applyAlignment="1" applyProtection="1">
      <alignment horizontal="center" vertical="top" wrapText="1"/>
      <protection locked="0"/>
    </xf>
    <xf numFmtId="0" fontId="19" fillId="0" borderId="28" xfId="1" applyFont="1" applyBorder="1" applyAlignment="1" applyProtection="1">
      <alignment horizontal="center" vertical="top" wrapText="1"/>
      <protection locked="0"/>
    </xf>
    <xf numFmtId="9" fontId="19" fillId="2" borderId="29" xfId="1" applyNumberFormat="1" applyFont="1" applyFill="1" applyBorder="1" applyAlignment="1" applyProtection="1">
      <alignment horizontal="center" vertical="center" wrapText="1"/>
      <protection hidden="1"/>
    </xf>
    <xf numFmtId="9" fontId="19" fillId="2" borderId="30" xfId="1" applyNumberFormat="1" applyFont="1" applyFill="1" applyBorder="1" applyAlignment="1" applyProtection="1">
      <alignment horizontal="center" vertical="center" wrapText="1"/>
      <protection hidden="1"/>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22" fillId="0" borderId="14" xfId="1" applyFont="1" applyBorder="1" applyAlignment="1" applyProtection="1">
      <alignment horizontal="center" vertical="top" wrapText="1"/>
      <protection locked="0"/>
    </xf>
    <xf numFmtId="0" fontId="22" fillId="0" borderId="15" xfId="1" applyFont="1" applyBorder="1" applyAlignment="1" applyProtection="1">
      <alignment horizontal="center" vertical="top" wrapText="1"/>
      <protection locked="0"/>
    </xf>
    <xf numFmtId="0" fontId="22" fillId="0" borderId="16" xfId="1" applyFont="1" applyBorder="1" applyAlignment="1" applyProtection="1">
      <alignment horizontal="left" vertical="top" wrapText="1"/>
      <protection locked="0"/>
    </xf>
    <xf numFmtId="0" fontId="22" fillId="0" borderId="17" xfId="1" applyFont="1" applyBorder="1" applyAlignment="1" applyProtection="1">
      <alignment horizontal="left" vertical="top" wrapText="1"/>
      <protection locked="0"/>
    </xf>
    <xf numFmtId="0" fontId="22" fillId="0" borderId="18" xfId="1" applyFont="1" applyBorder="1" applyAlignment="1" applyProtection="1">
      <alignment horizontal="left" vertical="top" wrapText="1"/>
      <protection locked="0"/>
    </xf>
    <xf numFmtId="0" fontId="19" fillId="0" borderId="1" xfId="1" applyFont="1" applyBorder="1" applyAlignment="1" applyProtection="1">
      <alignment horizontal="center" vertical="top"/>
      <protection locked="0"/>
    </xf>
    <xf numFmtId="0" fontId="19" fillId="0" borderId="3" xfId="1" applyFont="1" applyBorder="1" applyAlignment="1" applyProtection="1">
      <alignment horizontal="center" vertical="top"/>
      <protection locked="0"/>
    </xf>
    <xf numFmtId="0" fontId="19" fillId="0" borderId="22" xfId="1" applyFont="1" applyBorder="1" applyAlignment="1" applyProtection="1">
      <alignment horizontal="center" vertical="top"/>
      <protection locked="0"/>
    </xf>
    <xf numFmtId="0" fontId="22" fillId="0" borderId="21" xfId="1" applyFont="1" applyBorder="1" applyAlignment="1" applyProtection="1">
      <alignment horizontal="left" vertical="top"/>
      <protection locked="0"/>
    </xf>
    <xf numFmtId="0" fontId="22" fillId="0" borderId="4" xfId="1" applyFont="1" applyBorder="1" applyAlignment="1" applyProtection="1">
      <alignment horizontal="left" vertical="top"/>
      <protection locked="0"/>
    </xf>
    <xf numFmtId="0" fontId="22" fillId="0" borderId="1" xfId="1" applyFont="1" applyBorder="1" applyAlignment="1" applyProtection="1">
      <alignment horizontal="left" vertical="top" wrapText="1"/>
      <protection locked="0"/>
    </xf>
    <xf numFmtId="0" fontId="22" fillId="0" borderId="2" xfId="1" applyFont="1" applyBorder="1" applyAlignment="1" applyProtection="1">
      <alignment horizontal="left" vertical="top" wrapText="1"/>
      <protection locked="0"/>
    </xf>
    <xf numFmtId="0" fontId="22" fillId="0" borderId="22" xfId="1" applyFont="1" applyBorder="1" applyAlignment="1" applyProtection="1">
      <alignment horizontal="left" vertical="top" wrapText="1"/>
      <protection locked="0"/>
    </xf>
    <xf numFmtId="0" fontId="19" fillId="0" borderId="24" xfId="1" applyFont="1" applyBorder="1" applyAlignment="1" applyProtection="1">
      <alignment horizontal="center" vertical="top" wrapText="1"/>
      <protection locked="0"/>
    </xf>
    <xf numFmtId="0" fontId="19" fillId="0" borderId="3" xfId="1" applyFont="1" applyBorder="1" applyAlignment="1" applyProtection="1">
      <alignment horizontal="center" vertical="top" wrapText="1"/>
      <protection locked="0"/>
    </xf>
    <xf numFmtId="0" fontId="19" fillId="0" borderId="25" xfId="1" applyFont="1" applyBorder="1" applyAlignment="1" applyProtection="1">
      <alignment horizontal="center" vertical="top" wrapText="1"/>
      <protection locked="0"/>
    </xf>
    <xf numFmtId="9" fontId="19" fillId="2" borderId="4" xfId="1" applyNumberFormat="1" applyFont="1" applyFill="1" applyBorder="1" applyAlignment="1" applyProtection="1">
      <alignment horizontal="center" vertical="center" wrapText="1"/>
      <protection hidden="1"/>
    </xf>
    <xf numFmtId="9" fontId="19" fillId="2" borderId="28" xfId="1" applyNumberFormat="1" applyFont="1" applyFill="1" applyBorder="1" applyAlignment="1" applyProtection="1">
      <alignment horizontal="center" vertical="center" wrapText="1"/>
      <protection hidden="1"/>
    </xf>
    <xf numFmtId="9" fontId="19" fillId="2" borderId="5" xfId="1" applyNumberFormat="1" applyFont="1" applyFill="1" applyBorder="1" applyAlignment="1" applyProtection="1">
      <alignment horizontal="center" vertical="center" wrapText="1"/>
      <protection hidden="1"/>
    </xf>
    <xf numFmtId="9" fontId="19" fillId="2" borderId="6" xfId="1" applyNumberFormat="1" applyFont="1" applyFill="1" applyBorder="1" applyAlignment="1" applyProtection="1">
      <alignment horizontal="center" vertical="center" wrapText="1"/>
      <protection hidden="1"/>
    </xf>
    <xf numFmtId="9" fontId="19" fillId="2" borderId="26" xfId="1" applyNumberFormat="1" applyFont="1" applyFill="1" applyBorder="1" applyAlignment="1" applyProtection="1">
      <alignment horizontal="center" vertical="center" wrapText="1"/>
      <protection hidden="1"/>
    </xf>
    <xf numFmtId="9" fontId="19" fillId="2" borderId="11" xfId="1" applyNumberFormat="1" applyFont="1" applyFill="1" applyBorder="1" applyAlignment="1" applyProtection="1">
      <alignment horizontal="center" vertical="center" wrapText="1"/>
      <protection hidden="1"/>
    </xf>
    <xf numFmtId="9" fontId="19" fillId="2" borderId="0" xfId="1" applyNumberFormat="1" applyFont="1" applyFill="1" applyAlignment="1" applyProtection="1">
      <alignment horizontal="center" vertical="center" wrapText="1"/>
      <protection hidden="1"/>
    </xf>
    <xf numFmtId="9" fontId="19" fillId="2" borderId="23" xfId="1" applyNumberFormat="1" applyFont="1" applyFill="1" applyBorder="1" applyAlignment="1" applyProtection="1">
      <alignment horizontal="center" vertical="center" wrapText="1"/>
      <protection hidden="1"/>
    </xf>
    <xf numFmtId="9" fontId="19" fillId="2" borderId="31" xfId="1" applyNumberFormat="1" applyFont="1" applyFill="1" applyBorder="1" applyAlignment="1" applyProtection="1">
      <alignment horizontal="center" vertical="center" wrapText="1"/>
      <protection hidden="1"/>
    </xf>
    <xf numFmtId="9" fontId="19" fillId="2" borderId="32" xfId="1" applyNumberFormat="1" applyFont="1" applyFill="1" applyBorder="1" applyAlignment="1" applyProtection="1">
      <alignment horizontal="center" vertical="center" wrapText="1"/>
      <protection hidden="1"/>
    </xf>
    <xf numFmtId="9" fontId="19" fillId="2" borderId="33" xfId="1" applyNumberFormat="1" applyFont="1" applyFill="1" applyBorder="1" applyAlignment="1" applyProtection="1">
      <alignment horizontal="center" vertical="center" wrapText="1"/>
      <protection hidden="1"/>
    </xf>
    <xf numFmtId="0" fontId="19" fillId="0" borderId="21" xfId="1" applyFont="1" applyBorder="1" applyAlignment="1" applyProtection="1">
      <alignment horizontal="center" vertical="top"/>
      <protection locked="0"/>
    </xf>
    <xf numFmtId="0" fontId="19" fillId="0" borderId="4" xfId="1" applyFont="1" applyBorder="1" applyAlignment="1" applyProtection="1">
      <alignment horizontal="center" vertical="top"/>
      <protection locked="0"/>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1" fontId="9" fillId="0" borderId="1" xfId="0" applyNumberFormat="1"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9" fillId="2" borderId="1" xfId="1" applyFont="1" applyFill="1" applyBorder="1" applyAlignment="1">
      <alignment horizontal="left" vertical="top"/>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0" fontId="7" fillId="0" borderId="4" xfId="1" applyFont="1" applyBorder="1" applyAlignment="1">
      <alignment horizontal="left" vertical="top"/>
    </xf>
    <xf numFmtId="0" fontId="14"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14"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4" xfId="1"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2" borderId="4" xfId="1" applyFont="1" applyFill="1" applyBorder="1" applyAlignment="1">
      <alignment horizontal="left" vertical="top"/>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8" fillId="0" borderId="3" xfId="1" applyFont="1" applyBorder="1" applyAlignment="1">
      <alignment horizontal="left"/>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165" fontId="7" fillId="0" borderId="1" xfId="1" applyNumberFormat="1" applyFont="1" applyBorder="1" applyAlignment="1">
      <alignment horizontal="left" vertical="top" wrapText="1"/>
    </xf>
    <xf numFmtId="165" fontId="7" fillId="0" borderId="2" xfId="1" applyNumberFormat="1" applyFont="1" applyBorder="1" applyAlignment="1">
      <alignment horizontal="left" vertical="top" wrapText="1"/>
    </xf>
    <xf numFmtId="165" fontId="7" fillId="0" borderId="3" xfId="1" applyNumberFormat="1" applyFont="1" applyBorder="1" applyAlignment="1">
      <alignment horizontal="left" vertical="top" wrapText="1"/>
    </xf>
    <xf numFmtId="14" fontId="7" fillId="0" borderId="1" xfId="0" applyNumberFormat="1"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5" fillId="2" borderId="4"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2" xfId="1" applyFont="1" applyBorder="1" applyAlignment="1">
      <alignment horizontal="center" vertical="top" wrapText="1"/>
    </xf>
    <xf numFmtId="0" fontId="7" fillId="2" borderId="1" xfId="1" applyFont="1" applyFill="1" applyBorder="1" applyAlignment="1">
      <alignment horizontal="left" vertical="top"/>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9" fillId="0" borderId="3" xfId="0" applyNumberFormat="1" applyFont="1" applyBorder="1" applyAlignment="1">
      <alignment horizontal="center" vertical="center"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24" fillId="0" borderId="1" xfId="8" applyBorder="1" applyAlignment="1">
      <alignment horizontal="left" vertical="top"/>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10" fillId="0" borderId="4" xfId="6" applyFont="1" applyBorder="1" applyAlignment="1">
      <alignment horizontal="left"/>
    </xf>
    <xf numFmtId="0" fontId="17" fillId="0" borderId="4" xfId="0" applyFont="1" applyBorder="1" applyAlignment="1">
      <alignment horizontal="left"/>
    </xf>
    <xf numFmtId="0" fontId="17" fillId="0" borderId="4" xfId="0" applyFont="1" applyBorder="1" applyAlignment="1">
      <alignment horizontal="center"/>
    </xf>
    <xf numFmtId="0" fontId="17" fillId="3" borderId="4" xfId="0" applyFont="1" applyFill="1" applyBorder="1" applyAlignment="1">
      <alignment horizontal="center"/>
    </xf>
    <xf numFmtId="0" fontId="16"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xf numFmtId="14" fontId="7" fillId="0" borderId="1" xfId="1" applyNumberFormat="1" applyFont="1" applyBorder="1" applyAlignment="1">
      <alignment horizontal="left" vertical="top" wrapText="1"/>
    </xf>
    <xf numFmtId="14" fontId="7" fillId="0" borderId="2" xfId="1" applyNumberFormat="1" applyFont="1" applyBorder="1" applyAlignment="1">
      <alignment horizontal="left" vertical="top" wrapText="1"/>
    </xf>
    <xf numFmtId="14" fontId="7" fillId="0" borderId="3" xfId="1" applyNumberFormat="1" applyFont="1" applyBorder="1" applyAlignment="1">
      <alignment horizontal="left" vertical="top" wrapText="1"/>
    </xf>
    <xf numFmtId="14" fontId="7" fillId="2" borderId="4" xfId="1" applyNumberFormat="1" applyFont="1" applyFill="1" applyBorder="1" applyAlignment="1">
      <alignment horizontal="left" vertical="top"/>
    </xf>
    <xf numFmtId="14" fontId="7" fillId="0" borderId="4" xfId="1" applyNumberFormat="1" applyFont="1" applyBorder="1" applyAlignment="1">
      <alignment horizontal="center" vertical="top"/>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 Id="rId9"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446936</xdr:colOff>
      <xdr:row>180</xdr:row>
      <xdr:rowOff>12928</xdr:rowOff>
    </xdr:from>
    <xdr:to>
      <xdr:col>9</xdr:col>
      <xdr:colOff>14051</xdr:colOff>
      <xdr:row>197</xdr:row>
      <xdr:rowOff>180053</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46936" y="37548755"/>
          <a:ext cx="5619153" cy="3530181"/>
        </a:xfrm>
        <a:prstGeom prst="rect">
          <a:avLst/>
        </a:prstGeom>
        <a:ln>
          <a:solidFill>
            <a:schemeClr val="tx1"/>
          </a:solidFill>
        </a:ln>
      </xdr:spPr>
    </xdr:pic>
    <xdr:clientData/>
  </xdr:twoCellAnchor>
  <xdr:twoCellAnchor editAs="oneCell">
    <xdr:from>
      <xdr:col>0</xdr:col>
      <xdr:colOff>444787</xdr:colOff>
      <xdr:row>199</xdr:row>
      <xdr:rowOff>31926</xdr:rowOff>
    </xdr:from>
    <xdr:to>
      <xdr:col>9</xdr:col>
      <xdr:colOff>14217</xdr:colOff>
      <xdr:row>217</xdr:row>
      <xdr:rowOff>1225</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444787" y="41326464"/>
          <a:ext cx="5621468" cy="3530182"/>
        </a:xfrm>
        <a:prstGeom prst="rect">
          <a:avLst/>
        </a:prstGeom>
        <a:ln>
          <a:solidFill>
            <a:schemeClr val="tx1"/>
          </a:solidFill>
        </a:ln>
      </xdr:spPr>
    </xdr:pic>
    <xdr:clientData/>
  </xdr:twoCellAnchor>
  <xdr:twoCellAnchor>
    <xdr:from>
      <xdr:col>11</xdr:col>
      <xdr:colOff>495301</xdr:colOff>
      <xdr:row>139</xdr:row>
      <xdr:rowOff>161924</xdr:rowOff>
    </xdr:from>
    <xdr:to>
      <xdr:col>20</xdr:col>
      <xdr:colOff>600076</xdr:colOff>
      <xdr:row>172</xdr:row>
      <xdr:rowOff>66675</xdr:rowOff>
    </xdr:to>
    <xdr:grpSp>
      <xdr:nvGrpSpPr>
        <xdr:cNvPr id="13" name="Group 12">
          <a:extLst>
            <a:ext uri="{FF2B5EF4-FFF2-40B4-BE49-F238E27FC236}">
              <a16:creationId xmlns:a16="http://schemas.microsoft.com/office/drawing/2014/main" xmlns="" id="{B634C523-4CB3-4B4B-863F-1DCB478E6AF9}"/>
            </a:ext>
          </a:extLst>
        </xdr:cNvPr>
        <xdr:cNvGrpSpPr/>
      </xdr:nvGrpSpPr>
      <xdr:grpSpPr>
        <a:xfrm>
          <a:off x="7030916" y="31990078"/>
          <a:ext cx="5834429" cy="6425712"/>
          <a:chOff x="105429" y="499788"/>
          <a:chExt cx="6447287" cy="6948105"/>
        </a:xfrm>
      </xdr:grpSpPr>
      <xdr:pic>
        <xdr:nvPicPr>
          <xdr:cNvPr id="14" name="Picture 13">
            <a:extLst>
              <a:ext uri="{FF2B5EF4-FFF2-40B4-BE49-F238E27FC236}">
                <a16:creationId xmlns:a16="http://schemas.microsoft.com/office/drawing/2014/main" xmlns="" id="{E5F57A17-644B-4829-9A31-970A22FA0E3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73741" y="499788"/>
            <a:ext cx="5400000" cy="2431755"/>
          </a:xfrm>
          <a:prstGeom prst="rect">
            <a:avLst/>
          </a:prstGeom>
          <a:ln>
            <a:solidFill>
              <a:schemeClr val="tx1"/>
            </a:solidFill>
          </a:ln>
        </xdr:spPr>
      </xdr:pic>
      <xdr:pic>
        <xdr:nvPicPr>
          <xdr:cNvPr id="17" name="Picture 16">
            <a:extLst>
              <a:ext uri="{FF2B5EF4-FFF2-40B4-BE49-F238E27FC236}">
                <a16:creationId xmlns:a16="http://schemas.microsoft.com/office/drawing/2014/main" xmlns="" id="{AE08165B-071E-4E57-831C-1FA6C03BE02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16857" y="5647893"/>
            <a:ext cx="2850776" cy="1800000"/>
          </a:xfrm>
          <a:prstGeom prst="rect">
            <a:avLst/>
          </a:prstGeom>
          <a:ln>
            <a:solidFill>
              <a:schemeClr val="tx1"/>
            </a:solidFill>
          </a:ln>
        </xdr:spPr>
      </xdr:pic>
      <xdr:pic>
        <xdr:nvPicPr>
          <xdr:cNvPr id="18" name="Picture 17">
            <a:extLst>
              <a:ext uri="{FF2B5EF4-FFF2-40B4-BE49-F238E27FC236}">
                <a16:creationId xmlns:a16="http://schemas.microsoft.com/office/drawing/2014/main" xmlns="" id="{59700EB7-9AFF-4FFF-81CB-DE5AD20A9B0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429000" y="5647893"/>
            <a:ext cx="2850776" cy="180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73E0041C-BC60-47D3-8FE4-0D712A8B9FA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780208" y="3119718"/>
            <a:ext cx="1493533" cy="2340000"/>
          </a:xfrm>
          <a:prstGeom prst="rect">
            <a:avLst/>
          </a:prstGeom>
          <a:ln>
            <a:solidFill>
              <a:schemeClr val="tx1"/>
            </a:solidFill>
          </a:ln>
        </xdr:spPr>
      </xdr:pic>
      <xdr:pic>
        <xdr:nvPicPr>
          <xdr:cNvPr id="20" name="Picture 19">
            <a:extLst>
              <a:ext uri="{FF2B5EF4-FFF2-40B4-BE49-F238E27FC236}">
                <a16:creationId xmlns:a16="http://schemas.microsoft.com/office/drawing/2014/main" xmlns="" id="{4739A66F-D944-4877-BAB5-CC4206786292}"/>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429714" y="3119718"/>
            <a:ext cx="1493532" cy="2340000"/>
          </a:xfrm>
          <a:prstGeom prst="rect">
            <a:avLst/>
          </a:prstGeom>
          <a:ln>
            <a:solidFill>
              <a:schemeClr val="tx1"/>
            </a:solidFill>
          </a:ln>
        </xdr:spPr>
      </xdr:pic>
      <xdr:pic>
        <xdr:nvPicPr>
          <xdr:cNvPr id="21" name="Picture 20">
            <a:extLst>
              <a:ext uri="{FF2B5EF4-FFF2-40B4-BE49-F238E27FC236}">
                <a16:creationId xmlns:a16="http://schemas.microsoft.com/office/drawing/2014/main" xmlns="" id="{CDAB4C89-F090-4477-A7F8-FED280FC4F7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05429" y="3119718"/>
            <a:ext cx="1493532" cy="2340000"/>
          </a:xfrm>
          <a:prstGeom prst="rect">
            <a:avLst/>
          </a:prstGeom>
          <a:ln>
            <a:solidFill>
              <a:schemeClr val="tx1"/>
            </a:solidFill>
          </a:ln>
        </xdr:spPr>
      </xdr:pic>
      <xdr:pic>
        <xdr:nvPicPr>
          <xdr:cNvPr id="22" name="Picture 21">
            <a:extLst>
              <a:ext uri="{FF2B5EF4-FFF2-40B4-BE49-F238E27FC236}">
                <a16:creationId xmlns:a16="http://schemas.microsoft.com/office/drawing/2014/main" xmlns="" id="{85965176-99C4-42AB-B2A7-4C58931C10E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5079219" y="3119718"/>
            <a:ext cx="1473497" cy="2340000"/>
          </a:xfrm>
          <a:prstGeom prst="rect">
            <a:avLst/>
          </a:prstGeom>
          <a:ln>
            <a:solidFill>
              <a:schemeClr val="tx1"/>
            </a:solidFill>
          </a:ln>
        </xdr:spPr>
      </xdr:pic>
    </xdr:grpSp>
    <xdr:clientData/>
  </xdr:twoCellAnchor>
  <xdr:twoCellAnchor>
    <xdr:from>
      <xdr:col>0</xdr:col>
      <xdr:colOff>104775</xdr:colOff>
      <xdr:row>139</xdr:row>
      <xdr:rowOff>75151</xdr:rowOff>
    </xdr:from>
    <xdr:to>
      <xdr:col>9</xdr:col>
      <xdr:colOff>171450</xdr:colOff>
      <xdr:row>173</xdr:row>
      <xdr:rowOff>72487</xdr:rowOff>
    </xdr:to>
    <xdr:grpSp>
      <xdr:nvGrpSpPr>
        <xdr:cNvPr id="7" name="Group 6"/>
        <xdr:cNvGrpSpPr/>
      </xdr:nvGrpSpPr>
      <xdr:grpSpPr>
        <a:xfrm>
          <a:off x="104775" y="31903305"/>
          <a:ext cx="6118713" cy="6716124"/>
          <a:chOff x="66675" y="32250601"/>
          <a:chExt cx="6115050" cy="6788661"/>
        </a:xfrm>
      </xdr:grpSpPr>
      <xdr:pic>
        <xdr:nvPicPr>
          <xdr:cNvPr id="23" name="Picture 22" descr="https://vsjcllp.vsjadon.com/upload/insp-243304-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628103" y="3687926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3304-85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640489" y="34614354"/>
            <a:ext cx="287767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3304-940.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923530" y="346043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3304-93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66675" y="32262036"/>
            <a:ext cx="3008869" cy="22584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3304-916.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172856" y="32250601"/>
            <a:ext cx="3008869" cy="22584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479302</xdr:colOff>
      <xdr:row>3</xdr:row>
      <xdr:rowOff>0</xdr:rowOff>
    </xdr:from>
    <xdr:to>
      <xdr:col>15</xdr:col>
      <xdr:colOff>257883</xdr:colOff>
      <xdr:row>32</xdr:row>
      <xdr:rowOff>96480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478022" y="548640"/>
          <a:ext cx="4045781" cy="5400000"/>
        </a:xfrm>
        <a:prstGeom prst="rect">
          <a:avLst/>
        </a:prstGeom>
      </xdr:spPr>
    </xdr:pic>
    <xdr:clientData/>
  </xdr:twoCellAnchor>
  <xdr:twoCellAnchor editAs="oneCell">
    <xdr:from>
      <xdr:col>2</xdr:col>
      <xdr:colOff>0</xdr:colOff>
      <xdr:row>3</xdr:row>
      <xdr:rowOff>0</xdr:rowOff>
    </xdr:from>
    <xdr:to>
      <xdr:col>8</xdr:col>
      <xdr:colOff>388181</xdr:colOff>
      <xdr:row>32</xdr:row>
      <xdr:rowOff>96480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41120" y="548640"/>
          <a:ext cx="4045781"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xdr:colOff>
      <xdr:row>23</xdr:row>
      <xdr:rowOff>41582</xdr:rowOff>
    </xdr:from>
    <xdr:to>
      <xdr:col>6</xdr:col>
      <xdr:colOff>359225</xdr:colOff>
      <xdr:row>42</xdr:row>
      <xdr:rowOff>22082</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6105" y="4423082"/>
          <a:ext cx="6754945" cy="3600000"/>
        </a:xfrm>
        <a:prstGeom prst="rect">
          <a:avLst/>
        </a:prstGeom>
        <a:ln>
          <a:solidFill>
            <a:schemeClr val="tx1"/>
          </a:solidFill>
        </a:ln>
      </xdr:spPr>
    </xdr:pic>
    <xdr:clientData/>
  </xdr:twoCellAnchor>
  <xdr:twoCellAnchor editAs="oneCell">
    <xdr:from>
      <xdr:col>1</xdr:col>
      <xdr:colOff>5080</xdr:colOff>
      <xdr:row>42</xdr:row>
      <xdr:rowOff>155882</xdr:rowOff>
    </xdr:from>
    <xdr:to>
      <xdr:col>6</xdr:col>
      <xdr:colOff>359225</xdr:colOff>
      <xdr:row>61</xdr:row>
      <xdr:rowOff>136382</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6105" y="8156882"/>
          <a:ext cx="6754945" cy="3600000"/>
        </a:xfrm>
        <a:prstGeom prst="rect">
          <a:avLst/>
        </a:prstGeom>
        <a:ln>
          <a:solidFill>
            <a:schemeClr val="tx1"/>
          </a:solidFill>
        </a:ln>
      </xdr:spPr>
    </xdr:pic>
    <xdr:clientData/>
  </xdr:twoCellAnchor>
  <xdr:twoCellAnchor editAs="oneCell">
    <xdr:from>
      <xdr:col>1</xdr:col>
      <xdr:colOff>0</xdr:colOff>
      <xdr:row>62</xdr:row>
      <xdr:rowOff>79682</xdr:rowOff>
    </xdr:from>
    <xdr:to>
      <xdr:col>6</xdr:col>
      <xdr:colOff>354145</xdr:colOff>
      <xdr:row>81</xdr:row>
      <xdr:rowOff>60182</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1025" y="11890682"/>
          <a:ext cx="6754945" cy="3600000"/>
        </a:xfrm>
        <a:prstGeom prst="rect">
          <a:avLst/>
        </a:prstGeom>
        <a:ln>
          <a:solidFill>
            <a:schemeClr val="tx1"/>
          </a:solidFill>
        </a:ln>
      </xdr:spPr>
    </xdr:pic>
    <xdr:clientData/>
  </xdr:twoCellAnchor>
  <xdr:twoCellAnchor editAs="oneCell">
    <xdr:from>
      <xdr:col>6</xdr:col>
      <xdr:colOff>538480</xdr:colOff>
      <xdr:row>23</xdr:row>
      <xdr:rowOff>41582</xdr:rowOff>
    </xdr:from>
    <xdr:to>
      <xdr:col>16</xdr:col>
      <xdr:colOff>216350</xdr:colOff>
      <xdr:row>42</xdr:row>
      <xdr:rowOff>22082</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520305" y="4423082"/>
          <a:ext cx="6754945" cy="3600000"/>
        </a:xfrm>
        <a:prstGeom prst="rect">
          <a:avLst/>
        </a:prstGeom>
        <a:ln>
          <a:solidFill>
            <a:schemeClr val="tx1"/>
          </a:solidFill>
        </a:ln>
      </xdr:spPr>
    </xdr:pic>
    <xdr:clientData/>
  </xdr:twoCellAnchor>
  <xdr:twoCellAnchor editAs="oneCell">
    <xdr:from>
      <xdr:col>6</xdr:col>
      <xdr:colOff>538480</xdr:colOff>
      <xdr:row>42</xdr:row>
      <xdr:rowOff>155882</xdr:rowOff>
    </xdr:from>
    <xdr:to>
      <xdr:col>16</xdr:col>
      <xdr:colOff>216350</xdr:colOff>
      <xdr:row>61</xdr:row>
      <xdr:rowOff>136382</xdr:rowOff>
    </xdr:to>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520305" y="8156882"/>
          <a:ext cx="6754945" cy="3600000"/>
        </a:xfrm>
        <a:prstGeom prst="rect">
          <a:avLst/>
        </a:prstGeom>
        <a:ln>
          <a:solidFill>
            <a:schemeClr val="tx1"/>
          </a:solidFill>
        </a:ln>
      </xdr:spPr>
    </xdr:pic>
    <xdr:clientData/>
  </xdr:twoCellAnchor>
  <xdr:twoCellAnchor editAs="oneCell">
    <xdr:from>
      <xdr:col>6</xdr:col>
      <xdr:colOff>538480</xdr:colOff>
      <xdr:row>62</xdr:row>
      <xdr:rowOff>79682</xdr:rowOff>
    </xdr:from>
    <xdr:to>
      <xdr:col>16</xdr:col>
      <xdr:colOff>216350</xdr:colOff>
      <xdr:row>81</xdr:row>
      <xdr:rowOff>60182</xdr:rowOff>
    </xdr:to>
    <xdr:pic>
      <xdr:nvPicPr>
        <xdr:cNvPr id="7" name="Picture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520305" y="11890682"/>
          <a:ext cx="6754945" cy="3600000"/>
        </a:xfrm>
        <a:prstGeom prst="rect">
          <a:avLst/>
        </a:prstGeom>
        <a:ln>
          <a:solidFill>
            <a:schemeClr val="tx1"/>
          </a:solidFill>
        </a:ln>
      </xdr:spPr>
    </xdr:pic>
    <xdr:clientData/>
  </xdr:twoCellAnchor>
  <xdr:twoCellAnchor editAs="oneCell">
    <xdr:from>
      <xdr:col>16</xdr:col>
      <xdr:colOff>395605</xdr:colOff>
      <xdr:row>23</xdr:row>
      <xdr:rowOff>0</xdr:rowOff>
    </xdr:from>
    <xdr:to>
      <xdr:col>28</xdr:col>
      <xdr:colOff>178250</xdr:colOff>
      <xdr:row>41</xdr:row>
      <xdr:rowOff>171000</xdr:rowOff>
    </xdr:to>
    <xdr:pic>
      <xdr:nvPicPr>
        <xdr:cNvPr id="8" name="Picture 7">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4454505" y="4381500"/>
          <a:ext cx="6754945" cy="3600000"/>
        </a:xfrm>
        <a:prstGeom prst="rect">
          <a:avLst/>
        </a:prstGeom>
        <a:ln>
          <a:solidFill>
            <a:schemeClr val="tx1"/>
          </a:solidFill>
        </a:ln>
      </xdr:spPr>
    </xdr:pic>
    <xdr:clientData/>
  </xdr:twoCellAnchor>
  <xdr:twoCellAnchor editAs="oneCell">
    <xdr:from>
      <xdr:col>16</xdr:col>
      <xdr:colOff>395605</xdr:colOff>
      <xdr:row>43</xdr:row>
      <xdr:rowOff>24656</xdr:rowOff>
    </xdr:from>
    <xdr:to>
      <xdr:col>28</xdr:col>
      <xdr:colOff>178250</xdr:colOff>
      <xdr:row>62</xdr:row>
      <xdr:rowOff>5156</xdr:rowOff>
    </xdr:to>
    <xdr:pic>
      <xdr:nvPicPr>
        <xdr:cNvPr id="9" name="Picture 8">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4454505" y="8216156"/>
          <a:ext cx="6754945" cy="3600000"/>
        </a:xfrm>
        <a:prstGeom prst="rect">
          <a:avLst/>
        </a:prstGeom>
        <a:ln>
          <a:solidFill>
            <a:schemeClr val="tx1"/>
          </a:solidFill>
        </a:ln>
      </xdr:spPr>
    </xdr:pic>
    <xdr:clientData/>
  </xdr:twoCellAnchor>
  <xdr:twoCellAnchor editAs="oneCell">
    <xdr:from>
      <xdr:col>16</xdr:col>
      <xdr:colOff>395605</xdr:colOff>
      <xdr:row>62</xdr:row>
      <xdr:rowOff>79682</xdr:rowOff>
    </xdr:from>
    <xdr:to>
      <xdr:col>28</xdr:col>
      <xdr:colOff>178250</xdr:colOff>
      <xdr:row>81</xdr:row>
      <xdr:rowOff>60182</xdr:rowOff>
    </xdr:to>
    <xdr:pic>
      <xdr:nvPicPr>
        <xdr:cNvPr id="10" name="Picture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4454505" y="11890682"/>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YPMFv2iypEdeRHUM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0"/>
  <sheetViews>
    <sheetView tabSelected="1" view="pageBreakPreview" zoomScale="130" zoomScaleNormal="100" zoomScaleSheetLayoutView="130" zoomScalePageLayoutView="70" workbookViewId="0">
      <selection activeCell="P71" sqref="P71"/>
    </sheetView>
  </sheetViews>
  <sheetFormatPr defaultRowHeight="15.75" x14ac:dyDescent="0.25"/>
  <cols>
    <col min="1" max="1" width="9.28515625" style="12" customWidth="1"/>
    <col min="2" max="2" width="11.28515625" style="12" customWidth="1"/>
    <col min="3" max="3" width="14.7109375" style="12" customWidth="1"/>
    <col min="4" max="4" width="7.28515625" style="12" customWidth="1"/>
    <col min="5" max="5" width="5.5703125" style="12" customWidth="1"/>
    <col min="6" max="6" width="9.85546875" style="12" customWidth="1"/>
    <col min="7" max="7" width="10.140625" style="12" customWidth="1"/>
    <col min="8" max="8" width="11.42578125" style="12" customWidth="1"/>
    <col min="9" max="9" width="11.140625" style="12" customWidth="1"/>
    <col min="10" max="11" width="3.5703125" style="12" customWidth="1"/>
    <col min="12" max="12" width="13" style="12" bestFit="1" customWidth="1"/>
    <col min="13"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170" t="s">
        <v>279</v>
      </c>
      <c r="B1" s="171"/>
      <c r="C1" s="171"/>
      <c r="D1" s="171"/>
      <c r="E1" s="171"/>
      <c r="F1" s="171"/>
      <c r="G1" s="171"/>
      <c r="H1" s="171"/>
      <c r="I1" s="171"/>
      <c r="J1" s="172"/>
    </row>
    <row r="2" spans="1:10" ht="16.5" customHeight="1" x14ac:dyDescent="0.25">
      <c r="A2" s="119" t="s">
        <v>0</v>
      </c>
      <c r="B2" s="120"/>
      <c r="C2" s="120"/>
      <c r="D2" s="120"/>
      <c r="E2" s="120"/>
      <c r="F2" s="120"/>
      <c r="G2" s="120"/>
      <c r="H2" s="120"/>
      <c r="I2" s="120"/>
      <c r="J2" s="121"/>
    </row>
    <row r="3" spans="1:10" x14ac:dyDescent="0.25">
      <c r="A3" s="127" t="s">
        <v>1</v>
      </c>
      <c r="B3" s="128"/>
      <c r="C3" s="128"/>
      <c r="D3" s="128"/>
      <c r="E3" s="129"/>
      <c r="F3" s="173" t="str">
        <f ca="1">TEXT(TODAY(),"DD/MM/YYYY")</f>
        <v>19/08/2025</v>
      </c>
      <c r="G3" s="174"/>
      <c r="H3" s="174"/>
      <c r="I3" s="174"/>
      <c r="J3" s="175"/>
    </row>
    <row r="4" spans="1:10" ht="15" customHeight="1" x14ac:dyDescent="0.25">
      <c r="A4" s="127" t="s">
        <v>2</v>
      </c>
      <c r="B4" s="128"/>
      <c r="C4" s="128"/>
      <c r="D4" s="128"/>
      <c r="E4" s="129"/>
      <c r="F4" s="179" t="s">
        <v>180</v>
      </c>
      <c r="G4" s="180"/>
      <c r="H4" s="180"/>
      <c r="I4" s="180"/>
      <c r="J4" s="181"/>
    </row>
    <row r="5" spans="1:10" x14ac:dyDescent="0.25">
      <c r="A5" s="127" t="s">
        <v>3</v>
      </c>
      <c r="B5" s="128"/>
      <c r="C5" s="128"/>
      <c r="D5" s="128"/>
      <c r="E5" s="129"/>
      <c r="F5" s="173">
        <v>45878</v>
      </c>
      <c r="G5" s="174"/>
      <c r="H5" s="174"/>
      <c r="I5" s="174"/>
      <c r="J5" s="175"/>
    </row>
    <row r="6" spans="1:10" ht="16.5" customHeight="1" x14ac:dyDescent="0.25">
      <c r="A6" s="127" t="s">
        <v>4</v>
      </c>
      <c r="B6" s="128"/>
      <c r="C6" s="128"/>
      <c r="D6" s="128"/>
      <c r="E6" s="129"/>
      <c r="F6" s="182" t="s">
        <v>181</v>
      </c>
      <c r="G6" s="183"/>
      <c r="H6" s="183"/>
      <c r="I6" s="183"/>
      <c r="J6" s="184"/>
    </row>
    <row r="7" spans="1:10" ht="15" customHeight="1" x14ac:dyDescent="0.25">
      <c r="A7" s="127" t="s">
        <v>5</v>
      </c>
      <c r="B7" s="128"/>
      <c r="C7" s="128"/>
      <c r="D7" s="128"/>
      <c r="E7" s="129"/>
      <c r="F7" s="182" t="str">
        <f>F6</f>
        <v>M/s.SRA Project Developers Private Limited</v>
      </c>
      <c r="G7" s="183"/>
      <c r="H7" s="183"/>
      <c r="I7" s="183"/>
      <c r="J7" s="184"/>
    </row>
    <row r="8" spans="1:10" x14ac:dyDescent="0.25">
      <c r="A8" s="127" t="s">
        <v>6</v>
      </c>
      <c r="B8" s="128"/>
      <c r="C8" s="128"/>
      <c r="D8" s="128"/>
      <c r="E8" s="129"/>
      <c r="F8" s="176" t="s">
        <v>224</v>
      </c>
      <c r="G8" s="177"/>
      <c r="H8" s="177"/>
      <c r="I8" s="177"/>
      <c r="J8" s="178"/>
    </row>
    <row r="9" spans="1:10" x14ac:dyDescent="0.25">
      <c r="A9" s="127" t="s">
        <v>7</v>
      </c>
      <c r="B9" s="128"/>
      <c r="C9" s="128"/>
      <c r="D9" s="128"/>
      <c r="E9" s="129"/>
      <c r="F9" s="127">
        <v>9321444470</v>
      </c>
      <c r="G9" s="128"/>
      <c r="H9" s="128"/>
      <c r="I9" s="128"/>
      <c r="J9" s="129"/>
    </row>
    <row r="10" spans="1:10" x14ac:dyDescent="0.25">
      <c r="A10" s="127" t="s">
        <v>8</v>
      </c>
      <c r="B10" s="128"/>
      <c r="C10" s="128"/>
      <c r="D10" s="128"/>
      <c r="E10" s="129"/>
      <c r="F10" s="182" t="s">
        <v>225</v>
      </c>
      <c r="G10" s="185"/>
      <c r="H10" s="185"/>
      <c r="I10" s="185"/>
      <c r="J10" s="186"/>
    </row>
    <row r="11" spans="1:10" ht="33" customHeight="1" x14ac:dyDescent="0.25">
      <c r="A11" s="127" t="s">
        <v>9</v>
      </c>
      <c r="B11" s="128"/>
      <c r="C11" s="128"/>
      <c r="D11" s="128"/>
      <c r="E11" s="129"/>
      <c r="F11" s="189" t="s">
        <v>249</v>
      </c>
      <c r="G11" s="190"/>
      <c r="H11" s="190"/>
      <c r="I11" s="190"/>
      <c r="J11" s="191"/>
    </row>
    <row r="12" spans="1:10" x14ac:dyDescent="0.25">
      <c r="A12" s="127" t="s">
        <v>10</v>
      </c>
      <c r="B12" s="128"/>
      <c r="C12" s="128"/>
      <c r="D12" s="128"/>
      <c r="E12" s="129"/>
      <c r="F12" s="164" t="s">
        <v>226</v>
      </c>
      <c r="G12" s="128"/>
      <c r="H12" s="128"/>
      <c r="I12" s="128"/>
      <c r="J12" s="129"/>
    </row>
    <row r="13" spans="1:10" ht="31.5" customHeight="1" x14ac:dyDescent="0.25">
      <c r="A13" s="192" t="s">
        <v>11</v>
      </c>
      <c r="B13" s="192"/>
      <c r="C13" s="164" t="str">
        <f>CONCATENATE((IF(OR(F8="",F8="NA"),"",F8)),", ",(IF(OR(A14="",A14="NA"),"",A14)),".",(IF(OR(C14="",C14="NA"),"",C14)),", ",(IF(OR(C15="",C15="NA"),"",C15)),", ",(IF(OR(H15="",H15="NA"),"",H15)),", ",(IF(OR(C16="",C16="NA"),"",C16)),", ",(IF(OR(H16="",H16="NA"),"",H16)),".")</f>
        <v>Vrindavan City (Wing F), Survey No.28/3, 30/4, 28/3/1 &amp; 30/3, Boisar- Tarapur Road, Kurgoan, Boisar, Palghar.</v>
      </c>
      <c r="D13" s="165"/>
      <c r="E13" s="165"/>
      <c r="F13" s="165"/>
      <c r="G13" s="165"/>
      <c r="H13" s="165"/>
      <c r="I13" s="165"/>
      <c r="J13" s="166"/>
    </row>
    <row r="14" spans="1:10" ht="15.75" customHeight="1" x14ac:dyDescent="0.25">
      <c r="A14" s="164" t="s">
        <v>184</v>
      </c>
      <c r="B14" s="166"/>
      <c r="C14" s="193" t="s">
        <v>191</v>
      </c>
      <c r="D14" s="194"/>
      <c r="E14" s="194"/>
      <c r="F14" s="194"/>
      <c r="G14" s="194"/>
      <c r="H14" s="194"/>
      <c r="I14" s="194"/>
      <c r="J14" s="195"/>
    </row>
    <row r="15" spans="1:10" ht="15.75" customHeight="1" x14ac:dyDescent="0.25">
      <c r="A15" s="164" t="s">
        <v>12</v>
      </c>
      <c r="B15" s="166"/>
      <c r="C15" s="153" t="s">
        <v>182</v>
      </c>
      <c r="D15" s="153"/>
      <c r="E15" s="153"/>
      <c r="F15" s="154" t="s">
        <v>142</v>
      </c>
      <c r="G15" s="155"/>
      <c r="H15" s="189" t="s">
        <v>183</v>
      </c>
      <c r="I15" s="190"/>
      <c r="J15" s="191"/>
    </row>
    <row r="16" spans="1:10" x14ac:dyDescent="0.25">
      <c r="A16" s="152" t="s">
        <v>14</v>
      </c>
      <c r="B16" s="152"/>
      <c r="C16" s="153" t="s">
        <v>193</v>
      </c>
      <c r="D16" s="153"/>
      <c r="E16" s="153"/>
      <c r="F16" s="154" t="s">
        <v>13</v>
      </c>
      <c r="G16" s="155"/>
      <c r="H16" s="156" t="s">
        <v>159</v>
      </c>
      <c r="I16" s="156"/>
      <c r="J16" s="156"/>
    </row>
    <row r="17" spans="1:10" x14ac:dyDescent="0.25">
      <c r="A17" s="152" t="s">
        <v>143</v>
      </c>
      <c r="B17" s="152"/>
      <c r="C17" s="189" t="s">
        <v>159</v>
      </c>
      <c r="D17" s="190"/>
      <c r="E17" s="191"/>
      <c r="F17" s="154" t="s">
        <v>15</v>
      </c>
      <c r="G17" s="155"/>
      <c r="H17" s="189">
        <v>401501</v>
      </c>
      <c r="I17" s="190"/>
      <c r="J17" s="191"/>
    </row>
    <row r="18" spans="1:10" ht="32.25" customHeight="1" x14ac:dyDescent="0.25">
      <c r="A18" s="152" t="s">
        <v>16</v>
      </c>
      <c r="B18" s="152"/>
      <c r="C18" s="196" t="s">
        <v>189</v>
      </c>
      <c r="D18" s="196"/>
      <c r="E18" s="196"/>
      <c r="F18" s="192" t="s">
        <v>17</v>
      </c>
      <c r="G18" s="192"/>
      <c r="H18" s="197" t="s">
        <v>190</v>
      </c>
      <c r="I18" s="197"/>
      <c r="J18" s="198"/>
    </row>
    <row r="19" spans="1:10" ht="15" customHeight="1" x14ac:dyDescent="0.25">
      <c r="A19" s="154" t="s">
        <v>155</v>
      </c>
      <c r="B19" s="199"/>
      <c r="C19" s="199"/>
      <c r="D19" s="199"/>
      <c r="E19" s="155"/>
      <c r="F19" s="203" t="s">
        <v>18</v>
      </c>
      <c r="G19" s="204"/>
      <c r="H19" s="204"/>
      <c r="I19" s="204"/>
      <c r="J19" s="205"/>
    </row>
    <row r="20" spans="1:10" ht="18.75" customHeight="1" x14ac:dyDescent="0.25">
      <c r="A20" s="200"/>
      <c r="B20" s="201"/>
      <c r="C20" s="201"/>
      <c r="D20" s="201"/>
      <c r="E20" s="202"/>
      <c r="F20" s="206"/>
      <c r="G20" s="207"/>
      <c r="H20" s="207"/>
      <c r="I20" s="207"/>
      <c r="J20" s="208"/>
    </row>
    <row r="21" spans="1:10" ht="15" customHeight="1" x14ac:dyDescent="0.25">
      <c r="A21" s="154" t="s">
        <v>19</v>
      </c>
      <c r="B21" s="199"/>
      <c r="C21" s="199"/>
      <c r="D21" s="199"/>
      <c r="E21" s="155"/>
      <c r="F21" s="154" t="s">
        <v>20</v>
      </c>
      <c r="G21" s="199"/>
      <c r="H21" s="199"/>
      <c r="I21" s="199"/>
      <c r="J21" s="155"/>
    </row>
    <row r="22" spans="1:10" x14ac:dyDescent="0.25">
      <c r="A22" s="200"/>
      <c r="B22" s="201"/>
      <c r="C22" s="201"/>
      <c r="D22" s="201"/>
      <c r="E22" s="202"/>
      <c r="F22" s="200"/>
      <c r="G22" s="201"/>
      <c r="H22" s="201"/>
      <c r="I22" s="201"/>
      <c r="J22" s="202"/>
    </row>
    <row r="23" spans="1:10" ht="15" customHeight="1" x14ac:dyDescent="0.25">
      <c r="A23" s="127" t="s">
        <v>21</v>
      </c>
      <c r="B23" s="128"/>
      <c r="C23" s="128"/>
      <c r="D23" s="128"/>
      <c r="E23" s="129"/>
      <c r="F23" s="179" t="s">
        <v>22</v>
      </c>
      <c r="G23" s="180"/>
      <c r="H23" s="180"/>
      <c r="I23" s="180"/>
      <c r="J23" s="181"/>
    </row>
    <row r="24" spans="1:10" x14ac:dyDescent="0.25">
      <c r="A24" s="127" t="s">
        <v>23</v>
      </c>
      <c r="B24" s="128"/>
      <c r="C24" s="128"/>
      <c r="D24" s="128"/>
      <c r="E24" s="129"/>
      <c r="F24" s="179" t="s">
        <v>24</v>
      </c>
      <c r="G24" s="180"/>
      <c r="H24" s="180"/>
      <c r="I24" s="180"/>
      <c r="J24" s="181"/>
    </row>
    <row r="25" spans="1:10" ht="15" customHeight="1" x14ac:dyDescent="0.25">
      <c r="A25" s="127" t="s">
        <v>25</v>
      </c>
      <c r="B25" s="128"/>
      <c r="C25" s="128"/>
      <c r="D25" s="128"/>
      <c r="E25" s="129"/>
      <c r="F25" s="179" t="s">
        <v>26</v>
      </c>
      <c r="G25" s="180"/>
      <c r="H25" s="180"/>
      <c r="I25" s="180"/>
      <c r="J25" s="181"/>
    </row>
    <row r="26" spans="1:10" x14ac:dyDescent="0.25">
      <c r="A26" s="127" t="s">
        <v>27</v>
      </c>
      <c r="B26" s="128"/>
      <c r="C26" s="128"/>
      <c r="D26" s="128"/>
      <c r="E26" s="129"/>
      <c r="F26" s="179" t="s">
        <v>28</v>
      </c>
      <c r="G26" s="180"/>
      <c r="H26" s="180"/>
      <c r="I26" s="180"/>
      <c r="J26" s="181"/>
    </row>
    <row r="27" spans="1:10" x14ac:dyDescent="0.25">
      <c r="A27" s="157" t="s">
        <v>29</v>
      </c>
      <c r="B27" s="158"/>
      <c r="C27" s="157" t="s">
        <v>30</v>
      </c>
      <c r="D27" s="158"/>
      <c r="E27" s="157" t="s">
        <v>31</v>
      </c>
      <c r="F27" s="158"/>
      <c r="G27" s="157" t="s">
        <v>33</v>
      </c>
      <c r="H27" s="158"/>
      <c r="I27" s="157" t="s">
        <v>32</v>
      </c>
      <c r="J27" s="158"/>
    </row>
    <row r="28" spans="1:10" x14ac:dyDescent="0.25">
      <c r="A28" s="159" t="s">
        <v>34</v>
      </c>
      <c r="B28" s="160"/>
      <c r="C28" s="159" t="s">
        <v>35</v>
      </c>
      <c r="D28" s="160"/>
      <c r="E28" s="159" t="s">
        <v>35</v>
      </c>
      <c r="F28" s="160"/>
      <c r="G28" s="159" t="s">
        <v>35</v>
      </c>
      <c r="H28" s="160"/>
      <c r="I28" s="159" t="s">
        <v>35</v>
      </c>
      <c r="J28" s="160"/>
    </row>
    <row r="29" spans="1:10" ht="31.5" customHeight="1" x14ac:dyDescent="0.25">
      <c r="A29" s="159" t="s">
        <v>36</v>
      </c>
      <c r="B29" s="160"/>
      <c r="C29" s="187" t="s">
        <v>185</v>
      </c>
      <c r="D29" s="188"/>
      <c r="E29" s="187" t="s">
        <v>186</v>
      </c>
      <c r="F29" s="188"/>
      <c r="G29" s="187" t="s">
        <v>187</v>
      </c>
      <c r="H29" s="188"/>
      <c r="I29" s="187" t="s">
        <v>188</v>
      </c>
      <c r="J29" s="188"/>
    </row>
    <row r="30" spans="1:10" x14ac:dyDescent="0.25">
      <c r="A30" s="127" t="s">
        <v>37</v>
      </c>
      <c r="B30" s="128"/>
      <c r="C30" s="128"/>
      <c r="D30" s="128"/>
      <c r="E30" s="128"/>
      <c r="F30" s="128"/>
      <c r="G30" s="128"/>
      <c r="H30" s="128"/>
      <c r="I30" s="128"/>
      <c r="J30" s="129"/>
    </row>
    <row r="31" spans="1:10" x14ac:dyDescent="0.25">
      <c r="A31" s="127" t="s">
        <v>38</v>
      </c>
      <c r="B31" s="128"/>
      <c r="C31" s="128"/>
      <c r="D31" s="128"/>
      <c r="E31" s="128"/>
      <c r="F31" s="128"/>
      <c r="G31" s="128"/>
      <c r="H31" s="128"/>
      <c r="I31" s="128"/>
      <c r="J31" s="129"/>
    </row>
    <row r="32" spans="1:10" x14ac:dyDescent="0.25">
      <c r="A32" s="79" t="s">
        <v>39</v>
      </c>
      <c r="B32" s="81"/>
      <c r="C32" s="127" t="s">
        <v>280</v>
      </c>
      <c r="D32" s="128"/>
      <c r="E32" s="128"/>
      <c r="F32" s="128"/>
      <c r="G32" s="128"/>
      <c r="H32" s="128"/>
      <c r="I32" s="128"/>
      <c r="J32" s="129"/>
    </row>
    <row r="33" spans="1:10" x14ac:dyDescent="0.25">
      <c r="A33" s="79" t="s">
        <v>277</v>
      </c>
      <c r="B33" s="81"/>
      <c r="C33" s="256" t="s">
        <v>278</v>
      </c>
      <c r="D33" s="128"/>
      <c r="E33" s="128"/>
      <c r="F33" s="128"/>
      <c r="G33" s="128"/>
      <c r="H33" s="128"/>
      <c r="I33" s="128"/>
      <c r="J33" s="129"/>
    </row>
    <row r="34" spans="1:10" x14ac:dyDescent="0.25">
      <c r="A34" s="79" t="s">
        <v>40</v>
      </c>
      <c r="B34" s="80"/>
      <c r="C34" s="80"/>
      <c r="D34" s="80"/>
      <c r="E34" s="80"/>
      <c r="F34" s="80"/>
      <c r="G34" s="80"/>
      <c r="H34" s="80"/>
      <c r="I34" s="80"/>
      <c r="J34" s="81"/>
    </row>
    <row r="35" spans="1:10" ht="15" customHeight="1" x14ac:dyDescent="0.25">
      <c r="A35" s="164" t="s">
        <v>41</v>
      </c>
      <c r="B35" s="165"/>
      <c r="C35" s="165"/>
      <c r="D35" s="165"/>
      <c r="E35" s="166"/>
      <c r="F35" s="167" t="s">
        <v>199</v>
      </c>
      <c r="G35" s="168"/>
      <c r="H35" s="168"/>
      <c r="I35" s="168"/>
      <c r="J35" s="169"/>
    </row>
    <row r="36" spans="1:10" ht="15" customHeight="1" x14ac:dyDescent="0.25">
      <c r="A36" s="200" t="s">
        <v>42</v>
      </c>
      <c r="B36" s="201"/>
      <c r="C36" s="201"/>
      <c r="D36" s="201"/>
      <c r="E36" s="201"/>
      <c r="F36" s="164" t="s">
        <v>43</v>
      </c>
      <c r="G36" s="165"/>
      <c r="H36" s="165"/>
      <c r="I36" s="165"/>
      <c r="J36" s="166"/>
    </row>
    <row r="37" spans="1:10" x14ac:dyDescent="0.25">
      <c r="A37" s="79" t="s">
        <v>44</v>
      </c>
      <c r="B37" s="80"/>
      <c r="C37" s="80"/>
      <c r="D37" s="80"/>
      <c r="E37" s="80"/>
      <c r="F37" s="80"/>
      <c r="G37" s="80"/>
      <c r="H37" s="80"/>
      <c r="I37" s="80"/>
      <c r="J37" s="81"/>
    </row>
    <row r="38" spans="1:10" x14ac:dyDescent="0.25">
      <c r="A38" s="127" t="s">
        <v>45</v>
      </c>
      <c r="B38" s="128"/>
      <c r="C38" s="128"/>
      <c r="D38" s="128"/>
      <c r="E38" s="129"/>
      <c r="F38" s="215">
        <v>20375</v>
      </c>
      <c r="G38" s="216"/>
      <c r="H38" s="216"/>
      <c r="I38" s="216"/>
      <c r="J38" s="217"/>
    </row>
    <row r="39" spans="1:10" x14ac:dyDescent="0.25">
      <c r="A39" s="127" t="s">
        <v>46</v>
      </c>
      <c r="B39" s="128"/>
      <c r="C39" s="128"/>
      <c r="D39" s="128"/>
      <c r="E39" s="129"/>
      <c r="F39" s="161">
        <v>0.9</v>
      </c>
      <c r="G39" s="162"/>
      <c r="H39" s="162"/>
      <c r="I39" s="162"/>
      <c r="J39" s="163"/>
    </row>
    <row r="40" spans="1:10" x14ac:dyDescent="0.25">
      <c r="A40" s="127" t="s">
        <v>47</v>
      </c>
      <c r="B40" s="128"/>
      <c r="C40" s="128"/>
      <c r="D40" s="128"/>
      <c r="E40" s="129"/>
      <c r="F40" s="161">
        <v>0</v>
      </c>
      <c r="G40" s="162"/>
      <c r="H40" s="162"/>
      <c r="I40" s="162"/>
      <c r="J40" s="163"/>
    </row>
    <row r="41" spans="1:10" x14ac:dyDescent="0.25">
      <c r="A41" s="127" t="s">
        <v>48</v>
      </c>
      <c r="B41" s="128"/>
      <c r="C41" s="128"/>
      <c r="D41" s="128"/>
      <c r="E41" s="129"/>
      <c r="F41" s="161">
        <f>F39+F40</f>
        <v>0.9</v>
      </c>
      <c r="G41" s="162"/>
      <c r="H41" s="162"/>
      <c r="I41" s="162"/>
      <c r="J41" s="163"/>
    </row>
    <row r="42" spans="1:10" x14ac:dyDescent="0.25">
      <c r="A42" s="127" t="s">
        <v>49</v>
      </c>
      <c r="B42" s="128"/>
      <c r="C42" s="128"/>
      <c r="D42" s="128"/>
      <c r="E42" s="129"/>
      <c r="F42" s="161">
        <f>F38*F41</f>
        <v>18337.5</v>
      </c>
      <c r="G42" s="162"/>
      <c r="H42" s="162"/>
      <c r="I42" s="162"/>
      <c r="J42" s="163"/>
    </row>
    <row r="43" spans="1:10" x14ac:dyDescent="0.25">
      <c r="A43" s="127" t="s">
        <v>50</v>
      </c>
      <c r="B43" s="128"/>
      <c r="C43" s="128"/>
      <c r="D43" s="128"/>
      <c r="E43" s="129"/>
      <c r="F43" s="212" t="s">
        <v>227</v>
      </c>
      <c r="G43" s="213"/>
      <c r="H43" s="213"/>
      <c r="I43" s="213"/>
      <c r="J43" s="214"/>
    </row>
    <row r="44" spans="1:10" x14ac:dyDescent="0.25">
      <c r="A44" s="79" t="s">
        <v>51</v>
      </c>
      <c r="B44" s="80"/>
      <c r="C44" s="80"/>
      <c r="D44" s="80"/>
      <c r="E44" s="80"/>
      <c r="F44" s="80"/>
      <c r="G44" s="80"/>
      <c r="H44" s="80"/>
      <c r="I44" s="80"/>
      <c r="J44" s="81"/>
    </row>
    <row r="45" spans="1:10" x14ac:dyDescent="0.25">
      <c r="A45" s="164" t="s">
        <v>52</v>
      </c>
      <c r="B45" s="166"/>
      <c r="C45" s="223" t="s">
        <v>192</v>
      </c>
      <c r="D45" s="224"/>
      <c r="E45" s="224"/>
      <c r="F45" s="225"/>
      <c r="G45" s="36" t="s">
        <v>53</v>
      </c>
      <c r="H45" s="218">
        <v>43435</v>
      </c>
      <c r="I45" s="219"/>
      <c r="J45" s="220"/>
    </row>
    <row r="46" spans="1:10" ht="31.5" customHeight="1" x14ac:dyDescent="0.25">
      <c r="A46" s="164" t="s">
        <v>54</v>
      </c>
      <c r="B46" s="166"/>
      <c r="C46" s="138" t="str">
        <f>C45</f>
        <v>MHSL/KS.1/T.1/BSP/SR/CR/69/2018.</v>
      </c>
      <c r="D46" s="139"/>
      <c r="E46" s="139"/>
      <c r="F46" s="140"/>
      <c r="G46" s="20" t="s">
        <v>53</v>
      </c>
      <c r="H46" s="266">
        <f>H45</f>
        <v>43435</v>
      </c>
      <c r="I46" s="267"/>
      <c r="J46" s="268"/>
    </row>
    <row r="47" spans="1:10" ht="68.25" customHeight="1" x14ac:dyDescent="0.25">
      <c r="A47" s="164" t="s">
        <v>55</v>
      </c>
      <c r="B47" s="166"/>
      <c r="C47" s="138" t="s">
        <v>228</v>
      </c>
      <c r="D47" s="209"/>
      <c r="E47" s="209"/>
      <c r="F47" s="210"/>
      <c r="G47" s="13" t="s">
        <v>53</v>
      </c>
      <c r="H47" s="269">
        <f>H46</f>
        <v>43435</v>
      </c>
      <c r="I47" s="221" t="s">
        <v>56</v>
      </c>
      <c r="J47" s="222"/>
    </row>
    <row r="48" spans="1:10" ht="15" customHeight="1" x14ac:dyDescent="0.25">
      <c r="A48" s="164" t="s">
        <v>57</v>
      </c>
      <c r="B48" s="166"/>
      <c r="C48" s="138" t="s">
        <v>152</v>
      </c>
      <c r="D48" s="209"/>
      <c r="E48" s="209"/>
      <c r="F48" s="210" t="s">
        <v>58</v>
      </c>
      <c r="G48" s="20" t="s">
        <v>53</v>
      </c>
      <c r="H48" s="164" t="s">
        <v>35</v>
      </c>
      <c r="I48" s="165" t="s">
        <v>35</v>
      </c>
      <c r="J48" s="166"/>
    </row>
    <row r="49" spans="1:12" x14ac:dyDescent="0.25">
      <c r="A49" s="152" t="s">
        <v>59</v>
      </c>
      <c r="B49" s="152"/>
      <c r="C49" s="152"/>
      <c r="D49" s="270">
        <f>H47</f>
        <v>43435</v>
      </c>
      <c r="E49" s="270"/>
      <c r="F49" s="127" t="s">
        <v>60</v>
      </c>
      <c r="G49" s="211"/>
      <c r="H49" s="212" t="s">
        <v>281</v>
      </c>
      <c r="I49" s="213"/>
      <c r="J49" s="214"/>
    </row>
    <row r="50" spans="1:12" x14ac:dyDescent="0.25">
      <c r="A50" s="228" t="s">
        <v>61</v>
      </c>
      <c r="B50" s="229"/>
      <c r="C50" s="229"/>
      <c r="D50" s="229"/>
      <c r="E50" s="229"/>
      <c r="F50" s="229"/>
      <c r="G50" s="229"/>
      <c r="H50" s="229"/>
      <c r="I50" s="229"/>
      <c r="J50" s="230"/>
    </row>
    <row r="51" spans="1:12" ht="15.75" customHeight="1" x14ac:dyDescent="0.25">
      <c r="A51" s="127" t="s">
        <v>62</v>
      </c>
      <c r="B51" s="128"/>
      <c r="C51" s="129"/>
      <c r="D51" s="159">
        <v>2557.63</v>
      </c>
      <c r="E51" s="160"/>
      <c r="F51" s="231" t="s">
        <v>63</v>
      </c>
      <c r="G51" s="232"/>
      <c r="H51" s="231" t="s">
        <v>251</v>
      </c>
      <c r="I51" s="233"/>
      <c r="J51" s="232"/>
    </row>
    <row r="52" spans="1:12" ht="34.5" customHeight="1" x14ac:dyDescent="0.25">
      <c r="A52" s="212" t="s">
        <v>64</v>
      </c>
      <c r="B52" s="213"/>
      <c r="C52" s="189" t="s">
        <v>276</v>
      </c>
      <c r="D52" s="190"/>
      <c r="E52" s="190"/>
      <c r="F52" s="190"/>
      <c r="G52" s="191"/>
      <c r="H52" s="164" t="s">
        <v>65</v>
      </c>
      <c r="I52" s="165"/>
      <c r="J52" s="166"/>
    </row>
    <row r="53" spans="1:12" ht="15.75" customHeight="1" x14ac:dyDescent="0.25">
      <c r="A53" s="212" t="s">
        <v>66</v>
      </c>
      <c r="B53" s="213"/>
      <c r="C53" s="213"/>
      <c r="D53" s="189" t="s">
        <v>67</v>
      </c>
      <c r="E53" s="190"/>
      <c r="F53" s="190"/>
      <c r="G53" s="190"/>
      <c r="H53" s="190"/>
      <c r="I53" s="190"/>
      <c r="J53" s="191"/>
    </row>
    <row r="54" spans="1:12" x14ac:dyDescent="0.25">
      <c r="A54" s="212" t="s">
        <v>194</v>
      </c>
      <c r="B54" s="213"/>
      <c r="C54" s="213"/>
      <c r="D54" s="213"/>
      <c r="E54" s="213"/>
      <c r="F54" s="213"/>
      <c r="G54" s="213"/>
      <c r="H54" s="213"/>
      <c r="I54" s="213"/>
      <c r="J54" s="214"/>
    </row>
    <row r="55" spans="1:12" ht="15" customHeight="1" thickBot="1" x14ac:dyDescent="0.3">
      <c r="A55" s="132" t="s">
        <v>68</v>
      </c>
      <c r="B55" s="133"/>
      <c r="C55" s="133"/>
      <c r="D55" s="133"/>
      <c r="E55" s="133"/>
      <c r="F55" s="133"/>
      <c r="G55" s="133"/>
      <c r="H55" s="133"/>
      <c r="I55" s="133"/>
      <c r="J55" s="134"/>
    </row>
    <row r="56" spans="1:12" ht="15" customHeight="1" x14ac:dyDescent="0.25">
      <c r="A56" s="82" t="s">
        <v>252</v>
      </c>
      <c r="B56" s="83"/>
      <c r="C56" s="84" t="str">
        <f>C52</f>
        <v>F Wing = Building No. 6 (Type C) = G + 1st to 4th Floor</v>
      </c>
      <c r="D56" s="85"/>
      <c r="E56" s="85"/>
      <c r="F56" s="85"/>
      <c r="G56" s="85"/>
      <c r="H56" s="85"/>
      <c r="I56" s="85"/>
      <c r="J56" s="86"/>
      <c r="K56" s="53"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External Plaster, Painting upto 1 Floor Completed</v>
      </c>
      <c r="L56" s="54"/>
    </row>
    <row r="57" spans="1:12" ht="15" customHeight="1" x14ac:dyDescent="0.25">
      <c r="A57" s="55" t="s">
        <v>138</v>
      </c>
      <c r="B57" s="56">
        <v>0</v>
      </c>
      <c r="C57" s="56" t="s">
        <v>140</v>
      </c>
      <c r="D57" s="56">
        <v>1</v>
      </c>
      <c r="E57" s="87" t="s">
        <v>139</v>
      </c>
      <c r="F57" s="88"/>
      <c r="G57" s="56">
        <v>0</v>
      </c>
      <c r="H57" s="56" t="s">
        <v>253</v>
      </c>
      <c r="I57" s="87">
        <f ca="1">--TRIM(RIGHT(SUBSTITUTE(LEFT(C56,_xlfn.AGGREGATE(16,6,FIND({0,1,2,3,4,5,6,7,8,9},C56,ROW(INDIRECT("1:"&amp;LEN(C56)))),1))," ",REPT(" ",LEN(C56))),LEN(C56)))</f>
        <v>4</v>
      </c>
      <c r="J57" s="89"/>
      <c r="K57" s="57"/>
      <c r="L57" s="58"/>
    </row>
    <row r="58" spans="1:12" ht="30.6" customHeight="1" x14ac:dyDescent="0.25">
      <c r="A58" s="90" t="s">
        <v>254</v>
      </c>
      <c r="B58" s="91"/>
      <c r="C58" s="92" t="str">
        <f ca="1">K56</f>
        <v>Excavation work Completed. Plinth work completed, RCC Slab, Brickwork, Internal Plaster, External Plaster, Painting upto 1 Floor Completed</v>
      </c>
      <c r="D58" s="93"/>
      <c r="E58" s="93"/>
      <c r="F58" s="93"/>
      <c r="G58" s="93"/>
      <c r="H58" s="93"/>
      <c r="I58" s="93"/>
      <c r="J58" s="94"/>
      <c r="K58" s="57" t="s">
        <v>255</v>
      </c>
      <c r="L58" s="58"/>
    </row>
    <row r="59" spans="1:12" ht="15" customHeight="1" x14ac:dyDescent="0.25">
      <c r="A59" s="95" t="s">
        <v>69</v>
      </c>
      <c r="B59" s="96"/>
      <c r="C59" s="59" t="s">
        <v>256</v>
      </c>
      <c r="D59" s="74" t="s">
        <v>257</v>
      </c>
      <c r="E59" s="74"/>
      <c r="F59" s="74" t="s">
        <v>258</v>
      </c>
      <c r="G59" s="74"/>
      <c r="H59" s="74" t="s">
        <v>259</v>
      </c>
      <c r="I59" s="74"/>
      <c r="J59" s="97"/>
      <c r="K59" s="60" t="s">
        <v>260</v>
      </c>
      <c r="L59" s="61">
        <f ca="1">I57*25%</f>
        <v>1</v>
      </c>
    </row>
    <row r="60" spans="1:12" ht="15" customHeight="1" x14ac:dyDescent="0.25">
      <c r="A60" s="73" t="s">
        <v>261</v>
      </c>
      <c r="B60" s="74"/>
      <c r="C60" s="62">
        <f ca="1">L61</f>
        <v>4</v>
      </c>
      <c r="D60" s="71">
        <f ca="1">((100/I57)*C60)/100</f>
        <v>1</v>
      </c>
      <c r="E60" s="72"/>
      <c r="F60" s="98">
        <f ca="1">(((C61/I57*10)+(40/(D57+G57+I57)*C62)+(7.5/(I57)*C63)+(7.5/(I57)*C64)+(10/I57*C65)+(10/I57*C66)+(5/I57*C67)+(5/I57*C68)+(5/I57*C69))/100)</f>
        <v>0.76249999999999996</v>
      </c>
      <c r="G60" s="98"/>
      <c r="H60" s="100">
        <f ca="1">((((C60/I57)*20)+((C61/I57)*25)+(30/(I57+G57+D57)*C62)+(5/I57*C63)+(5/I57*C64)+(5/I57*C65)+(5/I57*C66)+(0/I57*C67)+(0/I57*C68)+(5/I57*C69))/100)</f>
        <v>0.9</v>
      </c>
      <c r="I60" s="101"/>
      <c r="J60" s="102"/>
      <c r="K60" s="60" t="s">
        <v>146</v>
      </c>
      <c r="L60" s="63">
        <f ca="1">I57*50%</f>
        <v>2</v>
      </c>
    </row>
    <row r="61" spans="1:12" ht="15" customHeight="1" x14ac:dyDescent="0.25">
      <c r="A61" s="73" t="s">
        <v>70</v>
      </c>
      <c r="B61" s="74"/>
      <c r="C61" s="64">
        <f ca="1">L69</f>
        <v>4</v>
      </c>
      <c r="D61" s="71">
        <f ca="1">((100/I57)*C61)/100</f>
        <v>1</v>
      </c>
      <c r="E61" s="72"/>
      <c r="F61" s="98"/>
      <c r="G61" s="98"/>
      <c r="H61" s="103"/>
      <c r="I61" s="104"/>
      <c r="J61" s="105"/>
      <c r="K61" s="60" t="s">
        <v>147</v>
      </c>
      <c r="L61" s="63">
        <f ca="1">I57</f>
        <v>4</v>
      </c>
    </row>
    <row r="62" spans="1:12" ht="15" customHeight="1" x14ac:dyDescent="0.25">
      <c r="A62" s="109" t="s">
        <v>262</v>
      </c>
      <c r="B62" s="110"/>
      <c r="C62" s="64">
        <v>5</v>
      </c>
      <c r="D62" s="71">
        <f ca="1">((100/(D57+G57+I57))*C62)/100</f>
        <v>1</v>
      </c>
      <c r="E62" s="72"/>
      <c r="F62" s="98"/>
      <c r="G62" s="98"/>
      <c r="H62" s="103"/>
      <c r="I62" s="104"/>
      <c r="J62" s="105"/>
      <c r="K62" s="60" t="s">
        <v>148</v>
      </c>
      <c r="L62" s="65">
        <f ca="1">(IF(B57&gt;1,(I57/(B57+2)),I57/4))</f>
        <v>1</v>
      </c>
    </row>
    <row r="63" spans="1:12" ht="15" customHeight="1" x14ac:dyDescent="0.25">
      <c r="A63" s="73" t="s">
        <v>263</v>
      </c>
      <c r="B63" s="74" t="s">
        <v>264</v>
      </c>
      <c r="C63" s="62">
        <v>4</v>
      </c>
      <c r="D63" s="71">
        <f ca="1">((100/I57)*C63)/100</f>
        <v>1</v>
      </c>
      <c r="E63" s="72"/>
      <c r="F63" s="98"/>
      <c r="G63" s="98"/>
      <c r="H63" s="103"/>
      <c r="I63" s="104"/>
      <c r="J63" s="105"/>
      <c r="K63" s="60" t="s">
        <v>149</v>
      </c>
      <c r="L63" s="65">
        <f ca="1">(IF(B57&gt;1,(I57/(B57+2)+L62),I57/4+L62))</f>
        <v>2</v>
      </c>
    </row>
    <row r="64" spans="1:12" ht="15" customHeight="1" x14ac:dyDescent="0.25">
      <c r="A64" s="73" t="s">
        <v>265</v>
      </c>
      <c r="B64" s="74" t="s">
        <v>264</v>
      </c>
      <c r="C64" s="62">
        <v>4</v>
      </c>
      <c r="D64" s="71">
        <f ca="1">((100/I57)*C64)/100</f>
        <v>1</v>
      </c>
      <c r="E64" s="72"/>
      <c r="F64" s="98"/>
      <c r="G64" s="98"/>
      <c r="H64" s="103"/>
      <c r="I64" s="104"/>
      <c r="J64" s="105"/>
      <c r="K64" s="60" t="s">
        <v>266</v>
      </c>
      <c r="L64" s="65">
        <f>(IF(B57&gt;1,(I57/(B57+2)+L63),0))</f>
        <v>0</v>
      </c>
    </row>
    <row r="65" spans="1:12" x14ac:dyDescent="0.25">
      <c r="A65" s="73" t="s">
        <v>267</v>
      </c>
      <c r="B65" s="74" t="s">
        <v>268</v>
      </c>
      <c r="C65" s="62">
        <v>4</v>
      </c>
      <c r="D65" s="71">
        <f ca="1">((100/(I57))*C65)/100</f>
        <v>1</v>
      </c>
      <c r="E65" s="72"/>
      <c r="F65" s="98"/>
      <c r="G65" s="98"/>
      <c r="H65" s="103"/>
      <c r="I65" s="104"/>
      <c r="J65" s="105"/>
      <c r="K65" s="60" t="s">
        <v>269</v>
      </c>
      <c r="L65" s="65">
        <f>(IF(B57&gt;2,(I57/(B57+2)+L64),0))</f>
        <v>0</v>
      </c>
    </row>
    <row r="66" spans="1:12" ht="15" customHeight="1" x14ac:dyDescent="0.25">
      <c r="A66" s="73" t="s">
        <v>270</v>
      </c>
      <c r="B66" s="74" t="s">
        <v>270</v>
      </c>
      <c r="C66" s="62">
        <v>0</v>
      </c>
      <c r="D66" s="71">
        <f ca="1">((100/I57)*C66)/100</f>
        <v>0</v>
      </c>
      <c r="E66" s="72"/>
      <c r="F66" s="98"/>
      <c r="G66" s="98"/>
      <c r="H66" s="103"/>
      <c r="I66" s="104"/>
      <c r="J66" s="105"/>
      <c r="K66" s="60" t="s">
        <v>271</v>
      </c>
      <c r="L66" s="66">
        <f>(IF(B57&gt;3,(I57/(B57+2)+L65),0))</f>
        <v>0</v>
      </c>
    </row>
    <row r="67" spans="1:12" ht="15" customHeight="1" x14ac:dyDescent="0.25">
      <c r="A67" s="73" t="s">
        <v>272</v>
      </c>
      <c r="B67" s="74"/>
      <c r="C67" s="62">
        <v>1</v>
      </c>
      <c r="D67" s="71">
        <f ca="1">((100/I57)*C67)/100</f>
        <v>0.25</v>
      </c>
      <c r="E67" s="72"/>
      <c r="F67" s="98"/>
      <c r="G67" s="98"/>
      <c r="H67" s="103"/>
      <c r="I67" s="104"/>
      <c r="J67" s="105"/>
      <c r="K67" s="60" t="s">
        <v>273</v>
      </c>
      <c r="L67" s="65">
        <f>(IF(B57&gt;4,(I57/(B57+2)+L66),0))</f>
        <v>0</v>
      </c>
    </row>
    <row r="68" spans="1:12" ht="15" customHeight="1" x14ac:dyDescent="0.25">
      <c r="A68" s="73" t="s">
        <v>274</v>
      </c>
      <c r="B68" s="74" t="s">
        <v>274</v>
      </c>
      <c r="C68" s="62">
        <v>0</v>
      </c>
      <c r="D68" s="71">
        <f ca="1">((100/(I57))*C68)/100</f>
        <v>0</v>
      </c>
      <c r="E68" s="72"/>
      <c r="F68" s="98"/>
      <c r="G68" s="98"/>
      <c r="H68" s="103"/>
      <c r="I68" s="104"/>
      <c r="J68" s="105"/>
      <c r="K68" s="60" t="s">
        <v>150</v>
      </c>
      <c r="L68" s="65">
        <f ca="1">(IF(B57=1,(I57/(B57+3)+L63),IF(B57=0,(I57/4+L63),IF(B57&gt;1,0))))</f>
        <v>3</v>
      </c>
    </row>
    <row r="69" spans="1:12" ht="15" customHeight="1" thickBot="1" x14ac:dyDescent="0.3">
      <c r="A69" s="75" t="s">
        <v>275</v>
      </c>
      <c r="B69" s="76"/>
      <c r="C69" s="67">
        <v>0</v>
      </c>
      <c r="D69" s="77">
        <f ca="1">((100/(I57))*C69)/100</f>
        <v>0</v>
      </c>
      <c r="E69" s="78"/>
      <c r="F69" s="99"/>
      <c r="G69" s="99"/>
      <c r="H69" s="106"/>
      <c r="I69" s="107"/>
      <c r="J69" s="108"/>
      <c r="K69" s="68" t="s">
        <v>151</v>
      </c>
      <c r="L69" s="69">
        <f ca="1">(IF(B57&gt;1.5,(I57/(B57+2)+L63+MAX(0,L64-L63)+MAX(0,L65-L64)+MAX(0,L66-L65)+MAX(0,L67-L66)+MAX(0,L68-L67)),IF(B57=1,(I57/(B57+3)+L68),IF(B57=0,I57/4+L68))))</f>
        <v>4</v>
      </c>
    </row>
    <row r="70" spans="1:12" x14ac:dyDescent="0.25">
      <c r="A70" s="212" t="s">
        <v>195</v>
      </c>
      <c r="B70" s="213"/>
      <c r="C70" s="213"/>
      <c r="D70" s="213"/>
      <c r="E70" s="213"/>
      <c r="F70" s="213"/>
      <c r="G70" s="213"/>
      <c r="H70" s="213"/>
      <c r="I70" s="213"/>
      <c r="J70" s="214"/>
    </row>
    <row r="71" spans="1:12" x14ac:dyDescent="0.25">
      <c r="A71" s="127" t="s">
        <v>75</v>
      </c>
      <c r="B71" s="128"/>
      <c r="C71" s="128"/>
      <c r="D71" s="128"/>
      <c r="E71" s="128"/>
      <c r="F71" s="128"/>
      <c r="G71" s="128"/>
      <c r="H71" s="128"/>
      <c r="I71" s="128"/>
      <c r="J71" s="129"/>
    </row>
    <row r="72" spans="1:12" ht="15" hidden="1" customHeight="1" x14ac:dyDescent="0.25">
      <c r="A72" s="130" t="s">
        <v>144</v>
      </c>
      <c r="B72" s="131"/>
      <c r="C72" s="132" t="s">
        <v>145</v>
      </c>
      <c r="D72" s="133"/>
      <c r="E72" s="133"/>
      <c r="F72" s="133"/>
      <c r="G72" s="133"/>
      <c r="H72" s="133"/>
      <c r="I72" s="133"/>
      <c r="J72" s="134"/>
    </row>
    <row r="73" spans="1:12" x14ac:dyDescent="0.25">
      <c r="A73" s="79" t="s">
        <v>76</v>
      </c>
      <c r="B73" s="80"/>
      <c r="C73" s="80"/>
      <c r="D73" s="80"/>
      <c r="E73" s="80"/>
      <c r="F73" s="80"/>
      <c r="G73" s="80"/>
      <c r="H73" s="80"/>
      <c r="I73" s="80"/>
      <c r="J73" s="81"/>
    </row>
    <row r="74" spans="1:12" x14ac:dyDescent="0.25">
      <c r="A74" s="127" t="s">
        <v>153</v>
      </c>
      <c r="B74" s="128"/>
      <c r="C74" s="128"/>
      <c r="D74" s="128"/>
      <c r="E74" s="128"/>
      <c r="F74" s="129"/>
      <c r="G74" s="135">
        <v>3700</v>
      </c>
      <c r="H74" s="136"/>
      <c r="I74" s="136"/>
      <c r="J74" s="137"/>
    </row>
    <row r="75" spans="1:12" x14ac:dyDescent="0.25">
      <c r="A75" s="127" t="s">
        <v>77</v>
      </c>
      <c r="B75" s="128"/>
      <c r="C75" s="128"/>
      <c r="D75" s="128"/>
      <c r="E75" s="128"/>
      <c r="F75" s="129"/>
      <c r="G75" s="138" t="s">
        <v>202</v>
      </c>
      <c r="H75" s="139"/>
      <c r="I75" s="139"/>
      <c r="J75" s="140"/>
    </row>
    <row r="76" spans="1:12" x14ac:dyDescent="0.25">
      <c r="A76" s="127" t="s">
        <v>78</v>
      </c>
      <c r="B76" s="128"/>
      <c r="C76" s="128"/>
      <c r="D76" s="128"/>
      <c r="E76" s="128"/>
      <c r="F76" s="129"/>
      <c r="G76" s="138" t="s">
        <v>160</v>
      </c>
      <c r="H76" s="139"/>
      <c r="I76" s="139"/>
      <c r="J76" s="140"/>
    </row>
    <row r="77" spans="1:12" x14ac:dyDescent="0.25">
      <c r="A77" s="127" t="s">
        <v>203</v>
      </c>
      <c r="B77" s="128"/>
      <c r="C77" s="128"/>
      <c r="D77" s="128"/>
      <c r="E77" s="128"/>
      <c r="F77" s="129"/>
      <c r="G77" s="138" t="s">
        <v>204</v>
      </c>
      <c r="H77" s="139"/>
      <c r="I77" s="139"/>
      <c r="J77" s="140"/>
    </row>
    <row r="78" spans="1:12" s="14" customFormat="1" ht="14.45" customHeight="1" x14ac:dyDescent="0.25">
      <c r="A78" s="79" t="s">
        <v>79</v>
      </c>
      <c r="B78" s="80"/>
      <c r="C78" s="80"/>
      <c r="D78" s="80"/>
      <c r="E78" s="80"/>
      <c r="F78" s="81"/>
      <c r="G78" s="234">
        <f>G74*0.8</f>
        <v>2960</v>
      </c>
      <c r="H78" s="209"/>
      <c r="I78" s="209"/>
      <c r="J78" s="210"/>
    </row>
    <row r="79" spans="1:12" s="1" customFormat="1" x14ac:dyDescent="0.25">
      <c r="A79" s="111" t="s">
        <v>137</v>
      </c>
      <c r="B79" s="112"/>
      <c r="C79" s="112"/>
      <c r="D79" s="112"/>
      <c r="E79" s="112"/>
      <c r="F79" s="112"/>
      <c r="G79" s="112"/>
      <c r="H79" s="112"/>
      <c r="I79" s="112"/>
      <c r="J79" s="243"/>
    </row>
    <row r="80" spans="1:12" s="1" customFormat="1" x14ac:dyDescent="0.25">
      <c r="A80" s="116" t="s">
        <v>80</v>
      </c>
      <c r="B80" s="118"/>
      <c r="C80" s="10" t="s">
        <v>178</v>
      </c>
      <c r="D80" s="244" t="s">
        <v>81</v>
      </c>
      <c r="E80" s="245"/>
      <c r="F80" s="246"/>
      <c r="G80" s="116" t="s">
        <v>82</v>
      </c>
      <c r="H80" s="117"/>
      <c r="I80" s="117"/>
      <c r="J80" s="118"/>
    </row>
    <row r="81" spans="1:16" s="1" customFormat="1" x14ac:dyDescent="0.25">
      <c r="A81" s="235" t="s">
        <v>229</v>
      </c>
      <c r="B81" s="236"/>
      <c r="C81" s="11">
        <f>COUNT(D88:E105)+COUNT(D107:E124)*4</f>
        <v>90</v>
      </c>
      <c r="D81" s="237">
        <f>SUM(D88:E105)+SUM(D107:E124)*4</f>
        <v>24408.44639999999</v>
      </c>
      <c r="E81" s="238"/>
      <c r="F81" s="239"/>
      <c r="G81" s="240">
        <f>SUM(G88:G105)+SUM(G107:G124)*4</f>
        <v>39150</v>
      </c>
      <c r="H81" s="241"/>
      <c r="I81" s="241"/>
      <c r="J81" s="242"/>
    </row>
    <row r="82" spans="1:16" s="1" customFormat="1" hidden="1" x14ac:dyDescent="0.25">
      <c r="A82" s="111" t="s">
        <v>84</v>
      </c>
      <c r="B82" s="112"/>
      <c r="C82" s="10">
        <f>SUM(C81:C81)</f>
        <v>90</v>
      </c>
      <c r="D82" s="113">
        <f>SUM(D81:F81)</f>
        <v>24408.44639999999</v>
      </c>
      <c r="E82" s="114"/>
      <c r="F82" s="115"/>
      <c r="G82" s="116">
        <f>SUM(G81:J81)</f>
        <v>39150</v>
      </c>
      <c r="H82" s="117"/>
      <c r="I82" s="117"/>
      <c r="J82" s="118"/>
    </row>
    <row r="83" spans="1:16" s="14" customFormat="1" x14ac:dyDescent="0.25">
      <c r="A83" s="119" t="s">
        <v>85</v>
      </c>
      <c r="B83" s="120"/>
      <c r="C83" s="120"/>
      <c r="D83" s="120"/>
      <c r="E83" s="120"/>
      <c r="F83" s="120"/>
      <c r="G83" s="120"/>
      <c r="H83" s="120"/>
      <c r="I83" s="120"/>
      <c r="J83" s="121"/>
    </row>
    <row r="84" spans="1:16" x14ac:dyDescent="0.25">
      <c r="A84" s="119" t="s">
        <v>86</v>
      </c>
      <c r="B84" s="120"/>
      <c r="C84" s="120"/>
      <c r="D84" s="120"/>
      <c r="E84" s="120"/>
      <c r="F84" s="120"/>
      <c r="G84" s="120"/>
      <c r="H84" s="120"/>
      <c r="I84" s="120"/>
      <c r="J84" s="121"/>
    </row>
    <row r="85" spans="1:16" ht="47.25" x14ac:dyDescent="0.25">
      <c r="A85" s="122" t="s">
        <v>154</v>
      </c>
      <c r="B85" s="123"/>
      <c r="C85" s="2" t="s">
        <v>87</v>
      </c>
      <c r="D85" s="122" t="s">
        <v>88</v>
      </c>
      <c r="E85" s="123"/>
      <c r="F85" s="15" t="s">
        <v>89</v>
      </c>
      <c r="G85" s="2" t="s">
        <v>250</v>
      </c>
      <c r="H85" s="2" t="s">
        <v>90</v>
      </c>
      <c r="I85" s="122" t="s">
        <v>91</v>
      </c>
      <c r="J85" s="123"/>
      <c r="L85" s="52" t="s">
        <v>223</v>
      </c>
    </row>
    <row r="86" spans="1:16" s="3" customFormat="1" x14ac:dyDescent="0.25">
      <c r="A86" s="124" t="s">
        <v>225</v>
      </c>
      <c r="B86" s="125"/>
      <c r="C86" s="125"/>
      <c r="D86" s="125"/>
      <c r="E86" s="125"/>
      <c r="F86" s="125"/>
      <c r="G86" s="125"/>
      <c r="H86" s="125"/>
      <c r="I86" s="125"/>
      <c r="J86" s="126"/>
    </row>
    <row r="87" spans="1:16" s="3" customFormat="1" x14ac:dyDescent="0.25">
      <c r="A87" s="124" t="s">
        <v>196</v>
      </c>
      <c r="B87" s="125"/>
      <c r="C87" s="125"/>
      <c r="D87" s="125"/>
      <c r="E87" s="125"/>
      <c r="F87" s="125"/>
      <c r="G87" s="125"/>
      <c r="H87" s="125"/>
      <c r="I87" s="125"/>
      <c r="J87" s="126"/>
      <c r="L87" s="3">
        <f>3.05*4.04+1.98*0.8+2.44*1.91+1.22*1.74</f>
        <v>20.6892</v>
      </c>
    </row>
    <row r="88" spans="1:16" s="3" customFormat="1" ht="15.6" customHeight="1" x14ac:dyDescent="0.25">
      <c r="A88" s="226">
        <v>1</v>
      </c>
      <c r="B88" s="227"/>
      <c r="C88" s="37" t="s">
        <v>230</v>
      </c>
      <c r="D88" s="226">
        <f>(20.96+4.22)*10.764</f>
        <v>271.03751999999997</v>
      </c>
      <c r="E88" s="227"/>
      <c r="F88" s="4">
        <v>0</v>
      </c>
      <c r="G88" s="4">
        <v>435</v>
      </c>
      <c r="H88" s="4" t="s">
        <v>92</v>
      </c>
      <c r="I88" s="247" t="str">
        <f>A87</f>
        <v>Ground Floor for Residential</v>
      </c>
      <c r="J88" s="248"/>
      <c r="L88" s="3">
        <f>2.44+1.78</f>
        <v>4.22</v>
      </c>
      <c r="O88" s="3">
        <f>3700*G88</f>
        <v>1609500</v>
      </c>
      <c r="P88" s="3">
        <f>3700*G88</f>
        <v>1609500</v>
      </c>
    </row>
    <row r="89" spans="1:16" s="3" customFormat="1" ht="15.6" customHeight="1" x14ac:dyDescent="0.25">
      <c r="A89" s="226">
        <v>2</v>
      </c>
      <c r="B89" s="227"/>
      <c r="C89" s="37" t="s">
        <v>230</v>
      </c>
      <c r="D89" s="226">
        <f t="shared" ref="D89:D123" si="0">(20.96+4.22)*10.764</f>
        <v>271.03751999999997</v>
      </c>
      <c r="E89" s="227"/>
      <c r="F89" s="4">
        <v>0</v>
      </c>
      <c r="G89" s="4">
        <v>435</v>
      </c>
      <c r="H89" s="4" t="s">
        <v>92</v>
      </c>
      <c r="I89" s="249"/>
      <c r="J89" s="250"/>
      <c r="N89" s="3">
        <f>3700*435</f>
        <v>1609500</v>
      </c>
    </row>
    <row r="90" spans="1:16" s="3" customFormat="1" ht="15.6" customHeight="1" x14ac:dyDescent="0.25">
      <c r="A90" s="226">
        <v>3</v>
      </c>
      <c r="B90" s="227"/>
      <c r="C90" s="37" t="s">
        <v>230</v>
      </c>
      <c r="D90" s="226">
        <f t="shared" si="0"/>
        <v>271.03751999999997</v>
      </c>
      <c r="E90" s="227"/>
      <c r="F90" s="4">
        <v>0</v>
      </c>
      <c r="G90" s="4">
        <v>435</v>
      </c>
      <c r="H90" s="4" t="s">
        <v>92</v>
      </c>
      <c r="I90" s="249"/>
      <c r="J90" s="250"/>
    </row>
    <row r="91" spans="1:16" s="3" customFormat="1" ht="15.6" customHeight="1" x14ac:dyDescent="0.25">
      <c r="A91" s="226">
        <v>4</v>
      </c>
      <c r="B91" s="227"/>
      <c r="C91" s="37" t="s">
        <v>230</v>
      </c>
      <c r="D91" s="226">
        <f t="shared" si="0"/>
        <v>271.03751999999997</v>
      </c>
      <c r="E91" s="227"/>
      <c r="F91" s="4">
        <v>0</v>
      </c>
      <c r="G91" s="4">
        <v>435</v>
      </c>
      <c r="H91" s="4" t="s">
        <v>92</v>
      </c>
      <c r="I91" s="249"/>
      <c r="J91" s="250"/>
      <c r="L91" s="70">
        <f>3700*435</f>
        <v>1609500</v>
      </c>
    </row>
    <row r="92" spans="1:16" s="3" customFormat="1" ht="15.6" customHeight="1" x14ac:dyDescent="0.25">
      <c r="A92" s="226">
        <v>5</v>
      </c>
      <c r="B92" s="227"/>
      <c r="C92" s="37" t="s">
        <v>230</v>
      </c>
      <c r="D92" s="226">
        <f t="shared" si="0"/>
        <v>271.03751999999997</v>
      </c>
      <c r="E92" s="227"/>
      <c r="F92" s="4">
        <v>0</v>
      </c>
      <c r="G92" s="4">
        <v>435</v>
      </c>
      <c r="H92" s="4" t="s">
        <v>92</v>
      </c>
      <c r="I92" s="249"/>
      <c r="J92" s="250"/>
    </row>
    <row r="93" spans="1:16" s="3" customFormat="1" ht="15.6" customHeight="1" x14ac:dyDescent="0.25">
      <c r="A93" s="226">
        <v>6</v>
      </c>
      <c r="B93" s="227"/>
      <c r="C93" s="37" t="s">
        <v>230</v>
      </c>
      <c r="D93" s="226">
        <f t="shared" si="0"/>
        <v>271.03751999999997</v>
      </c>
      <c r="E93" s="227"/>
      <c r="F93" s="4">
        <v>0</v>
      </c>
      <c r="G93" s="4">
        <v>435</v>
      </c>
      <c r="H93" s="4" t="s">
        <v>92</v>
      </c>
      <c r="I93" s="249"/>
      <c r="J93" s="250"/>
    </row>
    <row r="94" spans="1:16" s="3" customFormat="1" ht="15.6" customHeight="1" x14ac:dyDescent="0.25">
      <c r="A94" s="226">
        <v>7</v>
      </c>
      <c r="B94" s="227"/>
      <c r="C94" s="37" t="s">
        <v>230</v>
      </c>
      <c r="D94" s="226">
        <f t="shared" si="0"/>
        <v>271.03751999999997</v>
      </c>
      <c r="E94" s="227"/>
      <c r="F94" s="4">
        <v>0</v>
      </c>
      <c r="G94" s="4">
        <v>435</v>
      </c>
      <c r="H94" s="4" t="s">
        <v>92</v>
      </c>
      <c r="I94" s="249"/>
      <c r="J94" s="250"/>
    </row>
    <row r="95" spans="1:16" s="3" customFormat="1" ht="15.6" customHeight="1" x14ac:dyDescent="0.25">
      <c r="A95" s="226">
        <v>8</v>
      </c>
      <c r="B95" s="227"/>
      <c r="C95" s="37" t="s">
        <v>230</v>
      </c>
      <c r="D95" s="226">
        <f t="shared" si="0"/>
        <v>271.03751999999997</v>
      </c>
      <c r="E95" s="227"/>
      <c r="F95" s="4">
        <v>0</v>
      </c>
      <c r="G95" s="4">
        <v>435</v>
      </c>
      <c r="H95" s="4" t="s">
        <v>92</v>
      </c>
      <c r="I95" s="249"/>
      <c r="J95" s="250"/>
    </row>
    <row r="96" spans="1:16" s="3" customFormat="1" ht="15.6" customHeight="1" x14ac:dyDescent="0.25">
      <c r="A96" s="226">
        <v>9</v>
      </c>
      <c r="B96" s="227"/>
      <c r="C96" s="37" t="s">
        <v>230</v>
      </c>
      <c r="D96" s="226">
        <f t="shared" si="0"/>
        <v>271.03751999999997</v>
      </c>
      <c r="E96" s="227"/>
      <c r="F96" s="4">
        <v>0</v>
      </c>
      <c r="G96" s="4">
        <v>435</v>
      </c>
      <c r="H96" s="4" t="s">
        <v>92</v>
      </c>
      <c r="I96" s="249"/>
      <c r="J96" s="250"/>
    </row>
    <row r="97" spans="1:15" s="3" customFormat="1" ht="15.6" customHeight="1" x14ac:dyDescent="0.25">
      <c r="A97" s="226">
        <v>10</v>
      </c>
      <c r="B97" s="227"/>
      <c r="C97" s="37" t="s">
        <v>230</v>
      </c>
      <c r="D97" s="226">
        <f t="shared" si="0"/>
        <v>271.03751999999997</v>
      </c>
      <c r="E97" s="227"/>
      <c r="F97" s="4">
        <v>0</v>
      </c>
      <c r="G97" s="4">
        <v>435</v>
      </c>
      <c r="H97" s="4" t="s">
        <v>92</v>
      </c>
      <c r="I97" s="249"/>
      <c r="J97" s="250"/>
    </row>
    <row r="98" spans="1:15" s="3" customFormat="1" ht="15.6" customHeight="1" x14ac:dyDescent="0.25">
      <c r="A98" s="226">
        <v>11</v>
      </c>
      <c r="B98" s="227"/>
      <c r="C98" s="37" t="s">
        <v>230</v>
      </c>
      <c r="D98" s="226">
        <f t="shared" si="0"/>
        <v>271.03751999999997</v>
      </c>
      <c r="E98" s="227"/>
      <c r="F98" s="4">
        <v>0</v>
      </c>
      <c r="G98" s="4">
        <v>435</v>
      </c>
      <c r="H98" s="4" t="s">
        <v>92</v>
      </c>
      <c r="I98" s="249"/>
      <c r="J98" s="250"/>
    </row>
    <row r="99" spans="1:15" s="3" customFormat="1" ht="15.6" customHeight="1" x14ac:dyDescent="0.25">
      <c r="A99" s="226">
        <v>12</v>
      </c>
      <c r="B99" s="227"/>
      <c r="C99" s="37" t="s">
        <v>230</v>
      </c>
      <c r="D99" s="226">
        <f t="shared" si="0"/>
        <v>271.03751999999997</v>
      </c>
      <c r="E99" s="227"/>
      <c r="F99" s="4">
        <v>0</v>
      </c>
      <c r="G99" s="4">
        <v>435</v>
      </c>
      <c r="H99" s="4" t="s">
        <v>92</v>
      </c>
      <c r="I99" s="249"/>
      <c r="J99" s="250"/>
      <c r="O99" s="3">
        <f>G108/D107</f>
        <v>1.6049438468888</v>
      </c>
    </row>
    <row r="100" spans="1:15" s="3" customFormat="1" ht="15.6" customHeight="1" x14ac:dyDescent="0.25">
      <c r="A100" s="226">
        <v>13</v>
      </c>
      <c r="B100" s="227"/>
      <c r="C100" s="37" t="s">
        <v>230</v>
      </c>
      <c r="D100" s="226">
        <f t="shared" si="0"/>
        <v>271.03751999999997</v>
      </c>
      <c r="E100" s="227"/>
      <c r="F100" s="4">
        <v>0</v>
      </c>
      <c r="G100" s="4">
        <v>435</v>
      </c>
      <c r="H100" s="4" t="s">
        <v>92</v>
      </c>
      <c r="I100" s="249"/>
      <c r="J100" s="250"/>
    </row>
    <row r="101" spans="1:15" s="3" customFormat="1" ht="15.6" customHeight="1" x14ac:dyDescent="0.25">
      <c r="A101" s="226">
        <v>14</v>
      </c>
      <c r="B101" s="227"/>
      <c r="C101" s="37" t="s">
        <v>230</v>
      </c>
      <c r="D101" s="226">
        <f t="shared" si="0"/>
        <v>271.03751999999997</v>
      </c>
      <c r="E101" s="227"/>
      <c r="F101" s="4">
        <v>0</v>
      </c>
      <c r="G101" s="4">
        <v>435</v>
      </c>
      <c r="H101" s="4" t="s">
        <v>92</v>
      </c>
      <c r="I101" s="249"/>
      <c r="J101" s="250"/>
      <c r="L101" s="3">
        <f>3800*G101</f>
        <v>1653000</v>
      </c>
    </row>
    <row r="102" spans="1:15" s="3" customFormat="1" ht="15.6" customHeight="1" x14ac:dyDescent="0.25">
      <c r="A102" s="226">
        <v>15</v>
      </c>
      <c r="B102" s="227"/>
      <c r="C102" s="37" t="s">
        <v>230</v>
      </c>
      <c r="D102" s="226">
        <f t="shared" si="0"/>
        <v>271.03751999999997</v>
      </c>
      <c r="E102" s="227"/>
      <c r="F102" s="4">
        <v>0</v>
      </c>
      <c r="G102" s="4">
        <v>435</v>
      </c>
      <c r="H102" s="4" t="s">
        <v>92</v>
      </c>
      <c r="I102" s="249"/>
      <c r="J102" s="250"/>
      <c r="L102" s="3">
        <f>L101+150000</f>
        <v>1803000</v>
      </c>
    </row>
    <row r="103" spans="1:15" s="3" customFormat="1" ht="15.6" customHeight="1" x14ac:dyDescent="0.25">
      <c r="A103" s="226">
        <v>16</v>
      </c>
      <c r="B103" s="227"/>
      <c r="C103" s="37" t="s">
        <v>230</v>
      </c>
      <c r="D103" s="226">
        <f t="shared" si="0"/>
        <v>271.03751999999997</v>
      </c>
      <c r="E103" s="227"/>
      <c r="F103" s="4">
        <v>0</v>
      </c>
      <c r="G103" s="4">
        <v>435</v>
      </c>
      <c r="H103" s="4" t="s">
        <v>92</v>
      </c>
      <c r="I103" s="249"/>
      <c r="J103" s="250"/>
    </row>
    <row r="104" spans="1:15" s="3" customFormat="1" ht="15.6" customHeight="1" x14ac:dyDescent="0.25">
      <c r="A104" s="226">
        <v>17</v>
      </c>
      <c r="B104" s="227"/>
      <c r="C104" s="37" t="s">
        <v>230</v>
      </c>
      <c r="D104" s="226">
        <f t="shared" si="0"/>
        <v>271.03751999999997</v>
      </c>
      <c r="E104" s="227"/>
      <c r="F104" s="4">
        <v>0</v>
      </c>
      <c r="G104" s="4">
        <v>435</v>
      </c>
      <c r="H104" s="4" t="s">
        <v>92</v>
      </c>
      <c r="I104" s="249"/>
      <c r="J104" s="250"/>
    </row>
    <row r="105" spans="1:15" s="3" customFormat="1" ht="15.6" customHeight="1" x14ac:dyDescent="0.25">
      <c r="A105" s="226">
        <v>18</v>
      </c>
      <c r="B105" s="227"/>
      <c r="C105" s="37" t="s">
        <v>230</v>
      </c>
      <c r="D105" s="226">
        <f t="shared" si="0"/>
        <v>271.03751999999997</v>
      </c>
      <c r="E105" s="227"/>
      <c r="F105" s="4">
        <v>0</v>
      </c>
      <c r="G105" s="4">
        <v>435</v>
      </c>
      <c r="H105" s="4" t="s">
        <v>92</v>
      </c>
      <c r="I105" s="249"/>
      <c r="J105" s="250"/>
    </row>
    <row r="106" spans="1:15" s="3" customFormat="1" ht="15.75" customHeight="1" x14ac:dyDescent="0.25">
      <c r="A106" s="124" t="s">
        <v>197</v>
      </c>
      <c r="B106" s="125"/>
      <c r="C106" s="125"/>
      <c r="D106" s="125"/>
      <c r="E106" s="125"/>
      <c r="F106" s="125"/>
      <c r="G106" s="125"/>
      <c r="H106" s="125"/>
      <c r="I106" s="125"/>
      <c r="J106" s="126"/>
    </row>
    <row r="107" spans="1:15" s="3" customFormat="1" ht="15.75" customHeight="1" x14ac:dyDescent="0.25">
      <c r="A107" s="226" t="s">
        <v>231</v>
      </c>
      <c r="B107" s="227"/>
      <c r="C107" s="37" t="s">
        <v>230</v>
      </c>
      <c r="D107" s="226">
        <f t="shared" si="0"/>
        <v>271.03751999999997</v>
      </c>
      <c r="E107" s="227"/>
      <c r="F107" s="4">
        <v>0</v>
      </c>
      <c r="G107" s="4">
        <v>435</v>
      </c>
      <c r="H107" s="4" t="s">
        <v>92</v>
      </c>
      <c r="I107" s="247" t="str">
        <f>A106</f>
        <v>1st to 4th Floor</v>
      </c>
      <c r="J107" s="248"/>
    </row>
    <row r="108" spans="1:15" s="3" customFormat="1" ht="15.75" customHeight="1" x14ac:dyDescent="0.25">
      <c r="A108" s="226" t="s">
        <v>232</v>
      </c>
      <c r="B108" s="227"/>
      <c r="C108" s="37" t="s">
        <v>230</v>
      </c>
      <c r="D108" s="226">
        <f t="shared" si="0"/>
        <v>271.03751999999997</v>
      </c>
      <c r="E108" s="227"/>
      <c r="F108" s="4">
        <v>0</v>
      </c>
      <c r="G108" s="4">
        <v>435</v>
      </c>
      <c r="H108" s="4" t="s">
        <v>92</v>
      </c>
      <c r="I108" s="249"/>
      <c r="J108" s="250"/>
    </row>
    <row r="109" spans="1:15" s="3" customFormat="1" ht="15.75" customHeight="1" x14ac:dyDescent="0.25">
      <c r="A109" s="226" t="s">
        <v>233</v>
      </c>
      <c r="B109" s="227"/>
      <c r="C109" s="37" t="s">
        <v>230</v>
      </c>
      <c r="D109" s="226">
        <f t="shared" si="0"/>
        <v>271.03751999999997</v>
      </c>
      <c r="E109" s="227"/>
      <c r="F109" s="4">
        <v>0</v>
      </c>
      <c r="G109" s="4">
        <v>435</v>
      </c>
      <c r="H109" s="4" t="s">
        <v>92</v>
      </c>
      <c r="I109" s="249"/>
      <c r="J109" s="250"/>
      <c r="L109" s="3">
        <f xml:space="preserve"> 1100000/G109</f>
        <v>2528.7356321839079</v>
      </c>
    </row>
    <row r="110" spans="1:15" s="3" customFormat="1" ht="15.75" customHeight="1" x14ac:dyDescent="0.25">
      <c r="A110" s="226" t="s">
        <v>234</v>
      </c>
      <c r="B110" s="227"/>
      <c r="C110" s="37" t="s">
        <v>230</v>
      </c>
      <c r="D110" s="226">
        <f t="shared" si="0"/>
        <v>271.03751999999997</v>
      </c>
      <c r="E110" s="227"/>
      <c r="F110" s="4">
        <v>0</v>
      </c>
      <c r="G110" s="4">
        <v>435</v>
      </c>
      <c r="H110" s="4" t="s">
        <v>92</v>
      </c>
      <c r="I110" s="249"/>
      <c r="J110" s="250"/>
      <c r="L110" s="3">
        <f xml:space="preserve"> 1075000/G110</f>
        <v>2471.2643678160921</v>
      </c>
    </row>
    <row r="111" spans="1:15" s="3" customFormat="1" ht="15.75" customHeight="1" x14ac:dyDescent="0.25">
      <c r="A111" s="226" t="s">
        <v>235</v>
      </c>
      <c r="B111" s="227"/>
      <c r="C111" s="37" t="s">
        <v>230</v>
      </c>
      <c r="D111" s="226">
        <f t="shared" si="0"/>
        <v>271.03751999999997</v>
      </c>
      <c r="E111" s="227"/>
      <c r="F111" s="4">
        <v>0</v>
      </c>
      <c r="G111" s="4">
        <v>435</v>
      </c>
      <c r="H111" s="4" t="s">
        <v>92</v>
      </c>
      <c r="I111" s="249"/>
      <c r="J111" s="250"/>
      <c r="L111" s="3">
        <f xml:space="preserve"> 990000/G111</f>
        <v>2275.8620689655172</v>
      </c>
    </row>
    <row r="112" spans="1:15" s="3" customFormat="1" ht="15.75" customHeight="1" x14ac:dyDescent="0.25">
      <c r="A112" s="226" t="s">
        <v>236</v>
      </c>
      <c r="B112" s="227"/>
      <c r="C112" s="37" t="s">
        <v>230</v>
      </c>
      <c r="D112" s="226">
        <f t="shared" si="0"/>
        <v>271.03751999999997</v>
      </c>
      <c r="E112" s="227"/>
      <c r="F112" s="4">
        <v>0</v>
      </c>
      <c r="G112" s="4">
        <v>435</v>
      </c>
      <c r="H112" s="4" t="s">
        <v>92</v>
      </c>
      <c r="I112" s="249"/>
      <c r="J112" s="250"/>
    </row>
    <row r="113" spans="1:12" s="3" customFormat="1" ht="15.75" customHeight="1" x14ac:dyDescent="0.25">
      <c r="A113" s="226" t="s">
        <v>237</v>
      </c>
      <c r="B113" s="227"/>
      <c r="C113" s="37" t="s">
        <v>230</v>
      </c>
      <c r="D113" s="226">
        <f t="shared" si="0"/>
        <v>271.03751999999997</v>
      </c>
      <c r="E113" s="227"/>
      <c r="F113" s="4">
        <v>0</v>
      </c>
      <c r="G113" s="4">
        <v>435</v>
      </c>
      <c r="H113" s="4" t="s">
        <v>92</v>
      </c>
      <c r="I113" s="249"/>
      <c r="J113" s="250"/>
    </row>
    <row r="114" spans="1:12" s="3" customFormat="1" ht="15.75" customHeight="1" x14ac:dyDescent="0.25">
      <c r="A114" s="226" t="s">
        <v>238</v>
      </c>
      <c r="B114" s="227"/>
      <c r="C114" s="37" t="s">
        <v>230</v>
      </c>
      <c r="D114" s="226">
        <f t="shared" si="0"/>
        <v>271.03751999999997</v>
      </c>
      <c r="E114" s="227"/>
      <c r="F114" s="4">
        <v>0</v>
      </c>
      <c r="G114" s="4">
        <v>435</v>
      </c>
      <c r="H114" s="4" t="s">
        <v>92</v>
      </c>
      <c r="I114" s="249"/>
      <c r="J114" s="250"/>
    </row>
    <row r="115" spans="1:12" s="3" customFormat="1" ht="15.75" customHeight="1" x14ac:dyDescent="0.25">
      <c r="A115" s="226" t="s">
        <v>239</v>
      </c>
      <c r="B115" s="227"/>
      <c r="C115" s="37" t="s">
        <v>230</v>
      </c>
      <c r="D115" s="226">
        <f t="shared" si="0"/>
        <v>271.03751999999997</v>
      </c>
      <c r="E115" s="227"/>
      <c r="F115" s="4">
        <v>0</v>
      </c>
      <c r="G115" s="4">
        <v>435</v>
      </c>
      <c r="H115" s="4" t="s">
        <v>92</v>
      </c>
      <c r="I115" s="249"/>
      <c r="J115" s="250"/>
    </row>
    <row r="116" spans="1:12" s="3" customFormat="1" ht="15.75" customHeight="1" x14ac:dyDescent="0.25">
      <c r="A116" s="226" t="s">
        <v>240</v>
      </c>
      <c r="B116" s="227"/>
      <c r="C116" s="37" t="s">
        <v>230</v>
      </c>
      <c r="D116" s="226">
        <f t="shared" si="0"/>
        <v>271.03751999999997</v>
      </c>
      <c r="E116" s="227"/>
      <c r="F116" s="4">
        <v>0</v>
      </c>
      <c r="G116" s="4">
        <v>435</v>
      </c>
      <c r="H116" s="4" t="s">
        <v>92</v>
      </c>
      <c r="I116" s="249"/>
      <c r="J116" s="250"/>
    </row>
    <row r="117" spans="1:12" s="3" customFormat="1" ht="15.75" customHeight="1" x14ac:dyDescent="0.25">
      <c r="A117" s="226" t="s">
        <v>241</v>
      </c>
      <c r="B117" s="227"/>
      <c r="C117" s="37" t="s">
        <v>230</v>
      </c>
      <c r="D117" s="226">
        <f t="shared" si="0"/>
        <v>271.03751999999997</v>
      </c>
      <c r="E117" s="227"/>
      <c r="F117" s="4">
        <v>0</v>
      </c>
      <c r="G117" s="4">
        <v>435</v>
      </c>
      <c r="H117" s="4" t="s">
        <v>92</v>
      </c>
      <c r="I117" s="249"/>
      <c r="J117" s="250"/>
      <c r="L117" s="3">
        <f xml:space="preserve"> 1100000/G117</f>
        <v>2528.7356321839079</v>
      </c>
    </row>
    <row r="118" spans="1:12" s="3" customFormat="1" ht="15.75" customHeight="1" x14ac:dyDescent="0.25">
      <c r="A118" s="226" t="s">
        <v>242</v>
      </c>
      <c r="B118" s="227"/>
      <c r="C118" s="37" t="s">
        <v>230</v>
      </c>
      <c r="D118" s="226">
        <f t="shared" si="0"/>
        <v>271.03751999999997</v>
      </c>
      <c r="E118" s="227"/>
      <c r="F118" s="4">
        <v>0</v>
      </c>
      <c r="G118" s="4">
        <v>435</v>
      </c>
      <c r="H118" s="4" t="s">
        <v>92</v>
      </c>
      <c r="I118" s="249"/>
      <c r="J118" s="250"/>
    </row>
    <row r="119" spans="1:12" s="3" customFormat="1" ht="15.75" customHeight="1" x14ac:dyDescent="0.25">
      <c r="A119" s="226" t="s">
        <v>243</v>
      </c>
      <c r="B119" s="227"/>
      <c r="C119" s="37" t="s">
        <v>230</v>
      </c>
      <c r="D119" s="226">
        <f t="shared" si="0"/>
        <v>271.03751999999997</v>
      </c>
      <c r="E119" s="227"/>
      <c r="F119" s="4">
        <v>0</v>
      </c>
      <c r="G119" s="4">
        <v>435</v>
      </c>
      <c r="H119" s="4" t="s">
        <v>92</v>
      </c>
      <c r="I119" s="249"/>
      <c r="J119" s="250"/>
    </row>
    <row r="120" spans="1:12" s="3" customFormat="1" ht="15.75" customHeight="1" x14ac:dyDescent="0.25">
      <c r="A120" s="226" t="s">
        <v>244</v>
      </c>
      <c r="B120" s="227"/>
      <c r="C120" s="37" t="s">
        <v>230</v>
      </c>
      <c r="D120" s="226">
        <f t="shared" si="0"/>
        <v>271.03751999999997</v>
      </c>
      <c r="E120" s="227"/>
      <c r="F120" s="4">
        <v>0</v>
      </c>
      <c r="G120" s="4">
        <v>435</v>
      </c>
      <c r="H120" s="4" t="s">
        <v>92</v>
      </c>
      <c r="I120" s="249"/>
      <c r="J120" s="250"/>
    </row>
    <row r="121" spans="1:12" s="3" customFormat="1" ht="15.75" customHeight="1" x14ac:dyDescent="0.25">
      <c r="A121" s="226" t="s">
        <v>245</v>
      </c>
      <c r="B121" s="227"/>
      <c r="C121" s="37" t="s">
        <v>230</v>
      </c>
      <c r="D121" s="226">
        <f t="shared" si="0"/>
        <v>271.03751999999997</v>
      </c>
      <c r="E121" s="227"/>
      <c r="F121" s="4">
        <v>0</v>
      </c>
      <c r="G121" s="4">
        <v>435</v>
      </c>
      <c r="H121" s="4" t="s">
        <v>92</v>
      </c>
      <c r="I121" s="249"/>
      <c r="J121" s="250"/>
    </row>
    <row r="122" spans="1:12" s="3" customFormat="1" ht="15.75" customHeight="1" x14ac:dyDescent="0.25">
      <c r="A122" s="226" t="s">
        <v>246</v>
      </c>
      <c r="B122" s="227"/>
      <c r="C122" s="37" t="s">
        <v>230</v>
      </c>
      <c r="D122" s="226">
        <f t="shared" si="0"/>
        <v>271.03751999999997</v>
      </c>
      <c r="E122" s="227"/>
      <c r="F122" s="4">
        <v>0</v>
      </c>
      <c r="G122" s="4">
        <v>435</v>
      </c>
      <c r="H122" s="4" t="s">
        <v>92</v>
      </c>
      <c r="I122" s="249"/>
      <c r="J122" s="250"/>
    </row>
    <row r="123" spans="1:12" s="3" customFormat="1" ht="15.75" customHeight="1" x14ac:dyDescent="0.25">
      <c r="A123" s="226" t="s">
        <v>247</v>
      </c>
      <c r="B123" s="227"/>
      <c r="C123" s="37" t="s">
        <v>230</v>
      </c>
      <c r="D123" s="226">
        <f t="shared" si="0"/>
        <v>271.03751999999997</v>
      </c>
      <c r="E123" s="227"/>
      <c r="F123" s="4">
        <v>0</v>
      </c>
      <c r="G123" s="4">
        <v>435</v>
      </c>
      <c r="H123" s="4" t="s">
        <v>92</v>
      </c>
      <c r="I123" s="249"/>
      <c r="J123" s="250"/>
    </row>
    <row r="124" spans="1:12" s="3" customFormat="1" ht="15.75" customHeight="1" x14ac:dyDescent="0.25">
      <c r="A124" s="226" t="s">
        <v>248</v>
      </c>
      <c r="B124" s="227"/>
      <c r="C124" s="37" t="s">
        <v>230</v>
      </c>
      <c r="D124" s="226">
        <f t="shared" ref="D124" si="1">25.53*10.764</f>
        <v>274.80491999999998</v>
      </c>
      <c r="E124" s="227"/>
      <c r="F124" s="4">
        <v>0</v>
      </c>
      <c r="G124" s="4">
        <v>435</v>
      </c>
      <c r="H124" s="4" t="s">
        <v>92</v>
      </c>
      <c r="I124" s="251"/>
      <c r="J124" s="252"/>
    </row>
    <row r="125" spans="1:12" s="1" customFormat="1" x14ac:dyDescent="0.25">
      <c r="A125" s="257" t="s">
        <v>102</v>
      </c>
      <c r="B125" s="257"/>
      <c r="C125" s="257"/>
      <c r="D125" s="257"/>
      <c r="E125" s="257"/>
      <c r="F125" s="257"/>
      <c r="G125" s="257"/>
      <c r="H125" s="257"/>
      <c r="I125" s="257"/>
      <c r="J125" s="257"/>
    </row>
    <row r="126" spans="1:12" s="16" customFormat="1" ht="174.75" customHeight="1" x14ac:dyDescent="0.25">
      <c r="A126" s="258" t="s">
        <v>284</v>
      </c>
      <c r="B126" s="258"/>
      <c r="C126" s="258"/>
      <c r="D126" s="258"/>
      <c r="E126" s="258"/>
      <c r="F126" s="258"/>
      <c r="G126" s="258"/>
      <c r="H126" s="258"/>
      <c r="I126" s="258"/>
      <c r="J126" s="258"/>
    </row>
    <row r="127" spans="1:12" x14ac:dyDescent="0.25">
      <c r="A127" s="253" t="s">
        <v>93</v>
      </c>
      <c r="B127" s="254"/>
      <c r="C127" s="254"/>
      <c r="D127" s="254"/>
      <c r="E127" s="254"/>
      <c r="F127" s="254"/>
      <c r="G127" s="254"/>
      <c r="H127" s="254"/>
      <c r="I127" s="254"/>
      <c r="J127" s="255"/>
    </row>
    <row r="128" spans="1:12" x14ac:dyDescent="0.25">
      <c r="A128" s="127" t="s">
        <v>94</v>
      </c>
      <c r="B128" s="128"/>
      <c r="C128" s="128"/>
      <c r="D128" s="128"/>
      <c r="E128" s="128"/>
      <c r="F128" s="128"/>
      <c r="G128" s="128"/>
      <c r="H128" s="128"/>
      <c r="I128" s="128"/>
      <c r="J128" s="129"/>
    </row>
    <row r="129" spans="1:10" ht="15.75" customHeight="1" x14ac:dyDescent="0.25">
      <c r="A129" s="253" t="s">
        <v>95</v>
      </c>
      <c r="B129" s="254"/>
      <c r="C129" s="254"/>
      <c r="D129" s="254"/>
      <c r="E129" s="254"/>
      <c r="F129" s="254"/>
      <c r="G129" s="254"/>
      <c r="H129" s="254"/>
      <c r="I129" s="254"/>
      <c r="J129" s="255"/>
    </row>
    <row r="130" spans="1:10" x14ac:dyDescent="0.25">
      <c r="A130" s="127" t="s">
        <v>96</v>
      </c>
      <c r="B130" s="128"/>
      <c r="C130" s="128"/>
      <c r="D130" s="128"/>
      <c r="E130" s="128"/>
      <c r="F130" s="128"/>
      <c r="G130" s="128"/>
      <c r="H130" s="128"/>
      <c r="I130" s="128"/>
      <c r="J130" s="129"/>
    </row>
    <row r="131" spans="1:10" x14ac:dyDescent="0.25">
      <c r="A131" s="127" t="s">
        <v>97</v>
      </c>
      <c r="B131" s="128"/>
      <c r="C131" s="128"/>
      <c r="D131" s="128"/>
      <c r="E131" s="128"/>
      <c r="F131" s="128"/>
      <c r="G131" s="128"/>
      <c r="H131" s="128"/>
      <c r="I131" s="128"/>
      <c r="J131" s="129"/>
    </row>
    <row r="132" spans="1:10" x14ac:dyDescent="0.25">
      <c r="A132" s="127" t="s">
        <v>98</v>
      </c>
      <c r="B132" s="128"/>
      <c r="C132" s="128"/>
      <c r="D132" s="128"/>
      <c r="E132" s="128"/>
      <c r="F132" s="128"/>
      <c r="G132" s="128"/>
      <c r="H132" s="128"/>
      <c r="I132" s="128"/>
      <c r="J132" s="129"/>
    </row>
    <row r="133" spans="1:10" x14ac:dyDescent="0.25">
      <c r="A133" s="164" t="s">
        <v>99</v>
      </c>
      <c r="B133" s="165"/>
      <c r="C133" s="165"/>
      <c r="D133" s="165"/>
      <c r="E133" s="165"/>
      <c r="F133" s="165"/>
      <c r="G133" s="165"/>
      <c r="H133" s="165"/>
      <c r="I133" s="165"/>
      <c r="J133" s="166"/>
    </row>
    <row r="134" spans="1:10" x14ac:dyDescent="0.25">
      <c r="A134" s="150" t="s">
        <v>176</v>
      </c>
      <c r="B134" s="150"/>
      <c r="C134" s="151" t="s">
        <v>283</v>
      </c>
      <c r="D134" s="151"/>
      <c r="E134" s="151" t="s">
        <v>177</v>
      </c>
      <c r="F134" s="151"/>
      <c r="G134" s="151"/>
      <c r="H134" s="151" t="s">
        <v>282</v>
      </c>
      <c r="I134" s="151"/>
      <c r="J134" s="151"/>
    </row>
    <row r="135" spans="1:10" x14ac:dyDescent="0.25">
      <c r="A135" s="141" t="s">
        <v>179</v>
      </c>
      <c r="B135" s="142"/>
      <c r="C135" s="142"/>
      <c r="D135" s="142"/>
      <c r="E135" s="142"/>
      <c r="F135" s="142"/>
      <c r="G135" s="142"/>
      <c r="H135" s="142"/>
      <c r="I135" s="142"/>
      <c r="J135" s="143"/>
    </row>
    <row r="136" spans="1:10" x14ac:dyDescent="0.25">
      <c r="A136" s="144"/>
      <c r="B136" s="145"/>
      <c r="C136" s="145"/>
      <c r="D136" s="145"/>
      <c r="E136" s="145"/>
      <c r="F136" s="145"/>
      <c r="G136" s="145"/>
      <c r="H136" s="145"/>
      <c r="I136" s="145"/>
      <c r="J136" s="146"/>
    </row>
    <row r="137" spans="1:10" x14ac:dyDescent="0.25">
      <c r="A137" s="144"/>
      <c r="B137" s="145"/>
      <c r="C137" s="145"/>
      <c r="D137" s="145"/>
      <c r="E137" s="145"/>
      <c r="F137" s="145"/>
      <c r="G137" s="145"/>
      <c r="H137" s="145"/>
      <c r="I137" s="145"/>
      <c r="J137" s="146"/>
    </row>
    <row r="138" spans="1:10" x14ac:dyDescent="0.25">
      <c r="A138" s="147"/>
      <c r="B138" s="148"/>
      <c r="C138" s="148"/>
      <c r="D138" s="148"/>
      <c r="E138" s="148"/>
      <c r="F138" s="148"/>
      <c r="G138" s="148"/>
      <c r="H138" s="148"/>
      <c r="I138" s="148"/>
      <c r="J138" s="149"/>
    </row>
    <row r="139" spans="1:10" x14ac:dyDescent="0.25">
      <c r="A139" s="17" t="s">
        <v>100</v>
      </c>
      <c r="B139" s="18"/>
      <c r="C139" s="18"/>
      <c r="D139" s="17" t="str">
        <f>F8</f>
        <v>Vrindavan City (Wing F)</v>
      </c>
      <c r="G139" s="18"/>
      <c r="H139" s="18"/>
      <c r="I139" s="18"/>
      <c r="J139" s="18"/>
    </row>
    <row r="140" spans="1:10" x14ac:dyDescent="0.25">
      <c r="A140" s="18"/>
      <c r="B140" s="18"/>
      <c r="C140" s="18"/>
      <c r="D140" s="18"/>
      <c r="E140" s="18"/>
      <c r="F140" s="18"/>
      <c r="G140" s="18"/>
      <c r="H140" s="18"/>
      <c r="I140" s="18"/>
      <c r="J140" s="18"/>
    </row>
    <row r="141" spans="1:10" x14ac:dyDescent="0.25">
      <c r="A141" s="18"/>
      <c r="B141" s="18"/>
      <c r="C141" s="18"/>
      <c r="D141" s="18"/>
      <c r="E141" s="18"/>
      <c r="F141" s="18"/>
      <c r="G141" s="18"/>
      <c r="H141" s="18"/>
      <c r="I141" s="18"/>
      <c r="J141" s="18"/>
    </row>
    <row r="142" spans="1:10" ht="15" customHeight="1" x14ac:dyDescent="0.25"/>
    <row r="180" spans="1:1" x14ac:dyDescent="0.25">
      <c r="A180" s="19" t="s">
        <v>101</v>
      </c>
    </row>
  </sheetData>
  <mergeCells count="275">
    <mergeCell ref="A33:B33"/>
    <mergeCell ref="C33:J33"/>
    <mergeCell ref="C32:J32"/>
    <mergeCell ref="A131:J131"/>
    <mergeCell ref="A132:J132"/>
    <mergeCell ref="A133:J133"/>
    <mergeCell ref="A52:B52"/>
    <mergeCell ref="A53:C53"/>
    <mergeCell ref="D53:J53"/>
    <mergeCell ref="A125:J125"/>
    <mergeCell ref="A126:J126"/>
    <mergeCell ref="A127:J127"/>
    <mergeCell ref="A128:J128"/>
    <mergeCell ref="A91:B91"/>
    <mergeCell ref="A96:B96"/>
    <mergeCell ref="A97:B97"/>
    <mergeCell ref="A94:B94"/>
    <mergeCell ref="A95:B95"/>
    <mergeCell ref="A100:B100"/>
    <mergeCell ref="A101:B101"/>
    <mergeCell ref="A98:B98"/>
    <mergeCell ref="A99:B99"/>
    <mergeCell ref="A104:B104"/>
    <mergeCell ref="A115:B115"/>
    <mergeCell ref="D115:E115"/>
    <mergeCell ref="A113:B113"/>
    <mergeCell ref="D113:E113"/>
    <mergeCell ref="A41:E41"/>
    <mergeCell ref="F41:J41"/>
    <mergeCell ref="A42:E42"/>
    <mergeCell ref="F42:J42"/>
    <mergeCell ref="A43:E43"/>
    <mergeCell ref="F43:J43"/>
    <mergeCell ref="A44:J44"/>
    <mergeCell ref="A88:B88"/>
    <mergeCell ref="D88:E88"/>
    <mergeCell ref="A89:B89"/>
    <mergeCell ref="A92:B92"/>
    <mergeCell ref="A93:B93"/>
    <mergeCell ref="A90:B90"/>
    <mergeCell ref="D90:E90"/>
    <mergeCell ref="A114:B114"/>
    <mergeCell ref="D114:E114"/>
    <mergeCell ref="D111:E111"/>
    <mergeCell ref="A112:B112"/>
    <mergeCell ref="D112:E112"/>
    <mergeCell ref="A109:B109"/>
    <mergeCell ref="D109:E109"/>
    <mergeCell ref="A129:J129"/>
    <mergeCell ref="A130:J130"/>
    <mergeCell ref="D124:E124"/>
    <mergeCell ref="A123:B123"/>
    <mergeCell ref="D123:E123"/>
    <mergeCell ref="A124:B124"/>
    <mergeCell ref="A121:B121"/>
    <mergeCell ref="D121:E121"/>
    <mergeCell ref="A122:B122"/>
    <mergeCell ref="D122:E122"/>
    <mergeCell ref="A119:B119"/>
    <mergeCell ref="D119:E119"/>
    <mergeCell ref="A120:B120"/>
    <mergeCell ref="D120:E120"/>
    <mergeCell ref="A117:B117"/>
    <mergeCell ref="D117:E117"/>
    <mergeCell ref="A118:B118"/>
    <mergeCell ref="D118:E118"/>
    <mergeCell ref="A116:B116"/>
    <mergeCell ref="D116:E116"/>
    <mergeCell ref="A110:B110"/>
    <mergeCell ref="D110:E110"/>
    <mergeCell ref="A105:B105"/>
    <mergeCell ref="A107:B107"/>
    <mergeCell ref="D95:E95"/>
    <mergeCell ref="D92:E92"/>
    <mergeCell ref="D91:E91"/>
    <mergeCell ref="D89:E89"/>
    <mergeCell ref="I88:J105"/>
    <mergeCell ref="A102:B102"/>
    <mergeCell ref="A103:B103"/>
    <mergeCell ref="I107:J124"/>
    <mergeCell ref="D96:E96"/>
    <mergeCell ref="D93:E93"/>
    <mergeCell ref="D94:E94"/>
    <mergeCell ref="D99:E99"/>
    <mergeCell ref="D100:E100"/>
    <mergeCell ref="D97:E97"/>
    <mergeCell ref="D98:E98"/>
    <mergeCell ref="D103:E103"/>
    <mergeCell ref="D104:E104"/>
    <mergeCell ref="D101:E101"/>
    <mergeCell ref="D102:E102"/>
    <mergeCell ref="D107:E107"/>
    <mergeCell ref="A108:B108"/>
    <mergeCell ref="D108:E108"/>
    <mergeCell ref="D105:E105"/>
    <mergeCell ref="A111:B111"/>
    <mergeCell ref="A50:J50"/>
    <mergeCell ref="A51:C51"/>
    <mergeCell ref="D51:E51"/>
    <mergeCell ref="F51:G51"/>
    <mergeCell ref="H51:J51"/>
    <mergeCell ref="H52:J52"/>
    <mergeCell ref="C52:G52"/>
    <mergeCell ref="A54:J54"/>
    <mergeCell ref="A55:J55"/>
    <mergeCell ref="G78:J78"/>
    <mergeCell ref="A81:B81"/>
    <mergeCell ref="D81:F81"/>
    <mergeCell ref="G81:J81"/>
    <mergeCell ref="A79:J79"/>
    <mergeCell ref="A80:B80"/>
    <mergeCell ref="D80:F80"/>
    <mergeCell ref="G80:J80"/>
    <mergeCell ref="A70:J70"/>
    <mergeCell ref="A87:J87"/>
    <mergeCell ref="A106:J106"/>
    <mergeCell ref="A34:J34"/>
    <mergeCell ref="A36:E36"/>
    <mergeCell ref="F36:J36"/>
    <mergeCell ref="A37:J37"/>
    <mergeCell ref="H48:J48"/>
    <mergeCell ref="A48:B48"/>
    <mergeCell ref="C48:F48"/>
    <mergeCell ref="A49:C49"/>
    <mergeCell ref="D49:E49"/>
    <mergeCell ref="F49:G49"/>
    <mergeCell ref="H49:J49"/>
    <mergeCell ref="A38:E38"/>
    <mergeCell ref="F38:J38"/>
    <mergeCell ref="H45:J45"/>
    <mergeCell ref="H46:J46"/>
    <mergeCell ref="I47:J47"/>
    <mergeCell ref="A46:B46"/>
    <mergeCell ref="C46:F46"/>
    <mergeCell ref="A47:B47"/>
    <mergeCell ref="C47:F47"/>
    <mergeCell ref="A45:B45"/>
    <mergeCell ref="C45:F45"/>
    <mergeCell ref="A40:E40"/>
    <mergeCell ref="F40:J40"/>
    <mergeCell ref="A31:J31"/>
    <mergeCell ref="A32:B32"/>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A19:E20"/>
    <mergeCell ref="F19:J20"/>
    <mergeCell ref="A21:E22"/>
    <mergeCell ref="F21:J22"/>
    <mergeCell ref="A10:E10"/>
    <mergeCell ref="F10:J10"/>
    <mergeCell ref="A29:B29"/>
    <mergeCell ref="C29:D29"/>
    <mergeCell ref="E29:F29"/>
    <mergeCell ref="G29:H29"/>
    <mergeCell ref="I29:J29"/>
    <mergeCell ref="A14:B14"/>
    <mergeCell ref="A11:E11"/>
    <mergeCell ref="F11:J11"/>
    <mergeCell ref="A12:E12"/>
    <mergeCell ref="F12:J12"/>
    <mergeCell ref="A13:B13"/>
    <mergeCell ref="C13:J13"/>
    <mergeCell ref="C14:J14"/>
    <mergeCell ref="C18:E18"/>
    <mergeCell ref="F18:G18"/>
    <mergeCell ref="H18:J18"/>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135:J138"/>
    <mergeCell ref="A134:B134"/>
    <mergeCell ref="E134:G134"/>
    <mergeCell ref="C134:D134"/>
    <mergeCell ref="H134:J134"/>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71:J71"/>
    <mergeCell ref="A72:B72"/>
    <mergeCell ref="C72:J72"/>
    <mergeCell ref="A73:J73"/>
    <mergeCell ref="A74:F74"/>
    <mergeCell ref="G74:J74"/>
    <mergeCell ref="A77:F77"/>
    <mergeCell ref="G77:J77"/>
    <mergeCell ref="A75:F75"/>
    <mergeCell ref="G75:J75"/>
    <mergeCell ref="A76:F76"/>
    <mergeCell ref="G76:J76"/>
    <mergeCell ref="A82:B82"/>
    <mergeCell ref="D82:F82"/>
    <mergeCell ref="G82:J82"/>
    <mergeCell ref="A83:J83"/>
    <mergeCell ref="A84:J84"/>
    <mergeCell ref="A85:B85"/>
    <mergeCell ref="D85:E85"/>
    <mergeCell ref="I85:J85"/>
    <mergeCell ref="A86:J86"/>
    <mergeCell ref="A78:F78"/>
    <mergeCell ref="A56:B56"/>
    <mergeCell ref="C56:J56"/>
    <mergeCell ref="E57:F57"/>
    <mergeCell ref="I57:J57"/>
    <mergeCell ref="A58:B58"/>
    <mergeCell ref="C58:J58"/>
    <mergeCell ref="A59:B59"/>
    <mergeCell ref="D59:E59"/>
    <mergeCell ref="F59:G59"/>
    <mergeCell ref="H59:J59"/>
    <mergeCell ref="A60:B60"/>
    <mergeCell ref="D60:E60"/>
    <mergeCell ref="F60:G69"/>
    <mergeCell ref="H60:J69"/>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D69:E69"/>
  </mergeCells>
  <hyperlinks>
    <hyperlink ref="C33" r:id="rId1"/>
  </hyperlinks>
  <pageMargins left="0.43307086614173201" right="0.43307086614173201" top="0.78740157480314998" bottom="1.1811023622047201" header="0.196850393700787" footer="0.196850393700787"/>
  <pageSetup paperSize="9" fitToHeight="0" orientation="portrait" r:id="rId2"/>
  <headerFooter>
    <oddHeader>&amp;C&amp;G</oddHeader>
    <oddFooter>&amp;L&amp;"Times New Roman,Bold"&amp;12Ref No: &amp;F&amp;C&amp;G&amp;R&amp;"Times New Roman,Bold"&amp;12&amp;P</oddFooter>
  </headerFooter>
  <rowBreaks count="2" manualBreakCount="2">
    <brk id="138" max="16383" man="1"/>
    <brk id="17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topLeftCell="A22" workbookViewId="0">
      <selection activeCell="C36" sqref="C36:C37"/>
    </sheetView>
  </sheetViews>
  <sheetFormatPr defaultRowHeight="15" x14ac:dyDescent="0.25"/>
  <cols>
    <col min="1" max="1" width="10.7109375" customWidth="1"/>
    <col min="2" max="2" width="13.85546875" customWidth="1"/>
  </cols>
  <sheetData>
    <row r="2" spans="1:3" x14ac:dyDescent="0.25">
      <c r="A2" t="s">
        <v>200</v>
      </c>
      <c r="B2" t="s">
        <v>198</v>
      </c>
      <c r="C2" t="s">
        <v>201</v>
      </c>
    </row>
    <row r="4" spans="1:3" x14ac:dyDescent="0.25">
      <c r="A4" t="s">
        <v>205</v>
      </c>
      <c r="B4" t="s">
        <v>198</v>
      </c>
    </row>
    <row r="35" spans="1:3" x14ac:dyDescent="0.25">
      <c r="A35" t="s">
        <v>206</v>
      </c>
      <c r="B35" t="s">
        <v>207</v>
      </c>
      <c r="C35" t="s">
        <v>208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7" workbookViewId="0">
      <selection activeCell="D17" sqref="D17"/>
    </sheetView>
  </sheetViews>
  <sheetFormatPr defaultColWidth="8.7109375" defaultRowHeight="15" x14ac:dyDescent="0.25"/>
  <cols>
    <col min="1" max="1" width="8.7109375" style="38"/>
    <col min="2" max="2" width="22.140625" style="38" customWidth="1"/>
    <col min="3" max="3" width="37" style="38" customWidth="1"/>
    <col min="4" max="5" width="11.42578125" style="38" customWidth="1"/>
    <col min="6" max="6" width="14" style="38" customWidth="1"/>
    <col min="7" max="7" width="20" style="38" customWidth="1"/>
    <col min="8" max="8" width="16.42578125" style="38" customWidth="1"/>
    <col min="9" max="16384" width="8.7109375" style="38"/>
  </cols>
  <sheetData>
    <row r="1" spans="1:8" ht="15" customHeight="1" x14ac:dyDescent="0.25"/>
    <row r="2" spans="1:8" ht="15" customHeight="1" x14ac:dyDescent="0.25">
      <c r="A2" s="39"/>
      <c r="B2" s="39"/>
      <c r="C2" s="39"/>
      <c r="D2" s="39"/>
      <c r="E2" s="39"/>
      <c r="F2" s="39"/>
      <c r="G2" s="39"/>
      <c r="H2" s="39"/>
    </row>
    <row r="3" spans="1:8" x14ac:dyDescent="0.25">
      <c r="A3" s="39"/>
      <c r="B3" s="259" t="s">
        <v>209</v>
      </c>
      <c r="C3" s="259"/>
      <c r="D3" s="259"/>
      <c r="E3" s="259"/>
      <c r="F3" s="259"/>
      <c r="G3" s="259"/>
      <c r="H3" s="259"/>
    </row>
    <row r="4" spans="1:8" x14ac:dyDescent="0.25">
      <c r="A4" s="39"/>
      <c r="B4" s="40" t="s">
        <v>210</v>
      </c>
      <c r="C4" s="40" t="s">
        <v>211</v>
      </c>
      <c r="D4" s="40" t="s">
        <v>116</v>
      </c>
      <c r="E4" s="40" t="s">
        <v>212</v>
      </c>
      <c r="F4" s="40" t="s">
        <v>213</v>
      </c>
      <c r="G4" s="40" t="s">
        <v>214</v>
      </c>
      <c r="H4" s="40" t="s">
        <v>215</v>
      </c>
    </row>
    <row r="5" spans="1:8" ht="15" customHeight="1" x14ac:dyDescent="0.25">
      <c r="A5" s="39"/>
      <c r="B5" s="41" t="s">
        <v>216</v>
      </c>
      <c r="C5" s="42" t="s">
        <v>189</v>
      </c>
      <c r="D5" s="43" t="s">
        <v>217</v>
      </c>
      <c r="E5" s="43">
        <v>0</v>
      </c>
      <c r="F5" s="44">
        <v>520</v>
      </c>
      <c r="G5" s="44">
        <f t="shared" ref="G5:G20" si="0">H5/F5</f>
        <v>2500</v>
      </c>
      <c r="H5" s="45">
        <v>1300000</v>
      </c>
    </row>
    <row r="6" spans="1:8" x14ac:dyDescent="0.25">
      <c r="A6" s="39"/>
      <c r="B6" s="41" t="s">
        <v>216</v>
      </c>
      <c r="C6" s="42" t="s">
        <v>189</v>
      </c>
      <c r="D6" s="43" t="s">
        <v>217</v>
      </c>
      <c r="E6" s="43">
        <v>0</v>
      </c>
      <c r="F6" s="44">
        <v>610</v>
      </c>
      <c r="G6" s="44">
        <f t="shared" si="0"/>
        <v>2500</v>
      </c>
      <c r="H6" s="45">
        <v>1525000</v>
      </c>
    </row>
    <row r="7" spans="1:8" x14ac:dyDescent="0.25">
      <c r="A7" s="39"/>
      <c r="B7" s="41" t="s">
        <v>216</v>
      </c>
      <c r="C7" s="42" t="s">
        <v>189</v>
      </c>
      <c r="D7" s="43" t="s">
        <v>217</v>
      </c>
      <c r="E7" s="43">
        <v>0</v>
      </c>
      <c r="F7" s="44">
        <v>630</v>
      </c>
      <c r="G7" s="44">
        <f t="shared" si="0"/>
        <v>2500</v>
      </c>
      <c r="H7" s="45">
        <v>1575000</v>
      </c>
    </row>
    <row r="8" spans="1:8" x14ac:dyDescent="0.25">
      <c r="A8" s="39"/>
      <c r="B8" s="41" t="s">
        <v>216</v>
      </c>
      <c r="C8" s="42" t="s">
        <v>189</v>
      </c>
      <c r="D8" s="43" t="s">
        <v>217</v>
      </c>
      <c r="E8" s="43">
        <v>0</v>
      </c>
      <c r="F8" s="44">
        <v>640</v>
      </c>
      <c r="G8" s="44">
        <f t="shared" si="0"/>
        <v>2500</v>
      </c>
      <c r="H8" s="45">
        <v>1600000</v>
      </c>
    </row>
    <row r="9" spans="1:8" x14ac:dyDescent="0.25">
      <c r="A9" s="39"/>
      <c r="B9" s="41" t="s">
        <v>216</v>
      </c>
      <c r="C9" s="42" t="s">
        <v>218</v>
      </c>
      <c r="D9" s="43" t="s">
        <v>219</v>
      </c>
      <c r="E9" s="43">
        <v>232</v>
      </c>
      <c r="F9" s="44">
        <f>E9*1.45</f>
        <v>336.4</v>
      </c>
      <c r="G9" s="44">
        <f t="shared" si="0"/>
        <v>2514.8632580261597</v>
      </c>
      <c r="H9" s="45">
        <v>846000</v>
      </c>
    </row>
    <row r="10" spans="1:8" x14ac:dyDescent="0.25">
      <c r="A10" s="39"/>
      <c r="B10" s="41" t="s">
        <v>216</v>
      </c>
      <c r="C10" s="42" t="s">
        <v>218</v>
      </c>
      <c r="D10" s="43" t="s">
        <v>219</v>
      </c>
      <c r="E10" s="43">
        <v>237</v>
      </c>
      <c r="F10" s="44">
        <f t="shared" ref="F10:F21" si="1">E10*1.45</f>
        <v>343.65</v>
      </c>
      <c r="G10" s="44">
        <f t="shared" si="0"/>
        <v>2522.9157573112179</v>
      </c>
      <c r="H10" s="45">
        <v>867000</v>
      </c>
    </row>
    <row r="11" spans="1:8" x14ac:dyDescent="0.25">
      <c r="A11" s="39"/>
      <c r="B11" s="41" t="s">
        <v>216</v>
      </c>
      <c r="C11" s="42" t="s">
        <v>218</v>
      </c>
      <c r="D11" s="43" t="s">
        <v>219</v>
      </c>
      <c r="E11" s="43">
        <v>247</v>
      </c>
      <c r="F11" s="44">
        <f t="shared" si="1"/>
        <v>358.15</v>
      </c>
      <c r="G11" s="44">
        <f t="shared" si="0"/>
        <v>2524.0820885104008</v>
      </c>
      <c r="H11" s="45">
        <v>904000</v>
      </c>
    </row>
    <row r="12" spans="1:8" x14ac:dyDescent="0.25">
      <c r="A12" s="39"/>
      <c r="B12" s="41" t="s">
        <v>216</v>
      </c>
      <c r="C12" s="42" t="s">
        <v>218</v>
      </c>
      <c r="D12" s="43" t="s">
        <v>217</v>
      </c>
      <c r="E12" s="43">
        <v>327</v>
      </c>
      <c r="F12" s="44">
        <f t="shared" si="1"/>
        <v>474.15</v>
      </c>
      <c r="G12" s="44">
        <f t="shared" si="0"/>
        <v>2520.2994832858803</v>
      </c>
      <c r="H12" s="45">
        <v>1195000</v>
      </c>
    </row>
    <row r="13" spans="1:8" x14ac:dyDescent="0.25">
      <c r="A13" s="39"/>
      <c r="B13" s="41" t="s">
        <v>216</v>
      </c>
      <c r="C13" s="42" t="s">
        <v>218</v>
      </c>
      <c r="D13" s="43" t="s">
        <v>217</v>
      </c>
      <c r="E13" s="43">
        <v>328</v>
      </c>
      <c r="F13" s="44">
        <f t="shared" si="1"/>
        <v>475.59999999999997</v>
      </c>
      <c r="G13" s="44">
        <f t="shared" si="0"/>
        <v>2518.9234650967201</v>
      </c>
      <c r="H13" s="45">
        <v>1198000</v>
      </c>
    </row>
    <row r="14" spans="1:8" x14ac:dyDescent="0.25">
      <c r="A14" s="39"/>
      <c r="B14" s="41" t="s">
        <v>216</v>
      </c>
      <c r="C14" s="42" t="s">
        <v>218</v>
      </c>
      <c r="D14" s="43" t="s">
        <v>217</v>
      </c>
      <c r="E14" s="43">
        <v>342</v>
      </c>
      <c r="F14" s="44">
        <f t="shared" si="1"/>
        <v>495.9</v>
      </c>
      <c r="G14" s="44">
        <f t="shared" si="0"/>
        <v>2514.6198830409357</v>
      </c>
      <c r="H14" s="45">
        <v>1247000</v>
      </c>
    </row>
    <row r="15" spans="1:8" x14ac:dyDescent="0.25">
      <c r="A15" s="39"/>
      <c r="B15" s="41" t="s">
        <v>216</v>
      </c>
      <c r="C15" s="42" t="s">
        <v>218</v>
      </c>
      <c r="D15" s="43" t="s">
        <v>217</v>
      </c>
      <c r="E15" s="43">
        <v>347</v>
      </c>
      <c r="F15" s="44">
        <f t="shared" si="1"/>
        <v>503.15</v>
      </c>
      <c r="G15" s="44">
        <f t="shared" si="0"/>
        <v>2514.1607870416378</v>
      </c>
      <c r="H15" s="45">
        <v>1265000</v>
      </c>
    </row>
    <row r="16" spans="1:8" x14ac:dyDescent="0.25">
      <c r="A16" s="39"/>
      <c r="B16" s="41" t="s">
        <v>216</v>
      </c>
      <c r="C16" s="42" t="s">
        <v>218</v>
      </c>
      <c r="D16" s="43" t="s">
        <v>217</v>
      </c>
      <c r="E16" s="43">
        <v>353</v>
      </c>
      <c r="F16" s="44">
        <f t="shared" si="1"/>
        <v>511.84999999999997</v>
      </c>
      <c r="G16" s="44">
        <f t="shared" si="0"/>
        <v>2514.4085181205432</v>
      </c>
      <c r="H16" s="45">
        <v>1287000</v>
      </c>
    </row>
    <row r="17" spans="1:9" x14ac:dyDescent="0.25">
      <c r="A17" s="39"/>
      <c r="B17" s="41" t="s">
        <v>216</v>
      </c>
      <c r="C17" s="42" t="s">
        <v>218</v>
      </c>
      <c r="D17" s="43" t="s">
        <v>217</v>
      </c>
      <c r="E17" s="43">
        <v>366</v>
      </c>
      <c r="F17" s="44">
        <f t="shared" si="1"/>
        <v>530.69999999999993</v>
      </c>
      <c r="G17" s="44">
        <f t="shared" si="0"/>
        <v>2517.4298096853217</v>
      </c>
      <c r="H17" s="45">
        <v>1336000</v>
      </c>
    </row>
    <row r="18" spans="1:9" x14ac:dyDescent="0.25">
      <c r="A18" s="39"/>
      <c r="B18" s="41" t="s">
        <v>220</v>
      </c>
      <c r="C18" s="42" t="s">
        <v>218</v>
      </c>
      <c r="D18" s="43" t="s">
        <v>217</v>
      </c>
      <c r="E18" s="43">
        <v>328</v>
      </c>
      <c r="F18" s="44">
        <f t="shared" si="1"/>
        <v>475.59999999999997</v>
      </c>
      <c r="G18" s="44">
        <f t="shared" si="0"/>
        <v>3784.6930193439866</v>
      </c>
      <c r="H18" s="45">
        <v>1800000</v>
      </c>
    </row>
    <row r="19" spans="1:9" x14ac:dyDescent="0.25">
      <c r="A19" s="39"/>
      <c r="B19" s="41" t="s">
        <v>220</v>
      </c>
      <c r="C19" s="42" t="s">
        <v>218</v>
      </c>
      <c r="D19" s="43" t="s">
        <v>217</v>
      </c>
      <c r="E19" s="43">
        <v>353</v>
      </c>
      <c r="F19" s="44">
        <f t="shared" si="1"/>
        <v>511.84999999999997</v>
      </c>
      <c r="G19" s="44">
        <f t="shared" si="0"/>
        <v>3784.3118101006157</v>
      </c>
      <c r="H19" s="45">
        <v>1937000</v>
      </c>
    </row>
    <row r="20" spans="1:9" x14ac:dyDescent="0.25">
      <c r="A20" s="39"/>
      <c r="B20" s="41" t="s">
        <v>220</v>
      </c>
      <c r="C20" s="42" t="s">
        <v>218</v>
      </c>
      <c r="D20" s="43" t="s">
        <v>217</v>
      </c>
      <c r="E20" s="43">
        <v>367</v>
      </c>
      <c r="F20" s="44">
        <f t="shared" si="1"/>
        <v>532.15</v>
      </c>
      <c r="G20" s="44">
        <f t="shared" si="0"/>
        <v>3784.6471859438129</v>
      </c>
      <c r="H20" s="45">
        <v>2014000</v>
      </c>
    </row>
    <row r="21" spans="1:9" ht="15" customHeight="1" x14ac:dyDescent="0.25">
      <c r="A21" s="39"/>
      <c r="B21" s="46" t="s">
        <v>221</v>
      </c>
      <c r="C21" s="43"/>
      <c r="D21" s="43"/>
      <c r="E21" s="43">
        <v>0</v>
      </c>
      <c r="F21" s="44">
        <f t="shared" si="1"/>
        <v>0</v>
      </c>
      <c r="G21" s="47">
        <f>AVERAGE(G5:G20)</f>
        <v>2750.9596915942016</v>
      </c>
      <c r="H21" s="43"/>
    </row>
    <row r="22" spans="1:9" ht="15" customHeight="1" x14ac:dyDescent="0.25">
      <c r="B22" s="46" t="s">
        <v>222</v>
      </c>
      <c r="C22" s="43"/>
      <c r="D22" s="43"/>
      <c r="E22" s="43"/>
      <c r="F22" s="48"/>
      <c r="G22" s="46">
        <v>2700</v>
      </c>
      <c r="H22" s="46"/>
      <c r="I22" s="49"/>
    </row>
    <row r="23" spans="1:9" ht="15" customHeight="1" x14ac:dyDescent="0.25"/>
    <row r="24" spans="1:9" x14ac:dyDescent="0.25">
      <c r="G24" s="50"/>
    </row>
    <row r="25" spans="1:9" x14ac:dyDescent="0.25">
      <c r="G25" s="50"/>
    </row>
    <row r="26" spans="1:9" x14ac:dyDescent="0.25">
      <c r="G26" s="50"/>
    </row>
    <row r="27" spans="1:9" x14ac:dyDescent="0.25">
      <c r="G27" s="50"/>
    </row>
    <row r="32" spans="1:9" x14ac:dyDescent="0.25">
      <c r="B32" s="51"/>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5" x14ac:dyDescent="0.25"/>
  <cols>
    <col min="1" max="1" width="20.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A2" s="22" t="s">
        <v>138</v>
      </c>
      <c r="B2" s="22" t="s">
        <v>139</v>
      </c>
      <c r="C2" s="22" t="s">
        <v>140</v>
      </c>
      <c r="D2" s="261" t="s">
        <v>141</v>
      </c>
      <c r="E2" s="261"/>
    </row>
    <row r="3" spans="1:13" x14ac:dyDescent="0.25">
      <c r="A3" s="25">
        <v>0</v>
      </c>
      <c r="B3" s="25">
        <v>0</v>
      </c>
      <c r="C3" s="25">
        <v>1</v>
      </c>
      <c r="D3" s="262">
        <v>4</v>
      </c>
      <c r="E3" s="262"/>
    </row>
    <row r="5" spans="1:13" hidden="1" x14ac:dyDescent="0.25">
      <c r="A5" s="21" t="s">
        <v>103</v>
      </c>
      <c r="B5" s="23" t="s">
        <v>156</v>
      </c>
      <c r="C5" s="23">
        <f>D3</f>
        <v>4</v>
      </c>
      <c r="D5" s="24"/>
    </row>
    <row r="6" spans="1:13" x14ac:dyDescent="0.25">
      <c r="A6" s="21" t="s">
        <v>104</v>
      </c>
      <c r="B6" s="33">
        <v>10</v>
      </c>
      <c r="C6" s="34">
        <v>10</v>
      </c>
      <c r="D6" s="26">
        <f>((100/B6)*C6)/100</f>
        <v>1</v>
      </c>
    </row>
    <row r="7" spans="1:13" x14ac:dyDescent="0.25">
      <c r="A7" s="21" t="s">
        <v>105</v>
      </c>
      <c r="B7" s="33">
        <f>A3+B3+C3+D3</f>
        <v>5</v>
      </c>
      <c r="C7" s="34">
        <v>1</v>
      </c>
      <c r="D7" s="26">
        <f t="shared" ref="D7:D12" si="0">((100/B7)*C7)/100</f>
        <v>0.2</v>
      </c>
      <c r="F7" s="263" t="s">
        <v>157</v>
      </c>
      <c r="G7" s="263"/>
      <c r="H7" s="35" t="s">
        <v>158</v>
      </c>
      <c r="J7" s="32"/>
    </row>
    <row r="8" spans="1:13" x14ac:dyDescent="0.25">
      <c r="A8" s="21" t="s">
        <v>110</v>
      </c>
      <c r="B8" s="33">
        <f>C5</f>
        <v>4</v>
      </c>
      <c r="C8" s="34">
        <v>0</v>
      </c>
      <c r="D8" s="26">
        <f t="shared" si="0"/>
        <v>0</v>
      </c>
      <c r="F8" s="260" t="s">
        <v>159</v>
      </c>
      <c r="G8" s="260"/>
      <c r="H8" s="33" t="s">
        <v>160</v>
      </c>
    </row>
    <row r="9" spans="1:13" x14ac:dyDescent="0.25">
      <c r="A9" s="21" t="s">
        <v>112</v>
      </c>
      <c r="B9" s="33">
        <f>C5</f>
        <v>4</v>
      </c>
      <c r="C9" s="34">
        <v>0</v>
      </c>
      <c r="D9" s="26">
        <f t="shared" si="0"/>
        <v>0</v>
      </c>
      <c r="F9" s="260" t="s">
        <v>161</v>
      </c>
      <c r="G9" s="260"/>
      <c r="H9" s="33" t="s">
        <v>162</v>
      </c>
    </row>
    <row r="10" spans="1:13" x14ac:dyDescent="0.25">
      <c r="A10" s="21" t="s">
        <v>73</v>
      </c>
      <c r="B10" s="33">
        <f>C5</f>
        <v>4</v>
      </c>
      <c r="C10" s="34">
        <v>0</v>
      </c>
      <c r="D10" s="26">
        <f t="shared" si="0"/>
        <v>0</v>
      </c>
      <c r="F10" s="260" t="s">
        <v>163</v>
      </c>
      <c r="G10" s="260"/>
      <c r="H10" s="33" t="s">
        <v>164</v>
      </c>
    </row>
    <row r="11" spans="1:13" x14ac:dyDescent="0.25">
      <c r="A11" s="27" t="s">
        <v>108</v>
      </c>
      <c r="B11" s="33">
        <f>C5</f>
        <v>4</v>
      </c>
      <c r="C11" s="34">
        <v>0</v>
      </c>
      <c r="D11" s="26">
        <f t="shared" si="0"/>
        <v>0</v>
      </c>
      <c r="F11" s="260" t="s">
        <v>165</v>
      </c>
      <c r="G11" s="260"/>
      <c r="H11" s="33" t="s">
        <v>166</v>
      </c>
    </row>
    <row r="12" spans="1:13" x14ac:dyDescent="0.25">
      <c r="A12" s="21" t="s">
        <v>74</v>
      </c>
      <c r="B12" s="33">
        <f>C5</f>
        <v>4</v>
      </c>
      <c r="C12" s="34">
        <v>0</v>
      </c>
      <c r="D12" s="26">
        <f t="shared" si="0"/>
        <v>0</v>
      </c>
      <c r="F12" s="260" t="s">
        <v>167</v>
      </c>
      <c r="G12" s="260"/>
      <c r="H12" s="33" t="s">
        <v>168</v>
      </c>
    </row>
    <row r="13" spans="1:13" x14ac:dyDescent="0.25">
      <c r="F13" s="260" t="s">
        <v>169</v>
      </c>
      <c r="G13" s="260"/>
      <c r="H13" s="33" t="s">
        <v>170</v>
      </c>
    </row>
    <row r="14" spans="1:13" hidden="1" x14ac:dyDescent="0.25">
      <c r="A14" s="22"/>
      <c r="B14" s="22" t="s">
        <v>109</v>
      </c>
      <c r="C14" s="22" t="s">
        <v>113</v>
      </c>
      <c r="G14" s="22" t="s">
        <v>104</v>
      </c>
      <c r="H14" s="22" t="s">
        <v>106</v>
      </c>
      <c r="I14" s="22" t="s">
        <v>107</v>
      </c>
      <c r="J14" s="22" t="s">
        <v>72</v>
      </c>
      <c r="K14" s="22" t="s">
        <v>73</v>
      </c>
      <c r="L14" s="22" t="s">
        <v>108</v>
      </c>
      <c r="M14" s="22" t="s">
        <v>74</v>
      </c>
    </row>
    <row r="15" spans="1:13" hidden="1" x14ac:dyDescent="0.25">
      <c r="A15" s="22" t="s">
        <v>70</v>
      </c>
      <c r="B15" s="22">
        <f>G15</f>
        <v>10</v>
      </c>
      <c r="C15" s="22">
        <f>G16</f>
        <v>30</v>
      </c>
      <c r="E15" s="261" t="s">
        <v>109</v>
      </c>
      <c r="F15" s="261"/>
      <c r="G15" s="28">
        <f>C6</f>
        <v>10</v>
      </c>
      <c r="H15" s="28">
        <f>40/B7*C7</f>
        <v>8</v>
      </c>
      <c r="I15" s="28">
        <f>15/B8*C8</f>
        <v>0</v>
      </c>
      <c r="J15" s="28">
        <f>10/B9*C9</f>
        <v>0</v>
      </c>
      <c r="K15" s="28">
        <f>10/B10*C10</f>
        <v>0</v>
      </c>
      <c r="L15" s="28">
        <f>5/B11*C11</f>
        <v>0</v>
      </c>
      <c r="M15" s="28">
        <f>5/B12*C12</f>
        <v>0</v>
      </c>
    </row>
    <row r="16" spans="1:13" hidden="1" x14ac:dyDescent="0.25">
      <c r="A16" s="22" t="s">
        <v>71</v>
      </c>
      <c r="B16" s="22">
        <f>H15</f>
        <v>8</v>
      </c>
      <c r="C16" s="22">
        <f>H16</f>
        <v>6</v>
      </c>
      <c r="E16" s="261" t="s">
        <v>111</v>
      </c>
      <c r="F16" s="261"/>
      <c r="G16" s="22">
        <f>G15+20</f>
        <v>30</v>
      </c>
      <c r="H16" s="22">
        <f>30/B7*C7</f>
        <v>6</v>
      </c>
      <c r="I16" s="22">
        <f>15/B8*C8</f>
        <v>0</v>
      </c>
      <c r="J16" s="22">
        <f>10/B9*C9</f>
        <v>0</v>
      </c>
      <c r="K16" s="22">
        <f>5/B10*C10</f>
        <v>0</v>
      </c>
      <c r="L16" s="22">
        <f>5/B11*C11</f>
        <v>0</v>
      </c>
      <c r="M16" s="22">
        <f>5/B12*C12</f>
        <v>0</v>
      </c>
    </row>
    <row r="17" spans="1:8" hidden="1" x14ac:dyDescent="0.25">
      <c r="A17" s="22" t="s">
        <v>107</v>
      </c>
      <c r="B17" s="22">
        <f>I15</f>
        <v>0</v>
      </c>
      <c r="C17" s="22">
        <f>I16</f>
        <v>0</v>
      </c>
    </row>
    <row r="18" spans="1:8" hidden="1" x14ac:dyDescent="0.25">
      <c r="A18" s="22" t="s">
        <v>72</v>
      </c>
      <c r="B18" s="22">
        <f>J15</f>
        <v>0</v>
      </c>
      <c r="C18" s="22">
        <f>J16</f>
        <v>0</v>
      </c>
    </row>
    <row r="19" spans="1:8" hidden="1" x14ac:dyDescent="0.25">
      <c r="A19" s="22" t="s">
        <v>73</v>
      </c>
      <c r="B19" s="22">
        <f>K15</f>
        <v>0</v>
      </c>
      <c r="C19" s="22">
        <f>K16</f>
        <v>0</v>
      </c>
    </row>
    <row r="20" spans="1:8" hidden="1" x14ac:dyDescent="0.25">
      <c r="A20" s="29" t="s">
        <v>108</v>
      </c>
      <c r="B20" s="22">
        <f>L15</f>
        <v>0</v>
      </c>
      <c r="C20" s="22">
        <f>L16</f>
        <v>0</v>
      </c>
    </row>
    <row r="21" spans="1:8" hidden="1" x14ac:dyDescent="0.25">
      <c r="A21" s="22" t="s">
        <v>74</v>
      </c>
      <c r="B21" s="22">
        <f>M15</f>
        <v>0</v>
      </c>
      <c r="C21" s="22">
        <f>M16</f>
        <v>0</v>
      </c>
    </row>
    <row r="22" spans="1:8" x14ac:dyDescent="0.25">
      <c r="A22" s="22" t="s">
        <v>114</v>
      </c>
      <c r="B22" s="30">
        <f>(B15+B16+B17+B18+B19+B20+B21)/100</f>
        <v>0.18</v>
      </c>
      <c r="C22" s="30">
        <f>(C15+C16+C17+C18+C19+C20+C21)/100</f>
        <v>0.36</v>
      </c>
      <c r="F22" s="260" t="s">
        <v>171</v>
      </c>
      <c r="G22" s="260"/>
      <c r="H22" s="33" t="s">
        <v>162</v>
      </c>
    </row>
    <row r="23" spans="1:8" x14ac:dyDescent="0.25">
      <c r="F23" s="260" t="s">
        <v>172</v>
      </c>
      <c r="G23" s="260"/>
      <c r="H23" s="33" t="s">
        <v>173</v>
      </c>
    </row>
    <row r="24" spans="1:8" x14ac:dyDescent="0.25">
      <c r="A24" s="21" t="s">
        <v>146</v>
      </c>
      <c r="B24" s="31">
        <v>0.01</v>
      </c>
      <c r="C24" s="31">
        <v>0.02</v>
      </c>
      <c r="F24" s="260" t="s">
        <v>174</v>
      </c>
      <c r="G24" s="260"/>
      <c r="H24" s="33" t="s">
        <v>175</v>
      </c>
    </row>
    <row r="25" spans="1:8" x14ac:dyDescent="0.25">
      <c r="A25" s="21" t="s">
        <v>147</v>
      </c>
      <c r="B25" s="31">
        <v>0.01</v>
      </c>
      <c r="C25" s="31">
        <v>0.03</v>
      </c>
    </row>
    <row r="26" spans="1:8" x14ac:dyDescent="0.25">
      <c r="A26" s="21" t="s">
        <v>148</v>
      </c>
      <c r="B26" s="31">
        <v>0.03</v>
      </c>
      <c r="C26" s="31">
        <v>0.08</v>
      </c>
    </row>
    <row r="27" spans="1:8" x14ac:dyDescent="0.25">
      <c r="A27" s="21" t="s">
        <v>149</v>
      </c>
      <c r="B27" s="31">
        <v>0.05</v>
      </c>
      <c r="C27" s="31">
        <v>0.15</v>
      </c>
    </row>
    <row r="28" spans="1:8" x14ac:dyDescent="0.25">
      <c r="A28" s="21" t="s">
        <v>150</v>
      </c>
      <c r="B28" s="31">
        <v>7.0000000000000007E-2</v>
      </c>
      <c r="C28" s="31">
        <v>0.2</v>
      </c>
    </row>
    <row r="29" spans="1:8" x14ac:dyDescent="0.25">
      <c r="A29" s="21" t="s">
        <v>151</v>
      </c>
      <c r="B29" s="31">
        <v>0.1</v>
      </c>
      <c r="C29" s="31">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5" x14ac:dyDescent="0.25"/>
  <cols>
    <col min="2" max="2" width="12.28515625" customWidth="1"/>
  </cols>
  <sheetData>
    <row r="2" spans="1:12" x14ac:dyDescent="0.25">
      <c r="B2" s="5" t="s">
        <v>115</v>
      </c>
      <c r="C2" s="264"/>
      <c r="D2" s="264"/>
    </row>
    <row r="3" spans="1:12" x14ac:dyDescent="0.25">
      <c r="D3" s="6"/>
      <c r="E3" s="6"/>
      <c r="F3" s="6"/>
      <c r="G3" s="6"/>
      <c r="H3" s="6"/>
      <c r="I3" s="6"/>
    </row>
    <row r="4" spans="1:12" x14ac:dyDescent="0.25">
      <c r="A4" s="5" t="s">
        <v>116</v>
      </c>
      <c r="B4" s="7" t="s">
        <v>117</v>
      </c>
      <c r="C4" s="265" t="s">
        <v>118</v>
      </c>
      <c r="D4" s="265"/>
      <c r="E4" s="265"/>
      <c r="F4" s="8"/>
      <c r="G4" s="265" t="s">
        <v>119</v>
      </c>
      <c r="H4" s="265"/>
      <c r="I4" s="265"/>
      <c r="J4" s="265" t="s">
        <v>120</v>
      </c>
      <c r="K4" s="265"/>
      <c r="L4" s="265"/>
    </row>
    <row r="5" spans="1:12" x14ac:dyDescent="0.25">
      <c r="A5" s="5">
        <v>1</v>
      </c>
      <c r="B5" s="7"/>
      <c r="C5" s="7" t="s">
        <v>121</v>
      </c>
      <c r="D5" s="7" t="s">
        <v>122</v>
      </c>
      <c r="E5" s="7" t="s">
        <v>83</v>
      </c>
      <c r="F5" s="7"/>
      <c r="G5" s="7" t="s">
        <v>121</v>
      </c>
      <c r="H5" s="7" t="s">
        <v>122</v>
      </c>
      <c r="I5" s="7" t="s">
        <v>83</v>
      </c>
      <c r="J5" s="7" t="s">
        <v>121</v>
      </c>
      <c r="K5" s="7" t="s">
        <v>122</v>
      </c>
      <c r="L5" s="7" t="s">
        <v>83</v>
      </c>
    </row>
    <row r="6" spans="1:12" x14ac:dyDescent="0.25">
      <c r="B6" s="9" t="s">
        <v>123</v>
      </c>
      <c r="C6" s="9"/>
      <c r="D6" s="9"/>
      <c r="E6" s="9">
        <f>C6*D6</f>
        <v>0</v>
      </c>
      <c r="F6" s="9" t="s">
        <v>124</v>
      </c>
      <c r="G6" s="9"/>
      <c r="H6" s="9"/>
      <c r="I6" s="9">
        <f>G6*H6</f>
        <v>0</v>
      </c>
      <c r="J6" s="9"/>
      <c r="K6" s="9"/>
      <c r="L6" s="9">
        <f>J6*K6</f>
        <v>0</v>
      </c>
    </row>
    <row r="7" spans="1:12" x14ac:dyDescent="0.25">
      <c r="B7" s="9"/>
      <c r="C7" s="9"/>
      <c r="D7" s="9"/>
      <c r="E7" s="9">
        <f t="shared" ref="E7:E33" si="0">C7*D7</f>
        <v>0</v>
      </c>
      <c r="F7" s="9" t="s">
        <v>125</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126</v>
      </c>
      <c r="C9" s="9"/>
      <c r="D9" s="9"/>
      <c r="E9" s="9">
        <f t="shared" si="0"/>
        <v>0</v>
      </c>
      <c r="F9" s="9" t="s">
        <v>124</v>
      </c>
      <c r="G9" s="9"/>
      <c r="H9" s="9"/>
      <c r="I9" s="9">
        <f t="shared" si="1"/>
        <v>0</v>
      </c>
      <c r="J9" s="9"/>
      <c r="K9" s="9"/>
      <c r="L9" s="9">
        <f t="shared" si="2"/>
        <v>0</v>
      </c>
    </row>
    <row r="10" spans="1:12" x14ac:dyDescent="0.25">
      <c r="B10" s="9"/>
      <c r="C10" s="9"/>
      <c r="D10" s="9"/>
      <c r="E10" s="9">
        <f t="shared" si="0"/>
        <v>0</v>
      </c>
      <c r="F10" s="9" t="s">
        <v>125</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127</v>
      </c>
      <c r="C13" s="9"/>
      <c r="D13" s="9"/>
      <c r="E13" s="9">
        <f t="shared" si="0"/>
        <v>0</v>
      </c>
      <c r="F13" s="9" t="s">
        <v>124</v>
      </c>
      <c r="G13" s="9"/>
      <c r="H13" s="9"/>
      <c r="I13" s="9">
        <f t="shared" si="1"/>
        <v>0</v>
      </c>
      <c r="J13" s="9"/>
      <c r="K13" s="9"/>
      <c r="L13" s="9">
        <f t="shared" si="2"/>
        <v>0</v>
      </c>
    </row>
    <row r="14" spans="1:12" x14ac:dyDescent="0.25">
      <c r="B14" s="9"/>
      <c r="C14" s="9"/>
      <c r="D14" s="9"/>
      <c r="E14" s="9">
        <f t="shared" si="0"/>
        <v>0</v>
      </c>
      <c r="F14" s="9" t="s">
        <v>125</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128</v>
      </c>
      <c r="C17" s="9"/>
      <c r="D17" s="9"/>
      <c r="E17" s="9">
        <f t="shared" si="0"/>
        <v>0</v>
      </c>
      <c r="F17" s="9" t="s">
        <v>124</v>
      </c>
      <c r="G17" s="9"/>
      <c r="H17" s="9"/>
      <c r="I17" s="9">
        <f t="shared" si="1"/>
        <v>0</v>
      </c>
      <c r="J17" s="9"/>
      <c r="K17" s="9"/>
      <c r="L17" s="9">
        <f t="shared" si="2"/>
        <v>0</v>
      </c>
    </row>
    <row r="18" spans="2:12" x14ac:dyDescent="0.25">
      <c r="B18" s="9"/>
      <c r="C18" s="9"/>
      <c r="D18" s="9"/>
      <c r="E18" s="9">
        <f t="shared" si="0"/>
        <v>0</v>
      </c>
      <c r="F18" s="9" t="s">
        <v>125</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128</v>
      </c>
      <c r="C20" s="9"/>
      <c r="D20" s="9"/>
      <c r="E20" s="9">
        <f t="shared" si="0"/>
        <v>0</v>
      </c>
      <c r="F20" s="9" t="s">
        <v>124</v>
      </c>
      <c r="G20" s="9"/>
      <c r="H20" s="9"/>
      <c r="I20" s="9">
        <f t="shared" si="1"/>
        <v>0</v>
      </c>
      <c r="J20" s="9"/>
      <c r="K20" s="9"/>
      <c r="L20" s="9">
        <f t="shared" si="2"/>
        <v>0</v>
      </c>
    </row>
    <row r="21" spans="2:12" x14ac:dyDescent="0.25">
      <c r="B21" s="9"/>
      <c r="C21" s="9"/>
      <c r="D21" s="9"/>
      <c r="E21" s="9">
        <f t="shared" si="0"/>
        <v>0</v>
      </c>
      <c r="F21" s="9" t="s">
        <v>125</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129</v>
      </c>
      <c r="C23" s="9"/>
      <c r="D23" s="9"/>
      <c r="E23" s="9">
        <f t="shared" si="0"/>
        <v>0</v>
      </c>
      <c r="F23" s="9" t="s">
        <v>130</v>
      </c>
      <c r="G23" s="9"/>
      <c r="H23" s="9"/>
      <c r="I23" s="9">
        <f t="shared" si="1"/>
        <v>0</v>
      </c>
      <c r="J23" s="9"/>
      <c r="K23" s="9"/>
      <c r="L23" s="9">
        <f t="shared" si="2"/>
        <v>0</v>
      </c>
    </row>
    <row r="24" spans="2:12" x14ac:dyDescent="0.25">
      <c r="B24" s="9" t="s">
        <v>131</v>
      </c>
      <c r="C24" s="9"/>
      <c r="D24" s="9"/>
      <c r="E24" s="9">
        <f t="shared" si="0"/>
        <v>0</v>
      </c>
      <c r="F24" s="9" t="s">
        <v>130</v>
      </c>
      <c r="G24" s="9"/>
      <c r="H24" s="9"/>
      <c r="I24" s="9">
        <f t="shared" si="1"/>
        <v>0</v>
      </c>
      <c r="J24" s="9"/>
      <c r="K24" s="9"/>
      <c r="L24" s="9">
        <f t="shared" si="2"/>
        <v>0</v>
      </c>
    </row>
    <row r="25" spans="2:12" x14ac:dyDescent="0.25">
      <c r="B25" s="9" t="s">
        <v>132</v>
      </c>
      <c r="C25" s="9"/>
      <c r="D25" s="9"/>
      <c r="E25" s="9">
        <f t="shared" si="0"/>
        <v>0</v>
      </c>
      <c r="F25" s="9" t="s">
        <v>130</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133</v>
      </c>
      <c r="C27" s="9"/>
      <c r="D27" s="9"/>
      <c r="E27" s="9">
        <f t="shared" si="0"/>
        <v>0</v>
      </c>
      <c r="F27" s="9"/>
      <c r="G27" s="9"/>
      <c r="H27" s="9"/>
      <c r="I27" s="9">
        <f t="shared" si="1"/>
        <v>0</v>
      </c>
      <c r="J27" s="9"/>
      <c r="K27" s="9"/>
      <c r="L27" s="9">
        <f t="shared" si="2"/>
        <v>0</v>
      </c>
    </row>
    <row r="28" spans="2:12" x14ac:dyDescent="0.25">
      <c r="B28" s="9" t="s">
        <v>134</v>
      </c>
      <c r="C28" s="9"/>
      <c r="D28" s="9"/>
      <c r="E28" s="9">
        <f t="shared" si="0"/>
        <v>0</v>
      </c>
      <c r="F28" s="9"/>
      <c r="G28" s="9"/>
      <c r="H28" s="9"/>
      <c r="I28" s="9">
        <f t="shared" si="1"/>
        <v>0</v>
      </c>
      <c r="J28" s="9"/>
      <c r="K28" s="9"/>
      <c r="L28" s="9">
        <f t="shared" si="2"/>
        <v>0</v>
      </c>
    </row>
    <row r="29" spans="2:12" x14ac:dyDescent="0.25">
      <c r="B29" s="9" t="s">
        <v>135</v>
      </c>
      <c r="C29" s="9"/>
      <c r="D29" s="9"/>
      <c r="E29" s="9">
        <f t="shared" si="0"/>
        <v>0</v>
      </c>
      <c r="F29" s="9"/>
      <c r="G29" s="9"/>
      <c r="H29" s="9"/>
      <c r="I29" s="9">
        <f t="shared" si="1"/>
        <v>0</v>
      </c>
      <c r="J29" s="9"/>
      <c r="K29" s="9"/>
      <c r="L29" s="9">
        <f t="shared" si="2"/>
        <v>0</v>
      </c>
    </row>
    <row r="30" spans="2:12" x14ac:dyDescent="0.25">
      <c r="B30" s="9" t="s">
        <v>136</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84</v>
      </c>
      <c r="C34" s="9"/>
      <c r="D34" s="9">
        <f>E34*10.764</f>
        <v>0</v>
      </c>
      <c r="E34" s="9">
        <f>SUM(E6:E33)</f>
        <v>0</v>
      </c>
      <c r="F34" s="9"/>
      <c r="G34" s="9"/>
      <c r="H34" s="9">
        <f>I34*10.764</f>
        <v>0</v>
      </c>
      <c r="I34" s="9">
        <f>SUM(I6:I33)</f>
        <v>0</v>
      </c>
      <c r="J34" s="9"/>
      <c r="K34" s="9">
        <f>L34*10.764</f>
        <v>0</v>
      </c>
      <c r="L34" s="9">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Note</vt:lpstr>
      <vt:lpstr>VALUATION</vt:lpstr>
      <vt:lpstr>6%</vt:lpstr>
      <vt:lpstr>Flat detail</vt:lpstr>
      <vt:lpstr>'Report (2)'!Print_Area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2025-08-19T07:45:26Z</cp:lastPrinted>
  <dcterms:created xsi:type="dcterms:W3CDTF">2019-07-16T09:29:46Z</dcterms:created>
  <dcterms:modified xsi:type="dcterms:W3CDTF">2025-08-19T07:46:02Z</dcterms:modified>
</cp:coreProperties>
</file>