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-105" yWindow="-105" windowWidth="21840" windowHeight="12450" tabRatio="725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Report!$A$1:$H$382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1" i="1" l="1"/>
  <c r="D179" i="1"/>
  <c r="I129" i="1" l="1"/>
  <c r="D232" i="1"/>
  <c r="F232" i="1" s="1"/>
  <c r="D231" i="1"/>
  <c r="D223" i="1"/>
  <c r="D222" i="1"/>
  <c r="F222" i="1" s="1"/>
  <c r="D220" i="1"/>
  <c r="F220" i="1" s="1"/>
  <c r="D219" i="1"/>
  <c r="F219" i="1" s="1"/>
  <c r="D218" i="1"/>
  <c r="F218" i="1" s="1"/>
  <c r="D217" i="1"/>
  <c r="F217" i="1" s="1"/>
  <c r="D216" i="1"/>
  <c r="F216" i="1" s="1"/>
  <c r="D215" i="1"/>
  <c r="F215" i="1" s="1"/>
  <c r="D214" i="1"/>
  <c r="F214" i="1" s="1"/>
  <c r="D213" i="1"/>
  <c r="F213" i="1" s="1"/>
  <c r="D211" i="1"/>
  <c r="F211" i="1" s="1"/>
  <c r="D210" i="1"/>
  <c r="F210" i="1" s="1"/>
  <c r="D209" i="1"/>
  <c r="F209" i="1" s="1"/>
  <c r="D208" i="1"/>
  <c r="F208" i="1" s="1"/>
  <c r="D207" i="1"/>
  <c r="F207" i="1" s="1"/>
  <c r="D206" i="1"/>
  <c r="F206" i="1" s="1"/>
  <c r="D205" i="1"/>
  <c r="F205" i="1" s="1"/>
  <c r="D204" i="1"/>
  <c r="F204" i="1" s="1"/>
  <c r="D203" i="1"/>
  <c r="F203" i="1" s="1"/>
  <c r="D202" i="1"/>
  <c r="F202" i="1" s="1"/>
  <c r="D201" i="1"/>
  <c r="F201" i="1" s="1"/>
  <c r="D198" i="1"/>
  <c r="F198" i="1" s="1"/>
  <c r="D197" i="1"/>
  <c r="F197" i="1" s="1"/>
  <c r="D196" i="1"/>
  <c r="D195" i="1"/>
  <c r="D194" i="1"/>
  <c r="D193" i="1"/>
  <c r="D192" i="1"/>
  <c r="D190" i="1"/>
  <c r="F190" i="1" s="1"/>
  <c r="D189" i="1"/>
  <c r="F189" i="1" s="1"/>
  <c r="D188" i="1"/>
  <c r="F188" i="1" s="1"/>
  <c r="D187" i="1"/>
  <c r="F187" i="1" s="1"/>
  <c r="D186" i="1"/>
  <c r="F186" i="1" s="1"/>
  <c r="D185" i="1"/>
  <c r="F185" i="1" s="1"/>
  <c r="D184" i="1"/>
  <c r="F184" i="1" s="1"/>
  <c r="D183" i="1"/>
  <c r="F183" i="1" s="1"/>
  <c r="D182" i="1"/>
  <c r="F182" i="1" s="1"/>
  <c r="D181" i="1"/>
  <c r="D180" i="1"/>
  <c r="F180" i="1" s="1"/>
  <c r="F179" i="1"/>
  <c r="D178" i="1"/>
  <c r="F178" i="1" s="1"/>
  <c r="D177" i="1"/>
  <c r="F177" i="1" s="1"/>
  <c r="D176" i="1"/>
  <c r="F176" i="1" s="1"/>
  <c r="D175" i="1"/>
  <c r="D174" i="1"/>
  <c r="D173" i="1"/>
  <c r="D172" i="1"/>
  <c r="D171" i="1"/>
  <c r="E169" i="1"/>
  <c r="D169" i="1"/>
  <c r="E168" i="1"/>
  <c r="D168" i="1"/>
  <c r="D167" i="1"/>
  <c r="F167" i="1" s="1"/>
  <c r="K167" i="1" s="1"/>
  <c r="D166" i="1"/>
  <c r="D165" i="1"/>
  <c r="F165" i="1" s="1"/>
  <c r="K165" i="1" s="1"/>
  <c r="D164" i="1"/>
  <c r="F164" i="1" s="1"/>
  <c r="K164" i="1" s="1"/>
  <c r="D163" i="1"/>
  <c r="F163" i="1" s="1"/>
  <c r="K163" i="1" s="1"/>
  <c r="D162" i="1"/>
  <c r="F162" i="1" s="1"/>
  <c r="K162" i="1" s="1"/>
  <c r="D161" i="1"/>
  <c r="F161" i="1" s="1"/>
  <c r="K161" i="1" s="1"/>
  <c r="E160" i="1"/>
  <c r="D160" i="1"/>
  <c r="E159" i="1"/>
  <c r="D159" i="1"/>
  <c r="F159" i="1" s="1"/>
  <c r="K159" i="1" s="1"/>
  <c r="E158" i="1"/>
  <c r="D158" i="1"/>
  <c r="E157" i="1"/>
  <c r="D157" i="1"/>
  <c r="D156" i="1"/>
  <c r="F156" i="1" s="1"/>
  <c r="K156" i="1" s="1"/>
  <c r="D155" i="1"/>
  <c r="F155" i="1" s="1"/>
  <c r="K155" i="1" s="1"/>
  <c r="D154" i="1"/>
  <c r="F154" i="1" s="1"/>
  <c r="K154" i="1" s="1"/>
  <c r="D153" i="1"/>
  <c r="F153" i="1" s="1"/>
  <c r="K153" i="1" s="1"/>
  <c r="D152" i="1"/>
  <c r="D151" i="1"/>
  <c r="F151" i="1" s="1"/>
  <c r="K151" i="1" s="1"/>
  <c r="D150" i="1"/>
  <c r="F150" i="1" s="1"/>
  <c r="K150" i="1" s="1"/>
  <c r="E135" i="1"/>
  <c r="E148" i="1"/>
  <c r="D148" i="1"/>
  <c r="E147" i="1"/>
  <c r="D147" i="1"/>
  <c r="D146" i="1"/>
  <c r="D145" i="1"/>
  <c r="D144" i="1"/>
  <c r="D143" i="1"/>
  <c r="D142" i="1"/>
  <c r="D141" i="1"/>
  <c r="D140" i="1"/>
  <c r="D135" i="1"/>
  <c r="D134" i="1"/>
  <c r="D133" i="1"/>
  <c r="D132" i="1"/>
  <c r="D131" i="1"/>
  <c r="D130" i="1"/>
  <c r="D129" i="1"/>
  <c r="D119" i="1"/>
  <c r="D118" i="1"/>
  <c r="D117" i="1"/>
  <c r="D116" i="1"/>
  <c r="D114" i="1"/>
  <c r="D113" i="1"/>
  <c r="D112" i="1"/>
  <c r="D111" i="1"/>
  <c r="D110" i="1"/>
  <c r="D109" i="1"/>
  <c r="F231" i="1"/>
  <c r="F223" i="1"/>
  <c r="F221" i="1"/>
  <c r="G213" i="1"/>
  <c r="A213" i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F181" i="1"/>
  <c r="F166" i="1"/>
  <c r="K166" i="1" s="1"/>
  <c r="F152" i="1"/>
  <c r="K152" i="1" s="1"/>
  <c r="G150" i="1"/>
  <c r="A150" i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F157" i="1" l="1"/>
  <c r="K157" i="1" s="1"/>
  <c r="C101" i="1"/>
  <c r="C102" i="1" s="1"/>
  <c r="C96" i="1"/>
  <c r="C97" i="1"/>
  <c r="C98" i="1" s="1"/>
  <c r="F169" i="1"/>
  <c r="K169" i="1" s="1"/>
  <c r="E96" i="1"/>
  <c r="E97" i="1"/>
  <c r="E101" i="1"/>
  <c r="E102" i="1" s="1"/>
  <c r="F160" i="1"/>
  <c r="K160" i="1" s="1"/>
  <c r="F168" i="1"/>
  <c r="K168" i="1" s="1"/>
  <c r="F158" i="1"/>
  <c r="K158" i="1" s="1"/>
  <c r="F148" i="1"/>
  <c r="F147" i="1"/>
  <c r="F146" i="1"/>
  <c r="F145" i="1"/>
  <c r="F144" i="1"/>
  <c r="F143" i="1"/>
  <c r="F142" i="1"/>
  <c r="F141" i="1"/>
  <c r="K141" i="1" s="1"/>
  <c r="F140" i="1"/>
  <c r="K140" i="1" s="1"/>
  <c r="F135" i="1"/>
  <c r="F134" i="1"/>
  <c r="F119" i="1"/>
  <c r="F117" i="1"/>
  <c r="G116" i="1"/>
  <c r="F118" i="1"/>
  <c r="A117" i="1"/>
  <c r="A118" i="1" s="1"/>
  <c r="A119" i="1" s="1"/>
  <c r="F116" i="1"/>
  <c r="I113" i="1"/>
  <c r="F113" i="1"/>
  <c r="J113" i="1" s="1"/>
  <c r="F114" i="1"/>
  <c r="J114" i="1" s="1"/>
  <c r="I41" i="1"/>
  <c r="G97" i="1" l="1"/>
  <c r="J142" i="1"/>
  <c r="K142" i="1"/>
  <c r="K143" i="1"/>
  <c r="J143" i="1"/>
  <c r="K145" i="1"/>
  <c r="J145" i="1"/>
  <c r="K144" i="1"/>
  <c r="J144" i="1"/>
  <c r="E98" i="1"/>
  <c r="J134" i="1"/>
  <c r="K134" i="1"/>
  <c r="K135" i="1"/>
  <c r="J135" i="1"/>
  <c r="Z12" i="1"/>
  <c r="I14" i="1"/>
  <c r="F124" i="1" l="1"/>
  <c r="F109" i="1"/>
  <c r="J109" i="1" s="1"/>
  <c r="E103" i="1" l="1"/>
  <c r="C103" i="1"/>
  <c r="E43" i="1" l="1"/>
  <c r="E44" i="1" s="1"/>
  <c r="C15" i="1" l="1"/>
  <c r="E30" i="1" l="1"/>
  <c r="F125" i="1" l="1"/>
  <c r="F126" i="1"/>
  <c r="F127" i="1"/>
  <c r="A125" i="1"/>
  <c r="A126" i="1" s="1"/>
  <c r="A127" i="1" s="1"/>
  <c r="G124" i="1"/>
  <c r="G125" i="1" s="1"/>
  <c r="G126" i="1" s="1"/>
  <c r="G127" i="1" s="1"/>
  <c r="F93" i="1" l="1"/>
  <c r="F110" i="1" l="1"/>
  <c r="J110" i="1" s="1"/>
  <c r="F111" i="1"/>
  <c r="J111" i="1" s="1"/>
  <c r="F112" i="1"/>
  <c r="J112" i="1" s="1"/>
  <c r="G96" i="1" l="1"/>
  <c r="G98" i="1" s="1"/>
  <c r="B235" i="1"/>
  <c r="A192" i="1"/>
  <c r="A171" i="1"/>
  <c r="F196" i="1" l="1"/>
  <c r="F195" i="1"/>
  <c r="F194" i="1"/>
  <c r="F193" i="1"/>
  <c r="F192" i="1"/>
  <c r="F175" i="1"/>
  <c r="F174" i="1"/>
  <c r="F173" i="1"/>
  <c r="F172" i="1"/>
  <c r="F171" i="1"/>
  <c r="F133" i="1"/>
  <c r="F132" i="1"/>
  <c r="F130" i="1"/>
  <c r="F129" i="1"/>
  <c r="F131" i="1"/>
  <c r="A172" i="1"/>
  <c r="A193" i="1"/>
  <c r="K133" i="1" l="1"/>
  <c r="J133" i="1"/>
  <c r="K129" i="1"/>
  <c r="J129" i="1"/>
  <c r="K131" i="1"/>
  <c r="J131" i="1"/>
  <c r="K130" i="1"/>
  <c r="J130" i="1"/>
  <c r="G101" i="1"/>
  <c r="G102" i="1" s="1"/>
  <c r="G103" i="1" s="1"/>
  <c r="B236" i="1"/>
  <c r="A173" i="1"/>
  <c r="A194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57" i="1"/>
  <c r="G192" i="1"/>
  <c r="G171" i="1"/>
  <c r="G129" i="1"/>
  <c r="A129" i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10" i="1"/>
  <c r="A111" i="1" s="1"/>
  <c r="A112" i="1" s="1"/>
  <c r="A113" i="1" s="1"/>
  <c r="A114" i="1" s="1"/>
  <c r="G109" i="1"/>
  <c r="C66" i="1"/>
  <c r="B67" i="1" s="1"/>
  <c r="D55" i="1"/>
  <c r="G50" i="1"/>
  <c r="G51" i="1" s="1"/>
  <c r="C50" i="1"/>
  <c r="E27" i="1"/>
  <c r="E25" i="1"/>
  <c r="E7" i="1"/>
  <c r="E3" i="1"/>
  <c r="A174" i="1"/>
  <c r="A195" i="1"/>
  <c r="D60" i="1" l="1"/>
  <c r="A175" i="1"/>
  <c r="H67" i="1"/>
  <c r="A196" i="1"/>
  <c r="D79" i="1" l="1"/>
  <c r="D77" i="1"/>
  <c r="D76" i="1"/>
  <c r="D73" i="1"/>
  <c r="D75" i="1"/>
  <c r="J72" i="1"/>
  <c r="D78" i="1"/>
  <c r="J66" i="1"/>
  <c r="J68" i="1" s="1"/>
  <c r="D74" i="1"/>
  <c r="J70" i="1"/>
  <c r="J71" i="1"/>
  <c r="J69" i="1"/>
  <c r="J74" i="1"/>
  <c r="J75" i="1" s="1"/>
  <c r="J76" i="1" s="1"/>
  <c r="J77" i="1" s="1"/>
  <c r="D72" i="1"/>
  <c r="A197" i="1"/>
  <c r="A176" i="1"/>
  <c r="J73" i="1" l="1"/>
  <c r="D70" i="1"/>
  <c r="A198" i="1"/>
  <c r="A177" i="1"/>
  <c r="J78" i="1" l="1"/>
  <c r="A199" i="1"/>
  <c r="A178" i="1"/>
  <c r="J79" i="1" l="1"/>
  <c r="A200" i="1"/>
  <c r="A179" i="1"/>
  <c r="E70" i="1" l="1"/>
  <c r="G70" i="1"/>
  <c r="D64" i="1" s="1"/>
  <c r="J67" i="1"/>
  <c r="D71" i="1"/>
  <c r="I67" i="1" s="1"/>
  <c r="I68" i="1" s="1"/>
  <c r="A201" i="1"/>
  <c r="A180" i="1"/>
  <c r="I66" i="1" l="1"/>
  <c r="C68" i="1" s="1"/>
  <c r="D65" i="1"/>
  <c r="F65" i="1"/>
  <c r="A202" i="1"/>
  <c r="A181" i="1"/>
  <c r="A182" i="1" l="1"/>
  <c r="A203" i="1"/>
  <c r="A183" i="1" l="1"/>
  <c r="A204" i="1"/>
  <c r="A184" i="1"/>
  <c r="A205" i="1"/>
  <c r="A185" i="1"/>
  <c r="A206" i="1"/>
  <c r="A186" i="1"/>
  <c r="A207" i="1"/>
  <c r="A187" i="1"/>
  <c r="A208" i="1"/>
  <c r="A188" i="1"/>
  <c r="A209" i="1"/>
  <c r="A189" i="1"/>
  <c r="A210" i="1"/>
  <c r="A190" i="1"/>
  <c r="A211" i="1"/>
</calcChain>
</file>

<file path=xl/comments1.xml><?xml version="1.0" encoding="utf-8"?>
<comments xmlns="http://schemas.openxmlformats.org/spreadsheetml/2006/main">
  <authors>
    <author>Sachin</author>
  </authors>
  <commentList>
    <comment ref="E11" author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<sst xmlns="http://schemas.openxmlformats.org/spreadsheetml/2006/main" count="492" uniqueCount="297">
  <si>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</si>
  <si>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</si>
  <si>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</si>
  <si>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</si>
  <si>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</si>
  <si>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</si>
  <si>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</si>
  <si>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</si>
  <si>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</si>
  <si>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</si>
  <si>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</si>
  <si>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</si>
  <si>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</si>
  <si>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</si>
  <si>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</si>
  <si>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</si>
  <si>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</si>
  <si>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</si>
  <si>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</si>
  <si>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</si>
  <si>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</si>
  <si>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</si>
  <si>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</si>
  <si>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</si>
  <si>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</si>
  <si>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</si>
  <si>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</si>
  <si>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</si>
  <si>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</si>
  <si>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</si>
  <si>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</si>
  <si>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</si>
  <si>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</si>
  <si>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</si>
  <si>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</si>
  <si>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</si>
  <si>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</si>
  <si>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</si>
  <si>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</si>
  <si>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</si>
  <si>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</si>
  <si>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</si>
  <si>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</si>
  <si>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</si>
  <si>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</si>
  <si>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</si>
  <si>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</si>
  <si>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</si>
  <si>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</si>
  <si>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</si>
  <si>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</si>
  <si>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</si>
  <si>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</si>
  <si>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</si>
  <si>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</si>
  <si>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</si>
  <si>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</si>
  <si>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</si>
  <si>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</si>
  <si>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</si>
  <si>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</si>
  <si>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</si>
  <si>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</si>
  <si>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</si>
  <si>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</si>
  <si>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</si>
  <si>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</si>
  <si>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</si>
  <si>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</si>
  <si>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</si>
  <si>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</si>
  <si>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</si>
  <si>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</si>
  <si>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</si>
  <si>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</si>
  <si>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</si>
  <si>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</si>
  <si>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</si>
  <si>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</si>
  <si>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</si>
  <si>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</si>
  <si>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</si>
  <si>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</si>
  <si>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</si>
  <si>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</si>
  <si>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</si>
  <si>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</si>
  <si>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</si>
  <si>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</si>
  <si>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</si>
  <si>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</si>
  <si>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</si>
  <si>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</si>
  <si>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</si>
  <si>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</si>
  <si>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</si>
  <si>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</si>
  <si>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</si>
  <si>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</si>
  <si>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</si>
  <si>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</si>
  <si>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</si>
  <si>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</si>
  <si>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</si>
  <si>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</si>
  <si>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</si>
  <si>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</si>
  <si>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</si>
  <si>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</si>
  <si>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</si>
  <si>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</si>
  <si>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</si>
  <si>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</si>
  <si>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</si>
  <si>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</si>
  <si>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</si>
  <si>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</si>
  <si>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</si>
  <si>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</si>
  <si>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</si>
  <si>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</si>
  <si>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</si>
  <si>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</si>
  <si>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</si>
  <si>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</si>
  <si>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</si>
  <si>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</si>
  <si>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</si>
  <si>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</si>
  <si>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</si>
  <si>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</si>
  <si>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</si>
  <si>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</si>
  <si>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</si>
  <si>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</si>
  <si>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</si>
  <si>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</si>
  <si>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</si>
  <si>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</si>
  <si>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</si>
  <si>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</si>
  <si>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</si>
  <si>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</si>
  <si>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</si>
  <si>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</si>
  <si>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</si>
  <si>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</si>
  <si>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</si>
  <si>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</si>
  <si>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</si>
  <si>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</si>
  <si>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</si>
  <si>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</si>
  <si>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</si>
  <si>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</si>
  <si>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</si>
  <si>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</si>
  <si>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</si>
  <si>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</si>
  <si>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</si>
  <si>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</si>
  <si>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</si>
  <si>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</si>
  <si>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</si>
  <si>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</si>
  <si>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</si>
  <si>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</si>
  <si>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</si>
  <si>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</si>
  <si>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</si>
  <si>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</si>
  <si>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</si>
  <si>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</si>
  <si>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</si>
  <si>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Axis Goregaon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</si>
  <si>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</si>
  <si>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</si>
  <si>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</si>
  <si>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</si>
  <si>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</si>
  <si>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>Shop No. (Sale Plan)</t>
  </si>
  <si>
    <t>Flat No. (Sale Plan)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</si>
  <si>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</si>
  <si>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</si>
  <si>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</si>
  <si>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</si>
  <si>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</si>
  <si>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</si>
  <si>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</si>
  <si>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</si>
  <si>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</si>
  <si>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</si>
  <si>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</si>
  <si>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</si>
  <si>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</si>
  <si>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</si>
  <si>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</si>
  <si>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</si>
  <si>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</si>
  <si>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</si>
  <si>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</si>
  <si>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</si>
  <si>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</si>
  <si>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</si>
  <si>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</si>
  <si>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</si>
  <si>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</si>
  <si>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</si>
  <si>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</si>
  <si>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</si>
  <si>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</si>
  <si>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</si>
  <si>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</si>
  <si>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</si>
  <si>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</si>
  <si>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</si>
  <si>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</si>
  <si>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</si>
  <si>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</si>
  <si>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</si>
  <si>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</si>
  <si>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</si>
  <si>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</si>
  <si>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</si>
  <si>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</si>
  <si>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</si>
  <si>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</si>
  <si>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</si>
  <si>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</si>
  <si>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</si>
  <si>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</si>
  <si>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</si>
  <si>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</si>
  <si>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</si>
  <si>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</si>
  <si>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Shree Govind Developers</t>
  </si>
  <si>
    <t>Super Homes</t>
  </si>
  <si>
    <t>Mr. Prakash Shetty : 9096952022</t>
  </si>
  <si>
    <t>P99000051647</t>
  </si>
  <si>
    <t>As per RERA - 31/03/2029</t>
  </si>
  <si>
    <t>Survey No</t>
  </si>
  <si>
    <t>43, H.No.3</t>
  </si>
  <si>
    <t>Agashi</t>
  </si>
  <si>
    <t>https://goo.gl/maps/1k7kkwxseHjXQU537</t>
  </si>
  <si>
    <t>19.4506713,72.7842213</t>
  </si>
  <si>
    <t>Agashi Road</t>
  </si>
  <si>
    <t>Virar (West)</t>
  </si>
  <si>
    <t>Bolinj</t>
  </si>
  <si>
    <t>2.9 KM from Virar Railway Station</t>
  </si>
  <si>
    <t>Shree Salasar Marble</t>
  </si>
  <si>
    <t>Open Plot</t>
  </si>
  <si>
    <t>Mahalaxmi Marble</t>
  </si>
  <si>
    <t>30M wide DP Road</t>
  </si>
  <si>
    <t>Other Plot</t>
  </si>
  <si>
    <t>20M Wide DP Road</t>
  </si>
  <si>
    <t>Vasai Virar City Municipal Corporation (V.V.C.M.C.)</t>
  </si>
  <si>
    <t>VVCMC/TP/AMEND/VP/0735/605/2022-23</t>
  </si>
  <si>
    <t>VVCMC/TP/RDP/VP-0735/605/2022-23</t>
  </si>
  <si>
    <t>Gr/Stilt + 1st to 18th Floor</t>
  </si>
  <si>
    <t xml:space="preserve">Commencement-CC No
</t>
  </si>
  <si>
    <t>Valid Up to: Gr/Stilt + 1st to 18th Floor</t>
  </si>
  <si>
    <t>Ground Floor for Commercial &amp; Parking</t>
  </si>
  <si>
    <t>Shop</t>
  </si>
  <si>
    <t>1st Floor for Commercial &amp; Residential</t>
  </si>
  <si>
    <t>Office</t>
  </si>
  <si>
    <t>Commercial Area</t>
  </si>
  <si>
    <t>1BHK</t>
  </si>
  <si>
    <t>2BHK</t>
  </si>
  <si>
    <t>1RK</t>
  </si>
  <si>
    <t>3rd to 7th, 9th to 12th &amp; 14th to 17th Floor</t>
  </si>
  <si>
    <t>8th &amp; 13th Floor (Part Refuge Area)</t>
  </si>
  <si>
    <t>Refuge Area</t>
  </si>
  <si>
    <t>18th Floor (Part Terrace Area)</t>
  </si>
  <si>
    <t>Terrace Area</t>
  </si>
  <si>
    <t>Society Office/ Fitness Center</t>
  </si>
  <si>
    <t>We considered Gross carpet area = Net carpet + A.P. Area.</t>
  </si>
  <si>
    <t>Flats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</si>
  <si>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</si>
  <si>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Gymnasium, Childrens Play Area, Indoor Games, Multipurpose Court, Meditation Center</t>
  </si>
  <si>
    <t>Flats - 345, Shops - 06, Offices - 04</t>
  </si>
  <si>
    <t xml:space="preserve">Other Charges of the Property have been revised on 27/12/2023.
</t>
  </si>
  <si>
    <t>2.5L other charges</t>
  </si>
  <si>
    <t>sanjay costsheet</t>
  </si>
  <si>
    <t>Shailesh</t>
  </si>
  <si>
    <t>Rate 5000 to 5500</t>
  </si>
  <si>
    <t>Costsheet</t>
  </si>
  <si>
    <t>Navnath Bhatkar</t>
  </si>
  <si>
    <t>5500 to 5800 on 26/08/2024 Verbal Shailesh</t>
  </si>
  <si>
    <t>5800 to 6000</t>
  </si>
  <si>
    <t>Trupti Cost sheet &amp; verbal extra rate given</t>
  </si>
  <si>
    <t xml:space="preserve">Recommended Rates of the Property have been revised on 26/08/2024 &amp; 18/10/2024.
</t>
  </si>
  <si>
    <t>Mr. Sharma 7304827295</t>
  </si>
  <si>
    <t>s</t>
  </si>
  <si>
    <t>09/08/2025.</t>
  </si>
  <si>
    <t>31/03/2023.</t>
  </si>
  <si>
    <t>Construction work is in process at the time of Visit. Internal visit was not allowed.</t>
  </si>
  <si>
    <t>Shruti Tathare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</si>
</sst>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0.0000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5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4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5" fillId="0" borderId="26" xfId="0" applyFont="1" applyBorder="1"/>
    <xf numFmtId="0" fontId="25" fillId="0" borderId="1" xfId="0" applyFont="1" applyBorder="1"/>
    <xf numFmtId="0" fontId="25" fillId="0" borderId="5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8" fontId="7" fillId="0" borderId="0" xfId="1" applyNumberFormat="1" applyFont="1"/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29" fillId="0" borderId="0" xfId="1" applyFont="1" applyAlignment="1">
      <alignment horizontal="center" vertical="center"/>
    </xf>
    <xf numFmtId="0" fontId="29" fillId="0" borderId="0" xfId="1" applyFont="1"/>
    <xf numFmtId="0" fontId="15" fillId="0" borderId="0" xfId="2" applyFont="1" applyAlignment="1">
      <alignment horizontal="center" vertical="center"/>
    </xf>
    <xf numFmtId="0" fontId="15" fillId="0" borderId="0" xfId="2" applyFont="1"/>
    <xf numFmtId="0" fontId="24" fillId="0" borderId="1" xfId="0" applyFont="1" applyBorder="1" applyAlignment="1">
      <alignment horizontal="center" vertical="center"/>
    </xf>
    <xf numFmtId="0" fontId="24" fillId="0" borderId="0" xfId="0" applyFont="1"/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14" fillId="2" borderId="0" xfId="1" applyFont="1" applyFill="1" applyAlignment="1">
      <alignment horizontal="center" vertical="center"/>
    </xf>
    <xf numFmtId="14" fontId="14" fillId="2" borderId="0" xfId="1" applyNumberFormat="1" applyFont="1" applyFill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0" fontId="15" fillId="0" borderId="0" xfId="1" applyFont="1" applyAlignment="1">
      <alignment horizontal="left" vertical="top" wrapText="1"/>
    </xf>
    <xf numFmtId="14" fontId="15" fillId="0" borderId="0" xfId="1" applyNumberFormat="1" applyFont="1" applyAlignment="1">
      <alignment horizontal="center" vertical="center"/>
    </xf>
    <xf numFmtId="0" fontId="24" fillId="2" borderId="13" xfId="0" applyFont="1" applyFill="1" applyBorder="1"/>
    <xf numFmtId="1" fontId="15" fillId="0" borderId="21" xfId="1" applyNumberFormat="1" applyFont="1" applyBorder="1" applyAlignment="1">
      <alignment horizontal="center" vertical="center"/>
    </xf>
    <xf numFmtId="1" fontId="15" fillId="0" borderId="0" xfId="1" applyNumberFormat="1" applyFont="1" applyAlignment="1">
      <alignment horizontal="center" vertical="center"/>
    </xf>
    <xf numFmtId="1" fontId="13" fillId="3" borderId="8" xfId="0" applyNumberFormat="1" applyFont="1" applyFill="1" applyBorder="1" applyAlignment="1" applyProtection="1">
      <alignment vertical="top" wrapText="1"/>
      <protection locked="0"/>
    </xf>
    <xf numFmtId="1" fontId="13" fillId="3" borderId="19" xfId="0" applyNumberFormat="1" applyFont="1" applyFill="1" applyBorder="1" applyAlignment="1" applyProtection="1">
      <alignment vertical="top" wrapText="1"/>
      <protection locked="0"/>
    </xf>
    <xf numFmtId="1" fontId="13" fillId="3" borderId="9" xfId="0" applyNumberFormat="1" applyFont="1" applyFill="1" applyBorder="1" applyAlignment="1" applyProtection="1">
      <alignment vertical="top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0" xfId="1" applyNumberFormat="1" applyFont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3" xfId="0" applyNumberFormat="1" applyFont="1" applyBorder="1" applyAlignment="1" applyProtection="1">
      <alignment horizontal="center" vertical="center" wrapText="1"/>
      <protection locked="0"/>
    </xf>
    <xf numFmtId="1" fontId="10" fillId="0" borderId="3" xfId="0" applyNumberFormat="1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center" vertical="top" wrapText="1"/>
      <protection locked="0"/>
    </xf>
    <xf numFmtId="1" fontId="8" fillId="0" borderId="3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19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19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19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4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9" fontId="12" fillId="0" borderId="15" xfId="8" applyFont="1" applyFill="1" applyBorder="1" applyAlignment="1" applyProtection="1">
      <alignment horizontal="center" vertical="center" wrapText="1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21" xfId="8" applyFont="1" applyFill="1" applyBorder="1" applyAlignment="1" applyProtection="1">
      <alignment horizontal="center" vertical="center" wrapText="1"/>
      <protection locked="0"/>
    </xf>
    <xf numFmtId="9" fontId="12" fillId="0" borderId="22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3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0" fontId="12" fillId="0" borderId="19" xfId="1" applyFont="1" applyBorder="1" applyAlignment="1" applyProtection="1">
      <alignment horizontal="center" vertical="top"/>
      <protection locked="0"/>
    </xf>
    <xf numFmtId="0" fontId="12" fillId="0" borderId="9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1" fontId="12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3" fillId="0" borderId="19" xfId="1" applyFont="1" applyBorder="1" applyAlignment="1" applyProtection="1">
      <alignment horizontal="center" vertical="top"/>
      <protection locked="0"/>
    </xf>
    <xf numFmtId="0" fontId="13" fillId="0" borderId="9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8" fillId="0" borderId="1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10" fillId="0" borderId="3" xfId="0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>
      <alignment horizontal="center"/>
    </xf>
    <xf numFmtId="0" fontId="12" fillId="0" borderId="0" xfId="1" applyFont="1" applyAlignment="1">
      <alignment horizontal="center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1" fontId="8" fillId="0" borderId="27" xfId="0" applyNumberFormat="1" applyFont="1" applyBorder="1" applyAlignment="1" applyProtection="1">
      <alignment horizontal="center" vertical="center" wrapText="1"/>
      <protection locked="0"/>
    </xf>
    <xf numFmtId="1" fontId="8" fillId="0" borderId="28" xfId="0" applyNumberFormat="1" applyFont="1" applyBorder="1" applyAlignment="1" applyProtection="1">
      <alignment horizontal="center" vertical="center" wrapText="1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1" fontId="10" fillId="0" borderId="28" xfId="0" applyNumberFormat="1" applyFont="1" applyBorder="1" applyAlignment="1" applyProtection="1">
      <alignment horizontal="center" vertical="top" wrapText="1"/>
      <protection locked="0"/>
    </xf>
    <xf numFmtId="1" fontId="8" fillId="0" borderId="28" xfId="0" applyNumberFormat="1" applyFont="1" applyBorder="1" applyAlignment="1" applyProtection="1">
      <alignment horizontal="center" vertical="top" wrapText="1"/>
      <protection locked="0"/>
    </xf>
    <xf numFmtId="1" fontId="8" fillId="0" borderId="29" xfId="0" applyNumberFormat="1" applyFont="1" applyBorder="1" applyAlignment="1" applyProtection="1">
      <alignment horizontal="center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577461</xdr:colOff>
      <xdr:row>362</xdr:row>
      <xdr:rowOff>19433</xdr:rowOff>
    </xdr:from>
    <xdr:to>
      <xdr:col>7</xdr:col>
      <xdr:colOff>19622</xdr:colOff>
      <xdr:row>381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7461" y="72348473"/>
          <a:ext cx="5301941" cy="382866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458928</xdr:colOff>
      <xdr:row>341</xdr:row>
      <xdr:rowOff>103908</xdr:rowOff>
    </xdr:from>
    <xdr:to>
      <xdr:col>7</xdr:col>
      <xdr:colOff>138156</xdr:colOff>
      <xdr:row>361</xdr:row>
      <xdr:rowOff>66194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58928" y="62561931"/>
          <a:ext cx="5350933" cy="394546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285750</xdr:colOff>
      <xdr:row>366</xdr:row>
      <xdr:rowOff>164523</xdr:rowOff>
    </xdr:from>
    <xdr:to>
      <xdr:col>3</xdr:col>
      <xdr:colOff>770659</xdr:colOff>
      <xdr:row>370</xdr:row>
      <xdr:rowOff>155864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CxnSpPr/>
      </xdr:nvCxnSpPr>
      <xdr:spPr>
        <a:xfrm flipV="1">
          <a:off x="1844386" y="67601523"/>
          <a:ext cx="1333500" cy="787977"/>
        </a:xfrm>
        <a:prstGeom prst="line">
          <a:avLst/>
        </a:prstGeom>
        <a:ln w="3810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571500</xdr:colOff>
      <xdr:row>371</xdr:row>
      <xdr:rowOff>190500</xdr:rowOff>
    </xdr:from>
    <xdr:to>
      <xdr:col>4</xdr:col>
      <xdr:colOff>450273</xdr:colOff>
      <xdr:row>376</xdr:row>
      <xdr:rowOff>147204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CxnSpPr/>
      </xdr:nvCxnSpPr>
      <xdr:spPr>
        <a:xfrm flipV="1">
          <a:off x="2978727" y="68623295"/>
          <a:ext cx="822614" cy="952500"/>
        </a:xfrm>
        <a:prstGeom prst="line">
          <a:avLst/>
        </a:prstGeom>
        <a:ln w="3810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770659</xdr:colOff>
      <xdr:row>366</xdr:row>
      <xdr:rowOff>173183</xdr:rowOff>
    </xdr:from>
    <xdr:to>
      <xdr:col>4</xdr:col>
      <xdr:colOff>450273</xdr:colOff>
      <xdr:row>372</xdr:row>
      <xdr:rowOff>43295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CxnSpPr/>
      </xdr:nvCxnSpPr>
      <xdr:spPr>
        <a:xfrm>
          <a:off x="3177886" y="67610183"/>
          <a:ext cx="623455" cy="1065067"/>
        </a:xfrm>
        <a:prstGeom prst="line">
          <a:avLst/>
        </a:prstGeom>
        <a:ln w="3810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204355</xdr:colOff>
      <xdr:row>372</xdr:row>
      <xdr:rowOff>152400</xdr:rowOff>
    </xdr:from>
    <xdr:to>
      <xdr:col>2</xdr:col>
      <xdr:colOff>658091</xdr:colOff>
      <xdr:row>377</xdr:row>
      <xdr:rowOff>147205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CxnSpPr/>
      </xdr:nvCxnSpPr>
      <xdr:spPr>
        <a:xfrm>
          <a:off x="1762991" y="68784355"/>
          <a:ext cx="453736" cy="990600"/>
        </a:xfrm>
        <a:prstGeom prst="line">
          <a:avLst/>
        </a:prstGeom>
        <a:ln w="3810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216478</xdr:colOff>
      <xdr:row>370</xdr:row>
      <xdr:rowOff>121228</xdr:rowOff>
    </xdr:from>
    <xdr:to>
      <xdr:col>2</xdr:col>
      <xdr:colOff>285751</xdr:colOff>
      <xdr:row>372</xdr:row>
      <xdr:rowOff>155863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CxnSpPr/>
      </xdr:nvCxnSpPr>
      <xdr:spPr>
        <a:xfrm flipH="1">
          <a:off x="1775114" y="68354864"/>
          <a:ext cx="69273" cy="432954"/>
        </a:xfrm>
        <a:prstGeom prst="line">
          <a:avLst/>
        </a:prstGeom>
        <a:ln w="3810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655395</xdr:colOff>
      <xdr:row>376</xdr:row>
      <xdr:rowOff>138545</xdr:rowOff>
    </xdr:from>
    <xdr:to>
      <xdr:col>3</xdr:col>
      <xdr:colOff>580159</xdr:colOff>
      <xdr:row>377</xdr:row>
      <xdr:rowOff>140660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CxnSpPr/>
      </xdr:nvCxnSpPr>
      <xdr:spPr>
        <a:xfrm flipH="1">
          <a:off x="2214031" y="69567136"/>
          <a:ext cx="773355" cy="201274"/>
        </a:xfrm>
        <a:prstGeom prst="line">
          <a:avLst/>
        </a:prstGeom>
        <a:ln w="3810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484908</xdr:colOff>
      <xdr:row>299</xdr:row>
      <xdr:rowOff>69272</xdr:rowOff>
    </xdr:from>
    <xdr:to>
      <xdr:col>6</xdr:col>
      <xdr:colOff>231869</xdr:colOff>
      <xdr:row>322</xdr:row>
      <xdr:rowOff>145280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46908" y="53764295"/>
          <a:ext cx="3894666" cy="465666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569574</xdr:colOff>
      <xdr:row>323</xdr:row>
      <xdr:rowOff>71581</xdr:rowOff>
    </xdr:from>
    <xdr:to>
      <xdr:col>6</xdr:col>
      <xdr:colOff>147203</xdr:colOff>
      <xdr:row>339</xdr:row>
      <xdr:rowOff>139700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69674" y="64543131"/>
          <a:ext cx="3933729" cy="321771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213816</xdr:colOff>
      <xdr:row>329</xdr:row>
      <xdr:rowOff>7783</xdr:rowOff>
    </xdr:from>
    <xdr:to>
      <xdr:col>3</xdr:col>
      <xdr:colOff>619490</xdr:colOff>
      <xdr:row>330</xdr:row>
      <xdr:rowOff>180861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/>
      </xdr:nvSpPr>
      <xdr:spPr>
        <a:xfrm rot="19581679">
          <a:off x="2621043" y="59677578"/>
          <a:ext cx="405674" cy="372238"/>
        </a:xfrm>
        <a:prstGeom prst="rect">
          <a:avLst/>
        </a:prstGeom>
        <a:noFill/>
        <a:ln w="571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0</xdr:col>
      <xdr:colOff>180975</xdr:colOff>
      <xdr:row>257</xdr:row>
      <xdr:rowOff>38100</xdr:rowOff>
    </xdr:from>
    <xdr:to>
      <xdr:col>7</xdr:col>
      <xdr:colOff>581025</xdr:colOff>
      <xdr:row>297</xdr:row>
      <xdr:rowOff>66972</xdr:rowOff>
    </xdr:to>
    <xdr:grpSp>
      <xdr:nvGrpSpPr>
        <xdr:cNvPr id="6" name="Group 5"/>
        <xdr:cNvGrpSpPr/>
      </xdr:nvGrpSpPr>
      <xdr:grpSpPr>
        <a:xfrm>
          <a:off x="180975" y="52054125"/>
          <a:ext cx="6086475" cy="8020347"/>
          <a:chOff x="133350" y="52082700"/>
          <a:chExt cx="6086475" cy="8020347"/>
        </a:xfrm>
      </xdr:grpSpPr>
      <xdr:pic>
        <xdr:nvPicPr>
          <xdr:cNvPr id="27" name="Picture 26" descr="https://vsjcllp.vsjadon.com/upload/insp-242953-1525.jpg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b="6464"/>
          <a:stretch/>
        </xdr:blipFill>
        <xdr:spPr bwMode="auto">
          <a:xfrm>
            <a:off x="2533650" y="58426350"/>
            <a:ext cx="1343025" cy="167669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Picture 27" descr="https://vsjcllp.vsjadon.com/upload/insp-242953-84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28975" y="52092225"/>
            <a:ext cx="2990850" cy="399195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9" name="Picture 28" descr="https://vsjcllp.vsjadon.com/upload/insp-242953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33350" y="52082700"/>
            <a:ext cx="2990850" cy="399195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" name="Picture 29" descr="https://vsjcllp.vsjadon.com/upload/insp-242953-86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409825" y="56178450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Picture 33" descr="https://vsjcllp.vsjadon.com/upload/insp-242953-87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105275" y="56178450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5" name="Picture 34" descr="https://vsjcllp.vsjadon.com/upload/insp-242953-86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695325" y="56187975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1</xdr:rowOff>
    </xdr:from>
    <xdr:to>
      <xdr:col>6</xdr:col>
      <xdr:colOff>801441</xdr:colOff>
      <xdr:row>35</xdr:row>
      <xdr:rowOff>47524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2678207"/>
          <a:ext cx="7200000" cy="404802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1035175</xdr:colOff>
      <xdr:row>14</xdr:row>
      <xdr:rowOff>0</xdr:rowOff>
    </xdr:from>
    <xdr:to>
      <xdr:col>17</xdr:col>
      <xdr:colOff>559146</xdr:colOff>
      <xdr:row>35</xdr:row>
      <xdr:rowOff>47523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6440" y="2678206"/>
          <a:ext cx="7200000" cy="404802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1k7kkwxseHjXQU537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Z341"/>
  <sheetViews>
    <sheetView tabSelected="1" view="pageBreakPreview" topLeftCell="A262" zoomScaleNormal="100" zoomScaleSheetLayoutView="100" workbookViewId="0">
      <selection activeCell="K272" sqref="K272"/>
    </sheetView>
  </sheetViews>
  <sheetFormatPr defaultColWidth="9.28515625" defaultRowHeight="15.75" x14ac:dyDescent="0.25"/>
  <cols>
    <col min="1" max="1" width="11.42578125" style="38" customWidth="1"/>
    <col min="2" max="2" width="12" style="38" customWidth="1"/>
    <col min="3" max="3" width="12.7109375" style="38" customWidth="1"/>
    <col min="4" max="4" width="14.28515625" style="38" customWidth="1"/>
    <col min="5" max="6" width="11.7109375" style="38" customWidth="1"/>
    <col min="7" max="7" width="11.42578125" style="38" customWidth="1"/>
    <col min="8" max="8" width="10.5703125" style="38" customWidth="1"/>
    <col min="9" max="9" width="17.42578125" style="19" customWidth="1"/>
    <col min="10" max="10" width="11.42578125" style="19" customWidth="1"/>
    <col min="11" max="11" width="11.28515625" style="19" bestFit="1" customWidth="1"/>
    <col min="12" max="12" width="10.5703125" style="19" customWidth="1"/>
    <col min="13" max="13" width="11.7109375" style="19" customWidth="1"/>
    <col min="14" max="14" width="12.5703125" style="19" customWidth="1"/>
    <col min="15" max="15" width="9.7109375" style="19" customWidth="1"/>
    <col min="16" max="16" width="11.7109375" style="19" customWidth="1"/>
    <col min="17" max="247" width="9.28515625" style="19"/>
    <col min="248" max="248" width="8.7109375" style="19" customWidth="1"/>
    <col min="249" max="249" width="9.7109375" style="19" customWidth="1"/>
    <col min="250" max="250" width="14.42578125" style="19" customWidth="1"/>
    <col min="251" max="251" width="7.28515625" style="19" customWidth="1"/>
    <col min="252" max="252" width="5.5703125" style="19" customWidth="1"/>
    <col min="253" max="253" width="9" style="19" customWidth="1"/>
    <col min="254" max="255" width="9.7109375" style="19" customWidth="1"/>
    <col min="256" max="256" width="11.28515625" style="19" customWidth="1"/>
    <col min="257" max="257" width="2.7109375" style="19" customWidth="1"/>
    <col min="258" max="258" width="3.5703125" style="19" customWidth="1"/>
    <col min="259" max="503" width="9.28515625" style="19"/>
    <col min="504" max="504" width="8.7109375" style="19" customWidth="1"/>
    <col min="505" max="505" width="9.7109375" style="19" customWidth="1"/>
    <col min="506" max="506" width="14.42578125" style="19" customWidth="1"/>
    <col min="507" max="507" width="7.28515625" style="19" customWidth="1"/>
    <col min="508" max="508" width="5.5703125" style="19" customWidth="1"/>
    <col min="509" max="509" width="9" style="19" customWidth="1"/>
    <col min="510" max="511" width="9.7109375" style="19" customWidth="1"/>
    <col min="512" max="512" width="11.28515625" style="19" customWidth="1"/>
    <col min="513" max="513" width="2.7109375" style="19" customWidth="1"/>
    <col min="514" max="514" width="3.5703125" style="19" customWidth="1"/>
    <col min="515" max="759" width="9.28515625" style="19"/>
    <col min="760" max="760" width="8.7109375" style="19" customWidth="1"/>
    <col min="761" max="761" width="9.7109375" style="19" customWidth="1"/>
    <col min="762" max="762" width="14.42578125" style="19" customWidth="1"/>
    <col min="763" max="763" width="7.28515625" style="19" customWidth="1"/>
    <col min="764" max="764" width="5.5703125" style="19" customWidth="1"/>
    <col min="765" max="765" width="9" style="19" customWidth="1"/>
    <col min="766" max="767" width="9.7109375" style="19" customWidth="1"/>
    <col min="768" max="768" width="11.28515625" style="19" customWidth="1"/>
    <col min="769" max="769" width="2.7109375" style="19" customWidth="1"/>
    <col min="770" max="770" width="3.5703125" style="19" customWidth="1"/>
    <col min="771" max="1015" width="9.28515625" style="19"/>
    <col min="1016" max="1016" width="8.7109375" style="19" customWidth="1"/>
    <col min="1017" max="1017" width="9.7109375" style="19" customWidth="1"/>
    <col min="1018" max="1018" width="14.42578125" style="19" customWidth="1"/>
    <col min="1019" max="1019" width="7.28515625" style="19" customWidth="1"/>
    <col min="1020" max="1020" width="5.5703125" style="19" customWidth="1"/>
    <col min="1021" max="1021" width="9" style="19" customWidth="1"/>
    <col min="1022" max="1023" width="9.7109375" style="19" customWidth="1"/>
    <col min="1024" max="1024" width="11.28515625" style="19" customWidth="1"/>
    <col min="1025" max="1025" width="2.7109375" style="19" customWidth="1"/>
    <col min="1026" max="1026" width="3.5703125" style="19" customWidth="1"/>
    <col min="1027" max="1271" width="9.28515625" style="19"/>
    <col min="1272" max="1272" width="8.7109375" style="19" customWidth="1"/>
    <col min="1273" max="1273" width="9.7109375" style="19" customWidth="1"/>
    <col min="1274" max="1274" width="14.42578125" style="19" customWidth="1"/>
    <col min="1275" max="1275" width="7.28515625" style="19" customWidth="1"/>
    <col min="1276" max="1276" width="5.5703125" style="19" customWidth="1"/>
    <col min="1277" max="1277" width="9" style="19" customWidth="1"/>
    <col min="1278" max="1279" width="9.7109375" style="19" customWidth="1"/>
    <col min="1280" max="1280" width="11.28515625" style="19" customWidth="1"/>
    <col min="1281" max="1281" width="2.7109375" style="19" customWidth="1"/>
    <col min="1282" max="1282" width="3.5703125" style="19" customWidth="1"/>
    <col min="1283" max="1527" width="9.28515625" style="19"/>
    <col min="1528" max="1528" width="8.7109375" style="19" customWidth="1"/>
    <col min="1529" max="1529" width="9.7109375" style="19" customWidth="1"/>
    <col min="1530" max="1530" width="14.42578125" style="19" customWidth="1"/>
    <col min="1531" max="1531" width="7.28515625" style="19" customWidth="1"/>
    <col min="1532" max="1532" width="5.5703125" style="19" customWidth="1"/>
    <col min="1533" max="1533" width="9" style="19" customWidth="1"/>
    <col min="1534" max="1535" width="9.7109375" style="19" customWidth="1"/>
    <col min="1536" max="1536" width="11.28515625" style="19" customWidth="1"/>
    <col min="1537" max="1537" width="2.7109375" style="19" customWidth="1"/>
    <col min="1538" max="1538" width="3.5703125" style="19" customWidth="1"/>
    <col min="1539" max="1783" width="9.28515625" style="19"/>
    <col min="1784" max="1784" width="8.7109375" style="19" customWidth="1"/>
    <col min="1785" max="1785" width="9.7109375" style="19" customWidth="1"/>
    <col min="1786" max="1786" width="14.42578125" style="19" customWidth="1"/>
    <col min="1787" max="1787" width="7.28515625" style="19" customWidth="1"/>
    <col min="1788" max="1788" width="5.5703125" style="19" customWidth="1"/>
    <col min="1789" max="1789" width="9" style="19" customWidth="1"/>
    <col min="1790" max="1791" width="9.7109375" style="19" customWidth="1"/>
    <col min="1792" max="1792" width="11.28515625" style="19" customWidth="1"/>
    <col min="1793" max="1793" width="2.7109375" style="19" customWidth="1"/>
    <col min="1794" max="1794" width="3.5703125" style="19" customWidth="1"/>
    <col min="1795" max="2039" width="9.28515625" style="19"/>
    <col min="2040" max="2040" width="8.7109375" style="19" customWidth="1"/>
    <col min="2041" max="2041" width="9.7109375" style="19" customWidth="1"/>
    <col min="2042" max="2042" width="14.42578125" style="19" customWidth="1"/>
    <col min="2043" max="2043" width="7.28515625" style="19" customWidth="1"/>
    <col min="2044" max="2044" width="5.5703125" style="19" customWidth="1"/>
    <col min="2045" max="2045" width="9" style="19" customWidth="1"/>
    <col min="2046" max="2047" width="9.7109375" style="19" customWidth="1"/>
    <col min="2048" max="2048" width="11.28515625" style="19" customWidth="1"/>
    <col min="2049" max="2049" width="2.7109375" style="19" customWidth="1"/>
    <col min="2050" max="2050" width="3.5703125" style="19" customWidth="1"/>
    <col min="2051" max="2295" width="9.28515625" style="19"/>
    <col min="2296" max="2296" width="8.7109375" style="19" customWidth="1"/>
    <col min="2297" max="2297" width="9.7109375" style="19" customWidth="1"/>
    <col min="2298" max="2298" width="14.42578125" style="19" customWidth="1"/>
    <col min="2299" max="2299" width="7.28515625" style="19" customWidth="1"/>
    <col min="2300" max="2300" width="5.5703125" style="19" customWidth="1"/>
    <col min="2301" max="2301" width="9" style="19" customWidth="1"/>
    <col min="2302" max="2303" width="9.7109375" style="19" customWidth="1"/>
    <col min="2304" max="2304" width="11.28515625" style="19" customWidth="1"/>
    <col min="2305" max="2305" width="2.7109375" style="19" customWidth="1"/>
    <col min="2306" max="2306" width="3.5703125" style="19" customWidth="1"/>
    <col min="2307" max="2551" width="9.28515625" style="19"/>
    <col min="2552" max="2552" width="8.7109375" style="19" customWidth="1"/>
    <col min="2553" max="2553" width="9.7109375" style="19" customWidth="1"/>
    <col min="2554" max="2554" width="14.42578125" style="19" customWidth="1"/>
    <col min="2555" max="2555" width="7.28515625" style="19" customWidth="1"/>
    <col min="2556" max="2556" width="5.5703125" style="19" customWidth="1"/>
    <col min="2557" max="2557" width="9" style="19" customWidth="1"/>
    <col min="2558" max="2559" width="9.7109375" style="19" customWidth="1"/>
    <col min="2560" max="2560" width="11.28515625" style="19" customWidth="1"/>
    <col min="2561" max="2561" width="2.7109375" style="19" customWidth="1"/>
    <col min="2562" max="2562" width="3.5703125" style="19" customWidth="1"/>
    <col min="2563" max="2807" width="9.28515625" style="19"/>
    <col min="2808" max="2808" width="8.7109375" style="19" customWidth="1"/>
    <col min="2809" max="2809" width="9.7109375" style="19" customWidth="1"/>
    <col min="2810" max="2810" width="14.42578125" style="19" customWidth="1"/>
    <col min="2811" max="2811" width="7.28515625" style="19" customWidth="1"/>
    <col min="2812" max="2812" width="5.5703125" style="19" customWidth="1"/>
    <col min="2813" max="2813" width="9" style="19" customWidth="1"/>
    <col min="2814" max="2815" width="9.7109375" style="19" customWidth="1"/>
    <col min="2816" max="2816" width="11.28515625" style="19" customWidth="1"/>
    <col min="2817" max="2817" width="2.7109375" style="19" customWidth="1"/>
    <col min="2818" max="2818" width="3.5703125" style="19" customWidth="1"/>
    <col min="2819" max="3063" width="9.28515625" style="19"/>
    <col min="3064" max="3064" width="8.7109375" style="19" customWidth="1"/>
    <col min="3065" max="3065" width="9.7109375" style="19" customWidth="1"/>
    <col min="3066" max="3066" width="14.42578125" style="19" customWidth="1"/>
    <col min="3067" max="3067" width="7.28515625" style="19" customWidth="1"/>
    <col min="3068" max="3068" width="5.5703125" style="19" customWidth="1"/>
    <col min="3069" max="3069" width="9" style="19" customWidth="1"/>
    <col min="3070" max="3071" width="9.7109375" style="19" customWidth="1"/>
    <col min="3072" max="3072" width="11.28515625" style="19" customWidth="1"/>
    <col min="3073" max="3073" width="2.7109375" style="19" customWidth="1"/>
    <col min="3074" max="3074" width="3.5703125" style="19" customWidth="1"/>
    <col min="3075" max="3319" width="9.28515625" style="19"/>
    <col min="3320" max="3320" width="8.7109375" style="19" customWidth="1"/>
    <col min="3321" max="3321" width="9.7109375" style="19" customWidth="1"/>
    <col min="3322" max="3322" width="14.42578125" style="19" customWidth="1"/>
    <col min="3323" max="3323" width="7.28515625" style="19" customWidth="1"/>
    <col min="3324" max="3324" width="5.5703125" style="19" customWidth="1"/>
    <col min="3325" max="3325" width="9" style="19" customWidth="1"/>
    <col min="3326" max="3327" width="9.7109375" style="19" customWidth="1"/>
    <col min="3328" max="3328" width="11.28515625" style="19" customWidth="1"/>
    <col min="3329" max="3329" width="2.7109375" style="19" customWidth="1"/>
    <col min="3330" max="3330" width="3.5703125" style="19" customWidth="1"/>
    <col min="3331" max="3575" width="9.28515625" style="19"/>
    <col min="3576" max="3576" width="8.7109375" style="19" customWidth="1"/>
    <col min="3577" max="3577" width="9.7109375" style="19" customWidth="1"/>
    <col min="3578" max="3578" width="14.42578125" style="19" customWidth="1"/>
    <col min="3579" max="3579" width="7.28515625" style="19" customWidth="1"/>
    <col min="3580" max="3580" width="5.5703125" style="19" customWidth="1"/>
    <col min="3581" max="3581" width="9" style="19" customWidth="1"/>
    <col min="3582" max="3583" width="9.7109375" style="19" customWidth="1"/>
    <col min="3584" max="3584" width="11.28515625" style="19" customWidth="1"/>
    <col min="3585" max="3585" width="2.7109375" style="19" customWidth="1"/>
    <col min="3586" max="3586" width="3.5703125" style="19" customWidth="1"/>
    <col min="3587" max="3831" width="9.28515625" style="19"/>
    <col min="3832" max="3832" width="8.7109375" style="19" customWidth="1"/>
    <col min="3833" max="3833" width="9.7109375" style="19" customWidth="1"/>
    <col min="3834" max="3834" width="14.42578125" style="19" customWidth="1"/>
    <col min="3835" max="3835" width="7.28515625" style="19" customWidth="1"/>
    <col min="3836" max="3836" width="5.5703125" style="19" customWidth="1"/>
    <col min="3837" max="3837" width="9" style="19" customWidth="1"/>
    <col min="3838" max="3839" width="9.7109375" style="19" customWidth="1"/>
    <col min="3840" max="3840" width="11.28515625" style="19" customWidth="1"/>
    <col min="3841" max="3841" width="2.7109375" style="19" customWidth="1"/>
    <col min="3842" max="3842" width="3.5703125" style="19" customWidth="1"/>
    <col min="3843" max="4087" width="9.28515625" style="19"/>
    <col min="4088" max="4088" width="8.7109375" style="19" customWidth="1"/>
    <col min="4089" max="4089" width="9.7109375" style="19" customWidth="1"/>
    <col min="4090" max="4090" width="14.42578125" style="19" customWidth="1"/>
    <col min="4091" max="4091" width="7.28515625" style="19" customWidth="1"/>
    <col min="4092" max="4092" width="5.5703125" style="19" customWidth="1"/>
    <col min="4093" max="4093" width="9" style="19" customWidth="1"/>
    <col min="4094" max="4095" width="9.7109375" style="19" customWidth="1"/>
    <col min="4096" max="4096" width="11.28515625" style="19" customWidth="1"/>
    <col min="4097" max="4097" width="2.7109375" style="19" customWidth="1"/>
    <col min="4098" max="4098" width="3.5703125" style="19" customWidth="1"/>
    <col min="4099" max="4343" width="9.28515625" style="19"/>
    <col min="4344" max="4344" width="8.7109375" style="19" customWidth="1"/>
    <col min="4345" max="4345" width="9.7109375" style="19" customWidth="1"/>
    <col min="4346" max="4346" width="14.42578125" style="19" customWidth="1"/>
    <col min="4347" max="4347" width="7.28515625" style="19" customWidth="1"/>
    <col min="4348" max="4348" width="5.5703125" style="19" customWidth="1"/>
    <col min="4349" max="4349" width="9" style="19" customWidth="1"/>
    <col min="4350" max="4351" width="9.7109375" style="19" customWidth="1"/>
    <col min="4352" max="4352" width="11.28515625" style="19" customWidth="1"/>
    <col min="4353" max="4353" width="2.7109375" style="19" customWidth="1"/>
    <col min="4354" max="4354" width="3.5703125" style="19" customWidth="1"/>
    <col min="4355" max="4599" width="9.28515625" style="19"/>
    <col min="4600" max="4600" width="8.7109375" style="19" customWidth="1"/>
    <col min="4601" max="4601" width="9.7109375" style="19" customWidth="1"/>
    <col min="4602" max="4602" width="14.42578125" style="19" customWidth="1"/>
    <col min="4603" max="4603" width="7.28515625" style="19" customWidth="1"/>
    <col min="4604" max="4604" width="5.5703125" style="19" customWidth="1"/>
    <col min="4605" max="4605" width="9" style="19" customWidth="1"/>
    <col min="4606" max="4607" width="9.7109375" style="19" customWidth="1"/>
    <col min="4608" max="4608" width="11.28515625" style="19" customWidth="1"/>
    <col min="4609" max="4609" width="2.7109375" style="19" customWidth="1"/>
    <col min="4610" max="4610" width="3.5703125" style="19" customWidth="1"/>
    <col min="4611" max="4855" width="9.28515625" style="19"/>
    <col min="4856" max="4856" width="8.7109375" style="19" customWidth="1"/>
    <col min="4857" max="4857" width="9.7109375" style="19" customWidth="1"/>
    <col min="4858" max="4858" width="14.42578125" style="19" customWidth="1"/>
    <col min="4859" max="4859" width="7.28515625" style="19" customWidth="1"/>
    <col min="4860" max="4860" width="5.5703125" style="19" customWidth="1"/>
    <col min="4861" max="4861" width="9" style="19" customWidth="1"/>
    <col min="4862" max="4863" width="9.7109375" style="19" customWidth="1"/>
    <col min="4864" max="4864" width="11.28515625" style="19" customWidth="1"/>
    <col min="4865" max="4865" width="2.7109375" style="19" customWidth="1"/>
    <col min="4866" max="4866" width="3.5703125" style="19" customWidth="1"/>
    <col min="4867" max="5111" width="9.28515625" style="19"/>
    <col min="5112" max="5112" width="8.7109375" style="19" customWidth="1"/>
    <col min="5113" max="5113" width="9.7109375" style="19" customWidth="1"/>
    <col min="5114" max="5114" width="14.42578125" style="19" customWidth="1"/>
    <col min="5115" max="5115" width="7.28515625" style="19" customWidth="1"/>
    <col min="5116" max="5116" width="5.5703125" style="19" customWidth="1"/>
    <col min="5117" max="5117" width="9" style="19" customWidth="1"/>
    <col min="5118" max="5119" width="9.7109375" style="19" customWidth="1"/>
    <col min="5120" max="5120" width="11.28515625" style="19" customWidth="1"/>
    <col min="5121" max="5121" width="2.7109375" style="19" customWidth="1"/>
    <col min="5122" max="5122" width="3.5703125" style="19" customWidth="1"/>
    <col min="5123" max="5367" width="9.28515625" style="19"/>
    <col min="5368" max="5368" width="8.7109375" style="19" customWidth="1"/>
    <col min="5369" max="5369" width="9.7109375" style="19" customWidth="1"/>
    <col min="5370" max="5370" width="14.42578125" style="19" customWidth="1"/>
    <col min="5371" max="5371" width="7.28515625" style="19" customWidth="1"/>
    <col min="5372" max="5372" width="5.5703125" style="19" customWidth="1"/>
    <col min="5373" max="5373" width="9" style="19" customWidth="1"/>
    <col min="5374" max="5375" width="9.7109375" style="19" customWidth="1"/>
    <col min="5376" max="5376" width="11.28515625" style="19" customWidth="1"/>
    <col min="5377" max="5377" width="2.7109375" style="19" customWidth="1"/>
    <col min="5378" max="5378" width="3.5703125" style="19" customWidth="1"/>
    <col min="5379" max="5623" width="9.28515625" style="19"/>
    <col min="5624" max="5624" width="8.7109375" style="19" customWidth="1"/>
    <col min="5625" max="5625" width="9.7109375" style="19" customWidth="1"/>
    <col min="5626" max="5626" width="14.42578125" style="19" customWidth="1"/>
    <col min="5627" max="5627" width="7.28515625" style="19" customWidth="1"/>
    <col min="5628" max="5628" width="5.5703125" style="19" customWidth="1"/>
    <col min="5629" max="5629" width="9" style="19" customWidth="1"/>
    <col min="5630" max="5631" width="9.7109375" style="19" customWidth="1"/>
    <col min="5632" max="5632" width="11.28515625" style="19" customWidth="1"/>
    <col min="5633" max="5633" width="2.7109375" style="19" customWidth="1"/>
    <col min="5634" max="5634" width="3.5703125" style="19" customWidth="1"/>
    <col min="5635" max="5879" width="9.28515625" style="19"/>
    <col min="5880" max="5880" width="8.7109375" style="19" customWidth="1"/>
    <col min="5881" max="5881" width="9.7109375" style="19" customWidth="1"/>
    <col min="5882" max="5882" width="14.42578125" style="19" customWidth="1"/>
    <col min="5883" max="5883" width="7.28515625" style="19" customWidth="1"/>
    <col min="5884" max="5884" width="5.5703125" style="19" customWidth="1"/>
    <col min="5885" max="5885" width="9" style="19" customWidth="1"/>
    <col min="5886" max="5887" width="9.7109375" style="19" customWidth="1"/>
    <col min="5888" max="5888" width="11.28515625" style="19" customWidth="1"/>
    <col min="5889" max="5889" width="2.7109375" style="19" customWidth="1"/>
    <col min="5890" max="5890" width="3.5703125" style="19" customWidth="1"/>
    <col min="5891" max="6135" width="9.28515625" style="19"/>
    <col min="6136" max="6136" width="8.7109375" style="19" customWidth="1"/>
    <col min="6137" max="6137" width="9.7109375" style="19" customWidth="1"/>
    <col min="6138" max="6138" width="14.42578125" style="19" customWidth="1"/>
    <col min="6139" max="6139" width="7.28515625" style="19" customWidth="1"/>
    <col min="6140" max="6140" width="5.5703125" style="19" customWidth="1"/>
    <col min="6141" max="6141" width="9" style="19" customWidth="1"/>
    <col min="6142" max="6143" width="9.7109375" style="19" customWidth="1"/>
    <col min="6144" max="6144" width="11.28515625" style="19" customWidth="1"/>
    <col min="6145" max="6145" width="2.7109375" style="19" customWidth="1"/>
    <col min="6146" max="6146" width="3.5703125" style="19" customWidth="1"/>
    <col min="6147" max="6391" width="9.28515625" style="19"/>
    <col min="6392" max="6392" width="8.7109375" style="19" customWidth="1"/>
    <col min="6393" max="6393" width="9.7109375" style="19" customWidth="1"/>
    <col min="6394" max="6394" width="14.42578125" style="19" customWidth="1"/>
    <col min="6395" max="6395" width="7.28515625" style="19" customWidth="1"/>
    <col min="6396" max="6396" width="5.5703125" style="19" customWidth="1"/>
    <col min="6397" max="6397" width="9" style="19" customWidth="1"/>
    <col min="6398" max="6399" width="9.7109375" style="19" customWidth="1"/>
    <col min="6400" max="6400" width="11.28515625" style="19" customWidth="1"/>
    <col min="6401" max="6401" width="2.7109375" style="19" customWidth="1"/>
    <col min="6402" max="6402" width="3.5703125" style="19" customWidth="1"/>
    <col min="6403" max="6647" width="9.28515625" style="19"/>
    <col min="6648" max="6648" width="8.7109375" style="19" customWidth="1"/>
    <col min="6649" max="6649" width="9.7109375" style="19" customWidth="1"/>
    <col min="6650" max="6650" width="14.42578125" style="19" customWidth="1"/>
    <col min="6651" max="6651" width="7.28515625" style="19" customWidth="1"/>
    <col min="6652" max="6652" width="5.5703125" style="19" customWidth="1"/>
    <col min="6653" max="6653" width="9" style="19" customWidth="1"/>
    <col min="6654" max="6655" width="9.7109375" style="19" customWidth="1"/>
    <col min="6656" max="6656" width="11.28515625" style="19" customWidth="1"/>
    <col min="6657" max="6657" width="2.7109375" style="19" customWidth="1"/>
    <col min="6658" max="6658" width="3.5703125" style="19" customWidth="1"/>
    <col min="6659" max="6903" width="9.28515625" style="19"/>
    <col min="6904" max="6904" width="8.7109375" style="19" customWidth="1"/>
    <col min="6905" max="6905" width="9.7109375" style="19" customWidth="1"/>
    <col min="6906" max="6906" width="14.42578125" style="19" customWidth="1"/>
    <col min="6907" max="6907" width="7.28515625" style="19" customWidth="1"/>
    <col min="6908" max="6908" width="5.5703125" style="19" customWidth="1"/>
    <col min="6909" max="6909" width="9" style="19" customWidth="1"/>
    <col min="6910" max="6911" width="9.7109375" style="19" customWidth="1"/>
    <col min="6912" max="6912" width="11.28515625" style="19" customWidth="1"/>
    <col min="6913" max="6913" width="2.7109375" style="19" customWidth="1"/>
    <col min="6914" max="6914" width="3.5703125" style="19" customWidth="1"/>
    <col min="6915" max="7159" width="9.28515625" style="19"/>
    <col min="7160" max="7160" width="8.7109375" style="19" customWidth="1"/>
    <col min="7161" max="7161" width="9.7109375" style="19" customWidth="1"/>
    <col min="7162" max="7162" width="14.42578125" style="19" customWidth="1"/>
    <col min="7163" max="7163" width="7.28515625" style="19" customWidth="1"/>
    <col min="7164" max="7164" width="5.5703125" style="19" customWidth="1"/>
    <col min="7165" max="7165" width="9" style="19" customWidth="1"/>
    <col min="7166" max="7167" width="9.7109375" style="19" customWidth="1"/>
    <col min="7168" max="7168" width="11.28515625" style="19" customWidth="1"/>
    <col min="7169" max="7169" width="2.7109375" style="19" customWidth="1"/>
    <col min="7170" max="7170" width="3.5703125" style="19" customWidth="1"/>
    <col min="7171" max="7415" width="9.28515625" style="19"/>
    <col min="7416" max="7416" width="8.7109375" style="19" customWidth="1"/>
    <col min="7417" max="7417" width="9.7109375" style="19" customWidth="1"/>
    <col min="7418" max="7418" width="14.42578125" style="19" customWidth="1"/>
    <col min="7419" max="7419" width="7.28515625" style="19" customWidth="1"/>
    <col min="7420" max="7420" width="5.5703125" style="19" customWidth="1"/>
    <col min="7421" max="7421" width="9" style="19" customWidth="1"/>
    <col min="7422" max="7423" width="9.7109375" style="19" customWidth="1"/>
    <col min="7424" max="7424" width="11.28515625" style="19" customWidth="1"/>
    <col min="7425" max="7425" width="2.7109375" style="19" customWidth="1"/>
    <col min="7426" max="7426" width="3.5703125" style="19" customWidth="1"/>
    <col min="7427" max="7671" width="9.28515625" style="19"/>
    <col min="7672" max="7672" width="8.7109375" style="19" customWidth="1"/>
    <col min="7673" max="7673" width="9.7109375" style="19" customWidth="1"/>
    <col min="7674" max="7674" width="14.42578125" style="19" customWidth="1"/>
    <col min="7675" max="7675" width="7.28515625" style="19" customWidth="1"/>
    <col min="7676" max="7676" width="5.5703125" style="19" customWidth="1"/>
    <col min="7677" max="7677" width="9" style="19" customWidth="1"/>
    <col min="7678" max="7679" width="9.7109375" style="19" customWidth="1"/>
    <col min="7680" max="7680" width="11.28515625" style="19" customWidth="1"/>
    <col min="7681" max="7681" width="2.7109375" style="19" customWidth="1"/>
    <col min="7682" max="7682" width="3.5703125" style="19" customWidth="1"/>
    <col min="7683" max="7927" width="9.28515625" style="19"/>
    <col min="7928" max="7928" width="8.7109375" style="19" customWidth="1"/>
    <col min="7929" max="7929" width="9.7109375" style="19" customWidth="1"/>
    <col min="7930" max="7930" width="14.42578125" style="19" customWidth="1"/>
    <col min="7931" max="7931" width="7.28515625" style="19" customWidth="1"/>
    <col min="7932" max="7932" width="5.5703125" style="19" customWidth="1"/>
    <col min="7933" max="7933" width="9" style="19" customWidth="1"/>
    <col min="7934" max="7935" width="9.7109375" style="19" customWidth="1"/>
    <col min="7936" max="7936" width="11.28515625" style="19" customWidth="1"/>
    <col min="7937" max="7937" width="2.7109375" style="19" customWidth="1"/>
    <col min="7938" max="7938" width="3.5703125" style="19" customWidth="1"/>
    <col min="7939" max="8183" width="9.28515625" style="19"/>
    <col min="8184" max="8184" width="8.7109375" style="19" customWidth="1"/>
    <col min="8185" max="8185" width="9.7109375" style="19" customWidth="1"/>
    <col min="8186" max="8186" width="14.42578125" style="19" customWidth="1"/>
    <col min="8187" max="8187" width="7.28515625" style="19" customWidth="1"/>
    <col min="8188" max="8188" width="5.5703125" style="19" customWidth="1"/>
    <col min="8189" max="8189" width="9" style="19" customWidth="1"/>
    <col min="8190" max="8191" width="9.7109375" style="19" customWidth="1"/>
    <col min="8192" max="8192" width="11.28515625" style="19" customWidth="1"/>
    <col min="8193" max="8193" width="2.7109375" style="19" customWidth="1"/>
    <col min="8194" max="8194" width="3.5703125" style="19" customWidth="1"/>
    <col min="8195" max="8439" width="9.28515625" style="19"/>
    <col min="8440" max="8440" width="8.7109375" style="19" customWidth="1"/>
    <col min="8441" max="8441" width="9.7109375" style="19" customWidth="1"/>
    <col min="8442" max="8442" width="14.42578125" style="19" customWidth="1"/>
    <col min="8443" max="8443" width="7.28515625" style="19" customWidth="1"/>
    <col min="8444" max="8444" width="5.5703125" style="19" customWidth="1"/>
    <col min="8445" max="8445" width="9" style="19" customWidth="1"/>
    <col min="8446" max="8447" width="9.7109375" style="19" customWidth="1"/>
    <col min="8448" max="8448" width="11.28515625" style="19" customWidth="1"/>
    <col min="8449" max="8449" width="2.7109375" style="19" customWidth="1"/>
    <col min="8450" max="8450" width="3.5703125" style="19" customWidth="1"/>
    <col min="8451" max="8695" width="9.28515625" style="19"/>
    <col min="8696" max="8696" width="8.7109375" style="19" customWidth="1"/>
    <col min="8697" max="8697" width="9.7109375" style="19" customWidth="1"/>
    <col min="8698" max="8698" width="14.42578125" style="19" customWidth="1"/>
    <col min="8699" max="8699" width="7.28515625" style="19" customWidth="1"/>
    <col min="8700" max="8700" width="5.5703125" style="19" customWidth="1"/>
    <col min="8701" max="8701" width="9" style="19" customWidth="1"/>
    <col min="8702" max="8703" width="9.7109375" style="19" customWidth="1"/>
    <col min="8704" max="8704" width="11.28515625" style="19" customWidth="1"/>
    <col min="8705" max="8705" width="2.7109375" style="19" customWidth="1"/>
    <col min="8706" max="8706" width="3.5703125" style="19" customWidth="1"/>
    <col min="8707" max="8951" width="9.28515625" style="19"/>
    <col min="8952" max="8952" width="8.7109375" style="19" customWidth="1"/>
    <col min="8953" max="8953" width="9.7109375" style="19" customWidth="1"/>
    <col min="8954" max="8954" width="14.42578125" style="19" customWidth="1"/>
    <col min="8955" max="8955" width="7.28515625" style="19" customWidth="1"/>
    <col min="8956" max="8956" width="5.5703125" style="19" customWidth="1"/>
    <col min="8957" max="8957" width="9" style="19" customWidth="1"/>
    <col min="8958" max="8959" width="9.7109375" style="19" customWidth="1"/>
    <col min="8960" max="8960" width="11.28515625" style="19" customWidth="1"/>
    <col min="8961" max="8961" width="2.7109375" style="19" customWidth="1"/>
    <col min="8962" max="8962" width="3.5703125" style="19" customWidth="1"/>
    <col min="8963" max="9207" width="9.28515625" style="19"/>
    <col min="9208" max="9208" width="8.7109375" style="19" customWidth="1"/>
    <col min="9209" max="9209" width="9.7109375" style="19" customWidth="1"/>
    <col min="9210" max="9210" width="14.42578125" style="19" customWidth="1"/>
    <col min="9211" max="9211" width="7.28515625" style="19" customWidth="1"/>
    <col min="9212" max="9212" width="5.5703125" style="19" customWidth="1"/>
    <col min="9213" max="9213" width="9" style="19" customWidth="1"/>
    <col min="9214" max="9215" width="9.7109375" style="19" customWidth="1"/>
    <col min="9216" max="9216" width="11.28515625" style="19" customWidth="1"/>
    <col min="9217" max="9217" width="2.7109375" style="19" customWidth="1"/>
    <col min="9218" max="9218" width="3.5703125" style="19" customWidth="1"/>
    <col min="9219" max="9463" width="9.28515625" style="19"/>
    <col min="9464" max="9464" width="8.7109375" style="19" customWidth="1"/>
    <col min="9465" max="9465" width="9.7109375" style="19" customWidth="1"/>
    <col min="9466" max="9466" width="14.42578125" style="19" customWidth="1"/>
    <col min="9467" max="9467" width="7.28515625" style="19" customWidth="1"/>
    <col min="9468" max="9468" width="5.5703125" style="19" customWidth="1"/>
    <col min="9469" max="9469" width="9" style="19" customWidth="1"/>
    <col min="9470" max="9471" width="9.7109375" style="19" customWidth="1"/>
    <col min="9472" max="9472" width="11.28515625" style="19" customWidth="1"/>
    <col min="9473" max="9473" width="2.7109375" style="19" customWidth="1"/>
    <col min="9474" max="9474" width="3.5703125" style="19" customWidth="1"/>
    <col min="9475" max="9719" width="9.28515625" style="19"/>
    <col min="9720" max="9720" width="8.7109375" style="19" customWidth="1"/>
    <col min="9721" max="9721" width="9.7109375" style="19" customWidth="1"/>
    <col min="9722" max="9722" width="14.42578125" style="19" customWidth="1"/>
    <col min="9723" max="9723" width="7.28515625" style="19" customWidth="1"/>
    <col min="9724" max="9724" width="5.5703125" style="19" customWidth="1"/>
    <col min="9725" max="9725" width="9" style="19" customWidth="1"/>
    <col min="9726" max="9727" width="9.7109375" style="19" customWidth="1"/>
    <col min="9728" max="9728" width="11.28515625" style="19" customWidth="1"/>
    <col min="9729" max="9729" width="2.7109375" style="19" customWidth="1"/>
    <col min="9730" max="9730" width="3.5703125" style="19" customWidth="1"/>
    <col min="9731" max="9975" width="9.28515625" style="19"/>
    <col min="9976" max="9976" width="8.7109375" style="19" customWidth="1"/>
    <col min="9977" max="9977" width="9.7109375" style="19" customWidth="1"/>
    <col min="9978" max="9978" width="14.42578125" style="19" customWidth="1"/>
    <col min="9979" max="9979" width="7.28515625" style="19" customWidth="1"/>
    <col min="9980" max="9980" width="5.5703125" style="19" customWidth="1"/>
    <col min="9981" max="9981" width="9" style="19" customWidth="1"/>
    <col min="9982" max="9983" width="9.7109375" style="19" customWidth="1"/>
    <col min="9984" max="9984" width="11.28515625" style="19" customWidth="1"/>
    <col min="9985" max="9985" width="2.7109375" style="19" customWidth="1"/>
    <col min="9986" max="9986" width="3.5703125" style="19" customWidth="1"/>
    <col min="9987" max="10231" width="9.28515625" style="19"/>
    <col min="10232" max="10232" width="8.7109375" style="19" customWidth="1"/>
    <col min="10233" max="10233" width="9.7109375" style="19" customWidth="1"/>
    <col min="10234" max="10234" width="14.42578125" style="19" customWidth="1"/>
    <col min="10235" max="10235" width="7.28515625" style="19" customWidth="1"/>
    <col min="10236" max="10236" width="5.5703125" style="19" customWidth="1"/>
    <col min="10237" max="10237" width="9" style="19" customWidth="1"/>
    <col min="10238" max="10239" width="9.7109375" style="19" customWidth="1"/>
    <col min="10240" max="10240" width="11.28515625" style="19" customWidth="1"/>
    <col min="10241" max="10241" width="2.7109375" style="19" customWidth="1"/>
    <col min="10242" max="10242" width="3.5703125" style="19" customWidth="1"/>
    <col min="10243" max="10487" width="9.28515625" style="19"/>
    <col min="10488" max="10488" width="8.7109375" style="19" customWidth="1"/>
    <col min="10489" max="10489" width="9.7109375" style="19" customWidth="1"/>
    <col min="10490" max="10490" width="14.42578125" style="19" customWidth="1"/>
    <col min="10491" max="10491" width="7.28515625" style="19" customWidth="1"/>
    <col min="10492" max="10492" width="5.5703125" style="19" customWidth="1"/>
    <col min="10493" max="10493" width="9" style="19" customWidth="1"/>
    <col min="10494" max="10495" width="9.7109375" style="19" customWidth="1"/>
    <col min="10496" max="10496" width="11.28515625" style="19" customWidth="1"/>
    <col min="10497" max="10497" width="2.7109375" style="19" customWidth="1"/>
    <col min="10498" max="10498" width="3.5703125" style="19" customWidth="1"/>
    <col min="10499" max="10743" width="9.28515625" style="19"/>
    <col min="10744" max="10744" width="8.7109375" style="19" customWidth="1"/>
    <col min="10745" max="10745" width="9.7109375" style="19" customWidth="1"/>
    <col min="10746" max="10746" width="14.42578125" style="19" customWidth="1"/>
    <col min="10747" max="10747" width="7.28515625" style="19" customWidth="1"/>
    <col min="10748" max="10748" width="5.5703125" style="19" customWidth="1"/>
    <col min="10749" max="10749" width="9" style="19" customWidth="1"/>
    <col min="10750" max="10751" width="9.7109375" style="19" customWidth="1"/>
    <col min="10752" max="10752" width="11.28515625" style="19" customWidth="1"/>
    <col min="10753" max="10753" width="2.7109375" style="19" customWidth="1"/>
    <col min="10754" max="10754" width="3.5703125" style="19" customWidth="1"/>
    <col min="10755" max="10999" width="9.28515625" style="19"/>
    <col min="11000" max="11000" width="8.7109375" style="19" customWidth="1"/>
    <col min="11001" max="11001" width="9.7109375" style="19" customWidth="1"/>
    <col min="11002" max="11002" width="14.42578125" style="19" customWidth="1"/>
    <col min="11003" max="11003" width="7.28515625" style="19" customWidth="1"/>
    <col min="11004" max="11004" width="5.5703125" style="19" customWidth="1"/>
    <col min="11005" max="11005" width="9" style="19" customWidth="1"/>
    <col min="11006" max="11007" width="9.7109375" style="19" customWidth="1"/>
    <col min="11008" max="11008" width="11.28515625" style="19" customWidth="1"/>
    <col min="11009" max="11009" width="2.7109375" style="19" customWidth="1"/>
    <col min="11010" max="11010" width="3.5703125" style="19" customWidth="1"/>
    <col min="11011" max="11255" width="9.28515625" style="19"/>
    <col min="11256" max="11256" width="8.7109375" style="19" customWidth="1"/>
    <col min="11257" max="11257" width="9.7109375" style="19" customWidth="1"/>
    <col min="11258" max="11258" width="14.42578125" style="19" customWidth="1"/>
    <col min="11259" max="11259" width="7.28515625" style="19" customWidth="1"/>
    <col min="11260" max="11260" width="5.5703125" style="19" customWidth="1"/>
    <col min="11261" max="11261" width="9" style="19" customWidth="1"/>
    <col min="11262" max="11263" width="9.7109375" style="19" customWidth="1"/>
    <col min="11264" max="11264" width="11.28515625" style="19" customWidth="1"/>
    <col min="11265" max="11265" width="2.7109375" style="19" customWidth="1"/>
    <col min="11266" max="11266" width="3.5703125" style="19" customWidth="1"/>
    <col min="11267" max="11511" width="9.28515625" style="19"/>
    <col min="11512" max="11512" width="8.7109375" style="19" customWidth="1"/>
    <col min="11513" max="11513" width="9.7109375" style="19" customWidth="1"/>
    <col min="11514" max="11514" width="14.42578125" style="19" customWidth="1"/>
    <col min="11515" max="11515" width="7.28515625" style="19" customWidth="1"/>
    <col min="11516" max="11516" width="5.5703125" style="19" customWidth="1"/>
    <col min="11517" max="11517" width="9" style="19" customWidth="1"/>
    <col min="11518" max="11519" width="9.7109375" style="19" customWidth="1"/>
    <col min="11520" max="11520" width="11.28515625" style="19" customWidth="1"/>
    <col min="11521" max="11521" width="2.7109375" style="19" customWidth="1"/>
    <col min="11522" max="11522" width="3.5703125" style="19" customWidth="1"/>
    <col min="11523" max="11767" width="9.28515625" style="19"/>
    <col min="11768" max="11768" width="8.7109375" style="19" customWidth="1"/>
    <col min="11769" max="11769" width="9.7109375" style="19" customWidth="1"/>
    <col min="11770" max="11770" width="14.42578125" style="19" customWidth="1"/>
    <col min="11771" max="11771" width="7.28515625" style="19" customWidth="1"/>
    <col min="11772" max="11772" width="5.5703125" style="19" customWidth="1"/>
    <col min="11773" max="11773" width="9" style="19" customWidth="1"/>
    <col min="11774" max="11775" width="9.7109375" style="19" customWidth="1"/>
    <col min="11776" max="11776" width="11.28515625" style="19" customWidth="1"/>
    <col min="11777" max="11777" width="2.7109375" style="19" customWidth="1"/>
    <col min="11778" max="11778" width="3.5703125" style="19" customWidth="1"/>
    <col min="11779" max="12023" width="9.28515625" style="19"/>
    <col min="12024" max="12024" width="8.7109375" style="19" customWidth="1"/>
    <col min="12025" max="12025" width="9.7109375" style="19" customWidth="1"/>
    <col min="12026" max="12026" width="14.42578125" style="19" customWidth="1"/>
    <col min="12027" max="12027" width="7.28515625" style="19" customWidth="1"/>
    <col min="12028" max="12028" width="5.5703125" style="19" customWidth="1"/>
    <col min="12029" max="12029" width="9" style="19" customWidth="1"/>
    <col min="12030" max="12031" width="9.7109375" style="19" customWidth="1"/>
    <col min="12032" max="12032" width="11.28515625" style="19" customWidth="1"/>
    <col min="12033" max="12033" width="2.7109375" style="19" customWidth="1"/>
    <col min="12034" max="12034" width="3.5703125" style="19" customWidth="1"/>
    <col min="12035" max="12279" width="9.28515625" style="19"/>
    <col min="12280" max="12280" width="8.7109375" style="19" customWidth="1"/>
    <col min="12281" max="12281" width="9.7109375" style="19" customWidth="1"/>
    <col min="12282" max="12282" width="14.42578125" style="19" customWidth="1"/>
    <col min="12283" max="12283" width="7.28515625" style="19" customWidth="1"/>
    <col min="12284" max="12284" width="5.5703125" style="19" customWidth="1"/>
    <col min="12285" max="12285" width="9" style="19" customWidth="1"/>
    <col min="12286" max="12287" width="9.7109375" style="19" customWidth="1"/>
    <col min="12288" max="12288" width="11.28515625" style="19" customWidth="1"/>
    <col min="12289" max="12289" width="2.7109375" style="19" customWidth="1"/>
    <col min="12290" max="12290" width="3.5703125" style="19" customWidth="1"/>
    <col min="12291" max="12535" width="9.28515625" style="19"/>
    <col min="12536" max="12536" width="8.7109375" style="19" customWidth="1"/>
    <col min="12537" max="12537" width="9.7109375" style="19" customWidth="1"/>
    <col min="12538" max="12538" width="14.42578125" style="19" customWidth="1"/>
    <col min="12539" max="12539" width="7.28515625" style="19" customWidth="1"/>
    <col min="12540" max="12540" width="5.5703125" style="19" customWidth="1"/>
    <col min="12541" max="12541" width="9" style="19" customWidth="1"/>
    <col min="12542" max="12543" width="9.7109375" style="19" customWidth="1"/>
    <col min="12544" max="12544" width="11.28515625" style="19" customWidth="1"/>
    <col min="12545" max="12545" width="2.7109375" style="19" customWidth="1"/>
    <col min="12546" max="12546" width="3.5703125" style="19" customWidth="1"/>
    <col min="12547" max="12791" width="9.28515625" style="19"/>
    <col min="12792" max="12792" width="8.7109375" style="19" customWidth="1"/>
    <col min="12793" max="12793" width="9.7109375" style="19" customWidth="1"/>
    <col min="12794" max="12794" width="14.42578125" style="19" customWidth="1"/>
    <col min="12795" max="12795" width="7.28515625" style="19" customWidth="1"/>
    <col min="12796" max="12796" width="5.5703125" style="19" customWidth="1"/>
    <col min="12797" max="12797" width="9" style="19" customWidth="1"/>
    <col min="12798" max="12799" width="9.7109375" style="19" customWidth="1"/>
    <col min="12800" max="12800" width="11.28515625" style="19" customWidth="1"/>
    <col min="12801" max="12801" width="2.7109375" style="19" customWidth="1"/>
    <col min="12802" max="12802" width="3.5703125" style="19" customWidth="1"/>
    <col min="12803" max="13047" width="9.28515625" style="19"/>
    <col min="13048" max="13048" width="8.7109375" style="19" customWidth="1"/>
    <col min="13049" max="13049" width="9.7109375" style="19" customWidth="1"/>
    <col min="13050" max="13050" width="14.42578125" style="19" customWidth="1"/>
    <col min="13051" max="13051" width="7.28515625" style="19" customWidth="1"/>
    <col min="13052" max="13052" width="5.5703125" style="19" customWidth="1"/>
    <col min="13053" max="13053" width="9" style="19" customWidth="1"/>
    <col min="13054" max="13055" width="9.7109375" style="19" customWidth="1"/>
    <col min="13056" max="13056" width="11.28515625" style="19" customWidth="1"/>
    <col min="13057" max="13057" width="2.7109375" style="19" customWidth="1"/>
    <col min="13058" max="13058" width="3.5703125" style="19" customWidth="1"/>
    <col min="13059" max="13303" width="9.28515625" style="19"/>
    <col min="13304" max="13304" width="8.7109375" style="19" customWidth="1"/>
    <col min="13305" max="13305" width="9.7109375" style="19" customWidth="1"/>
    <col min="13306" max="13306" width="14.42578125" style="19" customWidth="1"/>
    <col min="13307" max="13307" width="7.28515625" style="19" customWidth="1"/>
    <col min="13308" max="13308" width="5.5703125" style="19" customWidth="1"/>
    <col min="13309" max="13309" width="9" style="19" customWidth="1"/>
    <col min="13310" max="13311" width="9.7109375" style="19" customWidth="1"/>
    <col min="13312" max="13312" width="11.28515625" style="19" customWidth="1"/>
    <col min="13313" max="13313" width="2.7109375" style="19" customWidth="1"/>
    <col min="13314" max="13314" width="3.5703125" style="19" customWidth="1"/>
    <col min="13315" max="13559" width="9.28515625" style="19"/>
    <col min="13560" max="13560" width="8.7109375" style="19" customWidth="1"/>
    <col min="13561" max="13561" width="9.7109375" style="19" customWidth="1"/>
    <col min="13562" max="13562" width="14.42578125" style="19" customWidth="1"/>
    <col min="13563" max="13563" width="7.28515625" style="19" customWidth="1"/>
    <col min="13564" max="13564" width="5.5703125" style="19" customWidth="1"/>
    <col min="13565" max="13565" width="9" style="19" customWidth="1"/>
    <col min="13566" max="13567" width="9.7109375" style="19" customWidth="1"/>
    <col min="13568" max="13568" width="11.28515625" style="19" customWidth="1"/>
    <col min="13569" max="13569" width="2.7109375" style="19" customWidth="1"/>
    <col min="13570" max="13570" width="3.5703125" style="19" customWidth="1"/>
    <col min="13571" max="13815" width="9.28515625" style="19"/>
    <col min="13816" max="13816" width="8.7109375" style="19" customWidth="1"/>
    <col min="13817" max="13817" width="9.7109375" style="19" customWidth="1"/>
    <col min="13818" max="13818" width="14.42578125" style="19" customWidth="1"/>
    <col min="13819" max="13819" width="7.28515625" style="19" customWidth="1"/>
    <col min="13820" max="13820" width="5.5703125" style="19" customWidth="1"/>
    <col min="13821" max="13821" width="9" style="19" customWidth="1"/>
    <col min="13822" max="13823" width="9.7109375" style="19" customWidth="1"/>
    <col min="13824" max="13824" width="11.28515625" style="19" customWidth="1"/>
    <col min="13825" max="13825" width="2.7109375" style="19" customWidth="1"/>
    <col min="13826" max="13826" width="3.5703125" style="19" customWidth="1"/>
    <col min="13827" max="14071" width="9.28515625" style="19"/>
    <col min="14072" max="14072" width="8.7109375" style="19" customWidth="1"/>
    <col min="14073" max="14073" width="9.7109375" style="19" customWidth="1"/>
    <col min="14074" max="14074" width="14.42578125" style="19" customWidth="1"/>
    <col min="14075" max="14075" width="7.28515625" style="19" customWidth="1"/>
    <col min="14076" max="14076" width="5.5703125" style="19" customWidth="1"/>
    <col min="14077" max="14077" width="9" style="19" customWidth="1"/>
    <col min="14078" max="14079" width="9.7109375" style="19" customWidth="1"/>
    <col min="14080" max="14080" width="11.28515625" style="19" customWidth="1"/>
    <col min="14081" max="14081" width="2.7109375" style="19" customWidth="1"/>
    <col min="14082" max="14082" width="3.5703125" style="19" customWidth="1"/>
    <col min="14083" max="14327" width="9.28515625" style="19"/>
    <col min="14328" max="14328" width="8.7109375" style="19" customWidth="1"/>
    <col min="14329" max="14329" width="9.7109375" style="19" customWidth="1"/>
    <col min="14330" max="14330" width="14.42578125" style="19" customWidth="1"/>
    <col min="14331" max="14331" width="7.28515625" style="19" customWidth="1"/>
    <col min="14332" max="14332" width="5.5703125" style="19" customWidth="1"/>
    <col min="14333" max="14333" width="9" style="19" customWidth="1"/>
    <col min="14334" max="14335" width="9.7109375" style="19" customWidth="1"/>
    <col min="14336" max="14336" width="11.28515625" style="19" customWidth="1"/>
    <col min="14337" max="14337" width="2.7109375" style="19" customWidth="1"/>
    <col min="14338" max="14338" width="3.5703125" style="19" customWidth="1"/>
    <col min="14339" max="14583" width="9.28515625" style="19"/>
    <col min="14584" max="14584" width="8.7109375" style="19" customWidth="1"/>
    <col min="14585" max="14585" width="9.7109375" style="19" customWidth="1"/>
    <col min="14586" max="14586" width="14.42578125" style="19" customWidth="1"/>
    <col min="14587" max="14587" width="7.28515625" style="19" customWidth="1"/>
    <col min="14588" max="14588" width="5.5703125" style="19" customWidth="1"/>
    <col min="14589" max="14589" width="9" style="19" customWidth="1"/>
    <col min="14590" max="14591" width="9.7109375" style="19" customWidth="1"/>
    <col min="14592" max="14592" width="11.28515625" style="19" customWidth="1"/>
    <col min="14593" max="14593" width="2.7109375" style="19" customWidth="1"/>
    <col min="14594" max="14594" width="3.5703125" style="19" customWidth="1"/>
    <col min="14595" max="14839" width="9.28515625" style="19"/>
    <col min="14840" max="14840" width="8.7109375" style="19" customWidth="1"/>
    <col min="14841" max="14841" width="9.7109375" style="19" customWidth="1"/>
    <col min="14842" max="14842" width="14.42578125" style="19" customWidth="1"/>
    <col min="14843" max="14843" width="7.28515625" style="19" customWidth="1"/>
    <col min="14844" max="14844" width="5.5703125" style="19" customWidth="1"/>
    <col min="14845" max="14845" width="9" style="19" customWidth="1"/>
    <col min="14846" max="14847" width="9.7109375" style="19" customWidth="1"/>
    <col min="14848" max="14848" width="11.28515625" style="19" customWidth="1"/>
    <col min="14849" max="14849" width="2.7109375" style="19" customWidth="1"/>
    <col min="14850" max="14850" width="3.5703125" style="19" customWidth="1"/>
    <col min="14851" max="15095" width="9.28515625" style="19"/>
    <col min="15096" max="15096" width="8.7109375" style="19" customWidth="1"/>
    <col min="15097" max="15097" width="9.7109375" style="19" customWidth="1"/>
    <col min="15098" max="15098" width="14.42578125" style="19" customWidth="1"/>
    <col min="15099" max="15099" width="7.28515625" style="19" customWidth="1"/>
    <col min="15100" max="15100" width="5.5703125" style="19" customWidth="1"/>
    <col min="15101" max="15101" width="9" style="19" customWidth="1"/>
    <col min="15102" max="15103" width="9.7109375" style="19" customWidth="1"/>
    <col min="15104" max="15104" width="11.28515625" style="19" customWidth="1"/>
    <col min="15105" max="15105" width="2.7109375" style="19" customWidth="1"/>
    <col min="15106" max="15106" width="3.5703125" style="19" customWidth="1"/>
    <col min="15107" max="15351" width="9.28515625" style="19"/>
    <col min="15352" max="15352" width="8.7109375" style="19" customWidth="1"/>
    <col min="15353" max="15353" width="9.7109375" style="19" customWidth="1"/>
    <col min="15354" max="15354" width="14.42578125" style="19" customWidth="1"/>
    <col min="15355" max="15355" width="7.28515625" style="19" customWidth="1"/>
    <col min="15356" max="15356" width="5.5703125" style="19" customWidth="1"/>
    <col min="15357" max="15357" width="9" style="19" customWidth="1"/>
    <col min="15358" max="15359" width="9.7109375" style="19" customWidth="1"/>
    <col min="15360" max="15360" width="11.28515625" style="19" customWidth="1"/>
    <col min="15361" max="15361" width="2.7109375" style="19" customWidth="1"/>
    <col min="15362" max="15362" width="3.5703125" style="19" customWidth="1"/>
    <col min="15363" max="15607" width="9.28515625" style="19"/>
    <col min="15608" max="15608" width="8.7109375" style="19" customWidth="1"/>
    <col min="15609" max="15609" width="9.7109375" style="19" customWidth="1"/>
    <col min="15610" max="15610" width="14.42578125" style="19" customWidth="1"/>
    <col min="15611" max="15611" width="7.28515625" style="19" customWidth="1"/>
    <col min="15612" max="15612" width="5.5703125" style="19" customWidth="1"/>
    <col min="15613" max="15613" width="9" style="19" customWidth="1"/>
    <col min="15614" max="15615" width="9.7109375" style="19" customWidth="1"/>
    <col min="15616" max="15616" width="11.28515625" style="19" customWidth="1"/>
    <col min="15617" max="15617" width="2.7109375" style="19" customWidth="1"/>
    <col min="15618" max="15618" width="3.5703125" style="19" customWidth="1"/>
    <col min="15619" max="15863" width="9.28515625" style="19"/>
    <col min="15864" max="15864" width="8.7109375" style="19" customWidth="1"/>
    <col min="15865" max="15865" width="9.7109375" style="19" customWidth="1"/>
    <col min="15866" max="15866" width="14.42578125" style="19" customWidth="1"/>
    <col min="15867" max="15867" width="7.28515625" style="19" customWidth="1"/>
    <col min="15868" max="15868" width="5.5703125" style="19" customWidth="1"/>
    <col min="15869" max="15869" width="9" style="19" customWidth="1"/>
    <col min="15870" max="15871" width="9.7109375" style="19" customWidth="1"/>
    <col min="15872" max="15872" width="11.28515625" style="19" customWidth="1"/>
    <col min="15873" max="15873" width="2.7109375" style="19" customWidth="1"/>
    <col min="15874" max="15874" width="3.5703125" style="19" customWidth="1"/>
    <col min="15875" max="16119" width="9.28515625" style="19"/>
    <col min="16120" max="16120" width="8.7109375" style="19" customWidth="1"/>
    <col min="16121" max="16121" width="9.7109375" style="19" customWidth="1"/>
    <col min="16122" max="16122" width="14.42578125" style="19" customWidth="1"/>
    <col min="16123" max="16123" width="7.28515625" style="19" customWidth="1"/>
    <col min="16124" max="16124" width="5.5703125" style="19" customWidth="1"/>
    <col min="16125" max="16125" width="9" style="19" customWidth="1"/>
    <col min="16126" max="16127" width="9.7109375" style="19" customWidth="1"/>
    <col min="16128" max="16128" width="11.28515625" style="19" customWidth="1"/>
    <col min="16129" max="16129" width="2.7109375" style="19" customWidth="1"/>
    <col min="16130" max="16130" width="3.5703125" style="19" customWidth="1"/>
    <col min="16131" max="16384" width="9.28515625" style="19"/>
  </cols>
  <sheetData>
    <row r="1" spans="1:26" ht="46.5" customHeight="1" x14ac:dyDescent="0.25">
      <c r="A1" s="179" t="s">
        <v>168</v>
      </c>
      <c r="B1" s="179"/>
      <c r="C1" s="179"/>
      <c r="D1" s="179"/>
      <c r="E1" s="179"/>
      <c r="F1" s="179"/>
      <c r="G1" s="179"/>
      <c r="H1" s="179"/>
    </row>
    <row r="2" spans="1:26" ht="16.5" customHeight="1" x14ac:dyDescent="0.25">
      <c r="A2" s="180" t="s">
        <v>0</v>
      </c>
      <c r="B2" s="180"/>
      <c r="C2" s="180"/>
      <c r="D2" s="180"/>
      <c r="E2" s="180"/>
      <c r="F2" s="180"/>
      <c r="G2" s="180"/>
      <c r="H2" s="180"/>
    </row>
    <row r="3" spans="1:26" x14ac:dyDescent="0.25">
      <c r="A3" s="156" t="s">
        <v>1</v>
      </c>
      <c r="B3" s="156"/>
      <c r="C3" s="156"/>
      <c r="D3" s="156"/>
      <c r="E3" s="156" t="str">
        <f ca="1">TEXT(TODAY(),"DD/MM/YYYY")</f>
        <v>11/08/2025</v>
      </c>
      <c r="F3" s="156"/>
      <c r="G3" s="156"/>
      <c r="H3" s="156"/>
    </row>
    <row r="4" spans="1:26" ht="15" customHeight="1" x14ac:dyDescent="0.25">
      <c r="A4" s="156" t="s">
        <v>2</v>
      </c>
      <c r="B4" s="156"/>
      <c r="C4" s="156"/>
      <c r="D4" s="156"/>
      <c r="E4" s="156" t="s">
        <v>174</v>
      </c>
      <c r="F4" s="156"/>
      <c r="G4" s="156"/>
      <c r="H4" s="156"/>
    </row>
    <row r="5" spans="1:26" x14ac:dyDescent="0.25">
      <c r="A5" s="156" t="s">
        <v>3</v>
      </c>
      <c r="B5" s="156"/>
      <c r="C5" s="156"/>
      <c r="D5" s="156"/>
      <c r="E5" s="181" t="s">
        <v>293</v>
      </c>
      <c r="F5" s="156"/>
      <c r="G5" s="156"/>
      <c r="H5" s="156"/>
    </row>
    <row r="6" spans="1:26" ht="16.5" customHeight="1" x14ac:dyDescent="0.25">
      <c r="A6" s="156" t="s">
        <v>4</v>
      </c>
      <c r="B6" s="156"/>
      <c r="C6" s="156"/>
      <c r="D6" s="156"/>
      <c r="E6" s="156" t="s">
        <v>235</v>
      </c>
      <c r="F6" s="156"/>
      <c r="G6" s="156"/>
      <c r="H6" s="156"/>
    </row>
    <row r="7" spans="1:26" ht="15" customHeight="1" x14ac:dyDescent="0.25">
      <c r="A7" s="156" t="s">
        <v>5</v>
      </c>
      <c r="B7" s="156"/>
      <c r="C7" s="156"/>
      <c r="D7" s="156"/>
      <c r="E7" s="156" t="str">
        <f>E6</f>
        <v>Shree Govind Developers</v>
      </c>
      <c r="F7" s="156"/>
      <c r="G7" s="156"/>
      <c r="H7" s="156"/>
    </row>
    <row r="8" spans="1:26" x14ac:dyDescent="0.25">
      <c r="A8" s="156" t="s">
        <v>6</v>
      </c>
      <c r="B8" s="156"/>
      <c r="C8" s="156"/>
      <c r="D8" s="156"/>
      <c r="E8" s="149" t="s">
        <v>236</v>
      </c>
      <c r="F8" s="149"/>
      <c r="G8" s="149"/>
      <c r="H8" s="149"/>
    </row>
    <row r="9" spans="1:26" s="21" customFormat="1" x14ac:dyDescent="0.25">
      <c r="A9" s="156" t="s">
        <v>171</v>
      </c>
      <c r="B9" s="156"/>
      <c r="C9" s="156"/>
      <c r="D9" s="156"/>
      <c r="E9" s="156">
        <v>7304827295</v>
      </c>
      <c r="F9" s="156"/>
      <c r="G9" s="156"/>
      <c r="H9" s="156"/>
    </row>
    <row r="10" spans="1:26" s="21" customFormat="1" x14ac:dyDescent="0.25">
      <c r="A10" s="156" t="s">
        <v>172</v>
      </c>
      <c r="B10" s="156"/>
      <c r="C10" s="156"/>
      <c r="D10" s="156"/>
      <c r="E10" s="156" t="s">
        <v>291</v>
      </c>
      <c r="F10" s="156"/>
      <c r="G10" s="156"/>
      <c r="H10" s="156"/>
      <c r="I10" s="156" t="s">
        <v>237</v>
      </c>
      <c r="J10" s="156"/>
      <c r="K10" s="156"/>
      <c r="L10" s="156"/>
    </row>
    <row r="11" spans="1:26" s="21" customFormat="1" x14ac:dyDescent="0.25">
      <c r="A11" s="156" t="s">
        <v>7</v>
      </c>
      <c r="B11" s="156"/>
      <c r="C11" s="156"/>
      <c r="D11" s="156"/>
      <c r="E11" s="156" t="s">
        <v>124</v>
      </c>
      <c r="F11" s="156"/>
      <c r="G11" s="156"/>
      <c r="H11" s="156"/>
    </row>
    <row r="12" spans="1:26" s="21" customFormat="1" hidden="1" x14ac:dyDescent="0.25">
      <c r="A12" s="156" t="s">
        <v>175</v>
      </c>
      <c r="B12" s="156"/>
      <c r="C12" s="156"/>
      <c r="D12" s="156"/>
      <c r="E12" s="156"/>
      <c r="F12" s="156"/>
      <c r="G12" s="156"/>
      <c r="H12" s="156"/>
      <c r="S12" s="63" t="s">
        <v>182</v>
      </c>
      <c r="T12" s="63" t="s">
        <v>192</v>
      </c>
      <c r="U12" s="63" t="s">
        <v>176</v>
      </c>
      <c r="V12" s="63" t="s">
        <v>197</v>
      </c>
      <c r="W12" s="63" t="s">
        <v>215</v>
      </c>
      <c r="X12" s="64"/>
      <c r="Y12" s="64" t="s">
        <v>197</v>
      </c>
      <c r="Z12" s="64" t="e">
        <f ca="1">OFFSET($S$12,1,MATCH($G19,$S$12:$W$12,0)-1,15,1)</f>
        <v>#VALUE!</v>
      </c>
    </row>
    <row r="13" spans="1:26" s="21" customFormat="1" x14ac:dyDescent="0.25">
      <c r="A13" s="156" t="s">
        <v>8</v>
      </c>
      <c r="B13" s="156"/>
      <c r="C13" s="156"/>
      <c r="D13" s="156"/>
      <c r="E13" s="111" t="s">
        <v>230</v>
      </c>
      <c r="F13" s="111"/>
      <c r="G13" s="111"/>
      <c r="H13" s="111"/>
      <c r="S13" s="63" t="s">
        <v>183</v>
      </c>
      <c r="T13" s="63" t="s">
        <v>190</v>
      </c>
      <c r="U13" s="63" t="s">
        <v>212</v>
      </c>
      <c r="V13" s="63" t="s">
        <v>198</v>
      </c>
      <c r="W13" s="63" t="s">
        <v>216</v>
      </c>
      <c r="X13" s="64"/>
      <c r="Y13" s="64"/>
      <c r="Z13" s="64"/>
    </row>
    <row r="14" spans="1:26" s="21" customFormat="1" x14ac:dyDescent="0.25">
      <c r="A14" s="156" t="s">
        <v>9</v>
      </c>
      <c r="B14" s="156"/>
      <c r="C14" s="156"/>
      <c r="D14" s="156"/>
      <c r="E14" s="111" t="s">
        <v>238</v>
      </c>
      <c r="F14" s="156"/>
      <c r="G14" s="156"/>
      <c r="H14" s="156"/>
      <c r="I14" s="192" t="e">
        <f ca="1">OFFSET($D$4,1,MATCH($J12,$D$4:$H$4,0)-1,15,1)</f>
        <v>#N/A</v>
      </c>
      <c r="J14" s="193"/>
      <c r="K14" s="193"/>
      <c r="L14" s="193"/>
      <c r="M14" s="193"/>
      <c r="N14" s="193"/>
      <c r="O14" s="193"/>
      <c r="P14" s="193"/>
      <c r="S14" s="63" t="s">
        <v>184</v>
      </c>
      <c r="T14" s="63" t="s">
        <v>191</v>
      </c>
      <c r="U14" s="63" t="s">
        <v>213</v>
      </c>
      <c r="V14" s="63" t="s">
        <v>199</v>
      </c>
      <c r="W14" s="63" t="s">
        <v>229</v>
      </c>
      <c r="X14" s="64"/>
      <c r="Y14" s="64"/>
      <c r="Z14" s="64"/>
    </row>
    <row r="15" spans="1:26" s="21" customFormat="1" ht="33.75" customHeight="1" x14ac:dyDescent="0.25">
      <c r="A15" s="111" t="s">
        <v>10</v>
      </c>
      <c r="B15" s="111"/>
      <c r="C15" s="111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Super Homes, Survey No.43, H.No.3, near Shree Salasar Marble, Agashi Road, Bolinj, Agashi, Virar (West), Vasai, Palghar - 401301.</v>
      </c>
      <c r="D15" s="111"/>
      <c r="E15" s="111"/>
      <c r="F15" s="111"/>
      <c r="G15" s="111"/>
      <c r="H15" s="111"/>
      <c r="S15" s="63" t="s">
        <v>185</v>
      </c>
      <c r="T15" s="63" t="s">
        <v>193</v>
      </c>
      <c r="U15" s="63" t="s">
        <v>214</v>
      </c>
      <c r="V15" s="63" t="s">
        <v>200</v>
      </c>
      <c r="W15" s="63" t="s">
        <v>217</v>
      </c>
      <c r="X15" s="64"/>
      <c r="Y15" s="64"/>
      <c r="Z15" s="64"/>
    </row>
    <row r="16" spans="1:26" s="21" customFormat="1" x14ac:dyDescent="0.25">
      <c r="A16" s="111" t="s">
        <v>240</v>
      </c>
      <c r="B16" s="111"/>
      <c r="C16" s="111" t="s">
        <v>241</v>
      </c>
      <c r="D16" s="111"/>
      <c r="E16" s="111"/>
      <c r="F16" s="111"/>
      <c r="G16" s="111"/>
      <c r="H16" s="111"/>
      <c r="S16" s="63" t="s">
        <v>186</v>
      </c>
      <c r="T16" s="63" t="s">
        <v>194</v>
      </c>
      <c r="U16" s="63"/>
      <c r="V16" s="63" t="s">
        <v>201</v>
      </c>
      <c r="W16" s="63" t="s">
        <v>218</v>
      </c>
      <c r="X16" s="64"/>
      <c r="Y16" s="64"/>
      <c r="Z16" s="64"/>
    </row>
    <row r="17" spans="1:26" ht="15.75" customHeight="1" x14ac:dyDescent="0.25">
      <c r="A17" s="111" t="s">
        <v>166</v>
      </c>
      <c r="B17" s="111"/>
      <c r="C17" s="111" t="s">
        <v>247</v>
      </c>
      <c r="D17" s="111"/>
      <c r="E17" s="111"/>
      <c r="F17" s="111"/>
      <c r="G17" s="111"/>
      <c r="H17" s="111"/>
      <c r="S17" s="49" t="s">
        <v>187</v>
      </c>
      <c r="T17" s="49" t="s">
        <v>192</v>
      </c>
      <c r="U17" s="49"/>
      <c r="V17" s="49" t="s">
        <v>202</v>
      </c>
      <c r="W17" s="49" t="s">
        <v>219</v>
      </c>
      <c r="X17"/>
      <c r="Y17"/>
      <c r="Z17"/>
    </row>
    <row r="18" spans="1:26" ht="15.75" customHeight="1" x14ac:dyDescent="0.25">
      <c r="A18" s="111" t="s">
        <v>11</v>
      </c>
      <c r="B18" s="111"/>
      <c r="C18" s="111" t="s">
        <v>245</v>
      </c>
      <c r="D18" s="111"/>
      <c r="E18" s="111" t="s">
        <v>73</v>
      </c>
      <c r="F18" s="111"/>
      <c r="G18" s="111" t="s">
        <v>242</v>
      </c>
      <c r="H18" s="111"/>
      <c r="S18" s="49" t="s">
        <v>188</v>
      </c>
      <c r="T18" s="49" t="s">
        <v>195</v>
      </c>
      <c r="U18" s="49"/>
      <c r="V18" s="49" t="s">
        <v>203</v>
      </c>
      <c r="W18" s="49" t="s">
        <v>220</v>
      </c>
      <c r="X18"/>
      <c r="Y18"/>
      <c r="Z18"/>
    </row>
    <row r="19" spans="1:26" x14ac:dyDescent="0.25">
      <c r="A19" s="156" t="s">
        <v>13</v>
      </c>
      <c r="B19" s="156"/>
      <c r="C19" s="111" t="s">
        <v>246</v>
      </c>
      <c r="D19" s="111"/>
      <c r="E19" s="111" t="s">
        <v>12</v>
      </c>
      <c r="F19" s="111"/>
      <c r="G19" s="177" t="s">
        <v>192</v>
      </c>
      <c r="H19" s="177"/>
      <c r="S19" s="49" t="s">
        <v>189</v>
      </c>
      <c r="T19" s="49" t="s">
        <v>196</v>
      </c>
      <c r="U19" s="49"/>
      <c r="V19" s="49" t="s">
        <v>204</v>
      </c>
      <c r="W19" s="49" t="s">
        <v>221</v>
      </c>
      <c r="X19"/>
      <c r="Y19"/>
      <c r="Z19"/>
    </row>
    <row r="20" spans="1:26" x14ac:dyDescent="0.25">
      <c r="A20" s="156" t="s">
        <v>74</v>
      </c>
      <c r="B20" s="156"/>
      <c r="C20" s="111" t="s">
        <v>193</v>
      </c>
      <c r="D20" s="111"/>
      <c r="E20" s="111" t="s">
        <v>14</v>
      </c>
      <c r="F20" s="111"/>
      <c r="G20" s="111">
        <v>401301</v>
      </c>
      <c r="H20" s="111"/>
      <c r="S20" s="49"/>
      <c r="T20" s="49"/>
      <c r="U20" s="49"/>
      <c r="V20" s="49" t="s">
        <v>205</v>
      </c>
      <c r="W20" s="49" t="s">
        <v>222</v>
      </c>
      <c r="X20"/>
      <c r="Y20"/>
      <c r="Z20"/>
    </row>
    <row r="21" spans="1:26" ht="32.25" customHeight="1" x14ac:dyDescent="0.25">
      <c r="A21" s="156" t="s">
        <v>125</v>
      </c>
      <c r="B21" s="156"/>
      <c r="C21" s="111" t="s">
        <v>249</v>
      </c>
      <c r="D21" s="111"/>
      <c r="E21" s="111" t="s">
        <v>15</v>
      </c>
      <c r="F21" s="111"/>
      <c r="G21" s="111" t="s">
        <v>248</v>
      </c>
      <c r="H21" s="111"/>
      <c r="S21" s="49"/>
      <c r="T21" s="49"/>
      <c r="U21" s="49"/>
      <c r="V21" s="49" t="s">
        <v>206</v>
      </c>
      <c r="W21" s="49" t="s">
        <v>223</v>
      </c>
      <c r="X21"/>
      <c r="Y21"/>
      <c r="Z21"/>
    </row>
    <row r="22" spans="1:26" ht="15" customHeight="1" x14ac:dyDescent="0.25">
      <c r="A22" s="176" t="s">
        <v>76</v>
      </c>
      <c r="B22" s="176"/>
      <c r="C22" s="176"/>
      <c r="D22" s="176"/>
      <c r="E22" s="156" t="s">
        <v>16</v>
      </c>
      <c r="F22" s="156"/>
      <c r="G22" s="156"/>
      <c r="H22" s="156"/>
      <c r="S22" s="49"/>
      <c r="T22" s="49"/>
      <c r="U22" s="49"/>
      <c r="V22" s="49" t="s">
        <v>207</v>
      </c>
      <c r="W22" s="49" t="s">
        <v>224</v>
      </c>
      <c r="X22"/>
      <c r="Y22"/>
      <c r="Z22"/>
    </row>
    <row r="23" spans="1:26" ht="18.75" customHeight="1" x14ac:dyDescent="0.25">
      <c r="A23" s="176"/>
      <c r="B23" s="176"/>
      <c r="C23" s="176"/>
      <c r="D23" s="176"/>
      <c r="E23" s="156"/>
      <c r="F23" s="156"/>
      <c r="G23" s="156"/>
      <c r="H23" s="156"/>
      <c r="S23" s="49"/>
      <c r="T23" s="49"/>
      <c r="U23" s="49"/>
      <c r="V23" s="49" t="s">
        <v>208</v>
      </c>
      <c r="W23" s="49" t="s">
        <v>225</v>
      </c>
      <c r="X23"/>
      <c r="Y23"/>
      <c r="Z23"/>
    </row>
    <row r="24" spans="1:26" ht="15" customHeight="1" x14ac:dyDescent="0.25">
      <c r="A24" s="176" t="s">
        <v>17</v>
      </c>
      <c r="B24" s="176"/>
      <c r="C24" s="176"/>
      <c r="D24" s="176"/>
      <c r="E24" s="111" t="s">
        <v>18</v>
      </c>
      <c r="F24" s="111"/>
      <c r="G24" s="111"/>
      <c r="H24" s="111"/>
      <c r="S24" s="49"/>
      <c r="T24" s="49"/>
      <c r="U24" s="49"/>
      <c r="V24" s="49" t="s">
        <v>209</v>
      </c>
      <c r="W24" s="49" t="s">
        <v>226</v>
      </c>
      <c r="X24"/>
      <c r="Y24"/>
      <c r="Z24"/>
    </row>
    <row r="25" spans="1:26" ht="15" customHeight="1" x14ac:dyDescent="0.25">
      <c r="A25" s="96" t="s">
        <v>19</v>
      </c>
      <c r="B25" s="96"/>
      <c r="C25" s="96"/>
      <c r="D25" s="96"/>
      <c r="E25" s="111" t="str">
        <f>IF(AND(G19="Mumbai"),"Upper Class","Middle Class")</f>
        <v>Middle Class</v>
      </c>
      <c r="F25" s="111"/>
      <c r="G25" s="111"/>
      <c r="H25" s="111"/>
      <c r="S25" s="49"/>
      <c r="T25" s="49"/>
      <c r="U25" s="49"/>
      <c r="V25" s="49" t="s">
        <v>210</v>
      </c>
      <c r="W25" s="49" t="s">
        <v>227</v>
      </c>
      <c r="X25"/>
      <c r="Y25"/>
      <c r="Z25"/>
    </row>
    <row r="26" spans="1:26" x14ac:dyDescent="0.25">
      <c r="A26" s="96" t="s">
        <v>20</v>
      </c>
      <c r="B26" s="96"/>
      <c r="C26" s="96"/>
      <c r="D26" s="96"/>
      <c r="E26" s="111" t="s">
        <v>21</v>
      </c>
      <c r="F26" s="111"/>
      <c r="G26" s="111"/>
      <c r="H26" s="111"/>
      <c r="S26" s="49"/>
      <c r="T26" s="49"/>
      <c r="U26" s="49"/>
      <c r="V26" s="49" t="s">
        <v>211</v>
      </c>
      <c r="W26" s="49" t="s">
        <v>228</v>
      </c>
      <c r="X26"/>
      <c r="Y26"/>
      <c r="Z26"/>
    </row>
    <row r="27" spans="1:26" ht="15.75" customHeight="1" x14ac:dyDescent="0.25">
      <c r="A27" s="96" t="s">
        <v>22</v>
      </c>
      <c r="B27" s="96"/>
      <c r="C27" s="96"/>
      <c r="D27" s="96"/>
      <c r="E27" s="111" t="str">
        <f>IF(AND(G19="Mumbai"),"Developed","Developing")</f>
        <v>Developing</v>
      </c>
      <c r="F27" s="111"/>
      <c r="G27" s="111"/>
      <c r="H27" s="111"/>
    </row>
    <row r="28" spans="1:26" x14ac:dyDescent="0.25">
      <c r="A28" s="96" t="s">
        <v>23</v>
      </c>
      <c r="B28" s="96"/>
      <c r="C28" s="96"/>
      <c r="D28" s="96"/>
      <c r="E28" s="111" t="s">
        <v>24</v>
      </c>
      <c r="F28" s="111"/>
      <c r="G28" s="111"/>
      <c r="H28" s="111"/>
    </row>
    <row r="29" spans="1:26" ht="15.75" customHeight="1" x14ac:dyDescent="0.25">
      <c r="A29" s="96" t="s">
        <v>81</v>
      </c>
      <c r="B29" s="96"/>
      <c r="C29" s="96"/>
      <c r="D29" s="96"/>
      <c r="E29" s="111" t="s">
        <v>82</v>
      </c>
      <c r="F29" s="111"/>
      <c r="G29" s="111"/>
      <c r="H29" s="111"/>
    </row>
    <row r="30" spans="1:26" ht="15" customHeight="1" x14ac:dyDescent="0.25">
      <c r="A30" s="96" t="s">
        <v>32</v>
      </c>
      <c r="B30" s="96"/>
      <c r="C30" s="96"/>
      <c r="D30" s="96"/>
      <c r="E30" s="111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30" s="111"/>
      <c r="G30" s="111"/>
      <c r="H30" s="111"/>
    </row>
    <row r="31" spans="1:26" ht="15.75" customHeight="1" x14ac:dyDescent="0.25">
      <c r="A31" s="96" t="s">
        <v>93</v>
      </c>
      <c r="B31" s="96"/>
      <c r="C31" s="96"/>
      <c r="D31" s="96"/>
      <c r="E31" s="111" t="s">
        <v>33</v>
      </c>
      <c r="F31" s="111"/>
      <c r="G31" s="111"/>
      <c r="H31" s="111"/>
    </row>
    <row r="32" spans="1:26" s="20" customFormat="1" x14ac:dyDescent="0.25">
      <c r="A32" s="175" t="s">
        <v>94</v>
      </c>
      <c r="B32" s="175"/>
      <c r="C32" s="172" t="s">
        <v>177</v>
      </c>
      <c r="D32" s="173"/>
      <c r="E32" s="174"/>
      <c r="F32" s="172" t="s">
        <v>30</v>
      </c>
      <c r="G32" s="173"/>
      <c r="H32" s="174"/>
    </row>
    <row r="33" spans="1:9" s="20" customFormat="1" x14ac:dyDescent="0.25">
      <c r="A33" s="151" t="s">
        <v>25</v>
      </c>
      <c r="B33" s="151" t="s">
        <v>29</v>
      </c>
      <c r="C33" s="152" t="s">
        <v>252</v>
      </c>
      <c r="D33" s="153"/>
      <c r="E33" s="154"/>
      <c r="F33" s="152" t="s">
        <v>245</v>
      </c>
      <c r="G33" s="153"/>
      <c r="H33" s="154"/>
    </row>
    <row r="34" spans="1:9" x14ac:dyDescent="0.25">
      <c r="A34" s="151" t="s">
        <v>26</v>
      </c>
      <c r="B34" s="151" t="s">
        <v>29</v>
      </c>
      <c r="C34" s="152" t="s">
        <v>253</v>
      </c>
      <c r="D34" s="153"/>
      <c r="E34" s="154"/>
      <c r="F34" s="152" t="s">
        <v>250</v>
      </c>
      <c r="G34" s="153"/>
      <c r="H34" s="154"/>
    </row>
    <row r="35" spans="1:9" s="20" customFormat="1" x14ac:dyDescent="0.25">
      <c r="A35" s="151" t="s">
        <v>28</v>
      </c>
      <c r="B35" s="151" t="s">
        <v>29</v>
      </c>
      <c r="C35" s="152" t="s">
        <v>254</v>
      </c>
      <c r="D35" s="153"/>
      <c r="E35" s="154"/>
      <c r="F35" s="152" t="s">
        <v>249</v>
      </c>
      <c r="G35" s="153"/>
      <c r="H35" s="154"/>
    </row>
    <row r="36" spans="1:9" x14ac:dyDescent="0.25">
      <c r="A36" s="151" t="s">
        <v>27</v>
      </c>
      <c r="B36" s="151" t="s">
        <v>29</v>
      </c>
      <c r="C36" s="152" t="s">
        <v>253</v>
      </c>
      <c r="D36" s="153"/>
      <c r="E36" s="154"/>
      <c r="F36" s="152" t="s">
        <v>251</v>
      </c>
      <c r="G36" s="153"/>
      <c r="H36" s="154"/>
    </row>
    <row r="37" spans="1:9" x14ac:dyDescent="0.25">
      <c r="A37" s="96" t="s">
        <v>31</v>
      </c>
      <c r="B37" s="96"/>
      <c r="C37" s="96"/>
      <c r="D37" s="96"/>
      <c r="E37" s="96"/>
      <c r="F37" s="96"/>
      <c r="G37" s="96"/>
      <c r="H37" s="96"/>
    </row>
    <row r="38" spans="1:9" ht="15.75" customHeight="1" x14ac:dyDescent="0.25">
      <c r="A38" s="96" t="s">
        <v>169</v>
      </c>
      <c r="B38" s="96"/>
      <c r="C38" s="128" t="s">
        <v>244</v>
      </c>
      <c r="D38" s="128"/>
      <c r="E38" s="128"/>
      <c r="F38" s="128"/>
      <c r="G38" s="128"/>
      <c r="H38" s="128"/>
    </row>
    <row r="39" spans="1:9" x14ac:dyDescent="0.25">
      <c r="A39" s="96" t="s">
        <v>165</v>
      </c>
      <c r="B39" s="96"/>
      <c r="C39" s="110" t="s">
        <v>243</v>
      </c>
      <c r="D39" s="111"/>
      <c r="E39" s="111"/>
      <c r="F39" s="111"/>
      <c r="G39" s="111"/>
      <c r="H39" s="111"/>
    </row>
    <row r="40" spans="1:9" x14ac:dyDescent="0.25">
      <c r="A40" s="128" t="s">
        <v>34</v>
      </c>
      <c r="B40" s="128"/>
      <c r="C40" s="128"/>
      <c r="D40" s="128"/>
      <c r="E40" s="128"/>
      <c r="F40" s="128"/>
      <c r="G40" s="128"/>
      <c r="H40" s="128"/>
    </row>
    <row r="41" spans="1:9" x14ac:dyDescent="0.25">
      <c r="A41" s="96" t="s">
        <v>35</v>
      </c>
      <c r="B41" s="96"/>
      <c r="C41" s="96"/>
      <c r="D41" s="96"/>
      <c r="E41" s="155">
        <v>2897.49</v>
      </c>
      <c r="F41" s="155"/>
      <c r="G41" s="155"/>
      <c r="H41" s="155"/>
      <c r="I41" s="50">
        <f>3187.24/E41</f>
        <v>1.100000345126299</v>
      </c>
    </row>
    <row r="42" spans="1:9" x14ac:dyDescent="0.25">
      <c r="A42" s="96" t="s">
        <v>36</v>
      </c>
      <c r="B42" s="96"/>
      <c r="C42" s="96"/>
      <c r="D42" s="96"/>
      <c r="E42" s="159">
        <v>1.1000000000000001</v>
      </c>
      <c r="F42" s="159"/>
      <c r="G42" s="159"/>
      <c r="H42" s="159"/>
    </row>
    <row r="43" spans="1:9" x14ac:dyDescent="0.25">
      <c r="A43" s="96" t="s">
        <v>37</v>
      </c>
      <c r="B43" s="96"/>
      <c r="C43" s="96"/>
      <c r="D43" s="96"/>
      <c r="E43" s="159">
        <f>E45/E41-E42</f>
        <v>4.4212925670148984</v>
      </c>
      <c r="F43" s="159"/>
      <c r="G43" s="159"/>
      <c r="H43" s="159"/>
    </row>
    <row r="44" spans="1:9" x14ac:dyDescent="0.25">
      <c r="A44" s="96" t="s">
        <v>38</v>
      </c>
      <c r="B44" s="96"/>
      <c r="C44" s="96"/>
      <c r="D44" s="96"/>
      <c r="E44" s="159">
        <f>E42+E43</f>
        <v>5.521292567014898</v>
      </c>
      <c r="F44" s="159"/>
      <c r="G44" s="159"/>
      <c r="H44" s="159"/>
    </row>
    <row r="45" spans="1:9" x14ac:dyDescent="0.25">
      <c r="A45" s="96" t="s">
        <v>92</v>
      </c>
      <c r="B45" s="96"/>
      <c r="C45" s="96"/>
      <c r="D45" s="96"/>
      <c r="E45" s="160">
        <v>15997.89</v>
      </c>
      <c r="F45" s="160"/>
      <c r="G45" s="160"/>
      <c r="H45" s="160"/>
    </row>
    <row r="46" spans="1:9" x14ac:dyDescent="0.25">
      <c r="A46" s="156" t="s">
        <v>39</v>
      </c>
      <c r="B46" s="156"/>
      <c r="C46" s="156"/>
      <c r="D46" s="156"/>
      <c r="E46" s="156" t="s">
        <v>124</v>
      </c>
      <c r="F46" s="156"/>
      <c r="G46" s="156"/>
      <c r="H46" s="156"/>
    </row>
    <row r="47" spans="1:9" x14ac:dyDescent="0.25">
      <c r="A47" s="128" t="s">
        <v>40</v>
      </c>
      <c r="B47" s="128"/>
      <c r="C47" s="128"/>
      <c r="D47" s="128"/>
      <c r="E47" s="128"/>
      <c r="F47" s="128"/>
      <c r="G47" s="128"/>
      <c r="H47" s="128"/>
    </row>
    <row r="48" spans="1:9" ht="33.75" customHeight="1" x14ac:dyDescent="0.25">
      <c r="A48" s="115" t="s">
        <v>154</v>
      </c>
      <c r="B48" s="116"/>
      <c r="C48" s="117" t="s">
        <v>255</v>
      </c>
      <c r="D48" s="118"/>
      <c r="E48" s="118"/>
      <c r="F48" s="118"/>
      <c r="G48" s="118"/>
      <c r="H48" s="119"/>
    </row>
    <row r="49" spans="1:14" ht="32.25" customHeight="1" x14ac:dyDescent="0.25">
      <c r="A49" s="115" t="s">
        <v>41</v>
      </c>
      <c r="B49" s="116"/>
      <c r="C49" s="115" t="s">
        <v>256</v>
      </c>
      <c r="D49" s="127"/>
      <c r="E49" s="116"/>
      <c r="F49" s="18" t="s">
        <v>42</v>
      </c>
      <c r="G49" s="166" t="s">
        <v>294</v>
      </c>
      <c r="H49" s="167"/>
    </row>
    <row r="50" spans="1:14" ht="31.5" customHeight="1" x14ac:dyDescent="0.25">
      <c r="A50" s="115" t="s">
        <v>43</v>
      </c>
      <c r="B50" s="116"/>
      <c r="C50" s="115" t="str">
        <f>C49</f>
        <v>VVCMC/TP/AMEND/VP/0735/605/2022-23</v>
      </c>
      <c r="D50" s="127"/>
      <c r="E50" s="116"/>
      <c r="F50" s="18" t="s">
        <v>42</v>
      </c>
      <c r="G50" s="166" t="str">
        <f>G49</f>
        <v>31/03/2023.</v>
      </c>
      <c r="H50" s="167"/>
    </row>
    <row r="51" spans="1:14" s="21" customFormat="1" ht="15.75" customHeight="1" x14ac:dyDescent="0.25">
      <c r="A51" s="168" t="s">
        <v>259</v>
      </c>
      <c r="B51" s="169"/>
      <c r="C51" s="115" t="s">
        <v>257</v>
      </c>
      <c r="D51" s="127"/>
      <c r="E51" s="116"/>
      <c r="F51" s="18" t="s">
        <v>42</v>
      </c>
      <c r="G51" s="166" t="str">
        <f>G50</f>
        <v>31/03/2023.</v>
      </c>
      <c r="H51" s="167"/>
    </row>
    <row r="52" spans="1:14" s="21" customFormat="1" ht="15.75" customHeight="1" x14ac:dyDescent="0.25">
      <c r="A52" s="170"/>
      <c r="B52" s="171"/>
      <c r="C52" s="115" t="s">
        <v>260</v>
      </c>
      <c r="D52" s="127"/>
      <c r="E52" s="127"/>
      <c r="F52" s="127"/>
      <c r="G52" s="127"/>
      <c r="H52" s="116"/>
    </row>
    <row r="53" spans="1:14" x14ac:dyDescent="0.25">
      <c r="A53" s="194" t="s">
        <v>44</v>
      </c>
      <c r="B53" s="195"/>
      <c r="C53" s="194" t="s">
        <v>106</v>
      </c>
      <c r="D53" s="196"/>
      <c r="E53" s="195"/>
      <c r="F53" s="42" t="s">
        <v>42</v>
      </c>
      <c r="G53" s="189" t="s">
        <v>29</v>
      </c>
      <c r="H53" s="190"/>
    </row>
    <row r="54" spans="1:14" x14ac:dyDescent="0.25">
      <c r="A54" s="184" t="s">
        <v>46</v>
      </c>
      <c r="B54" s="184"/>
      <c r="C54" s="184"/>
      <c r="D54" s="184"/>
      <c r="E54" s="184"/>
      <c r="F54" s="184"/>
      <c r="G54" s="184"/>
      <c r="H54" s="184"/>
    </row>
    <row r="55" spans="1:14" x14ac:dyDescent="0.25">
      <c r="A55" s="111" t="s">
        <v>91</v>
      </c>
      <c r="B55" s="111"/>
      <c r="C55" s="111"/>
      <c r="D55" s="156">
        <f>E45</f>
        <v>15997.89</v>
      </c>
      <c r="E55" s="156"/>
      <c r="F55" s="156"/>
      <c r="G55" s="156"/>
      <c r="H55" s="156"/>
    </row>
    <row r="56" spans="1:14" x14ac:dyDescent="0.25">
      <c r="A56" s="111" t="s">
        <v>47</v>
      </c>
      <c r="B56" s="156"/>
      <c r="C56" s="156"/>
      <c r="D56" s="156" t="s">
        <v>279</v>
      </c>
      <c r="E56" s="156"/>
      <c r="F56" s="156"/>
      <c r="G56" s="156"/>
      <c r="H56" s="156"/>
      <c r="I56" s="22"/>
    </row>
    <row r="57" spans="1:14" x14ac:dyDescent="0.25">
      <c r="A57" s="163" t="s">
        <v>48</v>
      </c>
      <c r="B57" s="164"/>
      <c r="C57" s="165"/>
      <c r="D57" s="161" t="s">
        <v>258</v>
      </c>
      <c r="E57" s="162"/>
      <c r="F57" s="162"/>
      <c r="G57" s="162"/>
      <c r="H57" s="162"/>
    </row>
    <row r="58" spans="1:14" ht="15.75" customHeight="1" x14ac:dyDescent="0.25">
      <c r="A58" s="163" t="s">
        <v>89</v>
      </c>
      <c r="B58" s="164"/>
      <c r="C58" s="164"/>
      <c r="D58" s="111" t="s">
        <v>258</v>
      </c>
      <c r="E58" s="156"/>
      <c r="F58" s="156"/>
      <c r="G58" s="156"/>
      <c r="H58" s="156"/>
    </row>
    <row r="59" spans="1:14" ht="15.75" customHeight="1" x14ac:dyDescent="0.25">
      <c r="A59" s="156" t="s">
        <v>45</v>
      </c>
      <c r="B59" s="156"/>
      <c r="C59" s="156"/>
      <c r="D59" s="157" t="s">
        <v>239</v>
      </c>
      <c r="E59" s="157"/>
      <c r="F59" s="157"/>
      <c r="G59" s="157"/>
      <c r="H59" s="157"/>
      <c r="J59" s="23"/>
      <c r="K59" s="22"/>
      <c r="N59" s="22"/>
    </row>
    <row r="60" spans="1:14" ht="15.75" customHeight="1" x14ac:dyDescent="0.25">
      <c r="A60" s="156" t="s">
        <v>87</v>
      </c>
      <c r="B60" s="156"/>
      <c r="C60" s="156"/>
      <c r="D60" s="158" t="str">
        <f>(IF(G53="NA","60 Years After Completion",IF(G53&lt;&gt;"NA",""&amp;60-ROUNDDOWN((E3-G53)/360,0)&amp;" Years"," ")))</f>
        <v>60 Years After Completion</v>
      </c>
      <c r="E60" s="158"/>
      <c r="F60" s="158"/>
      <c r="G60" s="158"/>
      <c r="H60" s="158"/>
      <c r="N60" s="22"/>
    </row>
    <row r="61" spans="1:14" ht="15.75" customHeight="1" x14ac:dyDescent="0.25">
      <c r="A61" s="96" t="s">
        <v>88</v>
      </c>
      <c r="B61" s="96"/>
      <c r="C61" s="96"/>
      <c r="D61" s="176" t="s">
        <v>24</v>
      </c>
      <c r="E61" s="176"/>
      <c r="F61" s="176"/>
      <c r="G61" s="176"/>
      <c r="H61" s="176"/>
      <c r="J61" s="24"/>
      <c r="K61" s="24"/>
    </row>
    <row r="62" spans="1:14" ht="33" customHeight="1" x14ac:dyDescent="0.25">
      <c r="A62" s="156" t="s">
        <v>277</v>
      </c>
      <c r="B62" s="156"/>
      <c r="C62" s="156"/>
      <c r="D62" s="111" t="s">
        <v>278</v>
      </c>
      <c r="E62" s="176"/>
      <c r="F62" s="176"/>
      <c r="G62" s="176"/>
      <c r="H62" s="176"/>
    </row>
    <row r="63" spans="1:14" x14ac:dyDescent="0.25">
      <c r="A63" s="176" t="s">
        <v>151</v>
      </c>
      <c r="B63" s="176"/>
      <c r="C63" s="176"/>
      <c r="D63" s="176" t="s">
        <v>29</v>
      </c>
      <c r="E63" s="176"/>
      <c r="F63" s="176"/>
      <c r="G63" s="176"/>
      <c r="H63" s="176"/>
      <c r="I63" s="25"/>
      <c r="J63" s="25"/>
      <c r="K63" s="25"/>
      <c r="L63" s="25"/>
      <c r="M63" s="25"/>
      <c r="N63" s="25"/>
    </row>
    <row r="64" spans="1:14" ht="15.75" customHeight="1" x14ac:dyDescent="0.25">
      <c r="A64" s="197" t="s">
        <v>86</v>
      </c>
      <c r="B64" s="197"/>
      <c r="C64" s="197"/>
      <c r="D64" s="161" t="str">
        <f ca="1">(IF(G70&gt;95%,"Nothing",IF(G70&gt;0%,"Cement, Aggregate, Steel, etc",IF(G70=0%,"Work not yet Started"))))</f>
        <v>Cement, Aggregate, Steel, etc</v>
      </c>
      <c r="E64" s="161"/>
      <c r="F64" s="161"/>
      <c r="G64" s="161"/>
      <c r="H64" s="161"/>
      <c r="J64" s="24"/>
    </row>
    <row r="65" spans="1:16" ht="33.75" customHeight="1" thickBot="1" x14ac:dyDescent="0.3">
      <c r="A65" s="176" t="s">
        <v>119</v>
      </c>
      <c r="B65" s="176"/>
      <c r="C65" s="176"/>
      <c r="D65" s="111" t="str">
        <f ca="1">(IF(D64="Nothing","Yes",IF(D64="Cement, Aggregate, Steel, etc","Under Construction",IF(D64="Work not yet Started","Work not yet Started"))))</f>
        <v>Under Construction</v>
      </c>
      <c r="E65" s="111"/>
      <c r="F65" s="111" t="str">
        <f ca="1">(IF(D64="Nothing","Yes",IF(D64="Cement, Aggregate, Steel, etc","Under Construction",IF(D64="Work not yet Started","Work not yet Started"))))</f>
        <v>Under Construction</v>
      </c>
      <c r="G65" s="111"/>
      <c r="H65" s="111"/>
    </row>
    <row r="66" spans="1:16" ht="15.75" customHeight="1" x14ac:dyDescent="0.25">
      <c r="A66" s="150" t="s">
        <v>143</v>
      </c>
      <c r="B66" s="150"/>
      <c r="C66" s="150" t="str">
        <f>D58</f>
        <v>Gr/Stilt + 1st to 18th Floor</v>
      </c>
      <c r="D66" s="150"/>
      <c r="E66" s="150"/>
      <c r="F66" s="150"/>
      <c r="G66" s="150"/>
      <c r="H66" s="150"/>
      <c r="I66" s="71" t="str">
        <f ca="1">IF(D79=100%,"All work Completed. Possession granted to the Building.",IF(D78=100%,"All work Completed, Waiting for OC",I67&amp;""&amp;I68&amp;""&amp;J67&amp;""&amp;J66&amp;" "&amp;J68))</f>
        <v>Excavation, Plinth, RCC Slab, Brickwork Completed, Internal Plaster upto 10 Floor, External Plaster upto 7 Floor Completed</v>
      </c>
      <c r="J66" s="44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Internal Plaster upto 10 Floor, External Plaster upto 7 Floor</v>
      </c>
    </row>
    <row r="67" spans="1:16" x14ac:dyDescent="0.25">
      <c r="A67" s="16" t="s">
        <v>145</v>
      </c>
      <c r="B67" s="47">
        <f>IF(AND(ISNUMBER(SEARCH("1B",C66))),1,IF(AND(ISNUMBER(SEARCH("2B",C66))),2,IF(AND(ISNUMBER(SEARCH("3B",C66))),3,IF(AND(ISNUMBER(SEARCH("4B",C66))),4,IF(ISNUMBER(SEARCH("5B",C66)),5,0)))))</f>
        <v>0</v>
      </c>
      <c r="C67" s="47" t="s">
        <v>72</v>
      </c>
      <c r="D67" s="47">
        <v>1</v>
      </c>
      <c r="E67" s="47" t="s">
        <v>71</v>
      </c>
      <c r="F67" s="47">
        <v>0</v>
      </c>
      <c r="G67" s="47" t="s">
        <v>80</v>
      </c>
      <c r="H67" s="17">
        <f ca="1">--TRIM(RIGHT(SUBSTITUTE(LEFT(C66,_xlfn.AGGREGATE(16,6,FIND({0,1,2,3,4,5,6,7,8,9},C66,ROW(INDIRECT("1:"&amp;LEN(C66)))),1))," ",REPT(" ",LEN(C66))),LEN(C66)))</f>
        <v>18</v>
      </c>
      <c r="I67" s="45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</v>
      </c>
      <c r="J67" s="46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6" ht="31.15" customHeight="1" x14ac:dyDescent="0.25">
      <c r="A68" s="148" t="s">
        <v>90</v>
      </c>
      <c r="B68" s="149"/>
      <c r="C68" s="150" t="str">
        <f ca="1">I66</f>
        <v>Excavation, Plinth, RCC Slab, Brickwork Completed, Internal Plaster upto 10 Floor, External Plaster upto 7 Floor Completed</v>
      </c>
      <c r="D68" s="150"/>
      <c r="E68" s="150"/>
      <c r="F68" s="150"/>
      <c r="G68" s="150"/>
      <c r="H68" s="191"/>
      <c r="I68" s="45" t="str">
        <f ca="1">IF(I67&lt;&gt;""," Completed","")</f>
        <v xml:space="preserve"> Completed</v>
      </c>
      <c r="J68" s="46" t="str">
        <f ca="1">IF(J66&lt;&gt;"","Completed","")</f>
        <v>Completed</v>
      </c>
    </row>
    <row r="69" spans="1:16" ht="15.75" customHeight="1" x14ac:dyDescent="0.25">
      <c r="A69" s="129" t="s">
        <v>49</v>
      </c>
      <c r="B69" s="130"/>
      <c r="C69" s="51" t="s">
        <v>142</v>
      </c>
      <c r="D69" s="51" t="s">
        <v>83</v>
      </c>
      <c r="E69" s="130" t="s">
        <v>85</v>
      </c>
      <c r="F69" s="130"/>
      <c r="G69" s="130" t="s">
        <v>84</v>
      </c>
      <c r="H69" s="178"/>
      <c r="I69" s="14" t="s">
        <v>144</v>
      </c>
      <c r="J69" s="26">
        <f ca="1">H67*25%</f>
        <v>4.5</v>
      </c>
    </row>
    <row r="70" spans="1:16" x14ac:dyDescent="0.25">
      <c r="A70" s="129" t="s">
        <v>131</v>
      </c>
      <c r="B70" s="130"/>
      <c r="C70" s="51">
        <v>18</v>
      </c>
      <c r="D70" s="52">
        <f ca="1">((100/H67)*C70)/100</f>
        <v>1</v>
      </c>
      <c r="E70" s="137">
        <f ca="1">(((C71/H67*10)+(40/(D67+F67+H67)*C72)+(7.5/(H67)*C73)+(7.5/(H67)*C74)+(10/H67*C75)+(10/H67*C76)+(5/H67*C77)+(5/H67*C78)+(5/H67*C79))/100)</f>
        <v>0.65555555555555556</v>
      </c>
      <c r="F70" s="138"/>
      <c r="G70" s="137">
        <f ca="1">((((C70/H67)*20)+((C71/H67)*25)+(30/(H67+F67+D67)*C72)+(5/H67*C73)+(5/H67*C74)+(5/H67*C75)+(5/H67*C76)+(0/H67*C77)+(0/H67*C78)+(5/H67*C79))/100)</f>
        <v>0.8472222222222221</v>
      </c>
      <c r="H70" s="143"/>
      <c r="I70" s="14" t="s">
        <v>101</v>
      </c>
      <c r="J70" s="27">
        <f ca="1">H67*50%</f>
        <v>9</v>
      </c>
    </row>
    <row r="71" spans="1:16" x14ac:dyDescent="0.25">
      <c r="A71" s="129" t="s">
        <v>50</v>
      </c>
      <c r="B71" s="130"/>
      <c r="C71" s="65">
        <v>18</v>
      </c>
      <c r="D71" s="52">
        <f ca="1">((100/H67)*C71)/100</f>
        <v>1</v>
      </c>
      <c r="E71" s="139"/>
      <c r="F71" s="140"/>
      <c r="G71" s="139"/>
      <c r="H71" s="144"/>
      <c r="I71" s="14" t="s">
        <v>102</v>
      </c>
      <c r="J71" s="27">
        <f ca="1">H67</f>
        <v>18</v>
      </c>
    </row>
    <row r="72" spans="1:16" ht="15.75" customHeight="1" x14ac:dyDescent="0.25">
      <c r="A72" s="129" t="s">
        <v>132</v>
      </c>
      <c r="B72" s="130"/>
      <c r="C72" s="51">
        <v>19</v>
      </c>
      <c r="D72" s="52">
        <f ca="1">((100/(D67+F67+H67))*C72)/100</f>
        <v>1</v>
      </c>
      <c r="E72" s="139"/>
      <c r="F72" s="140"/>
      <c r="G72" s="139"/>
      <c r="H72" s="144"/>
      <c r="I72" s="14" t="s">
        <v>103</v>
      </c>
      <c r="J72" s="28">
        <f ca="1">(IF(B67&gt;1,(H67/(B67+2)),H67/4))</f>
        <v>4.5</v>
      </c>
    </row>
    <row r="73" spans="1:16" ht="15.75" customHeight="1" x14ac:dyDescent="0.25">
      <c r="A73" s="129" t="s">
        <v>139</v>
      </c>
      <c r="B73" s="130" t="s">
        <v>133</v>
      </c>
      <c r="C73" s="51">
        <v>18</v>
      </c>
      <c r="D73" s="52">
        <f ca="1">((100/H67)*C73)/100</f>
        <v>1</v>
      </c>
      <c r="E73" s="139"/>
      <c r="F73" s="140"/>
      <c r="G73" s="139"/>
      <c r="H73" s="144"/>
      <c r="I73" s="14" t="s">
        <v>104</v>
      </c>
      <c r="J73" s="28">
        <f ca="1">(IF(B67&gt;1,(H67/(B67+2)+J72),H67/4+J72))</f>
        <v>9</v>
      </c>
      <c r="P73" s="19" t="s">
        <v>292</v>
      </c>
    </row>
    <row r="74" spans="1:16" ht="15.75" customHeight="1" x14ac:dyDescent="0.25">
      <c r="A74" s="129" t="s">
        <v>140</v>
      </c>
      <c r="B74" s="130" t="s">
        <v>133</v>
      </c>
      <c r="C74" s="51">
        <v>10</v>
      </c>
      <c r="D74" s="52">
        <f ca="1">((100/H67)*C74)/100</f>
        <v>0.55555555555555558</v>
      </c>
      <c r="E74" s="139"/>
      <c r="F74" s="140"/>
      <c r="G74" s="139"/>
      <c r="H74" s="144"/>
      <c r="I74" s="14" t="s">
        <v>149</v>
      </c>
      <c r="J74" s="28">
        <f>(IF(B67&gt;1,(H67/(B67+2)+J73),0))</f>
        <v>0</v>
      </c>
    </row>
    <row r="75" spans="1:16" ht="15" customHeight="1" x14ac:dyDescent="0.25">
      <c r="A75" s="129" t="s">
        <v>138</v>
      </c>
      <c r="B75" s="130" t="s">
        <v>135</v>
      </c>
      <c r="C75" s="51">
        <v>7</v>
      </c>
      <c r="D75" s="52">
        <f ca="1">((100/(H67))*C75)/100</f>
        <v>0.38888888888888884</v>
      </c>
      <c r="E75" s="139"/>
      <c r="F75" s="140"/>
      <c r="G75" s="139"/>
      <c r="H75" s="144"/>
      <c r="I75" s="14" t="s">
        <v>146</v>
      </c>
      <c r="J75" s="28">
        <f>(IF(B67&gt;2,(H67/(B67+2)+J74),0))</f>
        <v>0</v>
      </c>
    </row>
    <row r="76" spans="1:16" ht="15.75" customHeight="1" x14ac:dyDescent="0.25">
      <c r="A76" s="129" t="s">
        <v>134</v>
      </c>
      <c r="B76" s="130" t="s">
        <v>134</v>
      </c>
      <c r="C76" s="51">
        <v>0</v>
      </c>
      <c r="D76" s="52">
        <f ca="1">((100/H67)*C76)/100</f>
        <v>0</v>
      </c>
      <c r="E76" s="139"/>
      <c r="F76" s="140"/>
      <c r="G76" s="139"/>
      <c r="H76" s="144"/>
      <c r="I76" s="14" t="s">
        <v>147</v>
      </c>
      <c r="J76" s="29">
        <f>(IF(B67&gt;3,(H67/(B67+2)+J75),0))</f>
        <v>0</v>
      </c>
    </row>
    <row r="77" spans="1:16" ht="15.75" customHeight="1" x14ac:dyDescent="0.25">
      <c r="A77" s="129" t="s">
        <v>141</v>
      </c>
      <c r="B77" s="130"/>
      <c r="C77" s="51">
        <v>0</v>
      </c>
      <c r="D77" s="52">
        <f ca="1">((100/H67)*C77)/100</f>
        <v>0</v>
      </c>
      <c r="E77" s="139"/>
      <c r="F77" s="140"/>
      <c r="G77" s="139"/>
      <c r="H77" s="144"/>
      <c r="I77" s="14" t="s">
        <v>148</v>
      </c>
      <c r="J77" s="28">
        <f>(IF(B67&gt;4,(H67/(B67+2)+J76),0))</f>
        <v>0</v>
      </c>
    </row>
    <row r="78" spans="1:16" ht="15.75" customHeight="1" x14ac:dyDescent="0.25">
      <c r="A78" s="129" t="s">
        <v>136</v>
      </c>
      <c r="B78" s="130" t="s">
        <v>136</v>
      </c>
      <c r="C78" s="51">
        <v>0</v>
      </c>
      <c r="D78" s="52">
        <f ca="1">((100/(H67))*C78)/100</f>
        <v>0</v>
      </c>
      <c r="E78" s="139"/>
      <c r="F78" s="140"/>
      <c r="G78" s="139"/>
      <c r="H78" s="144"/>
      <c r="I78" s="14" t="s">
        <v>150</v>
      </c>
      <c r="J78" s="28">
        <f ca="1">(IF(B67=1,(H67/(B67+3)+J73),IF(B67=0,(H67/4+J73),IF(B67&gt;1,0))))</f>
        <v>13.5</v>
      </c>
    </row>
    <row r="79" spans="1:16" ht="16.5" thickBot="1" x14ac:dyDescent="0.3">
      <c r="A79" s="146" t="s">
        <v>137</v>
      </c>
      <c r="B79" s="147"/>
      <c r="C79" s="53">
        <v>0</v>
      </c>
      <c r="D79" s="54">
        <f ca="1">((100/(H67))*C79)/100</f>
        <v>0</v>
      </c>
      <c r="E79" s="141"/>
      <c r="F79" s="142"/>
      <c r="G79" s="141"/>
      <c r="H79" s="145"/>
      <c r="I79" s="15" t="s">
        <v>105</v>
      </c>
      <c r="J79" s="30">
        <f ca="1">(IF(B67&gt;1.5,(H67/(B67+2)+J73+MAX(0,J74-J73)+MAX(0,J75-J74)+MAX(0,J76-J75)+MAX(0,J77-J76)+MAX(0,J78-J77)),IF(B67=1,(H67/(B67+3)+J78),IF(B67=0,H67/4+J78))))</f>
        <v>18</v>
      </c>
    </row>
    <row r="80" spans="1:16" x14ac:dyDescent="0.25">
      <c r="A80" s="124" t="s">
        <v>159</v>
      </c>
      <c r="B80" s="124"/>
      <c r="C80" s="124"/>
      <c r="D80" s="124"/>
      <c r="E80" s="124"/>
      <c r="F80" s="185" t="s">
        <v>163</v>
      </c>
      <c r="G80" s="185"/>
      <c r="H80" s="185"/>
      <c r="I80" s="58"/>
      <c r="J80" s="58"/>
      <c r="K80" s="58"/>
      <c r="L80" s="58"/>
      <c r="M80" s="58"/>
      <c r="N80" s="20"/>
    </row>
    <row r="81" spans="1:14" x14ac:dyDescent="0.25">
      <c r="A81" s="96" t="s">
        <v>161</v>
      </c>
      <c r="B81" s="96"/>
      <c r="C81" s="96"/>
      <c r="D81" s="96"/>
      <c r="E81" s="96"/>
      <c r="F81" s="123">
        <v>6200</v>
      </c>
      <c r="G81" s="123"/>
      <c r="H81" s="123"/>
      <c r="I81" s="72" t="s">
        <v>287</v>
      </c>
      <c r="J81" s="73"/>
      <c r="K81" s="73"/>
      <c r="L81" s="73"/>
      <c r="M81" s="58"/>
      <c r="N81" s="20"/>
    </row>
    <row r="82" spans="1:14" x14ac:dyDescent="0.25">
      <c r="A82" s="96" t="s">
        <v>160</v>
      </c>
      <c r="B82" s="96"/>
      <c r="C82" s="96"/>
      <c r="D82" s="96"/>
      <c r="E82" s="96"/>
      <c r="F82" s="123">
        <v>9500</v>
      </c>
      <c r="G82" s="123"/>
      <c r="H82" s="123"/>
      <c r="I82" s="58"/>
      <c r="J82" s="58" t="s">
        <v>288</v>
      </c>
      <c r="K82" s="70">
        <v>45583</v>
      </c>
      <c r="L82" s="58" t="s">
        <v>289</v>
      </c>
      <c r="M82" s="58"/>
      <c r="N82" s="20"/>
    </row>
    <row r="83" spans="1:14" x14ac:dyDescent="0.25">
      <c r="A83" s="96" t="s">
        <v>162</v>
      </c>
      <c r="B83" s="96"/>
      <c r="C83" s="96"/>
      <c r="D83" s="96"/>
      <c r="E83" s="96"/>
      <c r="F83" s="123">
        <v>7000</v>
      </c>
      <c r="G83" s="123"/>
      <c r="H83" s="123"/>
      <c r="I83" s="58"/>
      <c r="J83" s="58"/>
      <c r="K83" s="58"/>
      <c r="L83" s="58"/>
      <c r="M83" s="58"/>
      <c r="N83" s="20"/>
    </row>
    <row r="84" spans="1:14" s="31" customFormat="1" hidden="1" x14ac:dyDescent="0.25">
      <c r="A84" s="96" t="s">
        <v>179</v>
      </c>
      <c r="B84" s="96"/>
      <c r="C84" s="96"/>
      <c r="D84" s="96"/>
      <c r="E84" s="96"/>
      <c r="F84" s="123"/>
      <c r="G84" s="123"/>
      <c r="H84" s="123"/>
      <c r="I84" s="59"/>
      <c r="J84" s="59"/>
      <c r="K84" s="59"/>
      <c r="L84" s="59"/>
      <c r="M84" s="59"/>
      <c r="N84" s="60"/>
    </row>
    <row r="85" spans="1:14" s="31" customFormat="1" hidden="1" x14ac:dyDescent="0.25">
      <c r="A85" s="96" t="s">
        <v>95</v>
      </c>
      <c r="B85" s="96"/>
      <c r="C85" s="96"/>
      <c r="D85" s="96"/>
      <c r="E85" s="96"/>
      <c r="F85" s="123"/>
      <c r="G85" s="123"/>
      <c r="H85" s="123"/>
      <c r="I85" s="59"/>
      <c r="J85" s="59"/>
      <c r="K85" s="59"/>
      <c r="L85" s="59"/>
      <c r="M85" s="59"/>
      <c r="N85" s="60"/>
    </row>
    <row r="86" spans="1:14" s="31" customFormat="1" hidden="1" x14ac:dyDescent="0.25">
      <c r="A86" s="96" t="s">
        <v>96</v>
      </c>
      <c r="B86" s="96"/>
      <c r="C86" s="96"/>
      <c r="D86" s="96"/>
      <c r="E86" s="96"/>
      <c r="F86" s="123"/>
      <c r="G86" s="123"/>
      <c r="H86" s="123"/>
      <c r="I86" s="59"/>
      <c r="J86" s="59"/>
      <c r="K86" s="59"/>
      <c r="L86" s="59"/>
      <c r="M86" s="59"/>
      <c r="N86" s="60"/>
    </row>
    <row r="87" spans="1:14" s="31" customFormat="1" hidden="1" x14ac:dyDescent="0.25">
      <c r="A87" s="96" t="s">
        <v>164</v>
      </c>
      <c r="B87" s="96"/>
      <c r="C87" s="96"/>
      <c r="D87" s="96"/>
      <c r="E87" s="96"/>
      <c r="F87" s="123"/>
      <c r="G87" s="123"/>
      <c r="H87" s="123"/>
      <c r="I87" s="59"/>
      <c r="J87" s="59"/>
      <c r="K87" s="59"/>
      <c r="L87" s="59"/>
      <c r="M87" s="59"/>
      <c r="N87" s="60"/>
    </row>
    <row r="88" spans="1:14" s="31" customFormat="1" hidden="1" x14ac:dyDescent="0.25">
      <c r="A88" s="96" t="s">
        <v>97</v>
      </c>
      <c r="B88" s="96"/>
      <c r="C88" s="96"/>
      <c r="D88" s="96"/>
      <c r="E88" s="96"/>
      <c r="F88" s="123"/>
      <c r="G88" s="123"/>
      <c r="H88" s="123"/>
      <c r="I88" s="59"/>
      <c r="J88" s="59"/>
      <c r="K88" s="59"/>
      <c r="L88" s="59"/>
      <c r="M88" s="59"/>
      <c r="N88" s="60"/>
    </row>
    <row r="89" spans="1:14" s="31" customFormat="1" hidden="1" x14ac:dyDescent="0.25">
      <c r="A89" s="96" t="s">
        <v>98</v>
      </c>
      <c r="B89" s="96"/>
      <c r="C89" s="96"/>
      <c r="D89" s="96"/>
      <c r="E89" s="96"/>
      <c r="F89" s="123"/>
      <c r="G89" s="123"/>
      <c r="H89" s="123"/>
      <c r="I89" s="59"/>
      <c r="J89" s="59"/>
      <c r="K89" s="59"/>
      <c r="L89" s="59"/>
      <c r="M89" s="59"/>
      <c r="N89" s="60"/>
    </row>
    <row r="90" spans="1:14" s="31" customFormat="1" hidden="1" x14ac:dyDescent="0.25">
      <c r="A90" s="96" t="s">
        <v>99</v>
      </c>
      <c r="B90" s="96"/>
      <c r="C90" s="96"/>
      <c r="D90" s="96"/>
      <c r="E90" s="96"/>
      <c r="F90" s="123"/>
      <c r="G90" s="123"/>
      <c r="H90" s="123"/>
      <c r="I90" s="59"/>
      <c r="J90" s="59"/>
      <c r="K90" s="59"/>
      <c r="L90" s="59"/>
      <c r="M90" s="59"/>
      <c r="N90" s="60"/>
    </row>
    <row r="91" spans="1:14" s="31" customFormat="1" x14ac:dyDescent="0.25">
      <c r="A91" s="96" t="s">
        <v>100</v>
      </c>
      <c r="B91" s="96"/>
      <c r="C91" s="96"/>
      <c r="D91" s="96"/>
      <c r="E91" s="96"/>
      <c r="F91" s="123">
        <v>250000</v>
      </c>
      <c r="G91" s="123"/>
      <c r="H91" s="123"/>
      <c r="I91" s="66"/>
      <c r="J91" s="66" t="s">
        <v>281</v>
      </c>
      <c r="K91" s="67">
        <v>45287</v>
      </c>
      <c r="L91" s="66" t="s">
        <v>282</v>
      </c>
      <c r="M91" s="59"/>
      <c r="N91" s="60"/>
    </row>
    <row r="92" spans="1:14" ht="17.25" customHeight="1" x14ac:dyDescent="0.25">
      <c r="A92" s="96" t="s">
        <v>51</v>
      </c>
      <c r="B92" s="96"/>
      <c r="C92" s="96"/>
      <c r="D92" s="96"/>
      <c r="E92" s="96"/>
      <c r="F92" s="123">
        <v>250000</v>
      </c>
      <c r="G92" s="123"/>
      <c r="H92" s="123"/>
      <c r="I92" s="58"/>
      <c r="J92" s="68" t="s">
        <v>284</v>
      </c>
      <c r="K92" s="68" t="s">
        <v>283</v>
      </c>
      <c r="L92" s="69" t="s">
        <v>285</v>
      </c>
      <c r="M92" s="58"/>
      <c r="N92" s="20"/>
    </row>
    <row r="93" spans="1:14" s="32" customFormat="1" x14ac:dyDescent="0.25">
      <c r="A93" s="128" t="s">
        <v>52</v>
      </c>
      <c r="B93" s="128"/>
      <c r="C93" s="128"/>
      <c r="D93" s="128"/>
      <c r="E93" s="128"/>
      <c r="F93" s="123">
        <f>F81*0.8</f>
        <v>4960</v>
      </c>
      <c r="G93" s="123"/>
      <c r="H93" s="123"/>
      <c r="I93" s="61"/>
      <c r="J93" s="61"/>
      <c r="K93" s="61"/>
      <c r="L93" s="61"/>
      <c r="M93" s="61"/>
      <c r="N93" s="62"/>
    </row>
    <row r="94" spans="1:14" s="33" customFormat="1" x14ac:dyDescent="0.25">
      <c r="A94" s="103" t="s">
        <v>75</v>
      </c>
      <c r="B94" s="103"/>
      <c r="C94" s="103"/>
      <c r="D94" s="103"/>
      <c r="E94" s="103"/>
      <c r="F94" s="103"/>
      <c r="G94" s="103"/>
      <c r="H94" s="103"/>
    </row>
    <row r="95" spans="1:14" s="33" customFormat="1" ht="15.75" customHeight="1" x14ac:dyDescent="0.25">
      <c r="A95" s="108" t="s">
        <v>53</v>
      </c>
      <c r="B95" s="108"/>
      <c r="C95" s="105" t="s">
        <v>78</v>
      </c>
      <c r="D95" s="105"/>
      <c r="E95" s="107" t="s">
        <v>54</v>
      </c>
      <c r="F95" s="107"/>
      <c r="G95" s="108" t="s">
        <v>55</v>
      </c>
      <c r="H95" s="108"/>
    </row>
    <row r="96" spans="1:14" s="33" customFormat="1" x14ac:dyDescent="0.25">
      <c r="A96" s="125" t="s">
        <v>262</v>
      </c>
      <c r="B96" s="125"/>
      <c r="C96" s="101">
        <f>COUNT(D109:D114)</f>
        <v>6</v>
      </c>
      <c r="D96" s="102"/>
      <c r="E96" s="101">
        <f>SUM(D109:D114)</f>
        <v>3541.3559999999993</v>
      </c>
      <c r="F96" s="102"/>
      <c r="G96" s="101">
        <f>SUM(F109:F114)</f>
        <v>5666.1695999999993</v>
      </c>
      <c r="H96" s="102"/>
    </row>
    <row r="97" spans="1:14" s="33" customFormat="1" x14ac:dyDescent="0.25">
      <c r="A97" s="125" t="s">
        <v>264</v>
      </c>
      <c r="B97" s="125"/>
      <c r="C97" s="101">
        <f>COUNT(D116:D119)</f>
        <v>4</v>
      </c>
      <c r="D97" s="102"/>
      <c r="E97" s="101">
        <f>SUM(D116:D119)</f>
        <v>2110.8203999999996</v>
      </c>
      <c r="F97" s="102"/>
      <c r="G97" s="101">
        <f>SUM(F116:F119)</f>
        <v>3377.3126400000006</v>
      </c>
      <c r="H97" s="102"/>
    </row>
    <row r="98" spans="1:14" s="33" customFormat="1" x14ac:dyDescent="0.25">
      <c r="A98" s="103" t="s">
        <v>153</v>
      </c>
      <c r="B98" s="103"/>
      <c r="C98" s="104">
        <f>SUM(C96:C97)</f>
        <v>10</v>
      </c>
      <c r="D98" s="105"/>
      <c r="E98" s="106">
        <f>SUM(E96:E97)</f>
        <v>5652.1763999999985</v>
      </c>
      <c r="F98" s="107"/>
      <c r="G98" s="108">
        <f>SUM(G96:G97)</f>
        <v>9043.4822399999994</v>
      </c>
      <c r="H98" s="108"/>
    </row>
    <row r="99" spans="1:14" s="33" customFormat="1" x14ac:dyDescent="0.25">
      <c r="A99" s="103" t="s">
        <v>70</v>
      </c>
      <c r="B99" s="103"/>
      <c r="C99" s="103"/>
      <c r="D99" s="103"/>
      <c r="E99" s="103"/>
      <c r="F99" s="103"/>
      <c r="G99" s="103"/>
      <c r="H99" s="103"/>
    </row>
    <row r="100" spans="1:14" s="33" customFormat="1" ht="15.75" customHeight="1" x14ac:dyDescent="0.25">
      <c r="A100" s="108" t="s">
        <v>53</v>
      </c>
      <c r="B100" s="108"/>
      <c r="C100" s="105" t="s">
        <v>78</v>
      </c>
      <c r="D100" s="105"/>
      <c r="E100" s="107" t="s">
        <v>54</v>
      </c>
      <c r="F100" s="107"/>
      <c r="G100" s="108" t="s">
        <v>55</v>
      </c>
      <c r="H100" s="108"/>
    </row>
    <row r="101" spans="1:14" s="33" customFormat="1" ht="16.5" thickBot="1" x14ac:dyDescent="0.3">
      <c r="A101" s="125" t="s">
        <v>276</v>
      </c>
      <c r="B101" s="125"/>
      <c r="C101" s="109">
        <f>COUNT(D129:D135,D140:D148)+COUNT(D150:D169)+COUNT(D171:D190)*13+COUNT(D192:D198,D201:D211)*2+COUNT(D213:D223,D231:D232)</f>
        <v>345</v>
      </c>
      <c r="D101" s="109"/>
      <c r="E101" s="101">
        <f>SUM(D129:D135,D140:D148)+SUM(D150:D169)+SUM(D171:D190)*13+SUM(D192:D198,D201:D211)*2+SUM(D213:D223,D231:D232)</f>
        <v>134351.13510000001</v>
      </c>
      <c r="F101" s="101"/>
      <c r="G101" s="101">
        <f>SUM(F129:F135,F140:F148)+SUM(F150:F169)+SUM(F171:F190)*13+SUM(F192:F198,F201:F211)*2+SUM(F213:F223,F231:F232)</f>
        <v>202044.18195</v>
      </c>
      <c r="H101" s="101"/>
    </row>
    <row r="102" spans="1:14" s="33" customFormat="1" ht="16.5" hidden="1" thickBot="1" x14ac:dyDescent="0.3">
      <c r="A102" s="97" t="s">
        <v>153</v>
      </c>
      <c r="B102" s="97"/>
      <c r="C102" s="187">
        <f>SUM(C101)</f>
        <v>345</v>
      </c>
      <c r="D102" s="188"/>
      <c r="E102" s="98">
        <f>SUM(E101)</f>
        <v>134351.13510000001</v>
      </c>
      <c r="F102" s="99"/>
      <c r="G102" s="100">
        <f>SUM(G101)</f>
        <v>202044.18195</v>
      </c>
      <c r="H102" s="100"/>
    </row>
    <row r="103" spans="1:14" s="33" customFormat="1" ht="16.5" thickBot="1" x14ac:dyDescent="0.3">
      <c r="A103" s="198" t="s">
        <v>170</v>
      </c>
      <c r="B103" s="199"/>
      <c r="C103" s="200">
        <f>C98+C102</f>
        <v>355</v>
      </c>
      <c r="D103" s="200"/>
      <c r="E103" s="201">
        <f>E98+E102</f>
        <v>140003.31150000001</v>
      </c>
      <c r="F103" s="201"/>
      <c r="G103" s="202">
        <f>G98+G102</f>
        <v>211087.66419000001</v>
      </c>
      <c r="H103" s="203"/>
    </row>
    <row r="104" spans="1:14" s="32" customFormat="1" x14ac:dyDescent="0.25">
      <c r="A104" s="185" t="s">
        <v>56</v>
      </c>
      <c r="B104" s="185"/>
      <c r="C104" s="185"/>
      <c r="D104" s="185"/>
      <c r="E104" s="185"/>
      <c r="F104" s="185"/>
      <c r="G104" s="185"/>
      <c r="H104" s="185"/>
    </row>
    <row r="105" spans="1:14" x14ac:dyDescent="0.25">
      <c r="A105" s="180" t="s">
        <v>178</v>
      </c>
      <c r="B105" s="180"/>
      <c r="C105" s="180"/>
      <c r="D105" s="180"/>
      <c r="E105" s="180"/>
      <c r="F105" s="180"/>
      <c r="G105" s="180"/>
      <c r="H105" s="180"/>
    </row>
    <row r="106" spans="1:14" ht="47.25" customHeight="1" x14ac:dyDescent="0.25">
      <c r="A106" s="94" t="s">
        <v>122</v>
      </c>
      <c r="B106" s="94" t="s">
        <v>180</v>
      </c>
      <c r="C106" s="94" t="s">
        <v>57</v>
      </c>
      <c r="D106" s="94" t="s">
        <v>58</v>
      </c>
      <c r="E106" s="131" t="s">
        <v>158</v>
      </c>
      <c r="F106" s="41" t="s">
        <v>152</v>
      </c>
      <c r="G106" s="133" t="s">
        <v>60</v>
      </c>
      <c r="H106" s="134"/>
    </row>
    <row r="107" spans="1:14" s="35" customFormat="1" x14ac:dyDescent="0.25">
      <c r="A107" s="95"/>
      <c r="B107" s="95"/>
      <c r="C107" s="95"/>
      <c r="D107" s="95"/>
      <c r="E107" s="132"/>
      <c r="F107" s="13">
        <v>0.6</v>
      </c>
      <c r="G107" s="135"/>
      <c r="H107" s="136"/>
      <c r="J107" s="57">
        <v>10.763999999999999</v>
      </c>
    </row>
    <row r="108" spans="1:14" s="35" customFormat="1" x14ac:dyDescent="0.25">
      <c r="A108" s="80" t="s">
        <v>261</v>
      </c>
      <c r="B108" s="81"/>
      <c r="C108" s="81"/>
      <c r="D108" s="81"/>
      <c r="E108" s="81"/>
      <c r="F108" s="81"/>
      <c r="G108" s="81"/>
      <c r="H108" s="82"/>
      <c r="J108" s="34"/>
    </row>
    <row r="109" spans="1:14" s="35" customFormat="1" ht="15.75" customHeight="1" x14ac:dyDescent="0.25">
      <c r="A109" s="77">
        <v>1</v>
      </c>
      <c r="B109" s="79"/>
      <c r="C109" s="40" t="s">
        <v>262</v>
      </c>
      <c r="D109" s="57">
        <f>(65.5)*10.764</f>
        <v>705.04199999999992</v>
      </c>
      <c r="E109" s="40">
        <v>0</v>
      </c>
      <c r="F109" s="40">
        <f>(D109+E109)*(($F$107)+1)</f>
        <v>1128.0672</v>
      </c>
      <c r="G109" s="85" t="str">
        <f>A108</f>
        <v>Ground Floor for Commercial &amp; Parking</v>
      </c>
      <c r="H109" s="86"/>
      <c r="I109" s="34"/>
      <c r="J109" s="34">
        <f>9500*F109</f>
        <v>10716638.4</v>
      </c>
      <c r="L109" s="83"/>
      <c r="M109" s="83"/>
      <c r="N109" s="34"/>
    </row>
    <row r="110" spans="1:14" s="35" customFormat="1" x14ac:dyDescent="0.25">
      <c r="A110" s="77">
        <f t="shared" ref="A110:A114" si="0">A109+1</f>
        <v>2</v>
      </c>
      <c r="B110" s="79"/>
      <c r="C110" s="40" t="s">
        <v>262</v>
      </c>
      <c r="D110" s="57">
        <f>(55.4)*10.764</f>
        <v>596.32559999999989</v>
      </c>
      <c r="E110" s="40">
        <v>0</v>
      </c>
      <c r="F110" s="40">
        <f t="shared" ref="F110:F112" si="1">(D110+E110)*(($F$107)+1)</f>
        <v>954.12095999999985</v>
      </c>
      <c r="G110" s="87"/>
      <c r="H110" s="88"/>
      <c r="I110" s="34"/>
      <c r="J110" s="34">
        <f t="shared" ref="J110:J114" si="2">9500*F110</f>
        <v>9064149.1199999992</v>
      </c>
      <c r="L110" s="83"/>
      <c r="M110" s="83"/>
      <c r="N110" s="34"/>
    </row>
    <row r="111" spans="1:14" s="35" customFormat="1" x14ac:dyDescent="0.25">
      <c r="A111" s="77">
        <f t="shared" si="0"/>
        <v>3</v>
      </c>
      <c r="B111" s="79"/>
      <c r="C111" s="40" t="s">
        <v>262</v>
      </c>
      <c r="D111" s="57">
        <f>(78.8)*10.764</f>
        <v>848.20319999999992</v>
      </c>
      <c r="E111" s="40">
        <v>0</v>
      </c>
      <c r="F111" s="40">
        <f t="shared" si="1"/>
        <v>1357.1251199999999</v>
      </c>
      <c r="G111" s="87"/>
      <c r="H111" s="88"/>
      <c r="I111" s="34"/>
      <c r="J111" s="34">
        <f t="shared" si="2"/>
        <v>12892688.639999999</v>
      </c>
      <c r="L111" s="83"/>
      <c r="M111" s="83"/>
      <c r="N111" s="34"/>
    </row>
    <row r="112" spans="1:14" s="35" customFormat="1" x14ac:dyDescent="0.25">
      <c r="A112" s="77">
        <f t="shared" si="0"/>
        <v>4</v>
      </c>
      <c r="B112" s="79"/>
      <c r="C112" s="40" t="s">
        <v>262</v>
      </c>
      <c r="D112" s="57">
        <f>(61.2)*10.764</f>
        <v>658.7568</v>
      </c>
      <c r="E112" s="40">
        <v>0</v>
      </c>
      <c r="F112" s="40">
        <f t="shared" si="1"/>
        <v>1054.01088</v>
      </c>
      <c r="G112" s="87"/>
      <c r="H112" s="88"/>
      <c r="I112" s="34"/>
      <c r="J112" s="34">
        <f t="shared" si="2"/>
        <v>10013103.360000001</v>
      </c>
      <c r="L112" s="83"/>
      <c r="M112" s="83"/>
      <c r="N112" s="34"/>
    </row>
    <row r="113" spans="1:14" s="35" customFormat="1" x14ac:dyDescent="0.25">
      <c r="A113" s="77">
        <f t="shared" si="0"/>
        <v>5</v>
      </c>
      <c r="B113" s="79"/>
      <c r="C113" s="40" t="s">
        <v>262</v>
      </c>
      <c r="D113" s="57">
        <f>(42.4)*10.764</f>
        <v>456.39359999999994</v>
      </c>
      <c r="E113" s="40">
        <v>0</v>
      </c>
      <c r="F113" s="40">
        <f t="shared" ref="F113:F114" si="3">(D113+E113)*(($F$107)+1)</f>
        <v>730.22975999999994</v>
      </c>
      <c r="G113" s="87"/>
      <c r="H113" s="88"/>
      <c r="I113" s="34">
        <f>5.25*5.15+2.75*4.05+2.2*1.5</f>
        <v>41.474999999999994</v>
      </c>
      <c r="J113" s="34">
        <f t="shared" si="2"/>
        <v>6937182.7199999997</v>
      </c>
      <c r="L113" s="83"/>
      <c r="M113" s="83"/>
      <c r="N113" s="34"/>
    </row>
    <row r="114" spans="1:14" s="35" customFormat="1" x14ac:dyDescent="0.25">
      <c r="A114" s="77">
        <f t="shared" si="0"/>
        <v>6</v>
      </c>
      <c r="B114" s="79"/>
      <c r="C114" s="40" t="s">
        <v>262</v>
      </c>
      <c r="D114" s="57">
        <f>(25.7)*10.764</f>
        <v>276.63479999999998</v>
      </c>
      <c r="E114" s="40">
        <v>0</v>
      </c>
      <c r="F114" s="40">
        <f t="shared" si="3"/>
        <v>442.61568</v>
      </c>
      <c r="G114" s="89"/>
      <c r="H114" s="90"/>
      <c r="I114" s="34"/>
      <c r="J114" s="34">
        <f t="shared" si="2"/>
        <v>4204848.96</v>
      </c>
      <c r="L114" s="83"/>
      <c r="M114" s="83"/>
      <c r="N114" s="34"/>
    </row>
    <row r="115" spans="1:14" s="35" customFormat="1" x14ac:dyDescent="0.25">
      <c r="A115" s="80" t="s">
        <v>263</v>
      </c>
      <c r="B115" s="81"/>
      <c r="C115" s="81"/>
      <c r="D115" s="81"/>
      <c r="E115" s="81"/>
      <c r="F115" s="81"/>
      <c r="G115" s="81"/>
      <c r="H115" s="82"/>
      <c r="J115" s="34"/>
    </row>
    <row r="116" spans="1:14" s="35" customFormat="1" ht="15.75" customHeight="1" x14ac:dyDescent="0.25">
      <c r="A116" s="77">
        <v>1</v>
      </c>
      <c r="B116" s="79"/>
      <c r="C116" s="40" t="s">
        <v>264</v>
      </c>
      <c r="D116" s="57">
        <f>(77.4)*10.764</f>
        <v>833.1336</v>
      </c>
      <c r="E116" s="40">
        <v>0</v>
      </c>
      <c r="F116" s="40">
        <f>(D116+E116)*(($F$107)+1)</f>
        <v>1333.01376</v>
      </c>
      <c r="G116" s="85" t="str">
        <f>A115</f>
        <v>1st Floor for Commercial &amp; Residential</v>
      </c>
      <c r="H116" s="86"/>
      <c r="I116" s="34"/>
      <c r="L116" s="83"/>
      <c r="M116" s="83"/>
      <c r="N116" s="34"/>
    </row>
    <row r="117" spans="1:14" s="35" customFormat="1" x14ac:dyDescent="0.25">
      <c r="A117" s="77">
        <f t="shared" ref="A117:A119" si="4">A116+1</f>
        <v>2</v>
      </c>
      <c r="B117" s="79"/>
      <c r="C117" s="40" t="s">
        <v>264</v>
      </c>
      <c r="D117" s="57">
        <f>(51.2)*10.764</f>
        <v>551.11680000000001</v>
      </c>
      <c r="E117" s="40">
        <v>0</v>
      </c>
      <c r="F117" s="40">
        <f t="shared" ref="F117:F119" si="5">(D117+E117)*(($F$107)+1)</f>
        <v>881.78688000000011</v>
      </c>
      <c r="G117" s="87"/>
      <c r="H117" s="88"/>
      <c r="I117" s="34"/>
      <c r="L117" s="83"/>
      <c r="M117" s="83"/>
      <c r="N117" s="34"/>
    </row>
    <row r="118" spans="1:14" s="35" customFormat="1" x14ac:dyDescent="0.25">
      <c r="A118" s="77">
        <f t="shared" si="4"/>
        <v>3</v>
      </c>
      <c r="B118" s="79"/>
      <c r="C118" s="40" t="s">
        <v>264</v>
      </c>
      <c r="D118" s="57">
        <f>(43.8)*10.764</f>
        <v>471.46319999999992</v>
      </c>
      <c r="E118" s="40">
        <v>0</v>
      </c>
      <c r="F118" s="40">
        <f t="shared" si="5"/>
        <v>754.34111999999993</v>
      </c>
      <c r="G118" s="87"/>
      <c r="H118" s="88"/>
      <c r="I118" s="34"/>
      <c r="L118" s="83"/>
      <c r="M118" s="83"/>
      <c r="N118" s="34"/>
    </row>
    <row r="119" spans="1:14" s="35" customFormat="1" x14ac:dyDescent="0.25">
      <c r="A119" s="77">
        <f t="shared" si="4"/>
        <v>4</v>
      </c>
      <c r="B119" s="79"/>
      <c r="C119" s="40" t="s">
        <v>264</v>
      </c>
      <c r="D119" s="57">
        <f>(23.7)*10.764</f>
        <v>255.10679999999996</v>
      </c>
      <c r="E119" s="40">
        <v>0</v>
      </c>
      <c r="F119" s="40">
        <f t="shared" si="5"/>
        <v>408.17087999999995</v>
      </c>
      <c r="G119" s="89"/>
      <c r="H119" s="90"/>
      <c r="I119" s="34"/>
      <c r="L119" s="83"/>
      <c r="M119" s="83"/>
      <c r="N119" s="34"/>
    </row>
    <row r="120" spans="1:14" s="35" customFormat="1" x14ac:dyDescent="0.25">
      <c r="A120" s="77"/>
      <c r="B120" s="78"/>
      <c r="C120" s="78"/>
      <c r="D120" s="78"/>
      <c r="E120" s="78"/>
      <c r="F120" s="78"/>
      <c r="G120" s="78"/>
      <c r="H120" s="79"/>
      <c r="I120" s="34"/>
      <c r="N120" s="34"/>
    </row>
    <row r="121" spans="1:14" ht="47.25" customHeight="1" x14ac:dyDescent="0.25">
      <c r="A121" s="133" t="s">
        <v>123</v>
      </c>
      <c r="B121" s="94" t="s">
        <v>181</v>
      </c>
      <c r="C121" s="94" t="s">
        <v>57</v>
      </c>
      <c r="D121" s="94" t="s">
        <v>58</v>
      </c>
      <c r="E121" s="131" t="s">
        <v>59</v>
      </c>
      <c r="F121" s="41" t="s">
        <v>152</v>
      </c>
      <c r="G121" s="133" t="s">
        <v>60</v>
      </c>
      <c r="H121" s="134"/>
      <c r="I121" s="34"/>
    </row>
    <row r="122" spans="1:14" s="35" customFormat="1" x14ac:dyDescent="0.25">
      <c r="A122" s="135"/>
      <c r="B122" s="95"/>
      <c r="C122" s="95"/>
      <c r="D122" s="95"/>
      <c r="E122" s="132"/>
      <c r="F122" s="13">
        <v>0.5</v>
      </c>
      <c r="G122" s="135"/>
      <c r="H122" s="136"/>
      <c r="I122" s="34"/>
    </row>
    <row r="123" spans="1:14" s="35" customFormat="1" hidden="1" x14ac:dyDescent="0.25">
      <c r="A123" s="80" t="s">
        <v>120</v>
      </c>
      <c r="B123" s="81"/>
      <c r="C123" s="81"/>
      <c r="D123" s="81"/>
      <c r="E123" s="81"/>
      <c r="F123" s="81"/>
      <c r="G123" s="81"/>
      <c r="H123" s="82"/>
      <c r="J123" s="34"/>
    </row>
    <row r="124" spans="1:14" s="35" customFormat="1" hidden="1" x14ac:dyDescent="0.25">
      <c r="A124" s="77">
        <v>1</v>
      </c>
      <c r="B124" s="79"/>
      <c r="C124" s="40"/>
      <c r="D124" s="40"/>
      <c r="E124" s="40">
        <v>0</v>
      </c>
      <c r="F124" s="40">
        <f>D124*(($F$122)+1)+(IF(E124&lt;101,E124,IF(E124&lt;201,E124/2,IF(E124&lt;=301,E124/3,E124/4))))</f>
        <v>0</v>
      </c>
      <c r="G124" s="77" t="str">
        <f>A123</f>
        <v>Ground Floor</v>
      </c>
      <c r="H124" s="79"/>
      <c r="I124" s="34"/>
      <c r="L124" s="83"/>
      <c r="M124" s="83"/>
      <c r="N124" s="34"/>
    </row>
    <row r="125" spans="1:14" s="35" customFormat="1" hidden="1" x14ac:dyDescent="0.25">
      <c r="A125" s="77">
        <f t="shared" ref="A125:A127" si="6">A124+1</f>
        <v>2</v>
      </c>
      <c r="B125" s="79"/>
      <c r="C125" s="40"/>
      <c r="D125" s="40"/>
      <c r="E125" s="40">
        <v>0</v>
      </c>
      <c r="F125" s="40">
        <f>D125*(($F$122)+1)+(IF(E125&lt;101,E125,IF(E125&lt;201,E125/2,IF(E125&lt;=301,E125/3,E125/4))))</f>
        <v>0</v>
      </c>
      <c r="G125" s="77" t="str">
        <f t="shared" ref="G125:G127" si="7">G124</f>
        <v>Ground Floor</v>
      </c>
      <c r="H125" s="79"/>
      <c r="I125" s="34"/>
      <c r="L125" s="83"/>
      <c r="M125" s="83"/>
      <c r="N125" s="34"/>
    </row>
    <row r="126" spans="1:14" s="35" customFormat="1" hidden="1" x14ac:dyDescent="0.25">
      <c r="A126" s="77">
        <f t="shared" si="6"/>
        <v>3</v>
      </c>
      <c r="B126" s="79"/>
      <c r="C126" s="40"/>
      <c r="D126" s="40"/>
      <c r="E126" s="40">
        <v>0</v>
      </c>
      <c r="F126" s="40">
        <f>D126*(($F$122)+1)+(IF(E126&lt;101,E126,IF(E126&lt;201,E126/2,IF(E126&lt;=301,E126/3,E126/4))))</f>
        <v>0</v>
      </c>
      <c r="G126" s="77" t="str">
        <f t="shared" si="7"/>
        <v>Ground Floor</v>
      </c>
      <c r="H126" s="79"/>
      <c r="I126" s="34"/>
      <c r="L126" s="83"/>
      <c r="M126" s="83"/>
      <c r="N126" s="34"/>
    </row>
    <row r="127" spans="1:14" s="35" customFormat="1" hidden="1" x14ac:dyDescent="0.25">
      <c r="A127" s="77">
        <f t="shared" si="6"/>
        <v>4</v>
      </c>
      <c r="B127" s="79"/>
      <c r="C127" s="40"/>
      <c r="D127" s="40"/>
      <c r="E127" s="40">
        <v>0</v>
      </c>
      <c r="F127" s="40">
        <f>D127*(($F$122)+1)+(IF(E127&lt;101,E127,IF(E127&lt;201,E127/2,IF(E127&lt;=301,E127/3,E127/4))))</f>
        <v>0</v>
      </c>
      <c r="G127" s="77" t="str">
        <f t="shared" si="7"/>
        <v>Ground Floor</v>
      </c>
      <c r="H127" s="79"/>
      <c r="I127" s="34"/>
      <c r="L127" s="83"/>
      <c r="M127" s="83"/>
      <c r="N127" s="34"/>
    </row>
    <row r="128" spans="1:14" s="35" customFormat="1" x14ac:dyDescent="0.25">
      <c r="A128" s="80" t="s">
        <v>263</v>
      </c>
      <c r="B128" s="81"/>
      <c r="C128" s="81"/>
      <c r="D128" s="81"/>
      <c r="E128" s="81"/>
      <c r="F128" s="81"/>
      <c r="G128" s="81"/>
      <c r="H128" s="82"/>
      <c r="I128" s="34"/>
      <c r="L128" s="83"/>
      <c r="M128" s="83"/>
    </row>
    <row r="129" spans="1:14" s="35" customFormat="1" ht="15.75" customHeight="1" x14ac:dyDescent="0.25">
      <c r="A129" s="84">
        <f>LEFT(A128,SUM(LEN(A128)-LEN(SUBSTITUTE(A128,{"0","1","2","3","4","5","6","7","8","9"},""))))*100+1</f>
        <v>101</v>
      </c>
      <c r="B129" s="84"/>
      <c r="C129" s="40" t="s">
        <v>266</v>
      </c>
      <c r="D129" s="57">
        <f>(26.3+0.75*(2.35+2.75+2.75))*10.764</f>
        <v>346.46625</v>
      </c>
      <c r="E129" s="57">
        <v>0</v>
      </c>
      <c r="F129" s="40">
        <f t="shared" ref="F129:F130" si="8">D129*(($F$122)+1)+(IF(E129&lt;101,E129,IF(E129&lt;201,E129/2,IF(E129&lt;=301,E129/3,E129/4))))</f>
        <v>519.69937500000003</v>
      </c>
      <c r="G129" s="85" t="str">
        <f>A128</f>
        <v>1st Floor for Commercial &amp; Residential</v>
      </c>
      <c r="H129" s="86"/>
      <c r="I129" s="34">
        <f>(3.75*2.75+1.8*2.35+2.75*1.9+2.15*0.85+1.6*1.05+1.8*1.05)</f>
        <v>25.164999999999999</v>
      </c>
      <c r="J129" s="34">
        <f>2500000/F129</f>
        <v>4810.4733626050638</v>
      </c>
      <c r="K129" s="34">
        <f>2900000/F129</f>
        <v>5580.1491006218739</v>
      </c>
      <c r="N129" s="34"/>
    </row>
    <row r="130" spans="1:14" s="35" customFormat="1" x14ac:dyDescent="0.25">
      <c r="A130" s="84">
        <f>A129+1</f>
        <v>102</v>
      </c>
      <c r="B130" s="84"/>
      <c r="C130" s="40" t="s">
        <v>266</v>
      </c>
      <c r="D130" s="57">
        <f>(27.2+0.75*(2.75+2.75+2.35))*10.764</f>
        <v>356.15384999999998</v>
      </c>
      <c r="E130" s="57">
        <v>0</v>
      </c>
      <c r="F130" s="40">
        <f t="shared" si="8"/>
        <v>534.23077499999999</v>
      </c>
      <c r="G130" s="87"/>
      <c r="H130" s="88"/>
      <c r="I130" s="34"/>
      <c r="J130" s="34">
        <f>2500000/F130</f>
        <v>4679.6255794136905</v>
      </c>
      <c r="K130" s="34">
        <f>2900000/F130</f>
        <v>5428.3656721198813</v>
      </c>
      <c r="N130" s="34"/>
    </row>
    <row r="131" spans="1:14" s="35" customFormat="1" x14ac:dyDescent="0.25">
      <c r="A131" s="84">
        <f>A130+1</f>
        <v>103</v>
      </c>
      <c r="B131" s="84"/>
      <c r="C131" s="40" t="s">
        <v>267</v>
      </c>
      <c r="D131" s="57">
        <f>(37.7+0.75*(2.75+2.1+2.75+2.75))*10.764</f>
        <v>489.35835000000003</v>
      </c>
      <c r="E131" s="57">
        <v>0</v>
      </c>
      <c r="F131" s="40">
        <f>D131*(($F$122)+1)+(IF(E131&lt;101,E131,IF(E131&lt;201,E131/2,IF(E131&lt;=301,E131/3,E131/4))))</f>
        <v>734.03752500000007</v>
      </c>
      <c r="G131" s="87"/>
      <c r="H131" s="88"/>
      <c r="I131" s="34"/>
      <c r="J131" s="34">
        <f>3500000/F131</f>
        <v>4768.1486038469211</v>
      </c>
      <c r="K131" s="34">
        <f>4700000/F131</f>
        <v>6402.9424108801513</v>
      </c>
      <c r="N131" s="34"/>
    </row>
    <row r="132" spans="1:14" s="35" customFormat="1" x14ac:dyDescent="0.25">
      <c r="A132" s="84">
        <f>A131+1</f>
        <v>104</v>
      </c>
      <c r="B132" s="84"/>
      <c r="C132" s="40" t="s">
        <v>268</v>
      </c>
      <c r="D132" s="57">
        <f>(18.1+0.75*(2.6+2.25))*10.764</f>
        <v>233.98245</v>
      </c>
      <c r="E132" s="57">
        <v>0</v>
      </c>
      <c r="F132" s="40">
        <f>D132*(($F$122)+1)+(IF(E132&lt;101,E132,IF(E132&lt;201,E132/2,IF(E132&lt;=301,E132/3,E132/4))))</f>
        <v>350.97367500000001</v>
      </c>
      <c r="G132" s="87"/>
      <c r="H132" s="88"/>
      <c r="I132" s="34"/>
      <c r="N132" s="34"/>
    </row>
    <row r="133" spans="1:14" s="35" customFormat="1" x14ac:dyDescent="0.25">
      <c r="A133" s="84">
        <f>A132+1</f>
        <v>105</v>
      </c>
      <c r="B133" s="84"/>
      <c r="C133" s="40" t="s">
        <v>266</v>
      </c>
      <c r="D133" s="57">
        <f>(27.3+0.75*(2.75+2.75+2.35))*10.764</f>
        <v>357.23024999999996</v>
      </c>
      <c r="E133" s="57">
        <v>0</v>
      </c>
      <c r="F133" s="40">
        <f>D133*(($F$122)+1)+(IF(E133&lt;101,E133,IF(E133&lt;201,E133/2,IF(E133&lt;=301,E133/3,E133/4))))</f>
        <v>535.84537499999988</v>
      </c>
      <c r="G133" s="87"/>
      <c r="H133" s="88"/>
      <c r="I133" s="34"/>
      <c r="J133" s="34">
        <f>2500000/F133</f>
        <v>4665.5250126960609</v>
      </c>
      <c r="K133" s="34">
        <f>2900000/F133</f>
        <v>5412.0090147274304</v>
      </c>
      <c r="N133" s="34"/>
    </row>
    <row r="134" spans="1:14" s="35" customFormat="1" x14ac:dyDescent="0.25">
      <c r="A134" s="84">
        <f t="shared" ref="A134:A137" si="9">A133+1</f>
        <v>106</v>
      </c>
      <c r="B134" s="84"/>
      <c r="C134" s="40" t="s">
        <v>266</v>
      </c>
      <c r="D134" s="57">
        <f>(27.2+0.75*(2.35+2.75+2.75))*10.764</f>
        <v>356.15384999999998</v>
      </c>
      <c r="E134" s="57">
        <v>0</v>
      </c>
      <c r="F134" s="40">
        <f t="shared" ref="F134:F135" si="10">D134*(($F$122)+1)+(IF(E134&lt;101,E134,IF(E134&lt;201,E134/2,IF(E134&lt;=301,E134/3,E134/4))))</f>
        <v>534.23077499999999</v>
      </c>
      <c r="G134" s="87"/>
      <c r="H134" s="88"/>
      <c r="I134" s="34"/>
      <c r="J134" s="34">
        <f t="shared" ref="J134:J135" si="11">2500000/F134</f>
        <v>4679.6255794136905</v>
      </c>
      <c r="K134" s="34">
        <f t="shared" ref="K134:K135" si="12">2900000/F134</f>
        <v>5428.3656721198813</v>
      </c>
      <c r="N134" s="34"/>
    </row>
    <row r="135" spans="1:14" s="35" customFormat="1" x14ac:dyDescent="0.25">
      <c r="A135" s="84">
        <f t="shared" si="9"/>
        <v>107</v>
      </c>
      <c r="B135" s="84"/>
      <c r="C135" s="40" t="s">
        <v>266</v>
      </c>
      <c r="D135" s="57">
        <f>(27.1+0.75*(2.75+2.75))*10.764</f>
        <v>336.10590000000002</v>
      </c>
      <c r="E135" s="57">
        <f>(0.75*2.35)*10.764</f>
        <v>18.971550000000001</v>
      </c>
      <c r="F135" s="40">
        <f t="shared" si="10"/>
        <v>523.13040000000001</v>
      </c>
      <c r="G135" s="87"/>
      <c r="H135" s="88"/>
      <c r="I135" s="34"/>
      <c r="J135" s="34">
        <f t="shared" si="11"/>
        <v>4778.9231900879777</v>
      </c>
      <c r="K135" s="34">
        <f t="shared" si="12"/>
        <v>5543.5509005020549</v>
      </c>
      <c r="N135" s="34"/>
    </row>
    <row r="136" spans="1:14" s="35" customFormat="1" x14ac:dyDescent="0.25">
      <c r="A136" s="84">
        <f t="shared" si="9"/>
        <v>108</v>
      </c>
      <c r="B136" s="84"/>
      <c r="C136" s="85" t="s">
        <v>265</v>
      </c>
      <c r="D136" s="91"/>
      <c r="E136" s="91"/>
      <c r="F136" s="86"/>
      <c r="G136" s="87"/>
      <c r="H136" s="88"/>
      <c r="I136" s="34"/>
      <c r="N136" s="34"/>
    </row>
    <row r="137" spans="1:14" s="35" customFormat="1" x14ac:dyDescent="0.25">
      <c r="A137" s="84">
        <f t="shared" si="9"/>
        <v>109</v>
      </c>
      <c r="B137" s="84"/>
      <c r="C137" s="87"/>
      <c r="D137" s="92"/>
      <c r="E137" s="92"/>
      <c r="F137" s="88"/>
      <c r="G137" s="87"/>
      <c r="H137" s="88"/>
      <c r="I137" s="34"/>
      <c r="N137" s="34"/>
    </row>
    <row r="138" spans="1:14" s="35" customFormat="1" x14ac:dyDescent="0.25">
      <c r="A138" s="84">
        <f>A137+1</f>
        <v>110</v>
      </c>
      <c r="B138" s="84"/>
      <c r="C138" s="87"/>
      <c r="D138" s="92"/>
      <c r="E138" s="92"/>
      <c r="F138" s="88"/>
      <c r="G138" s="87"/>
      <c r="H138" s="88"/>
      <c r="I138" s="34"/>
      <c r="N138" s="34"/>
    </row>
    <row r="139" spans="1:14" s="35" customFormat="1" x14ac:dyDescent="0.25">
      <c r="A139" s="84">
        <f t="shared" ref="A139:A148" si="13">A138+1</f>
        <v>111</v>
      </c>
      <c r="B139" s="84"/>
      <c r="C139" s="89"/>
      <c r="D139" s="93"/>
      <c r="E139" s="93"/>
      <c r="F139" s="90"/>
      <c r="G139" s="87"/>
      <c r="H139" s="88"/>
      <c r="I139" s="34"/>
      <c r="N139" s="34"/>
    </row>
    <row r="140" spans="1:14" s="35" customFormat="1" x14ac:dyDescent="0.25">
      <c r="A140" s="84">
        <f t="shared" si="13"/>
        <v>112</v>
      </c>
      <c r="B140" s="84"/>
      <c r="C140" s="40" t="s">
        <v>266</v>
      </c>
      <c r="D140" s="57">
        <f>(27.1+0.75*(2.35+2.75+2.75))*10.764</f>
        <v>355.07744999999994</v>
      </c>
      <c r="E140" s="57">
        <v>0</v>
      </c>
      <c r="F140" s="40">
        <f t="shared" ref="F140" si="14">D140*(($F$122)+1)+(IF(E140&lt;101,E140,IF(E140&lt;201,E140/2,IF(E140&lt;=301,E140/3,E140/4))))</f>
        <v>532.61617499999988</v>
      </c>
      <c r="G140" s="87"/>
      <c r="H140" s="88"/>
      <c r="I140" s="34"/>
      <c r="K140" s="34">
        <f>2900000/F140</f>
        <v>5444.8214983332055</v>
      </c>
      <c r="N140" s="34"/>
    </row>
    <row r="141" spans="1:14" s="35" customFormat="1" x14ac:dyDescent="0.25">
      <c r="A141" s="84">
        <f t="shared" si="13"/>
        <v>113</v>
      </c>
      <c r="B141" s="84"/>
      <c r="C141" s="40" t="s">
        <v>266</v>
      </c>
      <c r="D141" s="57">
        <f>(27.2+0.75*(2.75+2.75+2.35))*10.764</f>
        <v>356.15384999999998</v>
      </c>
      <c r="E141" s="57">
        <v>0</v>
      </c>
      <c r="F141" s="40">
        <f>D141*(($F$122)+1)+(IF(E141&lt;101,E141,IF(E141&lt;201,E141/2,IF(E141&lt;=301,E141/3,E141/4))))</f>
        <v>534.23077499999999</v>
      </c>
      <c r="G141" s="87"/>
      <c r="H141" s="88"/>
      <c r="I141" s="34"/>
      <c r="K141" s="34">
        <f>2900000/F141</f>
        <v>5428.3656721198813</v>
      </c>
      <c r="N141" s="34"/>
    </row>
    <row r="142" spans="1:14" s="35" customFormat="1" x14ac:dyDescent="0.25">
      <c r="A142" s="84">
        <f t="shared" si="13"/>
        <v>114</v>
      </c>
      <c r="B142" s="84"/>
      <c r="C142" s="40" t="s">
        <v>267</v>
      </c>
      <c r="D142" s="57">
        <f>(38.1+0.75*(2.1+2.75+2.75+2.75))*10.764</f>
        <v>493.66394999999994</v>
      </c>
      <c r="E142" s="57">
        <v>0</v>
      </c>
      <c r="F142" s="40">
        <f>D142*(($F$122)+1)+(IF(E142&lt;101,E142,IF(E142&lt;201,E142/2,IF(E142&lt;=301,E142/3,E142/4))))</f>
        <v>740.49592499999994</v>
      </c>
      <c r="G142" s="87"/>
      <c r="H142" s="88"/>
      <c r="I142" s="34"/>
      <c r="J142" s="34">
        <f>3500000/F142</f>
        <v>4726.5621346937196</v>
      </c>
      <c r="K142" s="34">
        <f>4700000/F142</f>
        <v>6347.0977237315656</v>
      </c>
      <c r="N142" s="34"/>
    </row>
    <row r="143" spans="1:14" s="35" customFormat="1" x14ac:dyDescent="0.25">
      <c r="A143" s="84">
        <f t="shared" si="13"/>
        <v>115</v>
      </c>
      <c r="B143" s="84"/>
      <c r="C143" s="40" t="s">
        <v>267</v>
      </c>
      <c r="D143" s="57">
        <f>(38.3+0.75*(2.75+2.1+2.75+2.75))*10.764</f>
        <v>495.81674999999996</v>
      </c>
      <c r="E143" s="57">
        <v>0</v>
      </c>
      <c r="F143" s="40">
        <f>D143*(($F$122)+1)+(IF(E143&lt;101,E143,IF(E143&lt;201,E143/2,IF(E143&lt;=301,E143/3,E143/4))))</f>
        <v>743.72512499999993</v>
      </c>
      <c r="G143" s="87"/>
      <c r="H143" s="88"/>
      <c r="I143" s="34"/>
      <c r="J143" s="34">
        <f t="shared" ref="J143:J145" si="15">3500000/F143</f>
        <v>4706.0397482201506</v>
      </c>
      <c r="K143" s="34">
        <f t="shared" ref="K143:K145" si="16">4700000/F143</f>
        <v>6319.5390904670603</v>
      </c>
      <c r="N143" s="34"/>
    </row>
    <row r="144" spans="1:14" s="35" customFormat="1" x14ac:dyDescent="0.25">
      <c r="A144" s="84">
        <f t="shared" si="13"/>
        <v>116</v>
      </c>
      <c r="B144" s="84"/>
      <c r="C144" s="40" t="s">
        <v>267</v>
      </c>
      <c r="D144" s="57">
        <f>(37.7+0.75*(5.3+2.75+2.75))*10.764</f>
        <v>492.99119999999999</v>
      </c>
      <c r="E144" s="57">
        <v>0</v>
      </c>
      <c r="F144" s="40">
        <f t="shared" ref="F144:F145" si="17">D144*(($F$122)+1)+(IF(E144&lt;101,E144,IF(E144&lt;201,E144/2,IF(E144&lt;=301,E144/3,E144/4))))</f>
        <v>739.48680000000002</v>
      </c>
      <c r="G144" s="87"/>
      <c r="H144" s="88"/>
      <c r="I144" s="34"/>
      <c r="J144" s="34">
        <f t="shared" si="15"/>
        <v>4733.0121376067837</v>
      </c>
      <c r="K144" s="34">
        <f t="shared" si="16"/>
        <v>6355.7591562148236</v>
      </c>
      <c r="N144" s="34"/>
    </row>
    <row r="145" spans="1:14" s="35" customFormat="1" x14ac:dyDescent="0.25">
      <c r="A145" s="84">
        <f t="shared" si="13"/>
        <v>117</v>
      </c>
      <c r="B145" s="84"/>
      <c r="C145" s="40" t="s">
        <v>267</v>
      </c>
      <c r="D145" s="57">
        <f>(38+0.75*(2.75+2.75+2.1+2.75))*10.764</f>
        <v>492.58755000000002</v>
      </c>
      <c r="E145" s="57">
        <v>0</v>
      </c>
      <c r="F145" s="40">
        <f t="shared" si="17"/>
        <v>738.88132500000006</v>
      </c>
      <c r="G145" s="87"/>
      <c r="H145" s="88"/>
      <c r="I145" s="34"/>
      <c r="J145" s="34">
        <f t="shared" si="15"/>
        <v>4736.8905960642596</v>
      </c>
      <c r="K145" s="34">
        <f t="shared" si="16"/>
        <v>6360.9673718577196</v>
      </c>
      <c r="N145" s="34"/>
    </row>
    <row r="146" spans="1:14" s="35" customFormat="1" x14ac:dyDescent="0.25">
      <c r="A146" s="84">
        <f t="shared" si="13"/>
        <v>118</v>
      </c>
      <c r="B146" s="84"/>
      <c r="C146" s="40" t="s">
        <v>266</v>
      </c>
      <c r="D146" s="57">
        <f>(26.3+0.75*(2.35+2.75+2.75))*10.764</f>
        <v>346.46625</v>
      </c>
      <c r="E146" s="57">
        <v>0</v>
      </c>
      <c r="F146" s="40">
        <f>D146*(($F$122)+1)+(IF(E146&lt;101,E146,IF(E146&lt;201,E146/2,IF(E146&lt;=301,E146/3,E146/4))))</f>
        <v>519.69937500000003</v>
      </c>
      <c r="G146" s="87"/>
      <c r="H146" s="88"/>
      <c r="I146" s="34"/>
      <c r="N146" s="34"/>
    </row>
    <row r="147" spans="1:14" s="35" customFormat="1" x14ac:dyDescent="0.25">
      <c r="A147" s="84">
        <f t="shared" si="13"/>
        <v>119</v>
      </c>
      <c r="B147" s="84"/>
      <c r="C147" s="40" t="s">
        <v>266</v>
      </c>
      <c r="D147" s="57">
        <f>(27.2+0.75*(2.35+2.75))*10.764</f>
        <v>333.95309999999995</v>
      </c>
      <c r="E147" s="57">
        <f>(0.9*2.75)*10.764</f>
        <v>26.640899999999998</v>
      </c>
      <c r="F147" s="40">
        <f>D147*(($F$122)+1)+(IF(E147&lt;101,E147,IF(E147&lt;201,E147/2,IF(E147&lt;=301,E147/3,E147/4))))</f>
        <v>527.57054999999991</v>
      </c>
      <c r="G147" s="87"/>
      <c r="H147" s="88"/>
      <c r="I147" s="34"/>
      <c r="N147" s="34"/>
    </row>
    <row r="148" spans="1:14" s="35" customFormat="1" x14ac:dyDescent="0.25">
      <c r="A148" s="84">
        <f t="shared" si="13"/>
        <v>120</v>
      </c>
      <c r="B148" s="84"/>
      <c r="C148" s="40" t="s">
        <v>266</v>
      </c>
      <c r="D148" s="57">
        <f>(27.2+0.75*(2.35+2.75))*10.764</f>
        <v>333.95309999999995</v>
      </c>
      <c r="E148" s="57">
        <f>(0.9*2.75+2.45*1.15+1.25*1.85)*10.764</f>
        <v>81.860219999999998</v>
      </c>
      <c r="F148" s="40">
        <f>D148*(($F$122)+1)+(IF(E148&lt;101,E148,IF(E148&lt;201,E148/2,IF(E148&lt;=301,E148/3,E148/4))))</f>
        <v>582.78986999999995</v>
      </c>
      <c r="G148" s="89"/>
      <c r="H148" s="90"/>
      <c r="I148" s="34"/>
      <c r="N148" s="34"/>
    </row>
    <row r="149" spans="1:14" s="35" customFormat="1" x14ac:dyDescent="0.25">
      <c r="A149" s="80" t="s">
        <v>121</v>
      </c>
      <c r="B149" s="81"/>
      <c r="C149" s="81"/>
      <c r="D149" s="81"/>
      <c r="E149" s="81"/>
      <c r="F149" s="81"/>
      <c r="G149" s="81"/>
      <c r="H149" s="82"/>
      <c r="I149" s="34"/>
      <c r="L149" s="83"/>
      <c r="M149" s="83"/>
    </row>
    <row r="150" spans="1:14" s="35" customFormat="1" ht="15.75" customHeight="1" x14ac:dyDescent="0.25">
      <c r="A150" s="84">
        <f>LEFT(A149,SUM(LEN(A149)-LEN(SUBSTITUTE(A149,{"0","1","2","3","4","5","6","7","8","9"},""))))*100+1</f>
        <v>201</v>
      </c>
      <c r="B150" s="84"/>
      <c r="C150" s="40" t="s">
        <v>266</v>
      </c>
      <c r="D150" s="57">
        <f>(26.3+0.75*(2.35+2.75+2.75))*10.764</f>
        <v>346.46625</v>
      </c>
      <c r="E150" s="57">
        <v>0</v>
      </c>
      <c r="F150" s="40">
        <f t="shared" ref="F150:F151" si="18">D150*(($F$122)+1)+(IF(E150&lt;101,E150,IF(E150&lt;201,E150/2,IF(E150&lt;=301,E150/3,E150/4))))</f>
        <v>519.69937500000003</v>
      </c>
      <c r="G150" s="85" t="str">
        <f>A149</f>
        <v>2nd Floor</v>
      </c>
      <c r="H150" s="86"/>
      <c r="I150" s="34"/>
      <c r="K150" s="35">
        <f>6200*F150</f>
        <v>3222136.125</v>
      </c>
      <c r="N150" s="34"/>
    </row>
    <row r="151" spans="1:14" s="35" customFormat="1" x14ac:dyDescent="0.25">
      <c r="A151" s="84">
        <f>A150+1</f>
        <v>202</v>
      </c>
      <c r="B151" s="84"/>
      <c r="C151" s="40" t="s">
        <v>266</v>
      </c>
      <c r="D151" s="57">
        <f>(27.2+0.75*(2.75+2.75+2.35))*10.764</f>
        <v>356.15384999999998</v>
      </c>
      <c r="E151" s="57">
        <v>0</v>
      </c>
      <c r="F151" s="40">
        <f t="shared" si="18"/>
        <v>534.23077499999999</v>
      </c>
      <c r="G151" s="87"/>
      <c r="H151" s="88"/>
      <c r="I151" s="34"/>
      <c r="K151" s="35">
        <f t="shared" ref="K151:K169" si="19">6200*F151</f>
        <v>3312230.8050000002</v>
      </c>
      <c r="N151" s="34"/>
    </row>
    <row r="152" spans="1:14" s="35" customFormat="1" x14ac:dyDescent="0.25">
      <c r="A152" s="84">
        <f>A151+1</f>
        <v>203</v>
      </c>
      <c r="B152" s="84"/>
      <c r="C152" s="40" t="s">
        <v>267</v>
      </c>
      <c r="D152" s="57">
        <f>(37.7+0.75*(2.75+2.1+2.75+2.75))*10.764</f>
        <v>489.35835000000003</v>
      </c>
      <c r="E152" s="57">
        <v>0</v>
      </c>
      <c r="F152" s="40">
        <f>D152*(($F$122)+1)+(IF(E152&lt;101,E152,IF(E152&lt;201,E152/2,IF(E152&lt;=301,E152/3,E152/4))))</f>
        <v>734.03752500000007</v>
      </c>
      <c r="G152" s="87"/>
      <c r="H152" s="88"/>
      <c r="I152" s="34"/>
      <c r="K152" s="35">
        <f t="shared" si="19"/>
        <v>4551032.6550000003</v>
      </c>
      <c r="N152" s="34"/>
    </row>
    <row r="153" spans="1:14" s="35" customFormat="1" x14ac:dyDescent="0.25">
      <c r="A153" s="84">
        <f>A152+1</f>
        <v>204</v>
      </c>
      <c r="B153" s="84"/>
      <c r="C153" s="40" t="s">
        <v>268</v>
      </c>
      <c r="D153" s="57">
        <f>(18.1+0.75*(2.6+2.25))*10.764</f>
        <v>233.98245</v>
      </c>
      <c r="E153" s="57">
        <v>0</v>
      </c>
      <c r="F153" s="40">
        <f>D153*(($F$122)+1)+(IF(E153&lt;101,E153,IF(E153&lt;201,E153/2,IF(E153&lt;=301,E153/3,E153/4))))</f>
        <v>350.97367500000001</v>
      </c>
      <c r="G153" s="87"/>
      <c r="H153" s="88"/>
      <c r="I153" s="34"/>
      <c r="K153" s="35">
        <f t="shared" si="19"/>
        <v>2176036.7850000001</v>
      </c>
      <c r="N153" s="34"/>
    </row>
    <row r="154" spans="1:14" s="35" customFormat="1" x14ac:dyDescent="0.25">
      <c r="A154" s="84">
        <f>A153+1</f>
        <v>205</v>
      </c>
      <c r="B154" s="84"/>
      <c r="C154" s="40" t="s">
        <v>266</v>
      </c>
      <c r="D154" s="57">
        <f>(27.3+0.75*(2.75+2.75+2.35))*10.764</f>
        <v>357.23024999999996</v>
      </c>
      <c r="E154" s="57">
        <v>0</v>
      </c>
      <c r="F154" s="40">
        <f>D154*(($F$122)+1)+(IF(E154&lt;101,E154,IF(E154&lt;201,E154/2,IF(E154&lt;=301,E154/3,E154/4))))</f>
        <v>535.84537499999988</v>
      </c>
      <c r="G154" s="87"/>
      <c r="H154" s="88"/>
      <c r="I154" s="34"/>
      <c r="K154" s="35">
        <f t="shared" si="19"/>
        <v>3322241.3249999993</v>
      </c>
      <c r="N154" s="34"/>
    </row>
    <row r="155" spans="1:14" s="35" customFormat="1" x14ac:dyDescent="0.25">
      <c r="A155" s="84">
        <f t="shared" ref="A155:A158" si="20">A154+1</f>
        <v>206</v>
      </c>
      <c r="B155" s="84"/>
      <c r="C155" s="40" t="s">
        <v>266</v>
      </c>
      <c r="D155" s="57">
        <f>(27.2+0.75*(2.35+2.75+2.75))*10.764</f>
        <v>356.15384999999998</v>
      </c>
      <c r="E155" s="57">
        <v>0</v>
      </c>
      <c r="F155" s="40">
        <f t="shared" ref="F155:F160" si="21">D155*(($F$122)+1)+(IF(E155&lt;101,E155,IF(E155&lt;201,E155/2,IF(E155&lt;=301,E155/3,E155/4))))</f>
        <v>534.23077499999999</v>
      </c>
      <c r="G155" s="87"/>
      <c r="H155" s="88"/>
      <c r="I155" s="34"/>
      <c r="K155" s="35">
        <f t="shared" si="19"/>
        <v>3312230.8050000002</v>
      </c>
      <c r="N155" s="34"/>
    </row>
    <row r="156" spans="1:14" s="35" customFormat="1" x14ac:dyDescent="0.25">
      <c r="A156" s="84">
        <f t="shared" si="20"/>
        <v>207</v>
      </c>
      <c r="B156" s="84"/>
      <c r="C156" s="40" t="s">
        <v>266</v>
      </c>
      <c r="D156" s="57">
        <f>(27.1+0.75*(2.75+2.75+2.35))*10.764</f>
        <v>355.07744999999994</v>
      </c>
      <c r="E156" s="57">
        <v>0</v>
      </c>
      <c r="F156" s="40">
        <f t="shared" si="21"/>
        <v>532.61617499999988</v>
      </c>
      <c r="G156" s="87"/>
      <c r="H156" s="88"/>
      <c r="I156" s="34"/>
      <c r="K156" s="35">
        <f t="shared" si="19"/>
        <v>3302220.2849999992</v>
      </c>
      <c r="N156" s="34"/>
    </row>
    <row r="157" spans="1:14" s="35" customFormat="1" x14ac:dyDescent="0.25">
      <c r="A157" s="84">
        <f t="shared" si="20"/>
        <v>208</v>
      </c>
      <c r="B157" s="84"/>
      <c r="C157" s="40" t="s">
        <v>266</v>
      </c>
      <c r="D157" s="57">
        <f>(27.6+0.75*2.75)*10.764</f>
        <v>319.28715</v>
      </c>
      <c r="E157" s="57">
        <f>(0.9*2.75+2.35*1.25)*10.764</f>
        <v>58.260149999999996</v>
      </c>
      <c r="F157" s="40">
        <f t="shared" si="21"/>
        <v>537.19087500000001</v>
      </c>
      <c r="G157" s="87"/>
      <c r="H157" s="88"/>
      <c r="I157" s="34"/>
      <c r="K157" s="35">
        <f t="shared" si="19"/>
        <v>3330583.4249999998</v>
      </c>
      <c r="N157" s="34"/>
    </row>
    <row r="158" spans="1:14" s="35" customFormat="1" x14ac:dyDescent="0.25">
      <c r="A158" s="84">
        <f t="shared" si="20"/>
        <v>209</v>
      </c>
      <c r="B158" s="84"/>
      <c r="C158" s="40" t="s">
        <v>267</v>
      </c>
      <c r="D158" s="57">
        <f>(37.7)*10.764</f>
        <v>405.80279999999999</v>
      </c>
      <c r="E158" s="57">
        <f>(2.75*0.45+2.75*2.2+5.55*1.25)*10.764</f>
        <v>153.11790000000002</v>
      </c>
      <c r="F158" s="40">
        <f t="shared" si="21"/>
        <v>685.26315</v>
      </c>
      <c r="G158" s="87"/>
      <c r="H158" s="88"/>
      <c r="I158" s="34"/>
      <c r="K158" s="35">
        <f t="shared" si="19"/>
        <v>4248631.53</v>
      </c>
      <c r="N158" s="34"/>
    </row>
    <row r="159" spans="1:14" s="35" customFormat="1" x14ac:dyDescent="0.25">
      <c r="A159" s="84">
        <f>A158+1</f>
        <v>210</v>
      </c>
      <c r="B159" s="84"/>
      <c r="C159" s="40" t="s">
        <v>267</v>
      </c>
      <c r="D159" s="57">
        <f>(39.8)*10.764</f>
        <v>428.40719999999993</v>
      </c>
      <c r="E159" s="57">
        <f>(2.75*0.9+2.45*0.9+2.75*2.2+3*0.45)*10.764</f>
        <v>130.02912000000001</v>
      </c>
      <c r="F159" s="40">
        <f t="shared" si="21"/>
        <v>707.62535999999989</v>
      </c>
      <c r="G159" s="87"/>
      <c r="H159" s="88"/>
      <c r="I159" s="34"/>
      <c r="K159" s="35">
        <f t="shared" si="19"/>
        <v>4387277.2319999989</v>
      </c>
      <c r="N159" s="34"/>
    </row>
    <row r="160" spans="1:14" s="35" customFormat="1" x14ac:dyDescent="0.25">
      <c r="A160" s="84">
        <f t="shared" ref="A160:A169" si="22">A159+1</f>
        <v>211</v>
      </c>
      <c r="B160" s="84"/>
      <c r="C160" s="40" t="s">
        <v>268</v>
      </c>
      <c r="D160" s="57">
        <f>(18.1)*10.764</f>
        <v>194.82840000000002</v>
      </c>
      <c r="E160" s="57">
        <f>(2.25*0.9+2*2.5+0.5*0.45*2.5)*10.764</f>
        <v>81.671849999999992</v>
      </c>
      <c r="F160" s="40">
        <f t="shared" si="21"/>
        <v>373.91445000000004</v>
      </c>
      <c r="G160" s="87"/>
      <c r="H160" s="88"/>
      <c r="I160" s="34"/>
      <c r="K160" s="35">
        <f t="shared" si="19"/>
        <v>2318269.5900000003</v>
      </c>
      <c r="N160" s="34"/>
    </row>
    <row r="161" spans="1:14" s="35" customFormat="1" x14ac:dyDescent="0.25">
      <c r="A161" s="84">
        <f t="shared" si="22"/>
        <v>212</v>
      </c>
      <c r="B161" s="84"/>
      <c r="C161" s="40" t="s">
        <v>266</v>
      </c>
      <c r="D161" s="57">
        <f>(27.1+0.75*(2.35+2.75+2.75))*10.764</f>
        <v>355.07744999999994</v>
      </c>
      <c r="E161" s="57">
        <v>0</v>
      </c>
      <c r="F161" s="40">
        <f t="shared" ref="F161" si="23">D161*(($F$122)+1)+(IF(E161&lt;101,E161,IF(E161&lt;201,E161/2,IF(E161&lt;=301,E161/3,E161/4))))</f>
        <v>532.61617499999988</v>
      </c>
      <c r="G161" s="87"/>
      <c r="H161" s="88"/>
      <c r="I161" s="34"/>
      <c r="K161" s="35">
        <f t="shared" si="19"/>
        <v>3302220.2849999992</v>
      </c>
      <c r="N161" s="34"/>
    </row>
    <row r="162" spans="1:14" s="35" customFormat="1" x14ac:dyDescent="0.25">
      <c r="A162" s="84">
        <f t="shared" si="22"/>
        <v>213</v>
      </c>
      <c r="B162" s="84"/>
      <c r="C162" s="40" t="s">
        <v>266</v>
      </c>
      <c r="D162" s="57">
        <f>(27.2+0.75*(2.75+2.75+2.35))*10.764</f>
        <v>356.15384999999998</v>
      </c>
      <c r="E162" s="57">
        <v>0</v>
      </c>
      <c r="F162" s="40">
        <f>D162*(($F$122)+1)+(IF(E162&lt;101,E162,IF(E162&lt;201,E162/2,IF(E162&lt;=301,E162/3,E162/4))))</f>
        <v>534.23077499999999</v>
      </c>
      <c r="G162" s="87"/>
      <c r="H162" s="88"/>
      <c r="I162" s="34"/>
      <c r="K162" s="35">
        <f t="shared" si="19"/>
        <v>3312230.8050000002</v>
      </c>
      <c r="N162" s="34"/>
    </row>
    <row r="163" spans="1:14" s="35" customFormat="1" x14ac:dyDescent="0.25">
      <c r="A163" s="84">
        <f t="shared" si="22"/>
        <v>214</v>
      </c>
      <c r="B163" s="84"/>
      <c r="C163" s="40" t="s">
        <v>267</v>
      </c>
      <c r="D163" s="57">
        <f>(38.1+0.75*(2.1+2.75+2.75+2.75))*10.764</f>
        <v>493.66394999999994</v>
      </c>
      <c r="E163" s="57">
        <v>0</v>
      </c>
      <c r="F163" s="40">
        <f>D163*(($F$122)+1)+(IF(E163&lt;101,E163,IF(E163&lt;201,E163/2,IF(E163&lt;=301,E163/3,E163/4))))</f>
        <v>740.49592499999994</v>
      </c>
      <c r="G163" s="87"/>
      <c r="H163" s="88"/>
      <c r="I163" s="34"/>
      <c r="K163" s="35">
        <f t="shared" si="19"/>
        <v>4591074.7349999994</v>
      </c>
      <c r="N163" s="34"/>
    </row>
    <row r="164" spans="1:14" s="35" customFormat="1" x14ac:dyDescent="0.25">
      <c r="A164" s="84">
        <f t="shared" si="22"/>
        <v>215</v>
      </c>
      <c r="B164" s="84"/>
      <c r="C164" s="40" t="s">
        <v>267</v>
      </c>
      <c r="D164" s="57">
        <f>(38.3+0.75*(2.75+2.1+2.75+2.75))*10.764</f>
        <v>495.81674999999996</v>
      </c>
      <c r="E164" s="57">
        <v>0</v>
      </c>
      <c r="F164" s="40">
        <f>D164*(($F$122)+1)+(IF(E164&lt;101,E164,IF(E164&lt;201,E164/2,IF(E164&lt;=301,E164/3,E164/4))))</f>
        <v>743.72512499999993</v>
      </c>
      <c r="G164" s="87"/>
      <c r="H164" s="88"/>
      <c r="I164" s="34"/>
      <c r="K164" s="35">
        <f t="shared" si="19"/>
        <v>4611095.7749999994</v>
      </c>
      <c r="N164" s="34"/>
    </row>
    <row r="165" spans="1:14" s="35" customFormat="1" x14ac:dyDescent="0.25">
      <c r="A165" s="84">
        <f t="shared" si="22"/>
        <v>216</v>
      </c>
      <c r="B165" s="84"/>
      <c r="C165" s="40" t="s">
        <v>267</v>
      </c>
      <c r="D165" s="57">
        <f>(37.7+0.75*(5.3+2.75+2.75))*10.764</f>
        <v>492.99119999999999</v>
      </c>
      <c r="E165" s="57">
        <v>0</v>
      </c>
      <c r="F165" s="40">
        <f t="shared" ref="F165:F166" si="24">D165*(($F$122)+1)+(IF(E165&lt;101,E165,IF(E165&lt;201,E165/2,IF(E165&lt;=301,E165/3,E165/4))))</f>
        <v>739.48680000000002</v>
      </c>
      <c r="G165" s="87"/>
      <c r="H165" s="88"/>
      <c r="I165" s="34"/>
      <c r="K165" s="35">
        <f t="shared" si="19"/>
        <v>4584818.16</v>
      </c>
      <c r="N165" s="34"/>
    </row>
    <row r="166" spans="1:14" s="35" customFormat="1" x14ac:dyDescent="0.25">
      <c r="A166" s="84">
        <f t="shared" si="22"/>
        <v>217</v>
      </c>
      <c r="B166" s="84"/>
      <c r="C166" s="40" t="s">
        <v>267</v>
      </c>
      <c r="D166" s="57">
        <f>(38+0.75*(2.75+2.75+2.1+2.75))*10.764</f>
        <v>492.58755000000002</v>
      </c>
      <c r="E166" s="57">
        <v>0</v>
      </c>
      <c r="F166" s="40">
        <f t="shared" si="24"/>
        <v>738.88132500000006</v>
      </c>
      <c r="G166" s="87"/>
      <c r="H166" s="88"/>
      <c r="I166" s="34"/>
      <c r="K166" s="35">
        <f t="shared" si="19"/>
        <v>4581064.2150000008</v>
      </c>
      <c r="N166" s="34"/>
    </row>
    <row r="167" spans="1:14" s="35" customFormat="1" x14ac:dyDescent="0.25">
      <c r="A167" s="84">
        <f t="shared" si="22"/>
        <v>218</v>
      </c>
      <c r="B167" s="84"/>
      <c r="C167" s="40" t="s">
        <v>266</v>
      </c>
      <c r="D167" s="57">
        <f>(26.3+0.75*(2.35+2.75+2.75))*10.764</f>
        <v>346.46625</v>
      </c>
      <c r="E167" s="57">
        <v>0</v>
      </c>
      <c r="F167" s="40">
        <f>D167*(($F$122)+1)+(IF(E167&lt;101,E167,IF(E167&lt;201,E167/2,IF(E167&lt;=301,E167/3,E167/4))))</f>
        <v>519.69937500000003</v>
      </c>
      <c r="G167" s="87"/>
      <c r="H167" s="88"/>
      <c r="I167" s="34"/>
      <c r="K167" s="35">
        <f t="shared" si="19"/>
        <v>3222136.125</v>
      </c>
      <c r="N167" s="34"/>
    </row>
    <row r="168" spans="1:14" s="35" customFormat="1" x14ac:dyDescent="0.25">
      <c r="A168" s="84">
        <f t="shared" si="22"/>
        <v>219</v>
      </c>
      <c r="B168" s="84"/>
      <c r="C168" s="40" t="s">
        <v>266</v>
      </c>
      <c r="D168" s="57">
        <f>(27.2+0.75*(2.35+2.75))*10.764</f>
        <v>333.95309999999995</v>
      </c>
      <c r="E168" s="57">
        <f>(0.9*2.75)*10.764</f>
        <v>26.640899999999998</v>
      </c>
      <c r="F168" s="40">
        <f>D168*(($F$122)+1)+(IF(E168&lt;101,E168,IF(E168&lt;201,E168/2,IF(E168&lt;=301,E168/3,E168/4))))</f>
        <v>527.57054999999991</v>
      </c>
      <c r="G168" s="87"/>
      <c r="H168" s="88"/>
      <c r="I168" s="34"/>
      <c r="K168" s="35">
        <f t="shared" si="19"/>
        <v>3270937.4099999997</v>
      </c>
      <c r="N168" s="34"/>
    </row>
    <row r="169" spans="1:14" s="35" customFormat="1" x14ac:dyDescent="0.25">
      <c r="A169" s="84">
        <f t="shared" si="22"/>
        <v>220</v>
      </c>
      <c r="B169" s="84"/>
      <c r="C169" s="40" t="s">
        <v>266</v>
      </c>
      <c r="D169" s="57">
        <f>(27.2+0.75*(2.35+2.75))*10.764</f>
        <v>333.95309999999995</v>
      </c>
      <c r="E169" s="57">
        <f>(0.9*2.75+2.45*1.15+1.25*1.85)*10.764</f>
        <v>81.860219999999998</v>
      </c>
      <c r="F169" s="40">
        <f>D169*(($F$122)+1)+(IF(E169&lt;101,E169,IF(E169&lt;201,E169/2,IF(E169&lt;=301,E169/3,E169/4))))</f>
        <v>582.78986999999995</v>
      </c>
      <c r="G169" s="89"/>
      <c r="H169" s="90"/>
      <c r="I169" s="34"/>
      <c r="K169" s="35">
        <f t="shared" si="19"/>
        <v>3613297.1939999997</v>
      </c>
      <c r="N169" s="34"/>
    </row>
    <row r="170" spans="1:14" s="35" customFormat="1" ht="15.75" customHeight="1" x14ac:dyDescent="0.25">
      <c r="A170" s="80" t="s">
        <v>269</v>
      </c>
      <c r="B170" s="81"/>
      <c r="C170" s="81"/>
      <c r="D170" s="81"/>
      <c r="E170" s="81"/>
      <c r="F170" s="81"/>
      <c r="G170" s="81"/>
      <c r="H170" s="82"/>
      <c r="I170" s="34"/>
    </row>
    <row r="171" spans="1:14" s="35" customFormat="1" ht="15.75" customHeight="1" x14ac:dyDescent="0.25">
      <c r="A171" s="77" t="str">
        <f ca="1">(SUMPRODUCT(MID(0&amp;(LEFT(A170,SUM(LEN(A170)-LEN(SUBSTITUTE(A170,{"0","1","2"},""))))), LARGE(INDEX(ISNUMBER(--MID((LEFT(A170,SUM(LEN(A170)-LEN(SUBSTITUTE(A170,{"0","1","2"},""))))), ROW(INDIRECT("1:"&amp;LEN((LEFT(A170,SUM(LEN(A170)-LEN(SUBSTITUTE(A170,{"0","1","2"},"")))))))), 1)) * ROW(INDIRECT("1:"&amp;LEN((LEFT(A170,SUM(LEN(A170)-LEN(SUBSTITUTE(A170,{"0","1","2"},"")))))))), 0), ROW(INDIRECT("1:"&amp;LEN((LEFT(A170,SUM(LEN(A170)-LEN(SUBSTITUTE(A170,{"0","1","2"},"")))))))))+1, 1) * 10^ROW(INDIRECT("1:"&amp;LEN((LEFT(A170,SUM(LEN(A170)-LEN(SUBSTITUTE(A170,{"0","1","2"},""))))))))/10))*100+1&amp;""&amp;" ,.., "&amp;""&amp;(SUMPRODUCT(MID(0&amp;(--TRIM(RIGHT(SUBSTITUTE(LEFT(A170,_xlfn.AGGREGATE(16,6,FIND({0,1,2,3,4,5,6,7,8,9},A170,ROW(INDIRECT("1:"&amp;LEN(A170)))),1))," ",REPT(" ",LEN(A170))),LEN(A170)))), LARGE(INDEX(ISNUMBER(--MID((--TRIM(RIGHT(SUBSTITUTE(LEFT(A170,_xlfn.AGGREGATE(16,6,FIND({0,1,2,3,4,5,6,7,8,9},A170,ROW(INDIRECT("1:"&amp;LEN(A170)))),1))," ",REPT(" ",LEN(A170))),LEN(A170)))), ROW(INDIRECT("1:"&amp;LEN((--TRIM(RIGHT(SUBSTITUTE(LEFT(A170,_xlfn.AGGREGATE(16,6,FIND({0,1,2,3,4,5,6,7,8,9},A170,ROW(INDIRECT("1:"&amp;LEN(A170)))),1))," ",REPT(" ",LEN(A170))),LEN(A170))))))), 1)) * ROW(INDIRECT("1:"&amp;LEN((--TRIM(RIGHT(SUBSTITUTE(LEFT(A170,_xlfn.AGGREGATE(16,6,FIND({0,1,2,3,4,5,6,7,8,9},A170,ROW(INDIRECT("1:"&amp;LEN(A170)))),1))," ",REPT(" ",LEN(A170))),LEN(A170))))))), 0), ROW(INDIRECT("1:"&amp;LEN((--TRIM(RIGHT(SUBSTITUTE(LEFT(A170,_xlfn.AGGREGATE(16,6,FIND({0,1,2,3,4,5,6,7,8,9},A170,ROW(INDIRECT("1:"&amp;LEN(A170)))),1))," ",REPT(" ",LEN(A170))),LEN(A170))))))))+1, 1) * 10^ROW(INDIRECT("1:"&amp;LEN((--TRIM(RIGHT(SUBSTITUTE(LEFT(A170,_xlfn.AGGREGATE(16,6,FIND({0,1,2,3,4,5,6,7,8,9},A170,ROW(INDIRECT("1:"&amp;LEN(A170)))),1))," ",REPT(" ",LEN(A170))),LEN(A170)))))))/10))*100+1</f>
        <v>301 ,.., 1701</v>
      </c>
      <c r="B171" s="79"/>
      <c r="C171" s="40" t="s">
        <v>266</v>
      </c>
      <c r="D171" s="57">
        <f>(26.3+0.75*(2.35+2.75+2.75))*10.764</f>
        <v>346.46625</v>
      </c>
      <c r="E171" s="57">
        <v>0</v>
      </c>
      <c r="F171" s="40">
        <f t="shared" ref="F171:F190" si="25">D171*(($F$122)+1)+(IF(E171&lt;101,E171,IF(E171&lt;201,E171/2,IF(E171&lt;=301,E171/3,E171/4))))</f>
        <v>519.69937500000003</v>
      </c>
      <c r="G171" s="85" t="str">
        <f>A170</f>
        <v>3rd to 7th, 9th to 12th &amp; 14th to 17th Floor</v>
      </c>
      <c r="H171" s="86"/>
      <c r="I171" s="34"/>
    </row>
    <row r="172" spans="1:14" s="35" customFormat="1" x14ac:dyDescent="0.25">
      <c r="A172" s="77" t="str">
        <f ca="1">(SUMPRODUCT(MID(0&amp;(LEFT(A171,SUM(LEN(A171)-LEN(SUBSTITUTE(A171,{"0","1","2"},""))))), LARGE(INDEX(ISNUMBER(--MID((LEFT(A171,SUM(LEN(A171)-LEN(SUBSTITUTE(A171,{"0","1","2"},""))))), ROW(INDIRECT("1:"&amp;LEN((LEFT(A171,SUM(LEN(A171)-LEN(SUBSTITUTE(A171,{"0","1","2"},"")))))))), 1)) * ROW(INDIRECT("1:"&amp;LEN((LEFT(A171,SUM(LEN(A171)-LEN(SUBSTITUTE(A171,{"0","1","2"},"")))))))), 0), ROW(INDIRECT("1:"&amp;LEN((LEFT(A171,SUM(LEN(A171)-LEN(SUBSTITUTE(A171,{"0","1","2"},"")))))))))+1, 1) * 10^ROW(INDIRECT("1:"&amp;LEN((LEFT(A171,SUM(LEN(A171)-LEN(SUBSTITUTE(A171,{"0","1","2"},""))))))))/10))*1+1&amp;""&amp;" ,.., "&amp;""&amp;(SUMPRODUCT(MID(0&amp;(--TRIM(RIGHT(SUBSTITUTE(LEFT(A171,_xlfn.AGGREGATE(16,6,FIND({0,1,2,3,4,5,6,7,8,9},A171,ROW(INDIRECT("1:"&amp;LEN(A171)))),1))," ",REPT(" ",LEN(A171))),LEN(A171)))), LARGE(INDEX(ISNUMBER(--MID((--TRIM(RIGHT(SUBSTITUTE(LEFT(A171,_xlfn.AGGREGATE(16,6,FIND({0,1,2,3,4,5,6,7,8,9},A171,ROW(INDIRECT("1:"&amp;LEN(A171)))),1))," ",REPT(" ",LEN(A171))),LEN(A171)))), ROW(INDIRECT("1:"&amp;LEN((--TRIM(RIGHT(SUBSTITUTE(LEFT(A171,_xlfn.AGGREGATE(16,6,FIND({0,1,2,3,4,5,6,7,8,9},A171,ROW(INDIRECT("1:"&amp;LEN(A171)))),1))," ",REPT(" ",LEN(A171))),LEN(A171))))))), 1)) * ROW(INDIRECT("1:"&amp;LEN((--TRIM(RIGHT(SUBSTITUTE(LEFT(A171,_xlfn.AGGREGATE(16,6,FIND({0,1,2,3,4,5,6,7,8,9},A171,ROW(INDIRECT("1:"&amp;LEN(A171)))),1))," ",REPT(" ",LEN(A171))),LEN(A171))))))), 0), ROW(INDIRECT("1:"&amp;LEN((--TRIM(RIGHT(SUBSTITUTE(LEFT(A171,_xlfn.AGGREGATE(16,6,FIND({0,1,2,3,4,5,6,7,8,9},A171,ROW(INDIRECT("1:"&amp;LEN(A171)))),1))," ",REPT(" ",LEN(A171))),LEN(A171))))))))+1, 1) * 10^ROW(INDIRECT("1:"&amp;LEN((--TRIM(RIGHT(SUBSTITUTE(LEFT(A171,_xlfn.AGGREGATE(16,6,FIND({0,1,2,3,4,5,6,7,8,9},A171,ROW(INDIRECT("1:"&amp;LEN(A171)))),1))," ",REPT(" ",LEN(A171))),LEN(A171)))))))/10))*1+1</f>
        <v>302 ,.., 1702</v>
      </c>
      <c r="B172" s="79"/>
      <c r="C172" s="40" t="s">
        <v>266</v>
      </c>
      <c r="D172" s="57">
        <f>(27.2+0.75*(2.75+2.75+2.35))*10.764</f>
        <v>356.15384999999998</v>
      </c>
      <c r="E172" s="57">
        <v>0</v>
      </c>
      <c r="F172" s="40">
        <f t="shared" si="25"/>
        <v>534.23077499999999</v>
      </c>
      <c r="G172" s="87"/>
      <c r="H172" s="88"/>
      <c r="I172" s="34"/>
    </row>
    <row r="173" spans="1:14" s="35" customFormat="1" ht="15.75" customHeight="1" x14ac:dyDescent="0.25">
      <c r="A173" s="77" t="str">
        <f ca="1">(SUMPRODUCT(MID(0&amp;(LEFT(A172,SUM(LEN(A172)-LEN(SUBSTITUTE(A172,{"0","1","2"},""))))), LARGE(INDEX(ISNUMBER(--MID((LEFT(A172,SUM(LEN(A172)-LEN(SUBSTITUTE(A172,{"0","1","2"},""))))), ROW(INDIRECT("1:"&amp;LEN((LEFT(A172,SUM(LEN(A172)-LEN(SUBSTITUTE(A172,{"0","1","2"},"")))))))), 1)) * ROW(INDIRECT("1:"&amp;LEN((LEFT(A172,SUM(LEN(A172)-LEN(SUBSTITUTE(A172,{"0","1","2"},"")))))))), 0), ROW(INDIRECT("1:"&amp;LEN((LEFT(A172,SUM(LEN(A172)-LEN(SUBSTITUTE(A172,{"0","1","2"},"")))))))))+1, 1) * 10^ROW(INDIRECT("1:"&amp;LEN((LEFT(A172,SUM(LEN(A172)-LEN(SUBSTITUTE(A172,{"0","1","2"},""))))))))/10))*1+1&amp;""&amp;" ,.., "&amp;""&amp;(SUMPRODUCT(MID(0&amp;(--TRIM(RIGHT(SUBSTITUTE(LEFT(A172,_xlfn.AGGREGATE(16,6,FIND({0,1,2,3,4,5,6,7,8,9},A172,ROW(INDIRECT("1:"&amp;LEN(A172)))),1))," ",REPT(" ",LEN(A172))),LEN(A172)))), LARGE(INDEX(ISNUMBER(--MID((--TRIM(RIGHT(SUBSTITUTE(LEFT(A172,_xlfn.AGGREGATE(16,6,FIND({0,1,2,3,4,5,6,7,8,9},A172,ROW(INDIRECT("1:"&amp;LEN(A172)))),1))," ",REPT(" ",LEN(A172))),LEN(A172)))), ROW(INDIRECT("1:"&amp;LEN((--TRIM(RIGHT(SUBSTITUTE(LEFT(A172,_xlfn.AGGREGATE(16,6,FIND({0,1,2,3,4,5,6,7,8,9},A172,ROW(INDIRECT("1:"&amp;LEN(A172)))),1))," ",REPT(" ",LEN(A172))),LEN(A172))))))), 1)) * ROW(INDIRECT("1:"&amp;LEN((--TRIM(RIGHT(SUBSTITUTE(LEFT(A172,_xlfn.AGGREGATE(16,6,FIND({0,1,2,3,4,5,6,7,8,9},A172,ROW(INDIRECT("1:"&amp;LEN(A172)))),1))," ",REPT(" ",LEN(A172))),LEN(A172))))))), 0), ROW(INDIRECT("1:"&amp;LEN((--TRIM(RIGHT(SUBSTITUTE(LEFT(A172,_xlfn.AGGREGATE(16,6,FIND({0,1,2,3,4,5,6,7,8,9},A172,ROW(INDIRECT("1:"&amp;LEN(A172)))),1))," ",REPT(" ",LEN(A172))),LEN(A172))))))))+1, 1) * 10^ROW(INDIRECT("1:"&amp;LEN((--TRIM(RIGHT(SUBSTITUTE(LEFT(A172,_xlfn.AGGREGATE(16,6,FIND({0,1,2,3,4,5,6,7,8,9},A172,ROW(INDIRECT("1:"&amp;LEN(A172)))),1))," ",REPT(" ",LEN(A172))),LEN(A172)))))))/10))*1+1</f>
        <v>303 ,.., 1703</v>
      </c>
      <c r="B173" s="79"/>
      <c r="C173" s="40" t="s">
        <v>267</v>
      </c>
      <c r="D173" s="57">
        <f>(37.7+0.75*(2.75+2.1+2.75+2.75))*10.764</f>
        <v>489.35835000000003</v>
      </c>
      <c r="E173" s="57">
        <v>0</v>
      </c>
      <c r="F173" s="40">
        <f t="shared" si="25"/>
        <v>734.03752500000007</v>
      </c>
      <c r="G173" s="87"/>
      <c r="H173" s="88"/>
      <c r="I173" s="34"/>
    </row>
    <row r="174" spans="1:14" s="35" customFormat="1" ht="15.75" customHeight="1" x14ac:dyDescent="0.25">
      <c r="A174" s="77" t="str">
        <f ca="1">(SUMPRODUCT(MID(0&amp;(LEFT(A173,SUM(LEN(A173)-LEN(SUBSTITUTE(A173,{"0","1","2"},""))))), LARGE(INDEX(ISNUMBER(--MID((LEFT(A173,SUM(LEN(A173)-LEN(SUBSTITUTE(A173,{"0","1","2"},""))))), ROW(INDIRECT("1:"&amp;LEN((LEFT(A173,SUM(LEN(A173)-LEN(SUBSTITUTE(A173,{"0","1","2"},"")))))))), 1)) * ROW(INDIRECT("1:"&amp;LEN((LEFT(A173,SUM(LEN(A173)-LEN(SUBSTITUTE(A173,{"0","1","2"},"")))))))), 0), ROW(INDIRECT("1:"&amp;LEN((LEFT(A173,SUM(LEN(A173)-LEN(SUBSTITUTE(A173,{"0","1","2"},"")))))))))+1, 1) * 10^ROW(INDIRECT("1:"&amp;LEN((LEFT(A173,SUM(LEN(A173)-LEN(SUBSTITUTE(A173,{"0","1","2"},""))))))))/10))*1+1&amp;""&amp;" ,.., "&amp;""&amp;(SUMPRODUCT(MID(0&amp;(--TRIM(RIGHT(SUBSTITUTE(LEFT(A173,_xlfn.AGGREGATE(16,6,FIND({0,1,2,3,4,5,6,7,8,9},A173,ROW(INDIRECT("1:"&amp;LEN(A173)))),1))," ",REPT(" ",LEN(A173))),LEN(A173)))), LARGE(INDEX(ISNUMBER(--MID((--TRIM(RIGHT(SUBSTITUTE(LEFT(A173,_xlfn.AGGREGATE(16,6,FIND({0,1,2,3,4,5,6,7,8,9},A173,ROW(INDIRECT("1:"&amp;LEN(A173)))),1))," ",REPT(" ",LEN(A173))),LEN(A173)))), ROW(INDIRECT("1:"&amp;LEN((--TRIM(RIGHT(SUBSTITUTE(LEFT(A173,_xlfn.AGGREGATE(16,6,FIND({0,1,2,3,4,5,6,7,8,9},A173,ROW(INDIRECT("1:"&amp;LEN(A173)))),1))," ",REPT(" ",LEN(A173))),LEN(A173))))))), 1)) * ROW(INDIRECT("1:"&amp;LEN((--TRIM(RIGHT(SUBSTITUTE(LEFT(A173,_xlfn.AGGREGATE(16,6,FIND({0,1,2,3,4,5,6,7,8,9},A173,ROW(INDIRECT("1:"&amp;LEN(A173)))),1))," ",REPT(" ",LEN(A173))),LEN(A173))))))), 0), ROW(INDIRECT("1:"&amp;LEN((--TRIM(RIGHT(SUBSTITUTE(LEFT(A173,_xlfn.AGGREGATE(16,6,FIND({0,1,2,3,4,5,6,7,8,9},A173,ROW(INDIRECT("1:"&amp;LEN(A173)))),1))," ",REPT(" ",LEN(A173))),LEN(A173))))))))+1, 1) * 10^ROW(INDIRECT("1:"&amp;LEN((--TRIM(RIGHT(SUBSTITUTE(LEFT(A173,_xlfn.AGGREGATE(16,6,FIND({0,1,2,3,4,5,6,7,8,9},A173,ROW(INDIRECT("1:"&amp;LEN(A173)))),1))," ",REPT(" ",LEN(A173))),LEN(A173)))))))/10))*1+1</f>
        <v>304 ,.., 1704</v>
      </c>
      <c r="B174" s="79"/>
      <c r="C174" s="40" t="s">
        <v>268</v>
      </c>
      <c r="D174" s="57">
        <f>(18.1+0.75*(2.6+2.25))*10.764</f>
        <v>233.98245</v>
      </c>
      <c r="E174" s="57">
        <v>0</v>
      </c>
      <c r="F174" s="40">
        <f t="shared" si="25"/>
        <v>350.97367500000001</v>
      </c>
      <c r="G174" s="87"/>
      <c r="H174" s="88"/>
      <c r="I174" s="34"/>
    </row>
    <row r="175" spans="1:14" s="35" customFormat="1" ht="15.75" customHeight="1" x14ac:dyDescent="0.25">
      <c r="A175" s="77" t="str">
        <f ca="1">(SUMPRODUCT(MID(0&amp;(LEFT(A174,SUM(LEN(A174)-LEN(SUBSTITUTE(A174,{"0","1","2"},""))))), LARGE(INDEX(ISNUMBER(--MID((LEFT(A174,SUM(LEN(A174)-LEN(SUBSTITUTE(A174,{"0","1","2"},""))))), ROW(INDIRECT("1:"&amp;LEN((LEFT(A174,SUM(LEN(A174)-LEN(SUBSTITUTE(A174,{"0","1","2"},"")))))))), 1)) * ROW(INDIRECT("1:"&amp;LEN((LEFT(A174,SUM(LEN(A174)-LEN(SUBSTITUTE(A174,{"0","1","2"},"")))))))), 0), ROW(INDIRECT("1:"&amp;LEN((LEFT(A174,SUM(LEN(A174)-LEN(SUBSTITUTE(A174,{"0","1","2"},"")))))))))+1, 1) * 10^ROW(INDIRECT("1:"&amp;LEN((LEFT(A174,SUM(LEN(A174)-LEN(SUBSTITUTE(A174,{"0","1","2"},""))))))))/10))*1+1&amp;""&amp;" ,.., "&amp;""&amp;(SUMPRODUCT(MID(0&amp;(--TRIM(RIGHT(SUBSTITUTE(LEFT(A174,_xlfn.AGGREGATE(16,6,FIND({0,1,2,3,4,5,6,7,8,9},A174,ROW(INDIRECT("1:"&amp;LEN(A174)))),1))," ",REPT(" ",LEN(A174))),LEN(A174)))), LARGE(INDEX(ISNUMBER(--MID((--TRIM(RIGHT(SUBSTITUTE(LEFT(A174,_xlfn.AGGREGATE(16,6,FIND({0,1,2,3,4,5,6,7,8,9},A174,ROW(INDIRECT("1:"&amp;LEN(A174)))),1))," ",REPT(" ",LEN(A174))),LEN(A174)))), ROW(INDIRECT("1:"&amp;LEN((--TRIM(RIGHT(SUBSTITUTE(LEFT(A174,_xlfn.AGGREGATE(16,6,FIND({0,1,2,3,4,5,6,7,8,9},A174,ROW(INDIRECT("1:"&amp;LEN(A174)))),1))," ",REPT(" ",LEN(A174))),LEN(A174))))))), 1)) * ROW(INDIRECT("1:"&amp;LEN((--TRIM(RIGHT(SUBSTITUTE(LEFT(A174,_xlfn.AGGREGATE(16,6,FIND({0,1,2,3,4,5,6,7,8,9},A174,ROW(INDIRECT("1:"&amp;LEN(A174)))),1))," ",REPT(" ",LEN(A174))),LEN(A174))))))), 0), ROW(INDIRECT("1:"&amp;LEN((--TRIM(RIGHT(SUBSTITUTE(LEFT(A174,_xlfn.AGGREGATE(16,6,FIND({0,1,2,3,4,5,6,7,8,9},A174,ROW(INDIRECT("1:"&amp;LEN(A174)))),1))," ",REPT(" ",LEN(A174))),LEN(A174))))))))+1, 1) * 10^ROW(INDIRECT("1:"&amp;LEN((--TRIM(RIGHT(SUBSTITUTE(LEFT(A174,_xlfn.AGGREGATE(16,6,FIND({0,1,2,3,4,5,6,7,8,9},A174,ROW(INDIRECT("1:"&amp;LEN(A174)))),1))," ",REPT(" ",LEN(A174))),LEN(A174)))))))/10))*1+1</f>
        <v>305 ,.., 1705</v>
      </c>
      <c r="B175" s="79"/>
      <c r="C175" s="40" t="s">
        <v>266</v>
      </c>
      <c r="D175" s="57">
        <f>(27.3+0.75*(2.75+2.75+2.35))*10.764</f>
        <v>357.23024999999996</v>
      </c>
      <c r="E175" s="57">
        <v>0</v>
      </c>
      <c r="F175" s="40">
        <f t="shared" si="25"/>
        <v>535.84537499999988</v>
      </c>
      <c r="G175" s="87"/>
      <c r="H175" s="88"/>
      <c r="I175" s="34"/>
    </row>
    <row r="176" spans="1:14" s="35" customFormat="1" ht="15.75" customHeight="1" x14ac:dyDescent="0.25">
      <c r="A176" s="77" t="str">
        <f ca="1">(SUMPRODUCT(MID(0&amp;(LEFT(A175,SUM(LEN(A175)-LEN(SUBSTITUTE(A175,{"0","1","2"},""))))), LARGE(INDEX(ISNUMBER(--MID((LEFT(A175,SUM(LEN(A175)-LEN(SUBSTITUTE(A175,{"0","1","2"},""))))), ROW(INDIRECT("1:"&amp;LEN((LEFT(A175,SUM(LEN(A175)-LEN(SUBSTITUTE(A175,{"0","1","2"},"")))))))), 1)) * ROW(INDIRECT("1:"&amp;LEN((LEFT(A175,SUM(LEN(A175)-LEN(SUBSTITUTE(A175,{"0","1","2"},"")))))))), 0), ROW(INDIRECT("1:"&amp;LEN((LEFT(A175,SUM(LEN(A175)-LEN(SUBSTITUTE(A175,{"0","1","2"},"")))))))))+1, 1) * 10^ROW(INDIRECT("1:"&amp;LEN((LEFT(A175,SUM(LEN(A175)-LEN(SUBSTITUTE(A175,{"0","1","2"},""))))))))/10))*1+1&amp;""&amp;" ,.., "&amp;""&amp;(SUMPRODUCT(MID(0&amp;(--TRIM(RIGHT(SUBSTITUTE(LEFT(A175,_xlfn.AGGREGATE(16,6,FIND({0,1,2,3,4,5,6,7,8,9},A175,ROW(INDIRECT("1:"&amp;LEN(A175)))),1))," ",REPT(" ",LEN(A175))),LEN(A175)))), LARGE(INDEX(ISNUMBER(--MID((--TRIM(RIGHT(SUBSTITUTE(LEFT(A175,_xlfn.AGGREGATE(16,6,FIND({0,1,2,3,4,5,6,7,8,9},A175,ROW(INDIRECT("1:"&amp;LEN(A175)))),1))," ",REPT(" ",LEN(A175))),LEN(A175)))), ROW(INDIRECT("1:"&amp;LEN((--TRIM(RIGHT(SUBSTITUTE(LEFT(A175,_xlfn.AGGREGATE(16,6,FIND({0,1,2,3,4,5,6,7,8,9},A175,ROW(INDIRECT("1:"&amp;LEN(A175)))),1))," ",REPT(" ",LEN(A175))),LEN(A175))))))), 1)) * ROW(INDIRECT("1:"&amp;LEN((--TRIM(RIGHT(SUBSTITUTE(LEFT(A175,_xlfn.AGGREGATE(16,6,FIND({0,1,2,3,4,5,6,7,8,9},A175,ROW(INDIRECT("1:"&amp;LEN(A175)))),1))," ",REPT(" ",LEN(A175))),LEN(A175))))))), 0), ROW(INDIRECT("1:"&amp;LEN((--TRIM(RIGHT(SUBSTITUTE(LEFT(A175,_xlfn.AGGREGATE(16,6,FIND({0,1,2,3,4,5,6,7,8,9},A175,ROW(INDIRECT("1:"&amp;LEN(A175)))),1))," ",REPT(" ",LEN(A175))),LEN(A175))))))))+1, 1) * 10^ROW(INDIRECT("1:"&amp;LEN((--TRIM(RIGHT(SUBSTITUTE(LEFT(A175,_xlfn.AGGREGATE(16,6,FIND({0,1,2,3,4,5,6,7,8,9},A175,ROW(INDIRECT("1:"&amp;LEN(A175)))),1))," ",REPT(" ",LEN(A175))),LEN(A175)))))))/10))*1+1</f>
        <v>306 ,.., 1706</v>
      </c>
      <c r="B176" s="79"/>
      <c r="C176" s="40" t="s">
        <v>266</v>
      </c>
      <c r="D176" s="57">
        <f>(27.2+0.75*(2.35+2.75+2.75))*10.764</f>
        <v>356.15384999999998</v>
      </c>
      <c r="E176" s="57">
        <v>0</v>
      </c>
      <c r="F176" s="40">
        <f t="shared" si="25"/>
        <v>534.23077499999999</v>
      </c>
      <c r="G176" s="87"/>
      <c r="H176" s="88"/>
      <c r="I176" s="34"/>
    </row>
    <row r="177" spans="1:9" s="35" customFormat="1" ht="15.75" customHeight="1" x14ac:dyDescent="0.25">
      <c r="A177" s="77" t="str">
        <f ca="1">(SUMPRODUCT(MID(0&amp;(LEFT(A176,SUM(LEN(A176)-LEN(SUBSTITUTE(A176,{"0","1","2"},""))))), LARGE(INDEX(ISNUMBER(--MID((LEFT(A176,SUM(LEN(A176)-LEN(SUBSTITUTE(A176,{"0","1","2"},""))))), ROW(INDIRECT("1:"&amp;LEN((LEFT(A176,SUM(LEN(A176)-LEN(SUBSTITUTE(A176,{"0","1","2"},"")))))))), 1)) * ROW(INDIRECT("1:"&amp;LEN((LEFT(A176,SUM(LEN(A176)-LEN(SUBSTITUTE(A176,{"0","1","2"},"")))))))), 0), ROW(INDIRECT("1:"&amp;LEN((LEFT(A176,SUM(LEN(A176)-LEN(SUBSTITUTE(A176,{"0","1","2"},"")))))))))+1, 1) * 10^ROW(INDIRECT("1:"&amp;LEN((LEFT(A176,SUM(LEN(A176)-LEN(SUBSTITUTE(A176,{"0","1","2"},""))))))))/10))*1+1&amp;""&amp;" ,.., "&amp;""&amp;(SUMPRODUCT(MID(0&amp;(--TRIM(RIGHT(SUBSTITUTE(LEFT(A176,_xlfn.AGGREGATE(16,6,FIND({0,1,2,3,4,5,6,7,8,9},A176,ROW(INDIRECT("1:"&amp;LEN(A176)))),1))," ",REPT(" ",LEN(A176))),LEN(A176)))), LARGE(INDEX(ISNUMBER(--MID((--TRIM(RIGHT(SUBSTITUTE(LEFT(A176,_xlfn.AGGREGATE(16,6,FIND({0,1,2,3,4,5,6,7,8,9},A176,ROW(INDIRECT("1:"&amp;LEN(A176)))),1))," ",REPT(" ",LEN(A176))),LEN(A176)))), ROW(INDIRECT("1:"&amp;LEN((--TRIM(RIGHT(SUBSTITUTE(LEFT(A176,_xlfn.AGGREGATE(16,6,FIND({0,1,2,3,4,5,6,7,8,9},A176,ROW(INDIRECT("1:"&amp;LEN(A176)))),1))," ",REPT(" ",LEN(A176))),LEN(A176))))))), 1)) * ROW(INDIRECT("1:"&amp;LEN((--TRIM(RIGHT(SUBSTITUTE(LEFT(A176,_xlfn.AGGREGATE(16,6,FIND({0,1,2,3,4,5,6,7,8,9},A176,ROW(INDIRECT("1:"&amp;LEN(A176)))),1))," ",REPT(" ",LEN(A176))),LEN(A176))))))), 0), ROW(INDIRECT("1:"&amp;LEN((--TRIM(RIGHT(SUBSTITUTE(LEFT(A176,_xlfn.AGGREGATE(16,6,FIND({0,1,2,3,4,5,6,7,8,9},A176,ROW(INDIRECT("1:"&amp;LEN(A176)))),1))," ",REPT(" ",LEN(A176))),LEN(A176))))))))+1, 1) * 10^ROW(INDIRECT("1:"&amp;LEN((--TRIM(RIGHT(SUBSTITUTE(LEFT(A176,_xlfn.AGGREGATE(16,6,FIND({0,1,2,3,4,5,6,7,8,9},A176,ROW(INDIRECT("1:"&amp;LEN(A176)))),1))," ",REPT(" ",LEN(A176))),LEN(A176)))))))/10))*1+1</f>
        <v>307 ,.., 1707</v>
      </c>
      <c r="B177" s="79"/>
      <c r="C177" s="40" t="s">
        <v>266</v>
      </c>
      <c r="D177" s="57">
        <f>(27.1+0.75*(2.75+2.75+2.35))*10.764</f>
        <v>355.07744999999994</v>
      </c>
      <c r="E177" s="57">
        <v>0</v>
      </c>
      <c r="F177" s="40">
        <f t="shared" si="25"/>
        <v>532.61617499999988</v>
      </c>
      <c r="G177" s="87"/>
      <c r="H177" s="88"/>
      <c r="I177" s="34"/>
    </row>
    <row r="178" spans="1:9" s="35" customFormat="1" ht="15.75" customHeight="1" x14ac:dyDescent="0.25">
      <c r="A178" s="77" t="str">
        <f ca="1">(SUMPRODUCT(MID(0&amp;(LEFT(A177,SUM(LEN(A177)-LEN(SUBSTITUTE(A177,{"0","1","2"},""))))), LARGE(INDEX(ISNUMBER(--MID((LEFT(A177,SUM(LEN(A177)-LEN(SUBSTITUTE(A177,{"0","1","2"},""))))), ROW(INDIRECT("1:"&amp;LEN((LEFT(A177,SUM(LEN(A177)-LEN(SUBSTITUTE(A177,{"0","1","2"},"")))))))), 1)) * ROW(INDIRECT("1:"&amp;LEN((LEFT(A177,SUM(LEN(A177)-LEN(SUBSTITUTE(A177,{"0","1","2"},"")))))))), 0), ROW(INDIRECT("1:"&amp;LEN((LEFT(A177,SUM(LEN(A177)-LEN(SUBSTITUTE(A177,{"0","1","2"},"")))))))))+1, 1) * 10^ROW(INDIRECT("1:"&amp;LEN((LEFT(A177,SUM(LEN(A177)-LEN(SUBSTITUTE(A177,{"0","1","2"},""))))))))/10))*1+1&amp;""&amp;" ,.., "&amp;""&amp;(SUMPRODUCT(MID(0&amp;(--TRIM(RIGHT(SUBSTITUTE(LEFT(A177,_xlfn.AGGREGATE(16,6,FIND({0,1,2,3,4,5,6,7,8,9},A177,ROW(INDIRECT("1:"&amp;LEN(A177)))),1))," ",REPT(" ",LEN(A177))),LEN(A177)))), LARGE(INDEX(ISNUMBER(--MID((--TRIM(RIGHT(SUBSTITUTE(LEFT(A177,_xlfn.AGGREGATE(16,6,FIND({0,1,2,3,4,5,6,7,8,9},A177,ROW(INDIRECT("1:"&amp;LEN(A177)))),1))," ",REPT(" ",LEN(A177))),LEN(A177)))), ROW(INDIRECT("1:"&amp;LEN((--TRIM(RIGHT(SUBSTITUTE(LEFT(A177,_xlfn.AGGREGATE(16,6,FIND({0,1,2,3,4,5,6,7,8,9},A177,ROW(INDIRECT("1:"&amp;LEN(A177)))),1))," ",REPT(" ",LEN(A177))),LEN(A177))))))), 1)) * ROW(INDIRECT("1:"&amp;LEN((--TRIM(RIGHT(SUBSTITUTE(LEFT(A177,_xlfn.AGGREGATE(16,6,FIND({0,1,2,3,4,5,6,7,8,9},A177,ROW(INDIRECT("1:"&amp;LEN(A177)))),1))," ",REPT(" ",LEN(A177))),LEN(A177))))))), 0), ROW(INDIRECT("1:"&amp;LEN((--TRIM(RIGHT(SUBSTITUTE(LEFT(A177,_xlfn.AGGREGATE(16,6,FIND({0,1,2,3,4,5,6,7,8,9},A177,ROW(INDIRECT("1:"&amp;LEN(A177)))),1))," ",REPT(" ",LEN(A177))),LEN(A177))))))))+1, 1) * 10^ROW(INDIRECT("1:"&amp;LEN((--TRIM(RIGHT(SUBSTITUTE(LEFT(A177,_xlfn.AGGREGATE(16,6,FIND({0,1,2,3,4,5,6,7,8,9},A177,ROW(INDIRECT("1:"&amp;LEN(A177)))),1))," ",REPT(" ",LEN(A177))),LEN(A177)))))))/10))*1+1</f>
        <v>308 ,.., 1708</v>
      </c>
      <c r="B178" s="79"/>
      <c r="C178" s="40" t="s">
        <v>266</v>
      </c>
      <c r="D178" s="57">
        <f>(27.6+0.75*(2.75+2.75+2.35))*10.764</f>
        <v>360.45944999999995</v>
      </c>
      <c r="E178" s="57">
        <v>0</v>
      </c>
      <c r="F178" s="40">
        <f t="shared" si="25"/>
        <v>540.68917499999998</v>
      </c>
      <c r="G178" s="87"/>
      <c r="H178" s="88"/>
      <c r="I178" s="34"/>
    </row>
    <row r="179" spans="1:9" s="35" customFormat="1" ht="15.75" customHeight="1" x14ac:dyDescent="0.25">
      <c r="A179" s="77" t="str">
        <f ca="1">(SUMPRODUCT(MID(0&amp;(LEFT(A178,SUM(LEN(A178)-LEN(SUBSTITUTE(A178,{"0","1","2"},""))))), LARGE(INDEX(ISNUMBER(--MID((LEFT(A178,SUM(LEN(A178)-LEN(SUBSTITUTE(A178,{"0","1","2"},""))))), ROW(INDIRECT("1:"&amp;LEN((LEFT(A178,SUM(LEN(A178)-LEN(SUBSTITUTE(A178,{"0","1","2"},"")))))))), 1)) * ROW(INDIRECT("1:"&amp;LEN((LEFT(A178,SUM(LEN(A178)-LEN(SUBSTITUTE(A178,{"0","1","2"},"")))))))), 0), ROW(INDIRECT("1:"&amp;LEN((LEFT(A178,SUM(LEN(A178)-LEN(SUBSTITUTE(A178,{"0","1","2"},"")))))))))+1, 1) * 10^ROW(INDIRECT("1:"&amp;LEN((LEFT(A178,SUM(LEN(A178)-LEN(SUBSTITUTE(A178,{"0","1","2"},""))))))))/10))*1+1&amp;""&amp;" ,.., "&amp;""&amp;(SUMPRODUCT(MID(0&amp;(--TRIM(RIGHT(SUBSTITUTE(LEFT(A178,_xlfn.AGGREGATE(16,6,FIND({0,1,2,3,4,5,6,7,8,9},A178,ROW(INDIRECT("1:"&amp;LEN(A178)))),1))," ",REPT(" ",LEN(A178))),LEN(A178)))), LARGE(INDEX(ISNUMBER(--MID((--TRIM(RIGHT(SUBSTITUTE(LEFT(A178,_xlfn.AGGREGATE(16,6,FIND({0,1,2,3,4,5,6,7,8,9},A178,ROW(INDIRECT("1:"&amp;LEN(A178)))),1))," ",REPT(" ",LEN(A178))),LEN(A178)))), ROW(INDIRECT("1:"&amp;LEN((--TRIM(RIGHT(SUBSTITUTE(LEFT(A178,_xlfn.AGGREGATE(16,6,FIND({0,1,2,3,4,5,6,7,8,9},A178,ROW(INDIRECT("1:"&amp;LEN(A178)))),1))," ",REPT(" ",LEN(A178))),LEN(A178))))))), 1)) * ROW(INDIRECT("1:"&amp;LEN((--TRIM(RIGHT(SUBSTITUTE(LEFT(A178,_xlfn.AGGREGATE(16,6,FIND({0,1,2,3,4,5,6,7,8,9},A178,ROW(INDIRECT("1:"&amp;LEN(A178)))),1))," ",REPT(" ",LEN(A178))),LEN(A178))))))), 0), ROW(INDIRECT("1:"&amp;LEN((--TRIM(RIGHT(SUBSTITUTE(LEFT(A178,_xlfn.AGGREGATE(16,6,FIND({0,1,2,3,4,5,6,7,8,9},A178,ROW(INDIRECT("1:"&amp;LEN(A178)))),1))," ",REPT(" ",LEN(A178))),LEN(A178))))))))+1, 1) * 10^ROW(INDIRECT("1:"&amp;LEN((--TRIM(RIGHT(SUBSTITUTE(LEFT(A178,_xlfn.AGGREGATE(16,6,FIND({0,1,2,3,4,5,6,7,8,9},A178,ROW(INDIRECT("1:"&amp;LEN(A178)))),1))," ",REPT(" ",LEN(A178))),LEN(A178)))))))/10))*1+1</f>
        <v>309 ,.., 1709</v>
      </c>
      <c r="B179" s="79"/>
      <c r="C179" s="40" t="s">
        <v>267</v>
      </c>
      <c r="D179" s="57">
        <f>(37.7+0.75*(2.1+2.75+2.75+2.75))*10.764</f>
        <v>489.35835000000003</v>
      </c>
      <c r="E179" s="57">
        <v>0</v>
      </c>
      <c r="F179" s="40">
        <f t="shared" si="25"/>
        <v>734.03752500000007</v>
      </c>
      <c r="G179" s="87"/>
      <c r="H179" s="88"/>
      <c r="I179" s="34"/>
    </row>
    <row r="180" spans="1:9" s="35" customFormat="1" ht="15.75" customHeight="1" x14ac:dyDescent="0.25">
      <c r="A180" s="77" t="str">
        <f ca="1">(SUMPRODUCT(MID(0&amp;(LEFT(A179,SUM(LEN(A179)-LEN(SUBSTITUTE(A179,{"0","1","2"},""))))), LARGE(INDEX(ISNUMBER(--MID((LEFT(A179,SUM(LEN(A179)-LEN(SUBSTITUTE(A179,{"0","1","2"},""))))), ROW(INDIRECT("1:"&amp;LEN((LEFT(A179,SUM(LEN(A179)-LEN(SUBSTITUTE(A179,{"0","1","2"},"")))))))), 1)) * ROW(INDIRECT("1:"&amp;LEN((LEFT(A179,SUM(LEN(A179)-LEN(SUBSTITUTE(A179,{"0","1","2"},"")))))))), 0), ROW(INDIRECT("1:"&amp;LEN((LEFT(A179,SUM(LEN(A179)-LEN(SUBSTITUTE(A179,{"0","1","2"},"")))))))))+1, 1) * 10^ROW(INDIRECT("1:"&amp;LEN((LEFT(A179,SUM(LEN(A179)-LEN(SUBSTITUTE(A179,{"0","1","2"},""))))))))/10))*1+1&amp;""&amp;" ,.., "&amp;""&amp;(SUMPRODUCT(MID(0&amp;(--TRIM(RIGHT(SUBSTITUTE(LEFT(A179,_xlfn.AGGREGATE(16,6,FIND({0,1,2,3,4,5,6,7,8,9},A179,ROW(INDIRECT("1:"&amp;LEN(A179)))),1))," ",REPT(" ",LEN(A179))),LEN(A179)))), LARGE(INDEX(ISNUMBER(--MID((--TRIM(RIGHT(SUBSTITUTE(LEFT(A179,_xlfn.AGGREGATE(16,6,FIND({0,1,2,3,4,5,6,7,8,9},A179,ROW(INDIRECT("1:"&amp;LEN(A179)))),1))," ",REPT(" ",LEN(A179))),LEN(A179)))), ROW(INDIRECT("1:"&amp;LEN((--TRIM(RIGHT(SUBSTITUTE(LEFT(A179,_xlfn.AGGREGATE(16,6,FIND({0,1,2,3,4,5,6,7,8,9},A179,ROW(INDIRECT("1:"&amp;LEN(A179)))),1))," ",REPT(" ",LEN(A179))),LEN(A179))))))), 1)) * ROW(INDIRECT("1:"&amp;LEN((--TRIM(RIGHT(SUBSTITUTE(LEFT(A179,_xlfn.AGGREGATE(16,6,FIND({0,1,2,3,4,5,6,7,8,9},A179,ROW(INDIRECT("1:"&amp;LEN(A179)))),1))," ",REPT(" ",LEN(A179))),LEN(A179))))))), 0), ROW(INDIRECT("1:"&amp;LEN((--TRIM(RIGHT(SUBSTITUTE(LEFT(A179,_xlfn.AGGREGATE(16,6,FIND({0,1,2,3,4,5,6,7,8,9},A179,ROW(INDIRECT("1:"&amp;LEN(A179)))),1))," ",REPT(" ",LEN(A179))),LEN(A179))))))))+1, 1) * 10^ROW(INDIRECT("1:"&amp;LEN((--TRIM(RIGHT(SUBSTITUTE(LEFT(A179,_xlfn.AGGREGATE(16,6,FIND({0,1,2,3,4,5,6,7,8,9},A179,ROW(INDIRECT("1:"&amp;LEN(A179)))),1))," ",REPT(" ",LEN(A179))),LEN(A179)))))))/10))*1+1</f>
        <v>310 ,.., 1710</v>
      </c>
      <c r="B180" s="79"/>
      <c r="C180" s="40" t="s">
        <v>267</v>
      </c>
      <c r="D180" s="57">
        <f>(39.8+0.75*(2.75+2.75+2.1+2.75))*10.764</f>
        <v>511.96274999999997</v>
      </c>
      <c r="E180" s="57">
        <v>0</v>
      </c>
      <c r="F180" s="40">
        <f t="shared" si="25"/>
        <v>767.94412499999999</v>
      </c>
      <c r="G180" s="87"/>
      <c r="H180" s="88"/>
      <c r="I180" s="34"/>
    </row>
    <row r="181" spans="1:9" s="35" customFormat="1" ht="15.75" customHeight="1" x14ac:dyDescent="0.25">
      <c r="A181" s="77" t="str">
        <f ca="1">(SUMPRODUCT(MID(0&amp;(LEFT(A180,SUM(LEN(A180)-LEN(SUBSTITUTE(A180,{"0","1","2"},""))))), LARGE(INDEX(ISNUMBER(--MID((LEFT(A180,SUM(LEN(A180)-LEN(SUBSTITUTE(A180,{"0","1","2"},""))))), ROW(INDIRECT("1:"&amp;LEN((LEFT(A180,SUM(LEN(A180)-LEN(SUBSTITUTE(A180,{"0","1","2"},"")))))))), 1)) * ROW(INDIRECT("1:"&amp;LEN((LEFT(A180,SUM(LEN(A180)-LEN(SUBSTITUTE(A180,{"0","1","2"},"")))))))), 0), ROW(INDIRECT("1:"&amp;LEN((LEFT(A180,SUM(LEN(A180)-LEN(SUBSTITUTE(A180,{"0","1","2"},"")))))))))+1, 1) * 10^ROW(INDIRECT("1:"&amp;LEN((LEFT(A180,SUM(LEN(A180)-LEN(SUBSTITUTE(A180,{"0","1","2"},""))))))))/10))*1+1&amp;""&amp;" ,.., "&amp;""&amp;(SUMPRODUCT(MID(0&amp;(--TRIM(RIGHT(SUBSTITUTE(LEFT(A180,_xlfn.AGGREGATE(16,6,FIND({0,1,2,3,4,5,6,7,8,9},A180,ROW(INDIRECT("1:"&amp;LEN(A180)))),1))," ",REPT(" ",LEN(A180))),LEN(A180)))), LARGE(INDEX(ISNUMBER(--MID((--TRIM(RIGHT(SUBSTITUTE(LEFT(A180,_xlfn.AGGREGATE(16,6,FIND({0,1,2,3,4,5,6,7,8,9},A180,ROW(INDIRECT("1:"&amp;LEN(A180)))),1))," ",REPT(" ",LEN(A180))),LEN(A180)))), ROW(INDIRECT("1:"&amp;LEN((--TRIM(RIGHT(SUBSTITUTE(LEFT(A180,_xlfn.AGGREGATE(16,6,FIND({0,1,2,3,4,5,6,7,8,9},A180,ROW(INDIRECT("1:"&amp;LEN(A180)))),1))," ",REPT(" ",LEN(A180))),LEN(A180))))))), 1)) * ROW(INDIRECT("1:"&amp;LEN((--TRIM(RIGHT(SUBSTITUTE(LEFT(A180,_xlfn.AGGREGATE(16,6,FIND({0,1,2,3,4,5,6,7,8,9},A180,ROW(INDIRECT("1:"&amp;LEN(A180)))),1))," ",REPT(" ",LEN(A180))),LEN(A180))))))), 0), ROW(INDIRECT("1:"&amp;LEN((--TRIM(RIGHT(SUBSTITUTE(LEFT(A180,_xlfn.AGGREGATE(16,6,FIND({0,1,2,3,4,5,6,7,8,9},A180,ROW(INDIRECT("1:"&amp;LEN(A180)))),1))," ",REPT(" ",LEN(A180))),LEN(A180))))))))+1, 1) * 10^ROW(INDIRECT("1:"&amp;LEN((--TRIM(RIGHT(SUBSTITUTE(LEFT(A180,_xlfn.AGGREGATE(16,6,FIND({0,1,2,3,4,5,6,7,8,9},A180,ROW(INDIRECT("1:"&amp;LEN(A180)))),1))," ",REPT(" ",LEN(A180))),LEN(A180)))))))/10))*1+1</f>
        <v>311 ,.., 1711</v>
      </c>
      <c r="B181" s="79"/>
      <c r="C181" s="40" t="s">
        <v>268</v>
      </c>
      <c r="D181" s="57">
        <f>(18.1+0.75*(2.6+2.25))*10.764</f>
        <v>233.98245</v>
      </c>
      <c r="E181" s="57">
        <v>0</v>
      </c>
      <c r="F181" s="40">
        <f t="shared" si="25"/>
        <v>350.97367500000001</v>
      </c>
      <c r="G181" s="87"/>
      <c r="H181" s="88"/>
      <c r="I181" s="34"/>
    </row>
    <row r="182" spans="1:9" s="35" customFormat="1" ht="15.75" customHeight="1" x14ac:dyDescent="0.25">
      <c r="A182" s="77" t="str">
        <f ca="1">(SUMPRODUCT(MID(0&amp;(LEFT(A181,SUM(LEN(A181)-LEN(SUBSTITUTE(A181,{"0","1","2"},""))))), LARGE(INDEX(ISNUMBER(--MID((LEFT(A181,SUM(LEN(A181)-LEN(SUBSTITUTE(A181,{"0","1","2"},""))))), ROW(INDIRECT("1:"&amp;LEN((LEFT(A181,SUM(LEN(A181)-LEN(SUBSTITUTE(A181,{"0","1","2"},"")))))))), 1)) * ROW(INDIRECT("1:"&amp;LEN((LEFT(A181,SUM(LEN(A181)-LEN(SUBSTITUTE(A181,{"0","1","2"},"")))))))), 0), ROW(INDIRECT("1:"&amp;LEN((LEFT(A181,SUM(LEN(A181)-LEN(SUBSTITUTE(A181,{"0","1","2"},"")))))))))+1, 1) * 10^ROW(INDIRECT("1:"&amp;LEN((LEFT(A181,SUM(LEN(A181)-LEN(SUBSTITUTE(A181,{"0","1","2"},""))))))))/10))*1+1&amp;""&amp;" ,.., "&amp;""&amp;(SUMPRODUCT(MID(0&amp;(--TRIM(RIGHT(SUBSTITUTE(LEFT(A181,_xlfn.AGGREGATE(16,6,FIND({0,1,2,3,4,5,6,7,8,9},A181,ROW(INDIRECT("1:"&amp;LEN(A181)))),1))," ",REPT(" ",LEN(A181))),LEN(A181)))), LARGE(INDEX(ISNUMBER(--MID((--TRIM(RIGHT(SUBSTITUTE(LEFT(A181,_xlfn.AGGREGATE(16,6,FIND({0,1,2,3,4,5,6,7,8,9},A181,ROW(INDIRECT("1:"&amp;LEN(A181)))),1))," ",REPT(" ",LEN(A181))),LEN(A181)))), ROW(INDIRECT("1:"&amp;LEN((--TRIM(RIGHT(SUBSTITUTE(LEFT(A181,_xlfn.AGGREGATE(16,6,FIND({0,1,2,3,4,5,6,7,8,9},A181,ROW(INDIRECT("1:"&amp;LEN(A181)))),1))," ",REPT(" ",LEN(A181))),LEN(A181))))))), 1)) * ROW(INDIRECT("1:"&amp;LEN((--TRIM(RIGHT(SUBSTITUTE(LEFT(A181,_xlfn.AGGREGATE(16,6,FIND({0,1,2,3,4,5,6,7,8,9},A181,ROW(INDIRECT("1:"&amp;LEN(A181)))),1))," ",REPT(" ",LEN(A181))),LEN(A181))))))), 0), ROW(INDIRECT("1:"&amp;LEN((--TRIM(RIGHT(SUBSTITUTE(LEFT(A181,_xlfn.AGGREGATE(16,6,FIND({0,1,2,3,4,5,6,7,8,9},A181,ROW(INDIRECT("1:"&amp;LEN(A181)))),1))," ",REPT(" ",LEN(A181))),LEN(A181))))))))+1, 1) * 10^ROW(INDIRECT("1:"&amp;LEN((--TRIM(RIGHT(SUBSTITUTE(LEFT(A181,_xlfn.AGGREGATE(16,6,FIND({0,1,2,3,4,5,6,7,8,9},A181,ROW(INDIRECT("1:"&amp;LEN(A181)))),1))," ",REPT(" ",LEN(A181))),LEN(A181)))))))/10))*1+1</f>
        <v>312 ,.., 1712</v>
      </c>
      <c r="B182" s="79"/>
      <c r="C182" s="40" t="s">
        <v>266</v>
      </c>
      <c r="D182" s="57">
        <f>(27.1+0.75*(2.35+2.75+2.75))*10.764</f>
        <v>355.07744999999994</v>
      </c>
      <c r="E182" s="57">
        <v>0</v>
      </c>
      <c r="F182" s="40">
        <f t="shared" si="25"/>
        <v>532.61617499999988</v>
      </c>
      <c r="G182" s="87"/>
      <c r="H182" s="88"/>
      <c r="I182" s="34"/>
    </row>
    <row r="183" spans="1:9" s="35" customFormat="1" ht="15.75" customHeight="1" x14ac:dyDescent="0.25">
      <c r="A183" s="77" t="str">
        <f ca="1">(SUMPRODUCT(MID(0&amp;(LEFT(A182,SUM(LEN(A182)-LEN(SUBSTITUTE(A182,{"0","1","2"},""))))), LARGE(INDEX(ISNUMBER(--MID((LEFT(A182,SUM(LEN(A182)-LEN(SUBSTITUTE(A182,{"0","1","2"},""))))), ROW(INDIRECT("1:"&amp;LEN((LEFT(A182,SUM(LEN(A182)-LEN(SUBSTITUTE(A182,{"0","1","2"},"")))))))), 1)) * ROW(INDIRECT("1:"&amp;LEN((LEFT(A182,SUM(LEN(A182)-LEN(SUBSTITUTE(A182,{"0","1","2"},"")))))))), 0), ROW(INDIRECT("1:"&amp;LEN((LEFT(A182,SUM(LEN(A182)-LEN(SUBSTITUTE(A182,{"0","1","2"},"")))))))))+1, 1) * 10^ROW(INDIRECT("1:"&amp;LEN((LEFT(A182,SUM(LEN(A182)-LEN(SUBSTITUTE(A182,{"0","1","2"},""))))))))/10))*1+1&amp;""&amp;" ,.., "&amp;""&amp;(SUMPRODUCT(MID(0&amp;(--TRIM(RIGHT(SUBSTITUTE(LEFT(A182,_xlfn.AGGREGATE(16,6,FIND({0,1,2,3,4,5,6,7,8,9},A182,ROW(INDIRECT("1:"&amp;LEN(A182)))),1))," ",REPT(" ",LEN(A182))),LEN(A182)))), LARGE(INDEX(ISNUMBER(--MID((--TRIM(RIGHT(SUBSTITUTE(LEFT(A182,_xlfn.AGGREGATE(16,6,FIND({0,1,2,3,4,5,6,7,8,9},A182,ROW(INDIRECT("1:"&amp;LEN(A182)))),1))," ",REPT(" ",LEN(A182))),LEN(A182)))), ROW(INDIRECT("1:"&amp;LEN((--TRIM(RIGHT(SUBSTITUTE(LEFT(A182,_xlfn.AGGREGATE(16,6,FIND({0,1,2,3,4,5,6,7,8,9},A182,ROW(INDIRECT("1:"&amp;LEN(A182)))),1))," ",REPT(" ",LEN(A182))),LEN(A182))))))), 1)) * ROW(INDIRECT("1:"&amp;LEN((--TRIM(RIGHT(SUBSTITUTE(LEFT(A182,_xlfn.AGGREGATE(16,6,FIND({0,1,2,3,4,5,6,7,8,9},A182,ROW(INDIRECT("1:"&amp;LEN(A182)))),1))," ",REPT(" ",LEN(A182))),LEN(A182))))))), 0), ROW(INDIRECT("1:"&amp;LEN((--TRIM(RIGHT(SUBSTITUTE(LEFT(A182,_xlfn.AGGREGATE(16,6,FIND({0,1,2,3,4,5,6,7,8,9},A182,ROW(INDIRECT("1:"&amp;LEN(A182)))),1))," ",REPT(" ",LEN(A182))),LEN(A182))))))))+1, 1) * 10^ROW(INDIRECT("1:"&amp;LEN((--TRIM(RIGHT(SUBSTITUTE(LEFT(A182,_xlfn.AGGREGATE(16,6,FIND({0,1,2,3,4,5,6,7,8,9},A182,ROW(INDIRECT("1:"&amp;LEN(A182)))),1))," ",REPT(" ",LEN(A182))),LEN(A182)))))))/10))*1+1</f>
        <v>313 ,.., 1713</v>
      </c>
      <c r="B183" s="79"/>
      <c r="C183" s="40" t="s">
        <v>266</v>
      </c>
      <c r="D183" s="57">
        <f>(27.2+0.75*(2.75+2.75+2.35))*10.764</f>
        <v>356.15384999999998</v>
      </c>
      <c r="E183" s="57">
        <v>0</v>
      </c>
      <c r="F183" s="40">
        <f t="shared" si="25"/>
        <v>534.23077499999999</v>
      </c>
      <c r="G183" s="87"/>
      <c r="H183" s="88"/>
      <c r="I183" s="34"/>
    </row>
    <row r="184" spans="1:9" s="35" customFormat="1" ht="15.75" customHeight="1" x14ac:dyDescent="0.25">
      <c r="A184" s="77" t="str">
        <f ca="1">(SUMPRODUCT(MID(0&amp;(LEFT(A183,SUM(LEN(A183)-LEN(SUBSTITUTE(A183,{"0","1","2"},""))))), LARGE(INDEX(ISNUMBER(--MID((LEFT(A183,SUM(LEN(A183)-LEN(SUBSTITUTE(A183,{"0","1","2"},""))))), ROW(INDIRECT("1:"&amp;LEN((LEFT(A183,SUM(LEN(A183)-LEN(SUBSTITUTE(A183,{"0","1","2"},"")))))))), 1)) * ROW(INDIRECT("1:"&amp;LEN((LEFT(A183,SUM(LEN(A183)-LEN(SUBSTITUTE(A183,{"0","1","2"},"")))))))), 0), ROW(INDIRECT("1:"&amp;LEN((LEFT(A183,SUM(LEN(A183)-LEN(SUBSTITUTE(A183,{"0","1","2"},"")))))))))+1, 1) * 10^ROW(INDIRECT("1:"&amp;LEN((LEFT(A183,SUM(LEN(A183)-LEN(SUBSTITUTE(A183,{"0","1","2"},""))))))))/10))*1+1&amp;""&amp;" ,.., "&amp;""&amp;(SUMPRODUCT(MID(0&amp;(--TRIM(RIGHT(SUBSTITUTE(LEFT(A183,_xlfn.AGGREGATE(16,6,FIND({0,1,2,3,4,5,6,7,8,9},A183,ROW(INDIRECT("1:"&amp;LEN(A183)))),1))," ",REPT(" ",LEN(A183))),LEN(A183)))), LARGE(INDEX(ISNUMBER(--MID((--TRIM(RIGHT(SUBSTITUTE(LEFT(A183,_xlfn.AGGREGATE(16,6,FIND({0,1,2,3,4,5,6,7,8,9},A183,ROW(INDIRECT("1:"&amp;LEN(A183)))),1))," ",REPT(" ",LEN(A183))),LEN(A183)))), ROW(INDIRECT("1:"&amp;LEN((--TRIM(RIGHT(SUBSTITUTE(LEFT(A183,_xlfn.AGGREGATE(16,6,FIND({0,1,2,3,4,5,6,7,8,9},A183,ROW(INDIRECT("1:"&amp;LEN(A183)))),1))," ",REPT(" ",LEN(A183))),LEN(A183))))))), 1)) * ROW(INDIRECT("1:"&amp;LEN((--TRIM(RIGHT(SUBSTITUTE(LEFT(A183,_xlfn.AGGREGATE(16,6,FIND({0,1,2,3,4,5,6,7,8,9},A183,ROW(INDIRECT("1:"&amp;LEN(A183)))),1))," ",REPT(" ",LEN(A183))),LEN(A183))))))), 0), ROW(INDIRECT("1:"&amp;LEN((--TRIM(RIGHT(SUBSTITUTE(LEFT(A183,_xlfn.AGGREGATE(16,6,FIND({0,1,2,3,4,5,6,7,8,9},A183,ROW(INDIRECT("1:"&amp;LEN(A183)))),1))," ",REPT(" ",LEN(A183))),LEN(A183))))))))+1, 1) * 10^ROW(INDIRECT("1:"&amp;LEN((--TRIM(RIGHT(SUBSTITUTE(LEFT(A183,_xlfn.AGGREGATE(16,6,FIND({0,1,2,3,4,5,6,7,8,9},A183,ROW(INDIRECT("1:"&amp;LEN(A183)))),1))," ",REPT(" ",LEN(A183))),LEN(A183)))))))/10))*1+1</f>
        <v>314 ,.., 1714</v>
      </c>
      <c r="B184" s="79"/>
      <c r="C184" s="40" t="s">
        <v>267</v>
      </c>
      <c r="D184" s="57">
        <f>(38.1+0.75*(2.1+2.75+2.75+2.75))*10.764</f>
        <v>493.66394999999994</v>
      </c>
      <c r="E184" s="57">
        <v>0</v>
      </c>
      <c r="F184" s="40">
        <f t="shared" si="25"/>
        <v>740.49592499999994</v>
      </c>
      <c r="G184" s="87"/>
      <c r="H184" s="88"/>
      <c r="I184" s="34"/>
    </row>
    <row r="185" spans="1:9" s="35" customFormat="1" ht="15.75" customHeight="1" x14ac:dyDescent="0.25">
      <c r="A185" s="77" t="str">
        <f ca="1">(SUMPRODUCT(MID(0&amp;(LEFT(A184,SUM(LEN(A184)-LEN(SUBSTITUTE(A184,{"0","1","2"},""))))), LARGE(INDEX(ISNUMBER(--MID((LEFT(A184,SUM(LEN(A184)-LEN(SUBSTITUTE(A184,{"0","1","2"},""))))), ROW(INDIRECT("1:"&amp;LEN((LEFT(A184,SUM(LEN(A184)-LEN(SUBSTITUTE(A184,{"0","1","2"},"")))))))), 1)) * ROW(INDIRECT("1:"&amp;LEN((LEFT(A184,SUM(LEN(A184)-LEN(SUBSTITUTE(A184,{"0","1","2"},"")))))))), 0), ROW(INDIRECT("1:"&amp;LEN((LEFT(A184,SUM(LEN(A184)-LEN(SUBSTITUTE(A184,{"0","1","2"},"")))))))))+1, 1) * 10^ROW(INDIRECT("1:"&amp;LEN((LEFT(A184,SUM(LEN(A184)-LEN(SUBSTITUTE(A184,{"0","1","2"},""))))))))/10))*1+1&amp;""&amp;" ,.., "&amp;""&amp;(SUMPRODUCT(MID(0&amp;(--TRIM(RIGHT(SUBSTITUTE(LEFT(A184,_xlfn.AGGREGATE(16,6,FIND({0,1,2,3,4,5,6,7,8,9},A184,ROW(INDIRECT("1:"&amp;LEN(A184)))),1))," ",REPT(" ",LEN(A184))),LEN(A184)))), LARGE(INDEX(ISNUMBER(--MID((--TRIM(RIGHT(SUBSTITUTE(LEFT(A184,_xlfn.AGGREGATE(16,6,FIND({0,1,2,3,4,5,6,7,8,9},A184,ROW(INDIRECT("1:"&amp;LEN(A184)))),1))," ",REPT(" ",LEN(A184))),LEN(A184)))), ROW(INDIRECT("1:"&amp;LEN((--TRIM(RIGHT(SUBSTITUTE(LEFT(A184,_xlfn.AGGREGATE(16,6,FIND({0,1,2,3,4,5,6,7,8,9},A184,ROW(INDIRECT("1:"&amp;LEN(A184)))),1))," ",REPT(" ",LEN(A184))),LEN(A184))))))), 1)) * ROW(INDIRECT("1:"&amp;LEN((--TRIM(RIGHT(SUBSTITUTE(LEFT(A184,_xlfn.AGGREGATE(16,6,FIND({0,1,2,3,4,5,6,7,8,9},A184,ROW(INDIRECT("1:"&amp;LEN(A184)))),1))," ",REPT(" ",LEN(A184))),LEN(A184))))))), 0), ROW(INDIRECT("1:"&amp;LEN((--TRIM(RIGHT(SUBSTITUTE(LEFT(A184,_xlfn.AGGREGATE(16,6,FIND({0,1,2,3,4,5,6,7,8,9},A184,ROW(INDIRECT("1:"&amp;LEN(A184)))),1))," ",REPT(" ",LEN(A184))),LEN(A184))))))))+1, 1) * 10^ROW(INDIRECT("1:"&amp;LEN((--TRIM(RIGHT(SUBSTITUTE(LEFT(A184,_xlfn.AGGREGATE(16,6,FIND({0,1,2,3,4,5,6,7,8,9},A184,ROW(INDIRECT("1:"&amp;LEN(A184)))),1))," ",REPT(" ",LEN(A184))),LEN(A184)))))))/10))*1+1</f>
        <v>315 ,.., 1715</v>
      </c>
      <c r="B185" s="79"/>
      <c r="C185" s="40" t="s">
        <v>267</v>
      </c>
      <c r="D185" s="57">
        <f>(38.3+0.75*(2.75+2.1+2.75+2.75))*10.764</f>
        <v>495.81674999999996</v>
      </c>
      <c r="E185" s="57">
        <v>0</v>
      </c>
      <c r="F185" s="40">
        <f t="shared" si="25"/>
        <v>743.72512499999993</v>
      </c>
      <c r="G185" s="87"/>
      <c r="H185" s="88"/>
      <c r="I185" s="34"/>
    </row>
    <row r="186" spans="1:9" s="35" customFormat="1" ht="15.75" customHeight="1" x14ac:dyDescent="0.25">
      <c r="A186" s="77" t="str">
        <f ca="1">(SUMPRODUCT(MID(0&amp;(LEFT(A185,SUM(LEN(A185)-LEN(SUBSTITUTE(A185,{"0","1","2"},""))))), LARGE(INDEX(ISNUMBER(--MID((LEFT(A185,SUM(LEN(A185)-LEN(SUBSTITUTE(A185,{"0","1","2"},""))))), ROW(INDIRECT("1:"&amp;LEN((LEFT(A185,SUM(LEN(A185)-LEN(SUBSTITUTE(A185,{"0","1","2"},"")))))))), 1)) * ROW(INDIRECT("1:"&amp;LEN((LEFT(A185,SUM(LEN(A185)-LEN(SUBSTITUTE(A185,{"0","1","2"},"")))))))), 0), ROW(INDIRECT("1:"&amp;LEN((LEFT(A185,SUM(LEN(A185)-LEN(SUBSTITUTE(A185,{"0","1","2"},"")))))))))+1, 1) * 10^ROW(INDIRECT("1:"&amp;LEN((LEFT(A185,SUM(LEN(A185)-LEN(SUBSTITUTE(A185,{"0","1","2"},""))))))))/10))*1+1&amp;""&amp;" ,.., "&amp;""&amp;(SUMPRODUCT(MID(0&amp;(--TRIM(RIGHT(SUBSTITUTE(LEFT(A185,_xlfn.AGGREGATE(16,6,FIND({0,1,2,3,4,5,6,7,8,9},A185,ROW(INDIRECT("1:"&amp;LEN(A185)))),1))," ",REPT(" ",LEN(A185))),LEN(A185)))), LARGE(INDEX(ISNUMBER(--MID((--TRIM(RIGHT(SUBSTITUTE(LEFT(A185,_xlfn.AGGREGATE(16,6,FIND({0,1,2,3,4,5,6,7,8,9},A185,ROW(INDIRECT("1:"&amp;LEN(A185)))),1))," ",REPT(" ",LEN(A185))),LEN(A185)))), ROW(INDIRECT("1:"&amp;LEN((--TRIM(RIGHT(SUBSTITUTE(LEFT(A185,_xlfn.AGGREGATE(16,6,FIND({0,1,2,3,4,5,6,7,8,9},A185,ROW(INDIRECT("1:"&amp;LEN(A185)))),1))," ",REPT(" ",LEN(A185))),LEN(A185))))))), 1)) * ROW(INDIRECT("1:"&amp;LEN((--TRIM(RIGHT(SUBSTITUTE(LEFT(A185,_xlfn.AGGREGATE(16,6,FIND({0,1,2,3,4,5,6,7,8,9},A185,ROW(INDIRECT("1:"&amp;LEN(A185)))),1))," ",REPT(" ",LEN(A185))),LEN(A185))))))), 0), ROW(INDIRECT("1:"&amp;LEN((--TRIM(RIGHT(SUBSTITUTE(LEFT(A185,_xlfn.AGGREGATE(16,6,FIND({0,1,2,3,4,5,6,7,8,9},A185,ROW(INDIRECT("1:"&amp;LEN(A185)))),1))," ",REPT(" ",LEN(A185))),LEN(A185))))))))+1, 1) * 10^ROW(INDIRECT("1:"&amp;LEN((--TRIM(RIGHT(SUBSTITUTE(LEFT(A185,_xlfn.AGGREGATE(16,6,FIND({0,1,2,3,4,5,6,7,8,9},A185,ROW(INDIRECT("1:"&amp;LEN(A185)))),1))," ",REPT(" ",LEN(A185))),LEN(A185)))))))/10))*1+1</f>
        <v>316 ,.., 1716</v>
      </c>
      <c r="B186" s="79"/>
      <c r="C186" s="40" t="s">
        <v>267</v>
      </c>
      <c r="D186" s="57">
        <f>(37.7+0.75*(5.3+2.75+2.75))*10.764</f>
        <v>492.99119999999999</v>
      </c>
      <c r="E186" s="57">
        <v>0</v>
      </c>
      <c r="F186" s="40">
        <f t="shared" si="25"/>
        <v>739.48680000000002</v>
      </c>
      <c r="G186" s="87"/>
      <c r="H186" s="88"/>
      <c r="I186" s="34"/>
    </row>
    <row r="187" spans="1:9" s="35" customFormat="1" ht="15.75" customHeight="1" x14ac:dyDescent="0.25">
      <c r="A187" s="77" t="str">
        <f ca="1">(SUMPRODUCT(MID(0&amp;(LEFT(A186,SUM(LEN(A186)-LEN(SUBSTITUTE(A186,{"0","1","2"},""))))), LARGE(INDEX(ISNUMBER(--MID((LEFT(A186,SUM(LEN(A186)-LEN(SUBSTITUTE(A186,{"0","1","2"},""))))), ROW(INDIRECT("1:"&amp;LEN((LEFT(A186,SUM(LEN(A186)-LEN(SUBSTITUTE(A186,{"0","1","2"},"")))))))), 1)) * ROW(INDIRECT("1:"&amp;LEN((LEFT(A186,SUM(LEN(A186)-LEN(SUBSTITUTE(A186,{"0","1","2"},"")))))))), 0), ROW(INDIRECT("1:"&amp;LEN((LEFT(A186,SUM(LEN(A186)-LEN(SUBSTITUTE(A186,{"0","1","2"},"")))))))))+1, 1) * 10^ROW(INDIRECT("1:"&amp;LEN((LEFT(A186,SUM(LEN(A186)-LEN(SUBSTITUTE(A186,{"0","1","2"},""))))))))/10))*1+1&amp;""&amp;" ,.., "&amp;""&amp;(SUMPRODUCT(MID(0&amp;(--TRIM(RIGHT(SUBSTITUTE(LEFT(A186,_xlfn.AGGREGATE(16,6,FIND({0,1,2,3,4,5,6,7,8,9},A186,ROW(INDIRECT("1:"&amp;LEN(A186)))),1))," ",REPT(" ",LEN(A186))),LEN(A186)))), LARGE(INDEX(ISNUMBER(--MID((--TRIM(RIGHT(SUBSTITUTE(LEFT(A186,_xlfn.AGGREGATE(16,6,FIND({0,1,2,3,4,5,6,7,8,9},A186,ROW(INDIRECT("1:"&amp;LEN(A186)))),1))," ",REPT(" ",LEN(A186))),LEN(A186)))), ROW(INDIRECT("1:"&amp;LEN((--TRIM(RIGHT(SUBSTITUTE(LEFT(A186,_xlfn.AGGREGATE(16,6,FIND({0,1,2,3,4,5,6,7,8,9},A186,ROW(INDIRECT("1:"&amp;LEN(A186)))),1))," ",REPT(" ",LEN(A186))),LEN(A186))))))), 1)) * ROW(INDIRECT("1:"&amp;LEN((--TRIM(RIGHT(SUBSTITUTE(LEFT(A186,_xlfn.AGGREGATE(16,6,FIND({0,1,2,3,4,5,6,7,8,9},A186,ROW(INDIRECT("1:"&amp;LEN(A186)))),1))," ",REPT(" ",LEN(A186))),LEN(A186))))))), 0), ROW(INDIRECT("1:"&amp;LEN((--TRIM(RIGHT(SUBSTITUTE(LEFT(A186,_xlfn.AGGREGATE(16,6,FIND({0,1,2,3,4,5,6,7,8,9},A186,ROW(INDIRECT("1:"&amp;LEN(A186)))),1))," ",REPT(" ",LEN(A186))),LEN(A186))))))))+1, 1) * 10^ROW(INDIRECT("1:"&amp;LEN((--TRIM(RIGHT(SUBSTITUTE(LEFT(A186,_xlfn.AGGREGATE(16,6,FIND({0,1,2,3,4,5,6,7,8,9},A186,ROW(INDIRECT("1:"&amp;LEN(A186)))),1))," ",REPT(" ",LEN(A186))),LEN(A186)))))))/10))*1+1</f>
        <v>317 ,.., 1717</v>
      </c>
      <c r="B187" s="79"/>
      <c r="C187" s="40" t="s">
        <v>267</v>
      </c>
      <c r="D187" s="57">
        <f>(38+0.75*(2.75+2.75+2.1+2.75))*10.764</f>
        <v>492.58755000000002</v>
      </c>
      <c r="E187" s="57">
        <v>0</v>
      </c>
      <c r="F187" s="40">
        <f t="shared" si="25"/>
        <v>738.88132500000006</v>
      </c>
      <c r="G187" s="87"/>
      <c r="H187" s="88"/>
      <c r="I187" s="34"/>
    </row>
    <row r="188" spans="1:9" s="35" customFormat="1" ht="15.75" customHeight="1" x14ac:dyDescent="0.25">
      <c r="A188" s="77" t="str">
        <f ca="1">(SUMPRODUCT(MID(0&amp;(LEFT(A187,SUM(LEN(A187)-LEN(SUBSTITUTE(A187,{"0","1","2"},""))))), LARGE(INDEX(ISNUMBER(--MID((LEFT(A187,SUM(LEN(A187)-LEN(SUBSTITUTE(A187,{"0","1","2"},""))))), ROW(INDIRECT("1:"&amp;LEN((LEFT(A187,SUM(LEN(A187)-LEN(SUBSTITUTE(A187,{"0","1","2"},"")))))))), 1)) * ROW(INDIRECT("1:"&amp;LEN((LEFT(A187,SUM(LEN(A187)-LEN(SUBSTITUTE(A187,{"0","1","2"},"")))))))), 0), ROW(INDIRECT("1:"&amp;LEN((LEFT(A187,SUM(LEN(A187)-LEN(SUBSTITUTE(A187,{"0","1","2"},"")))))))))+1, 1) * 10^ROW(INDIRECT("1:"&amp;LEN((LEFT(A187,SUM(LEN(A187)-LEN(SUBSTITUTE(A187,{"0","1","2"},""))))))))/10))*1+1&amp;""&amp;" ,.., "&amp;""&amp;(SUMPRODUCT(MID(0&amp;(--TRIM(RIGHT(SUBSTITUTE(LEFT(A187,_xlfn.AGGREGATE(16,6,FIND({0,1,2,3,4,5,6,7,8,9},A187,ROW(INDIRECT("1:"&amp;LEN(A187)))),1))," ",REPT(" ",LEN(A187))),LEN(A187)))), LARGE(INDEX(ISNUMBER(--MID((--TRIM(RIGHT(SUBSTITUTE(LEFT(A187,_xlfn.AGGREGATE(16,6,FIND({0,1,2,3,4,5,6,7,8,9},A187,ROW(INDIRECT("1:"&amp;LEN(A187)))),1))," ",REPT(" ",LEN(A187))),LEN(A187)))), ROW(INDIRECT("1:"&amp;LEN((--TRIM(RIGHT(SUBSTITUTE(LEFT(A187,_xlfn.AGGREGATE(16,6,FIND({0,1,2,3,4,5,6,7,8,9},A187,ROW(INDIRECT("1:"&amp;LEN(A187)))),1))," ",REPT(" ",LEN(A187))),LEN(A187))))))), 1)) * ROW(INDIRECT("1:"&amp;LEN((--TRIM(RIGHT(SUBSTITUTE(LEFT(A187,_xlfn.AGGREGATE(16,6,FIND({0,1,2,3,4,5,6,7,8,9},A187,ROW(INDIRECT("1:"&amp;LEN(A187)))),1))," ",REPT(" ",LEN(A187))),LEN(A187))))))), 0), ROW(INDIRECT("1:"&amp;LEN((--TRIM(RIGHT(SUBSTITUTE(LEFT(A187,_xlfn.AGGREGATE(16,6,FIND({0,1,2,3,4,5,6,7,8,9},A187,ROW(INDIRECT("1:"&amp;LEN(A187)))),1))," ",REPT(" ",LEN(A187))),LEN(A187))))))))+1, 1) * 10^ROW(INDIRECT("1:"&amp;LEN((--TRIM(RIGHT(SUBSTITUTE(LEFT(A187,_xlfn.AGGREGATE(16,6,FIND({0,1,2,3,4,5,6,7,8,9},A187,ROW(INDIRECT("1:"&amp;LEN(A187)))),1))," ",REPT(" ",LEN(A187))),LEN(A187)))))))/10))*1+1</f>
        <v>318 ,.., 1718</v>
      </c>
      <c r="B188" s="79"/>
      <c r="C188" s="40" t="s">
        <v>266</v>
      </c>
      <c r="D188" s="57">
        <f>(26.3+0.75*(2.35+2.75+2.75))*10.764</f>
        <v>346.46625</v>
      </c>
      <c r="E188" s="57">
        <v>0</v>
      </c>
      <c r="F188" s="40">
        <f t="shared" si="25"/>
        <v>519.69937500000003</v>
      </c>
      <c r="G188" s="87"/>
      <c r="H188" s="88"/>
      <c r="I188" s="34"/>
    </row>
    <row r="189" spans="1:9" s="35" customFormat="1" ht="15.75" customHeight="1" x14ac:dyDescent="0.25">
      <c r="A189" s="77" t="str">
        <f ca="1">(SUMPRODUCT(MID(0&amp;(LEFT(A188,SUM(LEN(A188)-LEN(SUBSTITUTE(A188,{"0","1","2"},""))))), LARGE(INDEX(ISNUMBER(--MID((LEFT(A188,SUM(LEN(A188)-LEN(SUBSTITUTE(A188,{"0","1","2"},""))))), ROW(INDIRECT("1:"&amp;LEN((LEFT(A188,SUM(LEN(A188)-LEN(SUBSTITUTE(A188,{"0","1","2"},"")))))))), 1)) * ROW(INDIRECT("1:"&amp;LEN((LEFT(A188,SUM(LEN(A188)-LEN(SUBSTITUTE(A188,{"0","1","2"},"")))))))), 0), ROW(INDIRECT("1:"&amp;LEN((LEFT(A188,SUM(LEN(A188)-LEN(SUBSTITUTE(A188,{"0","1","2"},"")))))))))+1, 1) * 10^ROW(INDIRECT("1:"&amp;LEN((LEFT(A188,SUM(LEN(A188)-LEN(SUBSTITUTE(A188,{"0","1","2"},""))))))))/10))*1+1&amp;""&amp;" ,.., "&amp;""&amp;(SUMPRODUCT(MID(0&amp;(--TRIM(RIGHT(SUBSTITUTE(LEFT(A188,_xlfn.AGGREGATE(16,6,FIND({0,1,2,3,4,5,6,7,8,9},A188,ROW(INDIRECT("1:"&amp;LEN(A188)))),1))," ",REPT(" ",LEN(A188))),LEN(A188)))), LARGE(INDEX(ISNUMBER(--MID((--TRIM(RIGHT(SUBSTITUTE(LEFT(A188,_xlfn.AGGREGATE(16,6,FIND({0,1,2,3,4,5,6,7,8,9},A188,ROW(INDIRECT("1:"&amp;LEN(A188)))),1))," ",REPT(" ",LEN(A188))),LEN(A188)))), ROW(INDIRECT("1:"&amp;LEN((--TRIM(RIGHT(SUBSTITUTE(LEFT(A188,_xlfn.AGGREGATE(16,6,FIND({0,1,2,3,4,5,6,7,8,9},A188,ROW(INDIRECT("1:"&amp;LEN(A188)))),1))," ",REPT(" ",LEN(A188))),LEN(A188))))))), 1)) * ROW(INDIRECT("1:"&amp;LEN((--TRIM(RIGHT(SUBSTITUTE(LEFT(A188,_xlfn.AGGREGATE(16,6,FIND({0,1,2,3,4,5,6,7,8,9},A188,ROW(INDIRECT("1:"&amp;LEN(A188)))),1))," ",REPT(" ",LEN(A188))),LEN(A188))))))), 0), ROW(INDIRECT("1:"&amp;LEN((--TRIM(RIGHT(SUBSTITUTE(LEFT(A188,_xlfn.AGGREGATE(16,6,FIND({0,1,2,3,4,5,6,7,8,9},A188,ROW(INDIRECT("1:"&amp;LEN(A188)))),1))," ",REPT(" ",LEN(A188))),LEN(A188))))))))+1, 1) * 10^ROW(INDIRECT("1:"&amp;LEN((--TRIM(RIGHT(SUBSTITUTE(LEFT(A188,_xlfn.AGGREGATE(16,6,FIND({0,1,2,3,4,5,6,7,8,9},A188,ROW(INDIRECT("1:"&amp;LEN(A188)))),1))," ",REPT(" ",LEN(A188))),LEN(A188)))))))/10))*1+1</f>
        <v>319 ,.., 1719</v>
      </c>
      <c r="B189" s="79"/>
      <c r="C189" s="40" t="s">
        <v>266</v>
      </c>
      <c r="D189" s="57">
        <f>(27.2+0.75*(2.35+2.75+2.75))*10.764</f>
        <v>356.15384999999998</v>
      </c>
      <c r="E189" s="57">
        <v>0</v>
      </c>
      <c r="F189" s="40">
        <f t="shared" si="25"/>
        <v>534.23077499999999</v>
      </c>
      <c r="G189" s="87"/>
      <c r="H189" s="88"/>
      <c r="I189" s="34"/>
    </row>
    <row r="190" spans="1:9" s="35" customFormat="1" ht="15.75" customHeight="1" x14ac:dyDescent="0.25">
      <c r="A190" s="77" t="str">
        <f ca="1">(SUMPRODUCT(MID(0&amp;(LEFT(A189,SUM(LEN(A189)-LEN(SUBSTITUTE(A189,{"0","1","2"},""))))), LARGE(INDEX(ISNUMBER(--MID((LEFT(A189,SUM(LEN(A189)-LEN(SUBSTITUTE(A189,{"0","1","2"},""))))), ROW(INDIRECT("1:"&amp;LEN((LEFT(A189,SUM(LEN(A189)-LEN(SUBSTITUTE(A189,{"0","1","2"},"")))))))), 1)) * ROW(INDIRECT("1:"&amp;LEN((LEFT(A189,SUM(LEN(A189)-LEN(SUBSTITUTE(A189,{"0","1","2"},"")))))))), 0), ROW(INDIRECT("1:"&amp;LEN((LEFT(A189,SUM(LEN(A189)-LEN(SUBSTITUTE(A189,{"0","1","2"},"")))))))))+1, 1) * 10^ROW(INDIRECT("1:"&amp;LEN((LEFT(A189,SUM(LEN(A189)-LEN(SUBSTITUTE(A189,{"0","1","2"},""))))))))/10))*1+1&amp;""&amp;" ,.., "&amp;""&amp;(SUMPRODUCT(MID(0&amp;(--TRIM(RIGHT(SUBSTITUTE(LEFT(A189,_xlfn.AGGREGATE(16,6,FIND({0,1,2,3,4,5,6,7,8,9},A189,ROW(INDIRECT("1:"&amp;LEN(A189)))),1))," ",REPT(" ",LEN(A189))),LEN(A189)))), LARGE(INDEX(ISNUMBER(--MID((--TRIM(RIGHT(SUBSTITUTE(LEFT(A189,_xlfn.AGGREGATE(16,6,FIND({0,1,2,3,4,5,6,7,8,9},A189,ROW(INDIRECT("1:"&amp;LEN(A189)))),1))," ",REPT(" ",LEN(A189))),LEN(A189)))), ROW(INDIRECT("1:"&amp;LEN((--TRIM(RIGHT(SUBSTITUTE(LEFT(A189,_xlfn.AGGREGATE(16,6,FIND({0,1,2,3,4,5,6,7,8,9},A189,ROW(INDIRECT("1:"&amp;LEN(A189)))),1))," ",REPT(" ",LEN(A189))),LEN(A189))))))), 1)) * ROW(INDIRECT("1:"&amp;LEN((--TRIM(RIGHT(SUBSTITUTE(LEFT(A189,_xlfn.AGGREGATE(16,6,FIND({0,1,2,3,4,5,6,7,8,9},A189,ROW(INDIRECT("1:"&amp;LEN(A189)))),1))," ",REPT(" ",LEN(A189))),LEN(A189))))))), 0), ROW(INDIRECT("1:"&amp;LEN((--TRIM(RIGHT(SUBSTITUTE(LEFT(A189,_xlfn.AGGREGATE(16,6,FIND({0,1,2,3,4,5,6,7,8,9},A189,ROW(INDIRECT("1:"&amp;LEN(A189)))),1))," ",REPT(" ",LEN(A189))),LEN(A189))))))))+1, 1) * 10^ROW(INDIRECT("1:"&amp;LEN((--TRIM(RIGHT(SUBSTITUTE(LEFT(A189,_xlfn.AGGREGATE(16,6,FIND({0,1,2,3,4,5,6,7,8,9},A189,ROW(INDIRECT("1:"&amp;LEN(A189)))),1))," ",REPT(" ",LEN(A189))),LEN(A189)))))))/10))*1+1</f>
        <v>320 ,.., 1720</v>
      </c>
      <c r="B190" s="79"/>
      <c r="C190" s="40" t="s">
        <v>266</v>
      </c>
      <c r="D190" s="57">
        <f>(27.2+0.75*(2.35+2.75+2.75))*10.764</f>
        <v>356.15384999999998</v>
      </c>
      <c r="E190" s="57">
        <v>0</v>
      </c>
      <c r="F190" s="40">
        <f t="shared" si="25"/>
        <v>534.23077499999999</v>
      </c>
      <c r="G190" s="89"/>
      <c r="H190" s="90"/>
      <c r="I190" s="34"/>
    </row>
    <row r="191" spans="1:9" s="35" customFormat="1" x14ac:dyDescent="0.25">
      <c r="A191" s="80" t="s">
        <v>270</v>
      </c>
      <c r="B191" s="81"/>
      <c r="C191" s="81"/>
      <c r="D191" s="81"/>
      <c r="E191" s="81"/>
      <c r="F191" s="81"/>
      <c r="G191" s="81"/>
      <c r="H191" s="82"/>
      <c r="I191" s="34"/>
    </row>
    <row r="192" spans="1:9" s="35" customFormat="1" ht="15.75" customHeight="1" x14ac:dyDescent="0.25">
      <c r="A192" s="77" t="str">
        <f ca="1">(SUMPRODUCT(MID(0&amp;(LEFT(A191,SUM(LEN(A191)-LEN(SUBSTITUTE(A191,{"0","1","2"},""))))), LARGE(INDEX(ISNUMBER(--MID((LEFT(A191,SUM(LEN(A191)-LEN(SUBSTITUTE(A191,{"0","1","2"},""))))), ROW(INDIRECT("1:"&amp;LEN((LEFT(A191,SUM(LEN(A191)-LEN(SUBSTITUTE(A191,{"0","1","2"},"")))))))), 1)) * ROW(INDIRECT("1:"&amp;LEN((LEFT(A191,SUM(LEN(A191)-LEN(SUBSTITUTE(A191,{"0","1","2"},"")))))))), 0), ROW(INDIRECT("1:"&amp;LEN((LEFT(A191,SUM(LEN(A191)-LEN(SUBSTITUTE(A191,{"0","1","2"},"")))))))))+1, 1) * 10^ROW(INDIRECT("1:"&amp;LEN((LEFT(A191,SUM(LEN(A191)-LEN(SUBSTITUTE(A191,{"0","1","2"},""))))))))/10))*100+1&amp;""&amp;" &amp; "&amp;""&amp;(SUMPRODUCT(MID(0&amp;(--TRIM(RIGHT(SUBSTITUTE(LEFT(A191,_xlfn.AGGREGATE(16,6,FIND({0,1,2,3,4,5,6,7,8,9},A191,ROW(INDIRECT("1:"&amp;LEN(A191)))),1))," ",REPT(" ",LEN(A191))),LEN(A191)))), LARGE(INDEX(ISNUMBER(--MID((--TRIM(RIGHT(SUBSTITUTE(LEFT(A191,_xlfn.AGGREGATE(16,6,FIND({0,1,2,3,4,5,6,7,8,9},A191,ROW(INDIRECT("1:"&amp;LEN(A191)))),1))," ",REPT(" ",LEN(A191))),LEN(A191)))), ROW(INDIRECT("1:"&amp;LEN((--TRIM(RIGHT(SUBSTITUTE(LEFT(A191,_xlfn.AGGREGATE(16,6,FIND({0,1,2,3,4,5,6,7,8,9},A191,ROW(INDIRECT("1:"&amp;LEN(A191)))),1))," ",REPT(" ",LEN(A191))),LEN(A191))))))), 1)) * ROW(INDIRECT("1:"&amp;LEN((--TRIM(RIGHT(SUBSTITUTE(LEFT(A191,_xlfn.AGGREGATE(16,6,FIND({0,1,2,3,4,5,6,7,8,9},A191,ROW(INDIRECT("1:"&amp;LEN(A191)))),1))," ",REPT(" ",LEN(A191))),LEN(A191))))))), 0), ROW(INDIRECT("1:"&amp;LEN((--TRIM(RIGHT(SUBSTITUTE(LEFT(A191,_xlfn.AGGREGATE(16,6,FIND({0,1,2,3,4,5,6,7,8,9},A191,ROW(INDIRECT("1:"&amp;LEN(A191)))),1))," ",REPT(" ",LEN(A191))),LEN(A191))))))))+1, 1) * 10^ROW(INDIRECT("1:"&amp;LEN((--TRIM(RIGHT(SUBSTITUTE(LEFT(A191,_xlfn.AGGREGATE(16,6,FIND({0,1,2,3,4,5,6,7,8,9},A191,ROW(INDIRECT("1:"&amp;LEN(A191)))),1))," ",REPT(" ",LEN(A191))),LEN(A191)))))))/10))*100+1</f>
        <v>801 &amp; 1301</v>
      </c>
      <c r="B192" s="79"/>
      <c r="C192" s="40" t="s">
        <v>266</v>
      </c>
      <c r="D192" s="57">
        <f>(26.3+0.75*(2.35+2.75+2.75))*10.764</f>
        <v>346.46625</v>
      </c>
      <c r="E192" s="57">
        <v>0</v>
      </c>
      <c r="F192" s="40">
        <f t="shared" ref="F192:F198" si="26">D192*(($F$122)+1)+(IF(E192&lt;101,E192,IF(E192&lt;201,E192/2,IF(E192&lt;=301,E192/3,E192/4))))</f>
        <v>519.69937500000003</v>
      </c>
      <c r="G192" s="85" t="str">
        <f>A191</f>
        <v>8th &amp; 13th Floor (Part Refuge Area)</v>
      </c>
      <c r="H192" s="86"/>
      <c r="I192" s="34"/>
    </row>
    <row r="193" spans="1:9" s="35" customFormat="1" x14ac:dyDescent="0.25">
      <c r="A193" s="77" t="str">
        <f ca="1">(SUMPRODUCT(MID(0&amp;(LEFT(A192,SUM(LEN(A192)-LEN(SUBSTITUTE(A192,{"0","1","2"},""))))), LARGE(INDEX(ISNUMBER(--MID((LEFT(A192,SUM(LEN(A192)-LEN(SUBSTITUTE(A192,{"0","1","2"},""))))), ROW(INDIRECT("1:"&amp;LEN((LEFT(A192,SUM(LEN(A192)-LEN(SUBSTITUTE(A192,{"0","1","2"},"")))))))), 1)) * ROW(INDIRECT("1:"&amp;LEN((LEFT(A192,SUM(LEN(A192)-LEN(SUBSTITUTE(A192,{"0","1","2"},"")))))))), 0), ROW(INDIRECT("1:"&amp;LEN((LEFT(A192,SUM(LEN(A192)-LEN(SUBSTITUTE(A192,{"0","1","2"},"")))))))))+1, 1) * 10^ROW(INDIRECT("1:"&amp;LEN((LEFT(A192,SUM(LEN(A192)-LEN(SUBSTITUTE(A192,{"0","1","2"},""))))))))/10))*1+1&amp;""&amp;" &amp; "&amp;""&amp;(SUMPRODUCT(MID(0&amp;(--TRIM(RIGHT(SUBSTITUTE(LEFT(A192,_xlfn.AGGREGATE(16,6,FIND({0,1,2,3,4,5,6,7,8,9},A192,ROW(INDIRECT("1:"&amp;LEN(A192)))),1))," ",REPT(" ",LEN(A192))),LEN(A192)))), LARGE(INDEX(ISNUMBER(--MID((--TRIM(RIGHT(SUBSTITUTE(LEFT(A192,_xlfn.AGGREGATE(16,6,FIND({0,1,2,3,4,5,6,7,8,9},A192,ROW(INDIRECT("1:"&amp;LEN(A192)))),1))," ",REPT(" ",LEN(A192))),LEN(A192)))), ROW(INDIRECT("1:"&amp;LEN((--TRIM(RIGHT(SUBSTITUTE(LEFT(A192,_xlfn.AGGREGATE(16,6,FIND({0,1,2,3,4,5,6,7,8,9},A192,ROW(INDIRECT("1:"&amp;LEN(A192)))),1))," ",REPT(" ",LEN(A192))),LEN(A192))))))), 1)) * ROW(INDIRECT("1:"&amp;LEN((--TRIM(RIGHT(SUBSTITUTE(LEFT(A192,_xlfn.AGGREGATE(16,6,FIND({0,1,2,3,4,5,6,7,8,9},A192,ROW(INDIRECT("1:"&amp;LEN(A192)))),1))," ",REPT(" ",LEN(A192))),LEN(A192))))))), 0), ROW(INDIRECT("1:"&amp;LEN((--TRIM(RIGHT(SUBSTITUTE(LEFT(A192,_xlfn.AGGREGATE(16,6,FIND({0,1,2,3,4,5,6,7,8,9},A192,ROW(INDIRECT("1:"&amp;LEN(A192)))),1))," ",REPT(" ",LEN(A192))),LEN(A192))))))))+1, 1) * 10^ROW(INDIRECT("1:"&amp;LEN((--TRIM(RIGHT(SUBSTITUTE(LEFT(A192,_xlfn.AGGREGATE(16,6,FIND({0,1,2,3,4,5,6,7,8,9},A192,ROW(INDIRECT("1:"&amp;LEN(A192)))),1))," ",REPT(" ",LEN(A192))),LEN(A192)))))))/10))*1+1</f>
        <v>802 &amp; 1302</v>
      </c>
      <c r="B193" s="79"/>
      <c r="C193" s="40" t="s">
        <v>266</v>
      </c>
      <c r="D193" s="57">
        <f>(27.2+0.75*(2.75+2.75+2.35))*10.764</f>
        <v>356.15384999999998</v>
      </c>
      <c r="E193" s="57">
        <v>0</v>
      </c>
      <c r="F193" s="40">
        <f t="shared" si="26"/>
        <v>534.23077499999999</v>
      </c>
      <c r="G193" s="87"/>
      <c r="H193" s="88"/>
      <c r="I193" s="34"/>
    </row>
    <row r="194" spans="1:9" s="35" customFormat="1" x14ac:dyDescent="0.25">
      <c r="A194" s="77" t="str">
        <f ca="1">(SUMPRODUCT(MID(0&amp;(LEFT(A193,SUM(LEN(A193)-LEN(SUBSTITUTE(A193,{"0","1","2"},""))))), LARGE(INDEX(ISNUMBER(--MID((LEFT(A193,SUM(LEN(A193)-LEN(SUBSTITUTE(A193,{"0","1","2"},""))))), ROW(INDIRECT("1:"&amp;LEN((LEFT(A193,SUM(LEN(A193)-LEN(SUBSTITUTE(A193,{"0","1","2"},"")))))))), 1)) * ROW(INDIRECT("1:"&amp;LEN((LEFT(A193,SUM(LEN(A193)-LEN(SUBSTITUTE(A193,{"0","1","2"},"")))))))), 0), ROW(INDIRECT("1:"&amp;LEN((LEFT(A193,SUM(LEN(A193)-LEN(SUBSTITUTE(A193,{"0","1","2"},"")))))))))+1, 1) * 10^ROW(INDIRECT("1:"&amp;LEN((LEFT(A193,SUM(LEN(A193)-LEN(SUBSTITUTE(A193,{"0","1","2"},""))))))))/10))*1+1&amp;""&amp;" &amp; "&amp;""&amp;(SUMPRODUCT(MID(0&amp;(--TRIM(RIGHT(SUBSTITUTE(LEFT(A193,_xlfn.AGGREGATE(16,6,FIND({0,1,2,3,4,5,6,7,8,9},A193,ROW(INDIRECT("1:"&amp;LEN(A193)))),1))," ",REPT(" ",LEN(A193))),LEN(A193)))), LARGE(INDEX(ISNUMBER(--MID((--TRIM(RIGHT(SUBSTITUTE(LEFT(A193,_xlfn.AGGREGATE(16,6,FIND({0,1,2,3,4,5,6,7,8,9},A193,ROW(INDIRECT("1:"&amp;LEN(A193)))),1))," ",REPT(" ",LEN(A193))),LEN(A193)))), ROW(INDIRECT("1:"&amp;LEN((--TRIM(RIGHT(SUBSTITUTE(LEFT(A193,_xlfn.AGGREGATE(16,6,FIND({0,1,2,3,4,5,6,7,8,9},A193,ROW(INDIRECT("1:"&amp;LEN(A193)))),1))," ",REPT(" ",LEN(A193))),LEN(A193))))))), 1)) * ROW(INDIRECT("1:"&amp;LEN((--TRIM(RIGHT(SUBSTITUTE(LEFT(A193,_xlfn.AGGREGATE(16,6,FIND({0,1,2,3,4,5,6,7,8,9},A193,ROW(INDIRECT("1:"&amp;LEN(A193)))),1))," ",REPT(" ",LEN(A193))),LEN(A193))))))), 0), ROW(INDIRECT("1:"&amp;LEN((--TRIM(RIGHT(SUBSTITUTE(LEFT(A193,_xlfn.AGGREGATE(16,6,FIND({0,1,2,3,4,5,6,7,8,9},A193,ROW(INDIRECT("1:"&amp;LEN(A193)))),1))," ",REPT(" ",LEN(A193))),LEN(A193))))))))+1, 1) * 10^ROW(INDIRECT("1:"&amp;LEN((--TRIM(RIGHT(SUBSTITUTE(LEFT(A193,_xlfn.AGGREGATE(16,6,FIND({0,1,2,3,4,5,6,7,8,9},A193,ROW(INDIRECT("1:"&amp;LEN(A193)))),1))," ",REPT(" ",LEN(A193))),LEN(A193)))))))/10))*1+1</f>
        <v>803 &amp; 1303</v>
      </c>
      <c r="B194" s="79"/>
      <c r="C194" s="40" t="s">
        <v>267</v>
      </c>
      <c r="D194" s="57">
        <f>(37.7+0.75*(2.75+2.1+2.75+2.75))*10.764</f>
        <v>489.35835000000003</v>
      </c>
      <c r="E194" s="57">
        <v>0</v>
      </c>
      <c r="F194" s="40">
        <f t="shared" si="26"/>
        <v>734.03752500000007</v>
      </c>
      <c r="G194" s="87"/>
      <c r="H194" s="88"/>
      <c r="I194" s="34"/>
    </row>
    <row r="195" spans="1:9" s="35" customFormat="1" x14ac:dyDescent="0.25">
      <c r="A195" s="77" t="str">
        <f ca="1">(SUMPRODUCT(MID(0&amp;(LEFT(A194,SUM(LEN(A194)-LEN(SUBSTITUTE(A194,{"0","1","2"},""))))), LARGE(INDEX(ISNUMBER(--MID((LEFT(A194,SUM(LEN(A194)-LEN(SUBSTITUTE(A194,{"0","1","2"},""))))), ROW(INDIRECT("1:"&amp;LEN((LEFT(A194,SUM(LEN(A194)-LEN(SUBSTITUTE(A194,{"0","1","2"},"")))))))), 1)) * ROW(INDIRECT("1:"&amp;LEN((LEFT(A194,SUM(LEN(A194)-LEN(SUBSTITUTE(A194,{"0","1","2"},"")))))))), 0), ROW(INDIRECT("1:"&amp;LEN((LEFT(A194,SUM(LEN(A194)-LEN(SUBSTITUTE(A194,{"0","1","2"},"")))))))))+1, 1) * 10^ROW(INDIRECT("1:"&amp;LEN((LEFT(A194,SUM(LEN(A194)-LEN(SUBSTITUTE(A194,{"0","1","2"},""))))))))/10))*1+1&amp;""&amp;" &amp; "&amp;""&amp;(SUMPRODUCT(MID(0&amp;(--TRIM(RIGHT(SUBSTITUTE(LEFT(A194,_xlfn.AGGREGATE(16,6,FIND({0,1,2,3,4,5,6,7,8,9},A194,ROW(INDIRECT("1:"&amp;LEN(A194)))),1))," ",REPT(" ",LEN(A194))),LEN(A194)))), LARGE(INDEX(ISNUMBER(--MID((--TRIM(RIGHT(SUBSTITUTE(LEFT(A194,_xlfn.AGGREGATE(16,6,FIND({0,1,2,3,4,5,6,7,8,9},A194,ROW(INDIRECT("1:"&amp;LEN(A194)))),1))," ",REPT(" ",LEN(A194))),LEN(A194)))), ROW(INDIRECT("1:"&amp;LEN((--TRIM(RIGHT(SUBSTITUTE(LEFT(A194,_xlfn.AGGREGATE(16,6,FIND({0,1,2,3,4,5,6,7,8,9},A194,ROW(INDIRECT("1:"&amp;LEN(A194)))),1))," ",REPT(" ",LEN(A194))),LEN(A194))))))), 1)) * ROW(INDIRECT("1:"&amp;LEN((--TRIM(RIGHT(SUBSTITUTE(LEFT(A194,_xlfn.AGGREGATE(16,6,FIND({0,1,2,3,4,5,6,7,8,9},A194,ROW(INDIRECT("1:"&amp;LEN(A194)))),1))," ",REPT(" ",LEN(A194))),LEN(A194))))))), 0), ROW(INDIRECT("1:"&amp;LEN((--TRIM(RIGHT(SUBSTITUTE(LEFT(A194,_xlfn.AGGREGATE(16,6,FIND({0,1,2,3,4,5,6,7,8,9},A194,ROW(INDIRECT("1:"&amp;LEN(A194)))),1))," ",REPT(" ",LEN(A194))),LEN(A194))))))))+1, 1) * 10^ROW(INDIRECT("1:"&amp;LEN((--TRIM(RIGHT(SUBSTITUTE(LEFT(A194,_xlfn.AGGREGATE(16,6,FIND({0,1,2,3,4,5,6,7,8,9},A194,ROW(INDIRECT("1:"&amp;LEN(A194)))),1))," ",REPT(" ",LEN(A194))),LEN(A194)))))))/10))*1+1</f>
        <v>804 &amp; 1304</v>
      </c>
      <c r="B195" s="79"/>
      <c r="C195" s="40" t="s">
        <v>268</v>
      </c>
      <c r="D195" s="57">
        <f>(18.1+0.75*(2.6+2.25))*10.764</f>
        <v>233.98245</v>
      </c>
      <c r="E195" s="57">
        <v>0</v>
      </c>
      <c r="F195" s="40">
        <f t="shared" si="26"/>
        <v>350.97367500000001</v>
      </c>
      <c r="G195" s="87"/>
      <c r="H195" s="88"/>
      <c r="I195" s="34"/>
    </row>
    <row r="196" spans="1:9" s="35" customFormat="1" x14ac:dyDescent="0.25">
      <c r="A196" s="77" t="str">
        <f ca="1">(SUMPRODUCT(MID(0&amp;(LEFT(A195,SUM(LEN(A195)-LEN(SUBSTITUTE(A195,{"0","1","2"},""))))), LARGE(INDEX(ISNUMBER(--MID((LEFT(A195,SUM(LEN(A195)-LEN(SUBSTITUTE(A195,{"0","1","2"},""))))), ROW(INDIRECT("1:"&amp;LEN((LEFT(A195,SUM(LEN(A195)-LEN(SUBSTITUTE(A195,{"0","1","2"},"")))))))), 1)) * ROW(INDIRECT("1:"&amp;LEN((LEFT(A195,SUM(LEN(A195)-LEN(SUBSTITUTE(A195,{"0","1","2"},"")))))))), 0), ROW(INDIRECT("1:"&amp;LEN((LEFT(A195,SUM(LEN(A195)-LEN(SUBSTITUTE(A195,{"0","1","2"},"")))))))))+1, 1) * 10^ROW(INDIRECT("1:"&amp;LEN((LEFT(A195,SUM(LEN(A195)-LEN(SUBSTITUTE(A195,{"0","1","2"},""))))))))/10))*1+1&amp;""&amp;" &amp; "&amp;""&amp;(SUMPRODUCT(MID(0&amp;(--TRIM(RIGHT(SUBSTITUTE(LEFT(A195,_xlfn.AGGREGATE(16,6,FIND({0,1,2,3,4,5,6,7,8,9},A195,ROW(INDIRECT("1:"&amp;LEN(A195)))),1))," ",REPT(" ",LEN(A195))),LEN(A195)))), LARGE(INDEX(ISNUMBER(--MID((--TRIM(RIGHT(SUBSTITUTE(LEFT(A195,_xlfn.AGGREGATE(16,6,FIND({0,1,2,3,4,5,6,7,8,9},A195,ROW(INDIRECT("1:"&amp;LEN(A195)))),1))," ",REPT(" ",LEN(A195))),LEN(A195)))), ROW(INDIRECT("1:"&amp;LEN((--TRIM(RIGHT(SUBSTITUTE(LEFT(A195,_xlfn.AGGREGATE(16,6,FIND({0,1,2,3,4,5,6,7,8,9},A195,ROW(INDIRECT("1:"&amp;LEN(A195)))),1))," ",REPT(" ",LEN(A195))),LEN(A195))))))), 1)) * ROW(INDIRECT("1:"&amp;LEN((--TRIM(RIGHT(SUBSTITUTE(LEFT(A195,_xlfn.AGGREGATE(16,6,FIND({0,1,2,3,4,5,6,7,8,9},A195,ROW(INDIRECT("1:"&amp;LEN(A195)))),1))," ",REPT(" ",LEN(A195))),LEN(A195))))))), 0), ROW(INDIRECT("1:"&amp;LEN((--TRIM(RIGHT(SUBSTITUTE(LEFT(A195,_xlfn.AGGREGATE(16,6,FIND({0,1,2,3,4,5,6,7,8,9},A195,ROW(INDIRECT("1:"&amp;LEN(A195)))),1))," ",REPT(" ",LEN(A195))),LEN(A195))))))))+1, 1) * 10^ROW(INDIRECT("1:"&amp;LEN((--TRIM(RIGHT(SUBSTITUTE(LEFT(A195,_xlfn.AGGREGATE(16,6,FIND({0,1,2,3,4,5,6,7,8,9},A195,ROW(INDIRECT("1:"&amp;LEN(A195)))),1))," ",REPT(" ",LEN(A195))),LEN(A195)))))))/10))*1+1</f>
        <v>805 &amp; 1305</v>
      </c>
      <c r="B196" s="79"/>
      <c r="C196" s="40" t="s">
        <v>266</v>
      </c>
      <c r="D196" s="57">
        <f>(27.3+0.75*(2.75+2.75+2.35))*10.764</f>
        <v>357.23024999999996</v>
      </c>
      <c r="E196" s="57">
        <v>0</v>
      </c>
      <c r="F196" s="40">
        <f t="shared" si="26"/>
        <v>535.84537499999988</v>
      </c>
      <c r="G196" s="87"/>
      <c r="H196" s="88"/>
      <c r="I196" s="34"/>
    </row>
    <row r="197" spans="1:9" s="35" customFormat="1" ht="15.75" customHeight="1" x14ac:dyDescent="0.25">
      <c r="A197" s="77" t="str">
        <f ca="1">(SUMPRODUCT(MID(0&amp;(LEFT(A196,SUM(LEN(A196)-LEN(SUBSTITUTE(A196,{"0","1","2"},""))))), LARGE(INDEX(ISNUMBER(--MID((LEFT(A196,SUM(LEN(A196)-LEN(SUBSTITUTE(A196,{"0","1","2"},""))))), ROW(INDIRECT("1:"&amp;LEN((LEFT(A196,SUM(LEN(A196)-LEN(SUBSTITUTE(A196,{"0","1","2"},"")))))))), 1)) * ROW(INDIRECT("1:"&amp;LEN((LEFT(A196,SUM(LEN(A196)-LEN(SUBSTITUTE(A196,{"0","1","2"},"")))))))), 0), ROW(INDIRECT("1:"&amp;LEN((LEFT(A196,SUM(LEN(A196)-LEN(SUBSTITUTE(A196,{"0","1","2"},"")))))))))+1, 1) * 10^ROW(INDIRECT("1:"&amp;LEN((LEFT(A196,SUM(LEN(A196)-LEN(SUBSTITUTE(A196,{"0","1","2"},""))))))))/10))*1+1&amp;""&amp;" &amp; "&amp;""&amp;(SUMPRODUCT(MID(0&amp;(--TRIM(RIGHT(SUBSTITUTE(LEFT(A196,_xlfn.AGGREGATE(16,6,FIND({0,1,2,3,4,5,6,7,8,9},A196,ROW(INDIRECT("1:"&amp;LEN(A196)))),1))," ",REPT(" ",LEN(A196))),LEN(A196)))), LARGE(INDEX(ISNUMBER(--MID((--TRIM(RIGHT(SUBSTITUTE(LEFT(A196,_xlfn.AGGREGATE(16,6,FIND({0,1,2,3,4,5,6,7,8,9},A196,ROW(INDIRECT("1:"&amp;LEN(A196)))),1))," ",REPT(" ",LEN(A196))),LEN(A196)))), ROW(INDIRECT("1:"&amp;LEN((--TRIM(RIGHT(SUBSTITUTE(LEFT(A196,_xlfn.AGGREGATE(16,6,FIND({0,1,2,3,4,5,6,7,8,9},A196,ROW(INDIRECT("1:"&amp;LEN(A196)))),1))," ",REPT(" ",LEN(A196))),LEN(A196))))))), 1)) * ROW(INDIRECT("1:"&amp;LEN((--TRIM(RIGHT(SUBSTITUTE(LEFT(A196,_xlfn.AGGREGATE(16,6,FIND({0,1,2,3,4,5,6,7,8,9},A196,ROW(INDIRECT("1:"&amp;LEN(A196)))),1))," ",REPT(" ",LEN(A196))),LEN(A196))))))), 0), ROW(INDIRECT("1:"&amp;LEN((--TRIM(RIGHT(SUBSTITUTE(LEFT(A196,_xlfn.AGGREGATE(16,6,FIND({0,1,2,3,4,5,6,7,8,9},A196,ROW(INDIRECT("1:"&amp;LEN(A196)))),1))," ",REPT(" ",LEN(A196))),LEN(A196))))))))+1, 1) * 10^ROW(INDIRECT("1:"&amp;LEN((--TRIM(RIGHT(SUBSTITUTE(LEFT(A196,_xlfn.AGGREGATE(16,6,FIND({0,1,2,3,4,5,6,7,8,9},A196,ROW(INDIRECT("1:"&amp;LEN(A196)))),1))," ",REPT(" ",LEN(A196))),LEN(A196)))))))/10))*1+1</f>
        <v>806 &amp; 1306</v>
      </c>
      <c r="B197" s="79"/>
      <c r="C197" s="40" t="s">
        <v>266</v>
      </c>
      <c r="D197" s="57">
        <f>(27.2+0.75*(2.35+2.75+2.75))*10.764</f>
        <v>356.15384999999998</v>
      </c>
      <c r="E197" s="57">
        <v>0</v>
      </c>
      <c r="F197" s="40">
        <f t="shared" si="26"/>
        <v>534.23077499999999</v>
      </c>
      <c r="G197" s="87"/>
      <c r="H197" s="88"/>
      <c r="I197" s="34"/>
    </row>
    <row r="198" spans="1:9" s="35" customFormat="1" ht="15.75" customHeight="1" x14ac:dyDescent="0.25">
      <c r="A198" s="77" t="str">
        <f ca="1">(SUMPRODUCT(MID(0&amp;(LEFT(A197,SUM(LEN(A197)-LEN(SUBSTITUTE(A197,{"0","1","2"},""))))), LARGE(INDEX(ISNUMBER(--MID((LEFT(A197,SUM(LEN(A197)-LEN(SUBSTITUTE(A197,{"0","1","2"},""))))), ROW(INDIRECT("1:"&amp;LEN((LEFT(A197,SUM(LEN(A197)-LEN(SUBSTITUTE(A197,{"0","1","2"},"")))))))), 1)) * ROW(INDIRECT("1:"&amp;LEN((LEFT(A197,SUM(LEN(A197)-LEN(SUBSTITUTE(A197,{"0","1","2"},"")))))))), 0), ROW(INDIRECT("1:"&amp;LEN((LEFT(A197,SUM(LEN(A197)-LEN(SUBSTITUTE(A197,{"0","1","2"},"")))))))))+1, 1) * 10^ROW(INDIRECT("1:"&amp;LEN((LEFT(A197,SUM(LEN(A197)-LEN(SUBSTITUTE(A197,{"0","1","2"},""))))))))/10))*1+1&amp;""&amp;" &amp; "&amp;""&amp;(SUMPRODUCT(MID(0&amp;(--TRIM(RIGHT(SUBSTITUTE(LEFT(A197,_xlfn.AGGREGATE(16,6,FIND({0,1,2,3,4,5,6,7,8,9},A197,ROW(INDIRECT("1:"&amp;LEN(A197)))),1))," ",REPT(" ",LEN(A197))),LEN(A197)))), LARGE(INDEX(ISNUMBER(--MID((--TRIM(RIGHT(SUBSTITUTE(LEFT(A197,_xlfn.AGGREGATE(16,6,FIND({0,1,2,3,4,5,6,7,8,9},A197,ROW(INDIRECT("1:"&amp;LEN(A197)))),1))," ",REPT(" ",LEN(A197))),LEN(A197)))), ROW(INDIRECT("1:"&amp;LEN((--TRIM(RIGHT(SUBSTITUTE(LEFT(A197,_xlfn.AGGREGATE(16,6,FIND({0,1,2,3,4,5,6,7,8,9},A197,ROW(INDIRECT("1:"&amp;LEN(A197)))),1))," ",REPT(" ",LEN(A197))),LEN(A197))))))), 1)) * ROW(INDIRECT("1:"&amp;LEN((--TRIM(RIGHT(SUBSTITUTE(LEFT(A197,_xlfn.AGGREGATE(16,6,FIND({0,1,2,3,4,5,6,7,8,9},A197,ROW(INDIRECT("1:"&amp;LEN(A197)))),1))," ",REPT(" ",LEN(A197))),LEN(A197))))))), 0), ROW(INDIRECT("1:"&amp;LEN((--TRIM(RIGHT(SUBSTITUTE(LEFT(A197,_xlfn.AGGREGATE(16,6,FIND({0,1,2,3,4,5,6,7,8,9},A197,ROW(INDIRECT("1:"&amp;LEN(A197)))),1))," ",REPT(" ",LEN(A197))),LEN(A197))))))))+1, 1) * 10^ROW(INDIRECT("1:"&amp;LEN((--TRIM(RIGHT(SUBSTITUTE(LEFT(A197,_xlfn.AGGREGATE(16,6,FIND({0,1,2,3,4,5,6,7,8,9},A197,ROW(INDIRECT("1:"&amp;LEN(A197)))),1))," ",REPT(" ",LEN(A197))),LEN(A197)))))))/10))*1+1</f>
        <v>807 &amp; 1307</v>
      </c>
      <c r="B198" s="79"/>
      <c r="C198" s="40" t="s">
        <v>266</v>
      </c>
      <c r="D198" s="57">
        <f>(27.1+0.75*(2.75+2.75+2.35))*10.764</f>
        <v>355.07744999999994</v>
      </c>
      <c r="E198" s="57">
        <v>0</v>
      </c>
      <c r="F198" s="40">
        <f t="shared" si="26"/>
        <v>532.61617499999988</v>
      </c>
      <c r="G198" s="87"/>
      <c r="H198" s="88"/>
      <c r="I198" s="34"/>
    </row>
    <row r="199" spans="1:9" s="35" customFormat="1" ht="15.75" customHeight="1" x14ac:dyDescent="0.25">
      <c r="A199" s="77" t="str">
        <f ca="1">(SUMPRODUCT(MID(0&amp;(LEFT(A198,SUM(LEN(A198)-LEN(SUBSTITUTE(A198,{"0","1","2"},""))))), LARGE(INDEX(ISNUMBER(--MID((LEFT(A198,SUM(LEN(A198)-LEN(SUBSTITUTE(A198,{"0","1","2"},""))))), ROW(INDIRECT("1:"&amp;LEN((LEFT(A198,SUM(LEN(A198)-LEN(SUBSTITUTE(A198,{"0","1","2"},"")))))))), 1)) * ROW(INDIRECT("1:"&amp;LEN((LEFT(A198,SUM(LEN(A198)-LEN(SUBSTITUTE(A198,{"0","1","2"},"")))))))), 0), ROW(INDIRECT("1:"&amp;LEN((LEFT(A198,SUM(LEN(A198)-LEN(SUBSTITUTE(A198,{"0","1","2"},"")))))))))+1, 1) * 10^ROW(INDIRECT("1:"&amp;LEN((LEFT(A198,SUM(LEN(A198)-LEN(SUBSTITUTE(A198,{"0","1","2"},""))))))))/10))*1+1&amp;""&amp;" &amp; "&amp;""&amp;(SUMPRODUCT(MID(0&amp;(--TRIM(RIGHT(SUBSTITUTE(LEFT(A198,_xlfn.AGGREGATE(16,6,FIND({0,1,2,3,4,5,6,7,8,9},A198,ROW(INDIRECT("1:"&amp;LEN(A198)))),1))," ",REPT(" ",LEN(A198))),LEN(A198)))), LARGE(INDEX(ISNUMBER(--MID((--TRIM(RIGHT(SUBSTITUTE(LEFT(A198,_xlfn.AGGREGATE(16,6,FIND({0,1,2,3,4,5,6,7,8,9},A198,ROW(INDIRECT("1:"&amp;LEN(A198)))),1))," ",REPT(" ",LEN(A198))),LEN(A198)))), ROW(INDIRECT("1:"&amp;LEN((--TRIM(RIGHT(SUBSTITUTE(LEFT(A198,_xlfn.AGGREGATE(16,6,FIND({0,1,2,3,4,5,6,7,8,9},A198,ROW(INDIRECT("1:"&amp;LEN(A198)))),1))," ",REPT(" ",LEN(A198))),LEN(A198))))))), 1)) * ROW(INDIRECT("1:"&amp;LEN((--TRIM(RIGHT(SUBSTITUTE(LEFT(A198,_xlfn.AGGREGATE(16,6,FIND({0,1,2,3,4,5,6,7,8,9},A198,ROW(INDIRECT("1:"&amp;LEN(A198)))),1))," ",REPT(" ",LEN(A198))),LEN(A198))))))), 0), ROW(INDIRECT("1:"&amp;LEN((--TRIM(RIGHT(SUBSTITUTE(LEFT(A198,_xlfn.AGGREGATE(16,6,FIND({0,1,2,3,4,5,6,7,8,9},A198,ROW(INDIRECT("1:"&amp;LEN(A198)))),1))," ",REPT(" ",LEN(A198))),LEN(A198))))))))+1, 1) * 10^ROW(INDIRECT("1:"&amp;LEN((--TRIM(RIGHT(SUBSTITUTE(LEFT(A198,_xlfn.AGGREGATE(16,6,FIND({0,1,2,3,4,5,6,7,8,9},A198,ROW(INDIRECT("1:"&amp;LEN(A198)))),1))," ",REPT(" ",LEN(A198))),LEN(A198)))))))/10))*1+1</f>
        <v>808 &amp; 1308</v>
      </c>
      <c r="B199" s="79"/>
      <c r="C199" s="85" t="s">
        <v>271</v>
      </c>
      <c r="D199" s="91"/>
      <c r="E199" s="91"/>
      <c r="F199" s="86"/>
      <c r="G199" s="87"/>
      <c r="H199" s="88"/>
      <c r="I199" s="34"/>
    </row>
    <row r="200" spans="1:9" s="35" customFormat="1" ht="15.75" customHeight="1" x14ac:dyDescent="0.25">
      <c r="A200" s="77" t="str">
        <f ca="1">(SUMPRODUCT(MID(0&amp;(LEFT(A199,SUM(LEN(A199)-LEN(SUBSTITUTE(A199,{"0","1","2"},""))))), LARGE(INDEX(ISNUMBER(--MID((LEFT(A199,SUM(LEN(A199)-LEN(SUBSTITUTE(A199,{"0","1","2"},""))))), ROW(INDIRECT("1:"&amp;LEN((LEFT(A199,SUM(LEN(A199)-LEN(SUBSTITUTE(A199,{"0","1","2"},"")))))))), 1)) * ROW(INDIRECT("1:"&amp;LEN((LEFT(A199,SUM(LEN(A199)-LEN(SUBSTITUTE(A199,{"0","1","2"},"")))))))), 0), ROW(INDIRECT("1:"&amp;LEN((LEFT(A199,SUM(LEN(A199)-LEN(SUBSTITUTE(A199,{"0","1","2"},"")))))))))+1, 1) * 10^ROW(INDIRECT("1:"&amp;LEN((LEFT(A199,SUM(LEN(A199)-LEN(SUBSTITUTE(A199,{"0","1","2"},""))))))))/10))*1+1&amp;""&amp;" &amp; "&amp;""&amp;(SUMPRODUCT(MID(0&amp;(--TRIM(RIGHT(SUBSTITUTE(LEFT(A199,_xlfn.AGGREGATE(16,6,FIND({0,1,2,3,4,5,6,7,8,9},A199,ROW(INDIRECT("1:"&amp;LEN(A199)))),1))," ",REPT(" ",LEN(A199))),LEN(A199)))), LARGE(INDEX(ISNUMBER(--MID((--TRIM(RIGHT(SUBSTITUTE(LEFT(A199,_xlfn.AGGREGATE(16,6,FIND({0,1,2,3,4,5,6,7,8,9},A199,ROW(INDIRECT("1:"&amp;LEN(A199)))),1))," ",REPT(" ",LEN(A199))),LEN(A199)))), ROW(INDIRECT("1:"&amp;LEN((--TRIM(RIGHT(SUBSTITUTE(LEFT(A199,_xlfn.AGGREGATE(16,6,FIND({0,1,2,3,4,5,6,7,8,9},A199,ROW(INDIRECT("1:"&amp;LEN(A199)))),1))," ",REPT(" ",LEN(A199))),LEN(A199))))))), 1)) * ROW(INDIRECT("1:"&amp;LEN((--TRIM(RIGHT(SUBSTITUTE(LEFT(A199,_xlfn.AGGREGATE(16,6,FIND({0,1,2,3,4,5,6,7,8,9},A199,ROW(INDIRECT("1:"&amp;LEN(A199)))),1))," ",REPT(" ",LEN(A199))),LEN(A199))))))), 0), ROW(INDIRECT("1:"&amp;LEN((--TRIM(RIGHT(SUBSTITUTE(LEFT(A199,_xlfn.AGGREGATE(16,6,FIND({0,1,2,3,4,5,6,7,8,9},A199,ROW(INDIRECT("1:"&amp;LEN(A199)))),1))," ",REPT(" ",LEN(A199))),LEN(A199))))))))+1, 1) * 10^ROW(INDIRECT("1:"&amp;LEN((--TRIM(RIGHT(SUBSTITUTE(LEFT(A199,_xlfn.AGGREGATE(16,6,FIND({0,1,2,3,4,5,6,7,8,9},A199,ROW(INDIRECT("1:"&amp;LEN(A199)))),1))," ",REPT(" ",LEN(A199))),LEN(A199)))))))/10))*1+1</f>
        <v>809 &amp; 1309</v>
      </c>
      <c r="B200" s="79"/>
      <c r="C200" s="89"/>
      <c r="D200" s="93"/>
      <c r="E200" s="93"/>
      <c r="F200" s="90"/>
      <c r="G200" s="87"/>
      <c r="H200" s="88"/>
      <c r="I200" s="34"/>
    </row>
    <row r="201" spans="1:9" s="35" customFormat="1" ht="15.75" customHeight="1" x14ac:dyDescent="0.25">
      <c r="A201" s="77" t="str">
        <f ca="1">(SUMPRODUCT(MID(0&amp;(LEFT(A200,SUM(LEN(A200)-LEN(SUBSTITUTE(A200,{"0","1","2"},""))))), LARGE(INDEX(ISNUMBER(--MID((LEFT(A200,SUM(LEN(A200)-LEN(SUBSTITUTE(A200,{"0","1","2"},""))))), ROW(INDIRECT("1:"&amp;LEN((LEFT(A200,SUM(LEN(A200)-LEN(SUBSTITUTE(A200,{"0","1","2"},"")))))))), 1)) * ROW(INDIRECT("1:"&amp;LEN((LEFT(A200,SUM(LEN(A200)-LEN(SUBSTITUTE(A200,{"0","1","2"},"")))))))), 0), ROW(INDIRECT("1:"&amp;LEN((LEFT(A200,SUM(LEN(A200)-LEN(SUBSTITUTE(A200,{"0","1","2"},"")))))))))+1, 1) * 10^ROW(INDIRECT("1:"&amp;LEN((LEFT(A200,SUM(LEN(A200)-LEN(SUBSTITUTE(A200,{"0","1","2"},""))))))))/10))*1+1&amp;""&amp;" &amp; "&amp;""&amp;(SUMPRODUCT(MID(0&amp;(--TRIM(RIGHT(SUBSTITUTE(LEFT(A200,_xlfn.AGGREGATE(16,6,FIND({0,1,2,3,4,5,6,7,8,9},A200,ROW(INDIRECT("1:"&amp;LEN(A200)))),1))," ",REPT(" ",LEN(A200))),LEN(A200)))), LARGE(INDEX(ISNUMBER(--MID((--TRIM(RIGHT(SUBSTITUTE(LEFT(A200,_xlfn.AGGREGATE(16,6,FIND({0,1,2,3,4,5,6,7,8,9},A200,ROW(INDIRECT("1:"&amp;LEN(A200)))),1))," ",REPT(" ",LEN(A200))),LEN(A200)))), ROW(INDIRECT("1:"&amp;LEN((--TRIM(RIGHT(SUBSTITUTE(LEFT(A200,_xlfn.AGGREGATE(16,6,FIND({0,1,2,3,4,5,6,7,8,9},A200,ROW(INDIRECT("1:"&amp;LEN(A200)))),1))," ",REPT(" ",LEN(A200))),LEN(A200))))))), 1)) * ROW(INDIRECT("1:"&amp;LEN((--TRIM(RIGHT(SUBSTITUTE(LEFT(A200,_xlfn.AGGREGATE(16,6,FIND({0,1,2,3,4,5,6,7,8,9},A200,ROW(INDIRECT("1:"&amp;LEN(A200)))),1))," ",REPT(" ",LEN(A200))),LEN(A200))))))), 0), ROW(INDIRECT("1:"&amp;LEN((--TRIM(RIGHT(SUBSTITUTE(LEFT(A200,_xlfn.AGGREGATE(16,6,FIND({0,1,2,3,4,5,6,7,8,9},A200,ROW(INDIRECT("1:"&amp;LEN(A200)))),1))," ",REPT(" ",LEN(A200))),LEN(A200))))))))+1, 1) * 10^ROW(INDIRECT("1:"&amp;LEN((--TRIM(RIGHT(SUBSTITUTE(LEFT(A200,_xlfn.AGGREGATE(16,6,FIND({0,1,2,3,4,5,6,7,8,9},A200,ROW(INDIRECT("1:"&amp;LEN(A200)))),1))," ",REPT(" ",LEN(A200))),LEN(A200)))))))/10))*1+1</f>
        <v>810 &amp; 1310</v>
      </c>
      <c r="B201" s="79"/>
      <c r="C201" s="40" t="s">
        <v>267</v>
      </c>
      <c r="D201" s="57">
        <f>(39.8+0.75*(2.75+2.75+2.1+2.75))*10.764</f>
        <v>511.96274999999997</v>
      </c>
      <c r="E201" s="57">
        <v>0</v>
      </c>
      <c r="F201" s="40">
        <f t="shared" ref="F201:F211" si="27">D201*(($F$122)+1)+(IF(E201&lt;101,E201,IF(E201&lt;201,E201/2,IF(E201&lt;=301,E201/3,E201/4))))</f>
        <v>767.94412499999999</v>
      </c>
      <c r="G201" s="87"/>
      <c r="H201" s="88"/>
      <c r="I201" s="34"/>
    </row>
    <row r="202" spans="1:9" s="35" customFormat="1" ht="15.75" customHeight="1" x14ac:dyDescent="0.25">
      <c r="A202" s="77" t="str">
        <f ca="1">(SUMPRODUCT(MID(0&amp;(LEFT(A201,SUM(LEN(A201)-LEN(SUBSTITUTE(A201,{"0","1","2"},""))))), LARGE(INDEX(ISNUMBER(--MID((LEFT(A201,SUM(LEN(A201)-LEN(SUBSTITUTE(A201,{"0","1","2"},""))))), ROW(INDIRECT("1:"&amp;LEN((LEFT(A201,SUM(LEN(A201)-LEN(SUBSTITUTE(A201,{"0","1","2"},"")))))))), 1)) * ROW(INDIRECT("1:"&amp;LEN((LEFT(A201,SUM(LEN(A201)-LEN(SUBSTITUTE(A201,{"0","1","2"},"")))))))), 0), ROW(INDIRECT("1:"&amp;LEN((LEFT(A201,SUM(LEN(A201)-LEN(SUBSTITUTE(A201,{"0","1","2"},"")))))))))+1, 1) * 10^ROW(INDIRECT("1:"&amp;LEN((LEFT(A201,SUM(LEN(A201)-LEN(SUBSTITUTE(A201,{"0","1","2"},""))))))))/10))*1+1&amp;""&amp;" &amp; "&amp;""&amp;(SUMPRODUCT(MID(0&amp;(--TRIM(RIGHT(SUBSTITUTE(LEFT(A201,_xlfn.AGGREGATE(16,6,FIND({0,1,2,3,4,5,6,7,8,9},A201,ROW(INDIRECT("1:"&amp;LEN(A201)))),1))," ",REPT(" ",LEN(A201))),LEN(A201)))), LARGE(INDEX(ISNUMBER(--MID((--TRIM(RIGHT(SUBSTITUTE(LEFT(A201,_xlfn.AGGREGATE(16,6,FIND({0,1,2,3,4,5,6,7,8,9},A201,ROW(INDIRECT("1:"&amp;LEN(A201)))),1))," ",REPT(" ",LEN(A201))),LEN(A201)))), ROW(INDIRECT("1:"&amp;LEN((--TRIM(RIGHT(SUBSTITUTE(LEFT(A201,_xlfn.AGGREGATE(16,6,FIND({0,1,2,3,4,5,6,7,8,9},A201,ROW(INDIRECT("1:"&amp;LEN(A201)))),1))," ",REPT(" ",LEN(A201))),LEN(A201))))))), 1)) * ROW(INDIRECT("1:"&amp;LEN((--TRIM(RIGHT(SUBSTITUTE(LEFT(A201,_xlfn.AGGREGATE(16,6,FIND({0,1,2,3,4,5,6,7,8,9},A201,ROW(INDIRECT("1:"&amp;LEN(A201)))),1))," ",REPT(" ",LEN(A201))),LEN(A201))))))), 0), ROW(INDIRECT("1:"&amp;LEN((--TRIM(RIGHT(SUBSTITUTE(LEFT(A201,_xlfn.AGGREGATE(16,6,FIND({0,1,2,3,4,5,6,7,8,9},A201,ROW(INDIRECT("1:"&amp;LEN(A201)))),1))," ",REPT(" ",LEN(A201))),LEN(A201))))))))+1, 1) * 10^ROW(INDIRECT("1:"&amp;LEN((--TRIM(RIGHT(SUBSTITUTE(LEFT(A201,_xlfn.AGGREGATE(16,6,FIND({0,1,2,3,4,5,6,7,8,9},A201,ROW(INDIRECT("1:"&amp;LEN(A201)))),1))," ",REPT(" ",LEN(A201))),LEN(A201)))))))/10))*1+1</f>
        <v>811 &amp; 1311</v>
      </c>
      <c r="B202" s="79"/>
      <c r="C202" s="40" t="s">
        <v>268</v>
      </c>
      <c r="D202" s="57">
        <f>(18.1+0.75*(2.6+2.25))*10.764</f>
        <v>233.98245</v>
      </c>
      <c r="E202" s="57">
        <v>0</v>
      </c>
      <c r="F202" s="40">
        <f t="shared" si="27"/>
        <v>350.97367500000001</v>
      </c>
      <c r="G202" s="87"/>
      <c r="H202" s="88"/>
      <c r="I202" s="34"/>
    </row>
    <row r="203" spans="1:9" s="35" customFormat="1" ht="15.75" customHeight="1" x14ac:dyDescent="0.25">
      <c r="A203" s="77" t="str">
        <f ca="1">(SUMPRODUCT(MID(0&amp;(LEFT(A202,SUM(LEN(A202)-LEN(SUBSTITUTE(A202,{"0","1","2"},""))))), LARGE(INDEX(ISNUMBER(--MID((LEFT(A202,SUM(LEN(A202)-LEN(SUBSTITUTE(A202,{"0","1","2"},""))))), ROW(INDIRECT("1:"&amp;LEN((LEFT(A202,SUM(LEN(A202)-LEN(SUBSTITUTE(A202,{"0","1","2"},"")))))))), 1)) * ROW(INDIRECT("1:"&amp;LEN((LEFT(A202,SUM(LEN(A202)-LEN(SUBSTITUTE(A202,{"0","1","2"},"")))))))), 0), ROW(INDIRECT("1:"&amp;LEN((LEFT(A202,SUM(LEN(A202)-LEN(SUBSTITUTE(A202,{"0","1","2"},"")))))))))+1, 1) * 10^ROW(INDIRECT("1:"&amp;LEN((LEFT(A202,SUM(LEN(A202)-LEN(SUBSTITUTE(A202,{"0","1","2"},""))))))))/10))*1+1&amp;""&amp;" &amp; "&amp;""&amp;(SUMPRODUCT(MID(0&amp;(--TRIM(RIGHT(SUBSTITUTE(LEFT(A202,_xlfn.AGGREGATE(16,6,FIND({0,1,2,3,4,5,6,7,8,9},A202,ROW(INDIRECT("1:"&amp;LEN(A202)))),1))," ",REPT(" ",LEN(A202))),LEN(A202)))), LARGE(INDEX(ISNUMBER(--MID((--TRIM(RIGHT(SUBSTITUTE(LEFT(A202,_xlfn.AGGREGATE(16,6,FIND({0,1,2,3,4,5,6,7,8,9},A202,ROW(INDIRECT("1:"&amp;LEN(A202)))),1))," ",REPT(" ",LEN(A202))),LEN(A202)))), ROW(INDIRECT("1:"&amp;LEN((--TRIM(RIGHT(SUBSTITUTE(LEFT(A202,_xlfn.AGGREGATE(16,6,FIND({0,1,2,3,4,5,6,7,8,9},A202,ROW(INDIRECT("1:"&amp;LEN(A202)))),1))," ",REPT(" ",LEN(A202))),LEN(A202))))))), 1)) * ROW(INDIRECT("1:"&amp;LEN((--TRIM(RIGHT(SUBSTITUTE(LEFT(A202,_xlfn.AGGREGATE(16,6,FIND({0,1,2,3,4,5,6,7,8,9},A202,ROW(INDIRECT("1:"&amp;LEN(A202)))),1))," ",REPT(" ",LEN(A202))),LEN(A202))))))), 0), ROW(INDIRECT("1:"&amp;LEN((--TRIM(RIGHT(SUBSTITUTE(LEFT(A202,_xlfn.AGGREGATE(16,6,FIND({0,1,2,3,4,5,6,7,8,9},A202,ROW(INDIRECT("1:"&amp;LEN(A202)))),1))," ",REPT(" ",LEN(A202))),LEN(A202))))))))+1, 1) * 10^ROW(INDIRECT("1:"&amp;LEN((--TRIM(RIGHT(SUBSTITUTE(LEFT(A202,_xlfn.AGGREGATE(16,6,FIND({0,1,2,3,4,5,6,7,8,9},A202,ROW(INDIRECT("1:"&amp;LEN(A202)))),1))," ",REPT(" ",LEN(A202))),LEN(A202)))))))/10))*1+1</f>
        <v>812 &amp; 1312</v>
      </c>
      <c r="B203" s="79"/>
      <c r="C203" s="40" t="s">
        <v>266</v>
      </c>
      <c r="D203" s="57">
        <f>(27.1+0.75*(2.35+2.75+2.75))*10.764</f>
        <v>355.07744999999994</v>
      </c>
      <c r="E203" s="57">
        <v>0</v>
      </c>
      <c r="F203" s="40">
        <f t="shared" si="27"/>
        <v>532.61617499999988</v>
      </c>
      <c r="G203" s="87"/>
      <c r="H203" s="88"/>
      <c r="I203" s="34"/>
    </row>
    <row r="204" spans="1:9" s="35" customFormat="1" ht="15.75" customHeight="1" x14ac:dyDescent="0.25">
      <c r="A204" s="77" t="str">
        <f ca="1">(SUMPRODUCT(MID(0&amp;(LEFT(A203,SUM(LEN(A203)-LEN(SUBSTITUTE(A203,{"0","1","2"},""))))), LARGE(INDEX(ISNUMBER(--MID((LEFT(A203,SUM(LEN(A203)-LEN(SUBSTITUTE(A203,{"0","1","2"},""))))), ROW(INDIRECT("1:"&amp;LEN((LEFT(A203,SUM(LEN(A203)-LEN(SUBSTITUTE(A203,{"0","1","2"},"")))))))), 1)) * ROW(INDIRECT("1:"&amp;LEN((LEFT(A203,SUM(LEN(A203)-LEN(SUBSTITUTE(A203,{"0","1","2"},"")))))))), 0), ROW(INDIRECT("1:"&amp;LEN((LEFT(A203,SUM(LEN(A203)-LEN(SUBSTITUTE(A203,{"0","1","2"},"")))))))))+1, 1) * 10^ROW(INDIRECT("1:"&amp;LEN((LEFT(A203,SUM(LEN(A203)-LEN(SUBSTITUTE(A203,{"0","1","2"},""))))))))/10))*1+1&amp;""&amp;" &amp; "&amp;""&amp;(SUMPRODUCT(MID(0&amp;(--TRIM(RIGHT(SUBSTITUTE(LEFT(A203,_xlfn.AGGREGATE(16,6,FIND({0,1,2,3,4,5,6,7,8,9},A203,ROW(INDIRECT("1:"&amp;LEN(A203)))),1))," ",REPT(" ",LEN(A203))),LEN(A203)))), LARGE(INDEX(ISNUMBER(--MID((--TRIM(RIGHT(SUBSTITUTE(LEFT(A203,_xlfn.AGGREGATE(16,6,FIND({0,1,2,3,4,5,6,7,8,9},A203,ROW(INDIRECT("1:"&amp;LEN(A203)))),1))," ",REPT(" ",LEN(A203))),LEN(A203)))), ROW(INDIRECT("1:"&amp;LEN((--TRIM(RIGHT(SUBSTITUTE(LEFT(A203,_xlfn.AGGREGATE(16,6,FIND({0,1,2,3,4,5,6,7,8,9},A203,ROW(INDIRECT("1:"&amp;LEN(A203)))),1))," ",REPT(" ",LEN(A203))),LEN(A203))))))), 1)) * ROW(INDIRECT("1:"&amp;LEN((--TRIM(RIGHT(SUBSTITUTE(LEFT(A203,_xlfn.AGGREGATE(16,6,FIND({0,1,2,3,4,5,6,7,8,9},A203,ROW(INDIRECT("1:"&amp;LEN(A203)))),1))," ",REPT(" ",LEN(A203))),LEN(A203))))))), 0), ROW(INDIRECT("1:"&amp;LEN((--TRIM(RIGHT(SUBSTITUTE(LEFT(A203,_xlfn.AGGREGATE(16,6,FIND({0,1,2,3,4,5,6,7,8,9},A203,ROW(INDIRECT("1:"&amp;LEN(A203)))),1))," ",REPT(" ",LEN(A203))),LEN(A203))))))))+1, 1) * 10^ROW(INDIRECT("1:"&amp;LEN((--TRIM(RIGHT(SUBSTITUTE(LEFT(A203,_xlfn.AGGREGATE(16,6,FIND({0,1,2,3,4,5,6,7,8,9},A203,ROW(INDIRECT("1:"&amp;LEN(A203)))),1))," ",REPT(" ",LEN(A203))),LEN(A203)))))))/10))*1+1</f>
        <v>813 &amp; 1313</v>
      </c>
      <c r="B204" s="79"/>
      <c r="C204" s="40" t="s">
        <v>266</v>
      </c>
      <c r="D204" s="57">
        <f>(27.2+0.75*(2.75+2.75+2.35))*10.764</f>
        <v>356.15384999999998</v>
      </c>
      <c r="E204" s="57">
        <v>0</v>
      </c>
      <c r="F204" s="40">
        <f t="shared" si="27"/>
        <v>534.23077499999999</v>
      </c>
      <c r="G204" s="87"/>
      <c r="H204" s="88"/>
      <c r="I204" s="34"/>
    </row>
    <row r="205" spans="1:9" s="35" customFormat="1" ht="15.75" customHeight="1" x14ac:dyDescent="0.25">
      <c r="A205" s="77" t="str">
        <f ca="1">(SUMPRODUCT(MID(0&amp;(LEFT(A204,SUM(LEN(A204)-LEN(SUBSTITUTE(A204,{"0","1","2"},""))))), LARGE(INDEX(ISNUMBER(--MID((LEFT(A204,SUM(LEN(A204)-LEN(SUBSTITUTE(A204,{"0","1","2"},""))))), ROW(INDIRECT("1:"&amp;LEN((LEFT(A204,SUM(LEN(A204)-LEN(SUBSTITUTE(A204,{"0","1","2"},"")))))))), 1)) * ROW(INDIRECT("1:"&amp;LEN((LEFT(A204,SUM(LEN(A204)-LEN(SUBSTITUTE(A204,{"0","1","2"},"")))))))), 0), ROW(INDIRECT("1:"&amp;LEN((LEFT(A204,SUM(LEN(A204)-LEN(SUBSTITUTE(A204,{"0","1","2"},"")))))))))+1, 1) * 10^ROW(INDIRECT("1:"&amp;LEN((LEFT(A204,SUM(LEN(A204)-LEN(SUBSTITUTE(A204,{"0","1","2"},""))))))))/10))*1+1&amp;""&amp;" &amp; "&amp;""&amp;(SUMPRODUCT(MID(0&amp;(--TRIM(RIGHT(SUBSTITUTE(LEFT(A204,_xlfn.AGGREGATE(16,6,FIND({0,1,2,3,4,5,6,7,8,9},A204,ROW(INDIRECT("1:"&amp;LEN(A204)))),1))," ",REPT(" ",LEN(A204))),LEN(A204)))), LARGE(INDEX(ISNUMBER(--MID((--TRIM(RIGHT(SUBSTITUTE(LEFT(A204,_xlfn.AGGREGATE(16,6,FIND({0,1,2,3,4,5,6,7,8,9},A204,ROW(INDIRECT("1:"&amp;LEN(A204)))),1))," ",REPT(" ",LEN(A204))),LEN(A204)))), ROW(INDIRECT("1:"&amp;LEN((--TRIM(RIGHT(SUBSTITUTE(LEFT(A204,_xlfn.AGGREGATE(16,6,FIND({0,1,2,3,4,5,6,7,8,9},A204,ROW(INDIRECT("1:"&amp;LEN(A204)))),1))," ",REPT(" ",LEN(A204))),LEN(A204))))))), 1)) * ROW(INDIRECT("1:"&amp;LEN((--TRIM(RIGHT(SUBSTITUTE(LEFT(A204,_xlfn.AGGREGATE(16,6,FIND({0,1,2,3,4,5,6,7,8,9},A204,ROW(INDIRECT("1:"&amp;LEN(A204)))),1))," ",REPT(" ",LEN(A204))),LEN(A204))))))), 0), ROW(INDIRECT("1:"&amp;LEN((--TRIM(RIGHT(SUBSTITUTE(LEFT(A204,_xlfn.AGGREGATE(16,6,FIND({0,1,2,3,4,5,6,7,8,9},A204,ROW(INDIRECT("1:"&amp;LEN(A204)))),1))," ",REPT(" ",LEN(A204))),LEN(A204))))))))+1, 1) * 10^ROW(INDIRECT("1:"&amp;LEN((--TRIM(RIGHT(SUBSTITUTE(LEFT(A204,_xlfn.AGGREGATE(16,6,FIND({0,1,2,3,4,5,6,7,8,9},A204,ROW(INDIRECT("1:"&amp;LEN(A204)))),1))," ",REPT(" ",LEN(A204))),LEN(A204)))))))/10))*1+1</f>
        <v>814 &amp; 1314</v>
      </c>
      <c r="B205" s="79"/>
      <c r="C205" s="40" t="s">
        <v>267</v>
      </c>
      <c r="D205" s="57">
        <f>(38.1+0.75*(2.1+2.75+2.75+2.75))*10.764</f>
        <v>493.66394999999994</v>
      </c>
      <c r="E205" s="57">
        <v>0</v>
      </c>
      <c r="F205" s="40">
        <f t="shared" si="27"/>
        <v>740.49592499999994</v>
      </c>
      <c r="G205" s="87"/>
      <c r="H205" s="88"/>
      <c r="I205" s="34"/>
    </row>
    <row r="206" spans="1:9" s="35" customFormat="1" ht="15.75" customHeight="1" x14ac:dyDescent="0.25">
      <c r="A206" s="77" t="str">
        <f ca="1">(SUMPRODUCT(MID(0&amp;(LEFT(A205,SUM(LEN(A205)-LEN(SUBSTITUTE(A205,{"0","1","2"},""))))), LARGE(INDEX(ISNUMBER(--MID((LEFT(A205,SUM(LEN(A205)-LEN(SUBSTITUTE(A205,{"0","1","2"},""))))), ROW(INDIRECT("1:"&amp;LEN((LEFT(A205,SUM(LEN(A205)-LEN(SUBSTITUTE(A205,{"0","1","2"},"")))))))), 1)) * ROW(INDIRECT("1:"&amp;LEN((LEFT(A205,SUM(LEN(A205)-LEN(SUBSTITUTE(A205,{"0","1","2"},"")))))))), 0), ROW(INDIRECT("1:"&amp;LEN((LEFT(A205,SUM(LEN(A205)-LEN(SUBSTITUTE(A205,{"0","1","2"},"")))))))))+1, 1) * 10^ROW(INDIRECT("1:"&amp;LEN((LEFT(A205,SUM(LEN(A205)-LEN(SUBSTITUTE(A205,{"0","1","2"},""))))))))/10))*1+1&amp;""&amp;" &amp; "&amp;""&amp;(SUMPRODUCT(MID(0&amp;(--TRIM(RIGHT(SUBSTITUTE(LEFT(A205,_xlfn.AGGREGATE(16,6,FIND({0,1,2,3,4,5,6,7,8,9},A205,ROW(INDIRECT("1:"&amp;LEN(A205)))),1))," ",REPT(" ",LEN(A205))),LEN(A205)))), LARGE(INDEX(ISNUMBER(--MID((--TRIM(RIGHT(SUBSTITUTE(LEFT(A205,_xlfn.AGGREGATE(16,6,FIND({0,1,2,3,4,5,6,7,8,9},A205,ROW(INDIRECT("1:"&amp;LEN(A205)))),1))," ",REPT(" ",LEN(A205))),LEN(A205)))), ROW(INDIRECT("1:"&amp;LEN((--TRIM(RIGHT(SUBSTITUTE(LEFT(A205,_xlfn.AGGREGATE(16,6,FIND({0,1,2,3,4,5,6,7,8,9},A205,ROW(INDIRECT("1:"&amp;LEN(A205)))),1))," ",REPT(" ",LEN(A205))),LEN(A205))))))), 1)) * ROW(INDIRECT("1:"&amp;LEN((--TRIM(RIGHT(SUBSTITUTE(LEFT(A205,_xlfn.AGGREGATE(16,6,FIND({0,1,2,3,4,5,6,7,8,9},A205,ROW(INDIRECT("1:"&amp;LEN(A205)))),1))," ",REPT(" ",LEN(A205))),LEN(A205))))))), 0), ROW(INDIRECT("1:"&amp;LEN((--TRIM(RIGHT(SUBSTITUTE(LEFT(A205,_xlfn.AGGREGATE(16,6,FIND({0,1,2,3,4,5,6,7,8,9},A205,ROW(INDIRECT("1:"&amp;LEN(A205)))),1))," ",REPT(" ",LEN(A205))),LEN(A205))))))))+1, 1) * 10^ROW(INDIRECT("1:"&amp;LEN((--TRIM(RIGHT(SUBSTITUTE(LEFT(A205,_xlfn.AGGREGATE(16,6,FIND({0,1,2,3,4,5,6,7,8,9},A205,ROW(INDIRECT("1:"&amp;LEN(A205)))),1))," ",REPT(" ",LEN(A205))),LEN(A205)))))))/10))*1+1</f>
        <v>815 &amp; 1315</v>
      </c>
      <c r="B206" s="79"/>
      <c r="C206" s="40" t="s">
        <v>267</v>
      </c>
      <c r="D206" s="57">
        <f>(38.3+0.75*(2.75+2.1+2.75+2.75))*10.764</f>
        <v>495.81674999999996</v>
      </c>
      <c r="E206" s="57">
        <v>0</v>
      </c>
      <c r="F206" s="40">
        <f t="shared" si="27"/>
        <v>743.72512499999993</v>
      </c>
      <c r="G206" s="87"/>
      <c r="H206" s="88"/>
      <c r="I206" s="34"/>
    </row>
    <row r="207" spans="1:9" s="35" customFormat="1" ht="15.75" customHeight="1" x14ac:dyDescent="0.25">
      <c r="A207" s="77" t="str">
        <f ca="1">(SUMPRODUCT(MID(0&amp;(LEFT(A206,SUM(LEN(A206)-LEN(SUBSTITUTE(A206,{"0","1","2"},""))))), LARGE(INDEX(ISNUMBER(--MID((LEFT(A206,SUM(LEN(A206)-LEN(SUBSTITUTE(A206,{"0","1","2"},""))))), ROW(INDIRECT("1:"&amp;LEN((LEFT(A206,SUM(LEN(A206)-LEN(SUBSTITUTE(A206,{"0","1","2"},"")))))))), 1)) * ROW(INDIRECT("1:"&amp;LEN((LEFT(A206,SUM(LEN(A206)-LEN(SUBSTITUTE(A206,{"0","1","2"},"")))))))), 0), ROW(INDIRECT("1:"&amp;LEN((LEFT(A206,SUM(LEN(A206)-LEN(SUBSTITUTE(A206,{"0","1","2"},"")))))))))+1, 1) * 10^ROW(INDIRECT("1:"&amp;LEN((LEFT(A206,SUM(LEN(A206)-LEN(SUBSTITUTE(A206,{"0","1","2"},""))))))))/10))*1+1&amp;""&amp;" &amp; "&amp;""&amp;(SUMPRODUCT(MID(0&amp;(--TRIM(RIGHT(SUBSTITUTE(LEFT(A206,_xlfn.AGGREGATE(16,6,FIND({0,1,2,3,4,5,6,7,8,9},A206,ROW(INDIRECT("1:"&amp;LEN(A206)))),1))," ",REPT(" ",LEN(A206))),LEN(A206)))), LARGE(INDEX(ISNUMBER(--MID((--TRIM(RIGHT(SUBSTITUTE(LEFT(A206,_xlfn.AGGREGATE(16,6,FIND({0,1,2,3,4,5,6,7,8,9},A206,ROW(INDIRECT("1:"&amp;LEN(A206)))),1))," ",REPT(" ",LEN(A206))),LEN(A206)))), ROW(INDIRECT("1:"&amp;LEN((--TRIM(RIGHT(SUBSTITUTE(LEFT(A206,_xlfn.AGGREGATE(16,6,FIND({0,1,2,3,4,5,6,7,8,9},A206,ROW(INDIRECT("1:"&amp;LEN(A206)))),1))," ",REPT(" ",LEN(A206))),LEN(A206))))))), 1)) * ROW(INDIRECT("1:"&amp;LEN((--TRIM(RIGHT(SUBSTITUTE(LEFT(A206,_xlfn.AGGREGATE(16,6,FIND({0,1,2,3,4,5,6,7,8,9},A206,ROW(INDIRECT("1:"&amp;LEN(A206)))),1))," ",REPT(" ",LEN(A206))),LEN(A206))))))), 0), ROW(INDIRECT("1:"&amp;LEN((--TRIM(RIGHT(SUBSTITUTE(LEFT(A206,_xlfn.AGGREGATE(16,6,FIND({0,1,2,3,4,5,6,7,8,9},A206,ROW(INDIRECT("1:"&amp;LEN(A206)))),1))," ",REPT(" ",LEN(A206))),LEN(A206))))))))+1, 1) * 10^ROW(INDIRECT("1:"&amp;LEN((--TRIM(RIGHT(SUBSTITUTE(LEFT(A206,_xlfn.AGGREGATE(16,6,FIND({0,1,2,3,4,5,6,7,8,9},A206,ROW(INDIRECT("1:"&amp;LEN(A206)))),1))," ",REPT(" ",LEN(A206))),LEN(A206)))))))/10))*1+1</f>
        <v>816 &amp; 1316</v>
      </c>
      <c r="B207" s="79"/>
      <c r="C207" s="40" t="s">
        <v>267</v>
      </c>
      <c r="D207" s="57">
        <f>(37.7+0.75*(5.3+2.75+2.75))*10.764</f>
        <v>492.99119999999999</v>
      </c>
      <c r="E207" s="57">
        <v>0</v>
      </c>
      <c r="F207" s="40">
        <f t="shared" si="27"/>
        <v>739.48680000000002</v>
      </c>
      <c r="G207" s="87"/>
      <c r="H207" s="88"/>
      <c r="I207" s="34"/>
    </row>
    <row r="208" spans="1:9" s="35" customFormat="1" ht="15.75" customHeight="1" x14ac:dyDescent="0.25">
      <c r="A208" s="77" t="str">
        <f ca="1">(SUMPRODUCT(MID(0&amp;(LEFT(A207,SUM(LEN(A207)-LEN(SUBSTITUTE(A207,{"0","1","2"},""))))), LARGE(INDEX(ISNUMBER(--MID((LEFT(A207,SUM(LEN(A207)-LEN(SUBSTITUTE(A207,{"0","1","2"},""))))), ROW(INDIRECT("1:"&amp;LEN((LEFT(A207,SUM(LEN(A207)-LEN(SUBSTITUTE(A207,{"0","1","2"},"")))))))), 1)) * ROW(INDIRECT("1:"&amp;LEN((LEFT(A207,SUM(LEN(A207)-LEN(SUBSTITUTE(A207,{"0","1","2"},"")))))))), 0), ROW(INDIRECT("1:"&amp;LEN((LEFT(A207,SUM(LEN(A207)-LEN(SUBSTITUTE(A207,{"0","1","2"},"")))))))))+1, 1) * 10^ROW(INDIRECT("1:"&amp;LEN((LEFT(A207,SUM(LEN(A207)-LEN(SUBSTITUTE(A207,{"0","1","2"},""))))))))/10))*1+1&amp;""&amp;" &amp; "&amp;""&amp;(SUMPRODUCT(MID(0&amp;(--TRIM(RIGHT(SUBSTITUTE(LEFT(A207,_xlfn.AGGREGATE(16,6,FIND({0,1,2,3,4,5,6,7,8,9},A207,ROW(INDIRECT("1:"&amp;LEN(A207)))),1))," ",REPT(" ",LEN(A207))),LEN(A207)))), LARGE(INDEX(ISNUMBER(--MID((--TRIM(RIGHT(SUBSTITUTE(LEFT(A207,_xlfn.AGGREGATE(16,6,FIND({0,1,2,3,4,5,6,7,8,9},A207,ROW(INDIRECT("1:"&amp;LEN(A207)))),1))," ",REPT(" ",LEN(A207))),LEN(A207)))), ROW(INDIRECT("1:"&amp;LEN((--TRIM(RIGHT(SUBSTITUTE(LEFT(A207,_xlfn.AGGREGATE(16,6,FIND({0,1,2,3,4,5,6,7,8,9},A207,ROW(INDIRECT("1:"&amp;LEN(A207)))),1))," ",REPT(" ",LEN(A207))),LEN(A207))))))), 1)) * ROW(INDIRECT("1:"&amp;LEN((--TRIM(RIGHT(SUBSTITUTE(LEFT(A207,_xlfn.AGGREGATE(16,6,FIND({0,1,2,3,4,5,6,7,8,9},A207,ROW(INDIRECT("1:"&amp;LEN(A207)))),1))," ",REPT(" ",LEN(A207))),LEN(A207))))))), 0), ROW(INDIRECT("1:"&amp;LEN((--TRIM(RIGHT(SUBSTITUTE(LEFT(A207,_xlfn.AGGREGATE(16,6,FIND({0,1,2,3,4,5,6,7,8,9},A207,ROW(INDIRECT("1:"&amp;LEN(A207)))),1))," ",REPT(" ",LEN(A207))),LEN(A207))))))))+1, 1) * 10^ROW(INDIRECT("1:"&amp;LEN((--TRIM(RIGHT(SUBSTITUTE(LEFT(A207,_xlfn.AGGREGATE(16,6,FIND({0,1,2,3,4,5,6,7,8,9},A207,ROW(INDIRECT("1:"&amp;LEN(A207)))),1))," ",REPT(" ",LEN(A207))),LEN(A207)))))))/10))*1+1</f>
        <v>817 &amp; 1317</v>
      </c>
      <c r="B208" s="79"/>
      <c r="C208" s="40" t="s">
        <v>267</v>
      </c>
      <c r="D208" s="57">
        <f>(38+0.75*(2.75+2.75+2.1+2.75))*10.764</f>
        <v>492.58755000000002</v>
      </c>
      <c r="E208" s="57">
        <v>0</v>
      </c>
      <c r="F208" s="40">
        <f t="shared" si="27"/>
        <v>738.88132500000006</v>
      </c>
      <c r="G208" s="87"/>
      <c r="H208" s="88"/>
      <c r="I208" s="34"/>
    </row>
    <row r="209" spans="1:14" s="35" customFormat="1" ht="15.75" customHeight="1" x14ac:dyDescent="0.25">
      <c r="A209" s="77" t="str">
        <f ca="1">(SUMPRODUCT(MID(0&amp;(LEFT(A208,SUM(LEN(A208)-LEN(SUBSTITUTE(A208,{"0","1","2"},""))))), LARGE(INDEX(ISNUMBER(--MID((LEFT(A208,SUM(LEN(A208)-LEN(SUBSTITUTE(A208,{"0","1","2"},""))))), ROW(INDIRECT("1:"&amp;LEN((LEFT(A208,SUM(LEN(A208)-LEN(SUBSTITUTE(A208,{"0","1","2"},"")))))))), 1)) * ROW(INDIRECT("1:"&amp;LEN((LEFT(A208,SUM(LEN(A208)-LEN(SUBSTITUTE(A208,{"0","1","2"},"")))))))), 0), ROW(INDIRECT("1:"&amp;LEN((LEFT(A208,SUM(LEN(A208)-LEN(SUBSTITUTE(A208,{"0","1","2"},"")))))))))+1, 1) * 10^ROW(INDIRECT("1:"&amp;LEN((LEFT(A208,SUM(LEN(A208)-LEN(SUBSTITUTE(A208,{"0","1","2"},""))))))))/10))*1+1&amp;""&amp;" &amp; "&amp;""&amp;(SUMPRODUCT(MID(0&amp;(--TRIM(RIGHT(SUBSTITUTE(LEFT(A208,_xlfn.AGGREGATE(16,6,FIND({0,1,2,3,4,5,6,7,8,9},A208,ROW(INDIRECT("1:"&amp;LEN(A208)))),1))," ",REPT(" ",LEN(A208))),LEN(A208)))), LARGE(INDEX(ISNUMBER(--MID((--TRIM(RIGHT(SUBSTITUTE(LEFT(A208,_xlfn.AGGREGATE(16,6,FIND({0,1,2,3,4,5,6,7,8,9},A208,ROW(INDIRECT("1:"&amp;LEN(A208)))),1))," ",REPT(" ",LEN(A208))),LEN(A208)))), ROW(INDIRECT("1:"&amp;LEN((--TRIM(RIGHT(SUBSTITUTE(LEFT(A208,_xlfn.AGGREGATE(16,6,FIND({0,1,2,3,4,5,6,7,8,9},A208,ROW(INDIRECT("1:"&amp;LEN(A208)))),1))," ",REPT(" ",LEN(A208))),LEN(A208))))))), 1)) * ROW(INDIRECT("1:"&amp;LEN((--TRIM(RIGHT(SUBSTITUTE(LEFT(A208,_xlfn.AGGREGATE(16,6,FIND({0,1,2,3,4,5,6,7,8,9},A208,ROW(INDIRECT("1:"&amp;LEN(A208)))),1))," ",REPT(" ",LEN(A208))),LEN(A208))))))), 0), ROW(INDIRECT("1:"&amp;LEN((--TRIM(RIGHT(SUBSTITUTE(LEFT(A208,_xlfn.AGGREGATE(16,6,FIND({0,1,2,3,4,5,6,7,8,9},A208,ROW(INDIRECT("1:"&amp;LEN(A208)))),1))," ",REPT(" ",LEN(A208))),LEN(A208))))))))+1, 1) * 10^ROW(INDIRECT("1:"&amp;LEN((--TRIM(RIGHT(SUBSTITUTE(LEFT(A208,_xlfn.AGGREGATE(16,6,FIND({0,1,2,3,4,5,6,7,8,9},A208,ROW(INDIRECT("1:"&amp;LEN(A208)))),1))," ",REPT(" ",LEN(A208))),LEN(A208)))))))/10))*1+1</f>
        <v>818 &amp; 1318</v>
      </c>
      <c r="B209" s="79"/>
      <c r="C209" s="40" t="s">
        <v>266</v>
      </c>
      <c r="D209" s="57">
        <f>(26.3+0.75*(2.35+2.75+2.75))*10.764</f>
        <v>346.46625</v>
      </c>
      <c r="E209" s="57">
        <v>0</v>
      </c>
      <c r="F209" s="40">
        <f t="shared" si="27"/>
        <v>519.69937500000003</v>
      </c>
      <c r="G209" s="87"/>
      <c r="H209" s="88"/>
      <c r="I209" s="34"/>
    </row>
    <row r="210" spans="1:14" s="35" customFormat="1" ht="15.75" customHeight="1" x14ac:dyDescent="0.25">
      <c r="A210" s="77" t="str">
        <f ca="1">(SUMPRODUCT(MID(0&amp;(LEFT(A209,SUM(LEN(A209)-LEN(SUBSTITUTE(A209,{"0","1","2"},""))))), LARGE(INDEX(ISNUMBER(--MID((LEFT(A209,SUM(LEN(A209)-LEN(SUBSTITUTE(A209,{"0","1","2"},""))))), ROW(INDIRECT("1:"&amp;LEN((LEFT(A209,SUM(LEN(A209)-LEN(SUBSTITUTE(A209,{"0","1","2"},"")))))))), 1)) * ROW(INDIRECT("1:"&amp;LEN((LEFT(A209,SUM(LEN(A209)-LEN(SUBSTITUTE(A209,{"0","1","2"},"")))))))), 0), ROW(INDIRECT("1:"&amp;LEN((LEFT(A209,SUM(LEN(A209)-LEN(SUBSTITUTE(A209,{"0","1","2"},"")))))))))+1, 1) * 10^ROW(INDIRECT("1:"&amp;LEN((LEFT(A209,SUM(LEN(A209)-LEN(SUBSTITUTE(A209,{"0","1","2"},""))))))))/10))*1+1&amp;""&amp;" &amp; "&amp;""&amp;(SUMPRODUCT(MID(0&amp;(--TRIM(RIGHT(SUBSTITUTE(LEFT(A209,_xlfn.AGGREGATE(16,6,FIND({0,1,2,3,4,5,6,7,8,9},A209,ROW(INDIRECT("1:"&amp;LEN(A209)))),1))," ",REPT(" ",LEN(A209))),LEN(A209)))), LARGE(INDEX(ISNUMBER(--MID((--TRIM(RIGHT(SUBSTITUTE(LEFT(A209,_xlfn.AGGREGATE(16,6,FIND({0,1,2,3,4,5,6,7,8,9},A209,ROW(INDIRECT("1:"&amp;LEN(A209)))),1))," ",REPT(" ",LEN(A209))),LEN(A209)))), ROW(INDIRECT("1:"&amp;LEN((--TRIM(RIGHT(SUBSTITUTE(LEFT(A209,_xlfn.AGGREGATE(16,6,FIND({0,1,2,3,4,5,6,7,8,9},A209,ROW(INDIRECT("1:"&amp;LEN(A209)))),1))," ",REPT(" ",LEN(A209))),LEN(A209))))))), 1)) * ROW(INDIRECT("1:"&amp;LEN((--TRIM(RIGHT(SUBSTITUTE(LEFT(A209,_xlfn.AGGREGATE(16,6,FIND({0,1,2,3,4,5,6,7,8,9},A209,ROW(INDIRECT("1:"&amp;LEN(A209)))),1))," ",REPT(" ",LEN(A209))),LEN(A209))))))), 0), ROW(INDIRECT("1:"&amp;LEN((--TRIM(RIGHT(SUBSTITUTE(LEFT(A209,_xlfn.AGGREGATE(16,6,FIND({0,1,2,3,4,5,6,7,8,9},A209,ROW(INDIRECT("1:"&amp;LEN(A209)))),1))," ",REPT(" ",LEN(A209))),LEN(A209))))))))+1, 1) * 10^ROW(INDIRECT("1:"&amp;LEN((--TRIM(RIGHT(SUBSTITUTE(LEFT(A209,_xlfn.AGGREGATE(16,6,FIND({0,1,2,3,4,5,6,7,8,9},A209,ROW(INDIRECT("1:"&amp;LEN(A209)))),1))," ",REPT(" ",LEN(A209))),LEN(A209)))))))/10))*1+1</f>
        <v>819 &amp; 1319</v>
      </c>
      <c r="B210" s="79"/>
      <c r="C210" s="40" t="s">
        <v>266</v>
      </c>
      <c r="D210" s="57">
        <f>(27.2+0.75*(2.35+2.75+2.75))*10.764</f>
        <v>356.15384999999998</v>
      </c>
      <c r="E210" s="57">
        <v>0</v>
      </c>
      <c r="F210" s="40">
        <f t="shared" si="27"/>
        <v>534.23077499999999</v>
      </c>
      <c r="G210" s="87"/>
      <c r="H210" s="88"/>
      <c r="I210" s="34"/>
    </row>
    <row r="211" spans="1:14" s="35" customFormat="1" ht="15.75" customHeight="1" x14ac:dyDescent="0.25">
      <c r="A211" s="77" t="str">
        <f ca="1">(SUMPRODUCT(MID(0&amp;(LEFT(A210,SUM(LEN(A210)-LEN(SUBSTITUTE(A210,{"0","1","2"},""))))), LARGE(INDEX(ISNUMBER(--MID((LEFT(A210,SUM(LEN(A210)-LEN(SUBSTITUTE(A210,{"0","1","2"},""))))), ROW(INDIRECT("1:"&amp;LEN((LEFT(A210,SUM(LEN(A210)-LEN(SUBSTITUTE(A210,{"0","1","2"},"")))))))), 1)) * ROW(INDIRECT("1:"&amp;LEN((LEFT(A210,SUM(LEN(A210)-LEN(SUBSTITUTE(A210,{"0","1","2"},"")))))))), 0), ROW(INDIRECT("1:"&amp;LEN((LEFT(A210,SUM(LEN(A210)-LEN(SUBSTITUTE(A210,{"0","1","2"},"")))))))))+1, 1) * 10^ROW(INDIRECT("1:"&amp;LEN((LEFT(A210,SUM(LEN(A210)-LEN(SUBSTITUTE(A210,{"0","1","2"},""))))))))/10))*1+1&amp;""&amp;" &amp; "&amp;""&amp;(SUMPRODUCT(MID(0&amp;(--TRIM(RIGHT(SUBSTITUTE(LEFT(A210,_xlfn.AGGREGATE(16,6,FIND({0,1,2,3,4,5,6,7,8,9},A210,ROW(INDIRECT("1:"&amp;LEN(A210)))),1))," ",REPT(" ",LEN(A210))),LEN(A210)))), LARGE(INDEX(ISNUMBER(--MID((--TRIM(RIGHT(SUBSTITUTE(LEFT(A210,_xlfn.AGGREGATE(16,6,FIND({0,1,2,3,4,5,6,7,8,9},A210,ROW(INDIRECT("1:"&amp;LEN(A210)))),1))," ",REPT(" ",LEN(A210))),LEN(A210)))), ROW(INDIRECT("1:"&amp;LEN((--TRIM(RIGHT(SUBSTITUTE(LEFT(A210,_xlfn.AGGREGATE(16,6,FIND({0,1,2,3,4,5,6,7,8,9},A210,ROW(INDIRECT("1:"&amp;LEN(A210)))),1))," ",REPT(" ",LEN(A210))),LEN(A210))))))), 1)) * ROW(INDIRECT("1:"&amp;LEN((--TRIM(RIGHT(SUBSTITUTE(LEFT(A210,_xlfn.AGGREGATE(16,6,FIND({0,1,2,3,4,5,6,7,8,9},A210,ROW(INDIRECT("1:"&amp;LEN(A210)))),1))," ",REPT(" ",LEN(A210))),LEN(A210))))))), 0), ROW(INDIRECT("1:"&amp;LEN((--TRIM(RIGHT(SUBSTITUTE(LEFT(A210,_xlfn.AGGREGATE(16,6,FIND({0,1,2,3,4,5,6,7,8,9},A210,ROW(INDIRECT("1:"&amp;LEN(A210)))),1))," ",REPT(" ",LEN(A210))),LEN(A210))))))))+1, 1) * 10^ROW(INDIRECT("1:"&amp;LEN((--TRIM(RIGHT(SUBSTITUTE(LEFT(A210,_xlfn.AGGREGATE(16,6,FIND({0,1,2,3,4,5,6,7,8,9},A210,ROW(INDIRECT("1:"&amp;LEN(A210)))),1))," ",REPT(" ",LEN(A210))),LEN(A210)))))))/10))*1+1</f>
        <v>820 &amp; 1320</v>
      </c>
      <c r="B211" s="79"/>
      <c r="C211" s="40" t="s">
        <v>266</v>
      </c>
      <c r="D211" s="57">
        <f>(27.2+0.75*(2.35+2.75+2.75))*10.764</f>
        <v>356.15384999999998</v>
      </c>
      <c r="E211" s="57">
        <v>0</v>
      </c>
      <c r="F211" s="40">
        <f t="shared" si="27"/>
        <v>534.23077499999999</v>
      </c>
      <c r="G211" s="89"/>
      <c r="H211" s="90"/>
      <c r="I211" s="34"/>
    </row>
    <row r="212" spans="1:14" s="35" customFormat="1" x14ac:dyDescent="0.25">
      <c r="A212" s="80" t="s">
        <v>272</v>
      </c>
      <c r="B212" s="81"/>
      <c r="C212" s="81"/>
      <c r="D212" s="81"/>
      <c r="E212" s="81"/>
      <c r="F212" s="81"/>
      <c r="G212" s="81"/>
      <c r="H212" s="82"/>
      <c r="I212" s="34"/>
      <c r="L212" s="83"/>
      <c r="M212" s="83"/>
    </row>
    <row r="213" spans="1:14" s="35" customFormat="1" ht="15.75" customHeight="1" x14ac:dyDescent="0.25">
      <c r="A213" s="84">
        <f>LEFT(A212,SUM(LEN(A212)-LEN(SUBSTITUTE(A212,{"0","1","2","3","4","5","6","7","8","9"},""))))*100+1</f>
        <v>1801</v>
      </c>
      <c r="B213" s="84"/>
      <c r="C213" s="40" t="s">
        <v>266</v>
      </c>
      <c r="D213" s="57">
        <f>(26.3+0.75*(2.35+2.75+2.75))*10.764</f>
        <v>346.46625</v>
      </c>
      <c r="E213" s="57">
        <v>0</v>
      </c>
      <c r="F213" s="40">
        <f t="shared" ref="F213:F214" si="28">D213*(($F$122)+1)+(IF(E213&lt;101,E213,IF(E213&lt;201,E213/2,IF(E213&lt;=301,E213/3,E213/4))))</f>
        <v>519.69937500000003</v>
      </c>
      <c r="G213" s="85" t="str">
        <f>A212</f>
        <v>18th Floor (Part Terrace Area)</v>
      </c>
      <c r="H213" s="86"/>
      <c r="I213" s="34"/>
      <c r="N213" s="34"/>
    </row>
    <row r="214" spans="1:14" s="35" customFormat="1" x14ac:dyDescent="0.25">
      <c r="A214" s="84">
        <f>A213+1</f>
        <v>1802</v>
      </c>
      <c r="B214" s="84"/>
      <c r="C214" s="40" t="s">
        <v>266</v>
      </c>
      <c r="D214" s="57">
        <f>(27.2+0.75*(2.75+2.75+2.35))*10.764</f>
        <v>356.15384999999998</v>
      </c>
      <c r="E214" s="57">
        <v>0</v>
      </c>
      <c r="F214" s="40">
        <f t="shared" si="28"/>
        <v>534.23077499999999</v>
      </c>
      <c r="G214" s="87"/>
      <c r="H214" s="88"/>
      <c r="I214" s="34"/>
      <c r="N214" s="34"/>
    </row>
    <row r="215" spans="1:14" s="35" customFormat="1" x14ac:dyDescent="0.25">
      <c r="A215" s="84">
        <f>A214+1</f>
        <v>1803</v>
      </c>
      <c r="B215" s="84"/>
      <c r="C215" s="40" t="s">
        <v>267</v>
      </c>
      <c r="D215" s="57">
        <f>(37.7+0.75*(2.75+2.1+2.75+2.75))*10.764</f>
        <v>489.35835000000003</v>
      </c>
      <c r="E215" s="57">
        <v>0</v>
      </c>
      <c r="F215" s="40">
        <f t="shared" ref="F215:F223" si="29">D215*(($F$122)+1)+(IF(E215&lt;101,E215,IF(E215&lt;201,E215/2,IF(E215&lt;=301,E215/3,E215/4))))</f>
        <v>734.03752500000007</v>
      </c>
      <c r="G215" s="87"/>
      <c r="H215" s="88"/>
      <c r="I215" s="34"/>
      <c r="N215" s="34"/>
    </row>
    <row r="216" spans="1:14" s="35" customFormat="1" x14ac:dyDescent="0.25">
      <c r="A216" s="84">
        <f>A215+1</f>
        <v>1804</v>
      </c>
      <c r="B216" s="84"/>
      <c r="C216" s="40" t="s">
        <v>268</v>
      </c>
      <c r="D216" s="57">
        <f>(18.1+0.75*(2.6+2.25))*10.764</f>
        <v>233.98245</v>
      </c>
      <c r="E216" s="57">
        <v>0</v>
      </c>
      <c r="F216" s="40">
        <f t="shared" si="29"/>
        <v>350.97367500000001</v>
      </c>
      <c r="G216" s="87"/>
      <c r="H216" s="88"/>
      <c r="I216" s="34"/>
      <c r="N216" s="34"/>
    </row>
    <row r="217" spans="1:14" s="35" customFormat="1" x14ac:dyDescent="0.25">
      <c r="A217" s="84">
        <f>A216+1</f>
        <v>1805</v>
      </c>
      <c r="B217" s="84"/>
      <c r="C217" s="40" t="s">
        <v>266</v>
      </c>
      <c r="D217" s="57">
        <f>(27.3+0.75*(2.75+2.75+2.35))*10.764</f>
        <v>357.23024999999996</v>
      </c>
      <c r="E217" s="57">
        <v>0</v>
      </c>
      <c r="F217" s="40">
        <f t="shared" si="29"/>
        <v>535.84537499999988</v>
      </c>
      <c r="G217" s="87"/>
      <c r="H217" s="88"/>
      <c r="I217" s="34"/>
      <c r="N217" s="34"/>
    </row>
    <row r="218" spans="1:14" s="35" customFormat="1" x14ac:dyDescent="0.25">
      <c r="A218" s="84">
        <f t="shared" ref="A218:A221" si="30">A217+1</f>
        <v>1806</v>
      </c>
      <c r="B218" s="84"/>
      <c r="C218" s="40" t="s">
        <v>266</v>
      </c>
      <c r="D218" s="57">
        <f>(27.2+0.75*(2.35+2.75+2.75))*10.764</f>
        <v>356.15384999999998</v>
      </c>
      <c r="E218" s="57">
        <v>0</v>
      </c>
      <c r="F218" s="40">
        <f t="shared" si="29"/>
        <v>534.23077499999999</v>
      </c>
      <c r="G218" s="87"/>
      <c r="H218" s="88"/>
      <c r="I218" s="34"/>
      <c r="N218" s="34"/>
    </row>
    <row r="219" spans="1:14" s="35" customFormat="1" x14ac:dyDescent="0.25">
      <c r="A219" s="84">
        <f t="shared" si="30"/>
        <v>1807</v>
      </c>
      <c r="B219" s="84"/>
      <c r="C219" s="40" t="s">
        <v>266</v>
      </c>
      <c r="D219" s="57">
        <f>(27.1+0.75*(2.75+2.75+2.35))*10.764</f>
        <v>355.07744999999994</v>
      </c>
      <c r="E219" s="57">
        <v>0</v>
      </c>
      <c r="F219" s="40">
        <f t="shared" si="29"/>
        <v>532.61617499999988</v>
      </c>
      <c r="G219" s="87"/>
      <c r="H219" s="88"/>
      <c r="I219" s="34"/>
      <c r="N219" s="34"/>
    </row>
    <row r="220" spans="1:14" s="35" customFormat="1" x14ac:dyDescent="0.25">
      <c r="A220" s="84">
        <f t="shared" si="30"/>
        <v>1808</v>
      </c>
      <c r="B220" s="84"/>
      <c r="C220" s="40" t="s">
        <v>266</v>
      </c>
      <c r="D220" s="57">
        <f>(27.6+0.75*(2.75+2.75+2.35))*10.764</f>
        <v>360.45944999999995</v>
      </c>
      <c r="E220" s="57">
        <v>0</v>
      </c>
      <c r="F220" s="40">
        <f t="shared" si="29"/>
        <v>540.68917499999998</v>
      </c>
      <c r="G220" s="87"/>
      <c r="H220" s="88"/>
      <c r="I220" s="34"/>
      <c r="N220" s="34"/>
    </row>
    <row r="221" spans="1:14" s="35" customFormat="1" x14ac:dyDescent="0.25">
      <c r="A221" s="84">
        <f t="shared" si="30"/>
        <v>1809</v>
      </c>
      <c r="B221" s="84"/>
      <c r="C221" s="40" t="s">
        <v>267</v>
      </c>
      <c r="D221" s="57">
        <f>(37.7+0.75*(2.1+2.75+2.75+2.75))*10.764</f>
        <v>489.35835000000003</v>
      </c>
      <c r="E221" s="57">
        <v>0</v>
      </c>
      <c r="F221" s="40">
        <f t="shared" si="29"/>
        <v>734.03752500000007</v>
      </c>
      <c r="G221" s="87"/>
      <c r="H221" s="88"/>
      <c r="I221" s="34"/>
      <c r="N221" s="34"/>
    </row>
    <row r="222" spans="1:14" s="35" customFormat="1" x14ac:dyDescent="0.25">
      <c r="A222" s="84">
        <f>A221+1</f>
        <v>1810</v>
      </c>
      <c r="B222" s="84"/>
      <c r="C222" s="40" t="s">
        <v>267</v>
      </c>
      <c r="D222" s="57">
        <f>(39.8+0.75*(2.75+2.75+2.1+2.75))*10.764</f>
        <v>511.96274999999997</v>
      </c>
      <c r="E222" s="57">
        <v>0</v>
      </c>
      <c r="F222" s="40">
        <f t="shared" si="29"/>
        <v>767.94412499999999</v>
      </c>
      <c r="G222" s="87"/>
      <c r="H222" s="88"/>
      <c r="I222" s="34"/>
      <c r="N222" s="34"/>
    </row>
    <row r="223" spans="1:14" s="35" customFormat="1" x14ac:dyDescent="0.25">
      <c r="A223" s="84">
        <f t="shared" ref="A223:A232" si="31">A222+1</f>
        <v>1811</v>
      </c>
      <c r="B223" s="84"/>
      <c r="C223" s="40" t="s">
        <v>268</v>
      </c>
      <c r="D223" s="57">
        <f>(18.1+0.75*(2.6+2.25))*10.764</f>
        <v>233.98245</v>
      </c>
      <c r="E223" s="57">
        <v>0</v>
      </c>
      <c r="F223" s="40">
        <f t="shared" si="29"/>
        <v>350.97367500000001</v>
      </c>
      <c r="G223" s="87"/>
      <c r="H223" s="88"/>
      <c r="I223" s="34"/>
      <c r="N223" s="34"/>
    </row>
    <row r="224" spans="1:14" s="35" customFormat="1" x14ac:dyDescent="0.25">
      <c r="A224" s="84">
        <f t="shared" si="31"/>
        <v>1812</v>
      </c>
      <c r="B224" s="84"/>
      <c r="C224" s="85" t="s">
        <v>273</v>
      </c>
      <c r="D224" s="91"/>
      <c r="E224" s="91"/>
      <c r="F224" s="86"/>
      <c r="G224" s="87"/>
      <c r="H224" s="88"/>
      <c r="I224" s="34"/>
      <c r="N224" s="34"/>
    </row>
    <row r="225" spans="1:14" s="35" customFormat="1" x14ac:dyDescent="0.25">
      <c r="A225" s="84">
        <f t="shared" si="31"/>
        <v>1813</v>
      </c>
      <c r="B225" s="84"/>
      <c r="C225" s="87"/>
      <c r="D225" s="92"/>
      <c r="E225" s="92"/>
      <c r="F225" s="88"/>
      <c r="G225" s="87"/>
      <c r="H225" s="88"/>
      <c r="I225" s="34"/>
      <c r="N225" s="34"/>
    </row>
    <row r="226" spans="1:14" s="35" customFormat="1" x14ac:dyDescent="0.25">
      <c r="A226" s="84">
        <f t="shared" si="31"/>
        <v>1814</v>
      </c>
      <c r="B226" s="84"/>
      <c r="C226" s="87"/>
      <c r="D226" s="92"/>
      <c r="E226" s="92"/>
      <c r="F226" s="88"/>
      <c r="G226" s="87"/>
      <c r="H226" s="88"/>
      <c r="I226" s="34"/>
      <c r="N226" s="34"/>
    </row>
    <row r="227" spans="1:14" s="35" customFormat="1" x14ac:dyDescent="0.25">
      <c r="A227" s="84">
        <f t="shared" si="31"/>
        <v>1815</v>
      </c>
      <c r="B227" s="84"/>
      <c r="C227" s="87"/>
      <c r="D227" s="92"/>
      <c r="E227" s="92"/>
      <c r="F227" s="88"/>
      <c r="G227" s="87"/>
      <c r="H227" s="88"/>
      <c r="I227" s="34"/>
      <c r="N227" s="34"/>
    </row>
    <row r="228" spans="1:14" s="35" customFormat="1" x14ac:dyDescent="0.25">
      <c r="A228" s="84">
        <f t="shared" si="31"/>
        <v>1816</v>
      </c>
      <c r="B228" s="84"/>
      <c r="C228" s="87"/>
      <c r="D228" s="92"/>
      <c r="E228" s="92"/>
      <c r="F228" s="88"/>
      <c r="G228" s="87"/>
      <c r="H228" s="88"/>
      <c r="I228" s="34"/>
      <c r="N228" s="34"/>
    </row>
    <row r="229" spans="1:14" s="35" customFormat="1" x14ac:dyDescent="0.25">
      <c r="A229" s="84">
        <f t="shared" si="31"/>
        <v>1817</v>
      </c>
      <c r="B229" s="84"/>
      <c r="C229" s="89"/>
      <c r="D229" s="93"/>
      <c r="E229" s="93"/>
      <c r="F229" s="90"/>
      <c r="G229" s="87"/>
      <c r="H229" s="88"/>
      <c r="I229" s="34"/>
      <c r="N229" s="34"/>
    </row>
    <row r="230" spans="1:14" s="35" customFormat="1" x14ac:dyDescent="0.25">
      <c r="A230" s="84">
        <f t="shared" si="31"/>
        <v>1818</v>
      </c>
      <c r="B230" s="84"/>
      <c r="C230" s="77" t="s">
        <v>274</v>
      </c>
      <c r="D230" s="78"/>
      <c r="E230" s="78"/>
      <c r="F230" s="79"/>
      <c r="G230" s="87"/>
      <c r="H230" s="88"/>
      <c r="I230" s="34"/>
      <c r="N230" s="34"/>
    </row>
    <row r="231" spans="1:14" s="35" customFormat="1" x14ac:dyDescent="0.25">
      <c r="A231" s="84">
        <f t="shared" si="31"/>
        <v>1819</v>
      </c>
      <c r="B231" s="84"/>
      <c r="C231" s="40" t="s">
        <v>266</v>
      </c>
      <c r="D231" s="57">
        <f>(27.2+0.75*(2.35+2.75+2.75))*10.764</f>
        <v>356.15384999999998</v>
      </c>
      <c r="E231" s="57">
        <v>0</v>
      </c>
      <c r="F231" s="40">
        <f>D231*(($F$122)+1)+(IF(E231&lt;101,E231,IF(E231&lt;201,E231/2,IF(E231&lt;=301,E231/3,E231/4))))</f>
        <v>534.23077499999999</v>
      </c>
      <c r="G231" s="87"/>
      <c r="H231" s="88"/>
      <c r="I231" s="34"/>
      <c r="N231" s="34"/>
    </row>
    <row r="232" spans="1:14" s="35" customFormat="1" x14ac:dyDescent="0.25">
      <c r="A232" s="84">
        <f t="shared" si="31"/>
        <v>1820</v>
      </c>
      <c r="B232" s="84"/>
      <c r="C232" s="40" t="s">
        <v>266</v>
      </c>
      <c r="D232" s="57">
        <f>(27.2+0.75*(2.35+2.75+2.75))*10.764</f>
        <v>356.15384999999998</v>
      </c>
      <c r="E232" s="57">
        <v>0</v>
      </c>
      <c r="F232" s="40">
        <f>D232*(($F$122)+1)+(IF(E232&lt;101,E232,IF(E232&lt;201,E232/2,IF(E232&lt;=301,E232/3,E232/4))))</f>
        <v>534.23077499999999</v>
      </c>
      <c r="G232" s="89"/>
      <c r="H232" s="90"/>
      <c r="I232" s="34"/>
      <c r="N232" s="34"/>
    </row>
    <row r="233" spans="1:14" s="33" customFormat="1" x14ac:dyDescent="0.25">
      <c r="A233" s="126" t="s">
        <v>68</v>
      </c>
      <c r="B233" s="126"/>
      <c r="C233" s="126"/>
      <c r="D233" s="126"/>
      <c r="E233" s="126"/>
      <c r="F233" s="126"/>
      <c r="G233" s="126"/>
      <c r="H233" s="126"/>
    </row>
    <row r="234" spans="1:14" s="56" customFormat="1" x14ac:dyDescent="0.25">
      <c r="A234" s="55" t="s">
        <v>156</v>
      </c>
      <c r="B234" s="120" t="s">
        <v>295</v>
      </c>
      <c r="C234" s="121"/>
      <c r="D234" s="121"/>
      <c r="E234" s="121"/>
      <c r="F234" s="121"/>
      <c r="G234" s="121"/>
      <c r="H234" s="122"/>
    </row>
    <row r="235" spans="1:14" s="56" customFormat="1" x14ac:dyDescent="0.25">
      <c r="A235" s="55" t="s">
        <v>156</v>
      </c>
      <c r="B235" s="120" t="str">
        <f>(IF(F121="Saleable area Loading :","We have considered Saleable area of Flats as per our Calculation.","We considered Saleable area of Flat as per Builder area Sheet."))</f>
        <v>We have considered Saleable area of Flats as per our Calculation.</v>
      </c>
      <c r="C235" s="121"/>
      <c r="D235" s="121"/>
      <c r="E235" s="121"/>
      <c r="F235" s="121"/>
      <c r="G235" s="121"/>
      <c r="H235" s="122"/>
    </row>
    <row r="236" spans="1:14" s="56" customFormat="1" x14ac:dyDescent="0.25">
      <c r="A236" s="55" t="s">
        <v>156</v>
      </c>
      <c r="B236" s="120" t="str">
        <f>(IF(F106="Saleable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36" s="121"/>
      <c r="D236" s="121"/>
      <c r="E236" s="121"/>
      <c r="F236" s="121"/>
      <c r="G236" s="121"/>
      <c r="H236" s="122"/>
    </row>
    <row r="237" spans="1:14" s="56" customFormat="1" x14ac:dyDescent="0.25">
      <c r="A237" s="55" t="s">
        <v>156</v>
      </c>
      <c r="B237" s="120" t="s">
        <v>126</v>
      </c>
      <c r="C237" s="121"/>
      <c r="D237" s="121"/>
      <c r="E237" s="121"/>
      <c r="F237" s="121"/>
      <c r="G237" s="121"/>
      <c r="H237" s="122"/>
    </row>
    <row r="238" spans="1:14" s="56" customFormat="1" x14ac:dyDescent="0.25">
      <c r="A238" s="55" t="s">
        <v>156</v>
      </c>
      <c r="B238" s="120" t="s">
        <v>275</v>
      </c>
      <c r="C238" s="121"/>
      <c r="D238" s="121"/>
      <c r="E238" s="121"/>
      <c r="F238" s="121"/>
      <c r="G238" s="121"/>
      <c r="H238" s="122"/>
    </row>
    <row r="239" spans="1:14" s="33" customFormat="1" x14ac:dyDescent="0.25">
      <c r="A239" s="43" t="s">
        <v>156</v>
      </c>
      <c r="B239" s="120" t="s">
        <v>155</v>
      </c>
      <c r="C239" s="121"/>
      <c r="D239" s="121"/>
      <c r="E239" s="121"/>
      <c r="F239" s="121"/>
      <c r="G239" s="121"/>
      <c r="H239" s="122"/>
    </row>
    <row r="240" spans="1:14" s="33" customFormat="1" x14ac:dyDescent="0.25">
      <c r="A240" s="43" t="s">
        <v>156</v>
      </c>
      <c r="B240" s="120" t="s">
        <v>127</v>
      </c>
      <c r="C240" s="121"/>
      <c r="D240" s="121"/>
      <c r="E240" s="121"/>
      <c r="F240" s="121"/>
      <c r="G240" s="121"/>
      <c r="H240" s="122"/>
    </row>
    <row r="241" spans="1:8" s="33" customFormat="1" ht="34.5" customHeight="1" x14ac:dyDescent="0.25">
      <c r="A241" s="43" t="s">
        <v>156</v>
      </c>
      <c r="B241" s="112" t="s">
        <v>157</v>
      </c>
      <c r="C241" s="113"/>
      <c r="D241" s="113"/>
      <c r="E241" s="113"/>
      <c r="F241" s="113"/>
      <c r="G241" s="113"/>
      <c r="H241" s="114"/>
    </row>
    <row r="242" spans="1:8" s="33" customFormat="1" x14ac:dyDescent="0.25">
      <c r="A242" s="43" t="s">
        <v>156</v>
      </c>
      <c r="B242" s="112" t="s">
        <v>128</v>
      </c>
      <c r="C242" s="113"/>
      <c r="D242" s="113"/>
      <c r="E242" s="113"/>
      <c r="F242" s="113"/>
      <c r="G242" s="113"/>
      <c r="H242" s="114"/>
    </row>
    <row r="243" spans="1:8" s="33" customFormat="1" x14ac:dyDescent="0.25">
      <c r="A243" s="43" t="s">
        <v>156</v>
      </c>
      <c r="B243" s="120" t="s">
        <v>280</v>
      </c>
      <c r="C243" s="121"/>
      <c r="D243" s="121"/>
      <c r="E243" s="121"/>
      <c r="F243" s="121"/>
      <c r="G243" s="121"/>
      <c r="H243" s="122"/>
    </row>
    <row r="244" spans="1:8" s="33" customFormat="1" x14ac:dyDescent="0.25">
      <c r="A244" s="43" t="s">
        <v>156</v>
      </c>
      <c r="B244" s="74" t="s">
        <v>290</v>
      </c>
      <c r="C244" s="75"/>
      <c r="D244" s="75"/>
      <c r="E244" s="75"/>
      <c r="F244" s="75"/>
      <c r="G244" s="75"/>
      <c r="H244" s="76"/>
    </row>
    <row r="245" spans="1:8" x14ac:dyDescent="0.25">
      <c r="A245" s="184" t="s">
        <v>61</v>
      </c>
      <c r="B245" s="184"/>
      <c r="C245" s="184"/>
      <c r="D245" s="184"/>
      <c r="E245" s="184"/>
      <c r="F245" s="184"/>
      <c r="G245" s="184"/>
      <c r="H245" s="184"/>
    </row>
    <row r="246" spans="1:8" x14ac:dyDescent="0.25">
      <c r="A246" s="96" t="s">
        <v>62</v>
      </c>
      <c r="B246" s="96"/>
      <c r="C246" s="96"/>
      <c r="D246" s="96"/>
      <c r="E246" s="96"/>
      <c r="F246" s="96"/>
      <c r="G246" s="96"/>
      <c r="H246" s="96"/>
    </row>
    <row r="247" spans="1:8" ht="15.75" customHeight="1" x14ac:dyDescent="0.25">
      <c r="A247" s="186" t="s">
        <v>63</v>
      </c>
      <c r="B247" s="186"/>
      <c r="C247" s="186"/>
      <c r="D247" s="186"/>
      <c r="E247" s="186"/>
      <c r="F247" s="186"/>
      <c r="G247" s="186"/>
      <c r="H247" s="186"/>
    </row>
    <row r="248" spans="1:8" x14ac:dyDescent="0.25">
      <c r="A248" s="96" t="s">
        <v>64</v>
      </c>
      <c r="B248" s="96"/>
      <c r="C248" s="96"/>
      <c r="D248" s="96"/>
      <c r="E248" s="96"/>
      <c r="F248" s="96"/>
      <c r="G248" s="96"/>
      <c r="H248" s="96"/>
    </row>
    <row r="249" spans="1:8" x14ac:dyDescent="0.25">
      <c r="A249" s="96" t="s">
        <v>65</v>
      </c>
      <c r="B249" s="96"/>
      <c r="C249" s="96"/>
      <c r="D249" s="96"/>
      <c r="E249" s="96"/>
      <c r="F249" s="96"/>
      <c r="G249" s="96"/>
      <c r="H249" s="96"/>
    </row>
    <row r="250" spans="1:8" x14ac:dyDescent="0.25">
      <c r="A250" s="96" t="s">
        <v>129</v>
      </c>
      <c r="B250" s="96"/>
      <c r="C250" s="96"/>
      <c r="D250" s="96"/>
      <c r="E250" s="96"/>
      <c r="F250" s="96"/>
      <c r="G250" s="96"/>
      <c r="H250" s="96"/>
    </row>
    <row r="251" spans="1:8" ht="34.15" customHeight="1" x14ac:dyDescent="0.25">
      <c r="A251" s="176" t="s">
        <v>130</v>
      </c>
      <c r="B251" s="176"/>
      <c r="C251" s="176"/>
      <c r="D251" s="176"/>
      <c r="E251" s="176"/>
      <c r="F251" s="176"/>
      <c r="G251" s="176"/>
      <c r="H251" s="176"/>
    </row>
    <row r="252" spans="1:8" x14ac:dyDescent="0.25">
      <c r="A252" s="183" t="s">
        <v>77</v>
      </c>
      <c r="B252" s="183"/>
      <c r="C252" s="183" t="s">
        <v>286</v>
      </c>
      <c r="D252" s="183"/>
      <c r="E252" s="183" t="s">
        <v>107</v>
      </c>
      <c r="F252" s="183"/>
      <c r="G252" s="183" t="s">
        <v>296</v>
      </c>
      <c r="H252" s="183"/>
    </row>
    <row r="253" spans="1:8" x14ac:dyDescent="0.25">
      <c r="A253" s="182" t="s">
        <v>79</v>
      </c>
      <c r="B253" s="182"/>
      <c r="C253" s="182"/>
      <c r="D253" s="182"/>
      <c r="E253" s="182"/>
      <c r="F253" s="182"/>
      <c r="G253" s="182"/>
      <c r="H253" s="182"/>
    </row>
    <row r="254" spans="1:8" x14ac:dyDescent="0.25">
      <c r="A254" s="182"/>
      <c r="B254" s="182"/>
      <c r="C254" s="182"/>
      <c r="D254" s="182"/>
      <c r="E254" s="182"/>
      <c r="F254" s="182"/>
      <c r="G254" s="182"/>
      <c r="H254" s="182"/>
    </row>
    <row r="255" spans="1:8" x14ac:dyDescent="0.25">
      <c r="A255" s="182"/>
      <c r="B255" s="182"/>
      <c r="C255" s="182"/>
      <c r="D255" s="182"/>
      <c r="E255" s="182"/>
      <c r="F255" s="182"/>
      <c r="G255" s="182"/>
      <c r="H255" s="182"/>
    </row>
    <row r="256" spans="1:8" x14ac:dyDescent="0.25">
      <c r="A256" s="182"/>
      <c r="B256" s="182"/>
      <c r="C256" s="182"/>
      <c r="D256" s="182"/>
      <c r="E256" s="182"/>
      <c r="F256" s="182"/>
      <c r="G256" s="182"/>
      <c r="H256" s="182"/>
    </row>
    <row r="257" spans="1:8" x14ac:dyDescent="0.25">
      <c r="A257" s="36" t="s">
        <v>66</v>
      </c>
      <c r="B257" s="37"/>
      <c r="C257" s="37"/>
      <c r="D257" s="36" t="str">
        <f>E8</f>
        <v>Super Homes</v>
      </c>
      <c r="F257" s="37"/>
      <c r="G257" s="37"/>
      <c r="H257" s="37"/>
    </row>
    <row r="258" spans="1:8" x14ac:dyDescent="0.25">
      <c r="A258" s="37"/>
      <c r="B258" s="37"/>
      <c r="C258" s="37"/>
      <c r="D258" s="37"/>
      <c r="E258" s="37"/>
      <c r="F258" s="37"/>
      <c r="G258" s="37"/>
      <c r="H258" s="37"/>
    </row>
    <row r="259" spans="1:8" x14ac:dyDescent="0.25">
      <c r="A259" s="37"/>
      <c r="B259" s="37"/>
      <c r="C259" s="37"/>
      <c r="D259" s="37"/>
      <c r="E259" s="37"/>
      <c r="F259" s="37"/>
      <c r="G259" s="37"/>
      <c r="H259" s="37"/>
    </row>
    <row r="260" spans="1:8" ht="15" customHeight="1" x14ac:dyDescent="0.25"/>
    <row r="299" spans="1:1" x14ac:dyDescent="0.25">
      <c r="A299" s="39" t="s">
        <v>167</v>
      </c>
    </row>
    <row r="341" spans="1:1" x14ac:dyDescent="0.25">
      <c r="A341" s="39" t="s">
        <v>67</v>
      </c>
    </row>
  </sheetData>
  <mergeCells count="415">
    <mergeCell ref="I10:L10"/>
    <mergeCell ref="I14:P14"/>
    <mergeCell ref="F91:H91"/>
    <mergeCell ref="F89:H89"/>
    <mergeCell ref="A172:B172"/>
    <mergeCell ref="A105:H105"/>
    <mergeCell ref="G95:H95"/>
    <mergeCell ref="A90:E90"/>
    <mergeCell ref="A110:B110"/>
    <mergeCell ref="A53:B53"/>
    <mergeCell ref="C53:E53"/>
    <mergeCell ref="D55:H55"/>
    <mergeCell ref="F90:H90"/>
    <mergeCell ref="E95:F95"/>
    <mergeCell ref="A95:B95"/>
    <mergeCell ref="C100:D100"/>
    <mergeCell ref="D63:H63"/>
    <mergeCell ref="A64:C64"/>
    <mergeCell ref="F34:H34"/>
    <mergeCell ref="A103:B103"/>
    <mergeCell ref="C103:D103"/>
    <mergeCell ref="E103:F103"/>
    <mergeCell ref="G103:H103"/>
    <mergeCell ref="E42:H42"/>
    <mergeCell ref="A42:D42"/>
    <mergeCell ref="A75:B75"/>
    <mergeCell ref="A49:B49"/>
    <mergeCell ref="C49:E49"/>
    <mergeCell ref="G49:H49"/>
    <mergeCell ref="G51:H51"/>
    <mergeCell ref="A50:B50"/>
    <mergeCell ref="A54:H54"/>
    <mergeCell ref="A55:C55"/>
    <mergeCell ref="A56:C56"/>
    <mergeCell ref="D56:H56"/>
    <mergeCell ref="G53:H53"/>
    <mergeCell ref="C51:E51"/>
    <mergeCell ref="A58:C58"/>
    <mergeCell ref="D58:H58"/>
    <mergeCell ref="C50:E50"/>
    <mergeCell ref="A74:B74"/>
    <mergeCell ref="A61:C61"/>
    <mergeCell ref="D61:H61"/>
    <mergeCell ref="C68:H68"/>
    <mergeCell ref="A71:B71"/>
    <mergeCell ref="A73:B73"/>
    <mergeCell ref="E69:F69"/>
    <mergeCell ref="A62:C62"/>
    <mergeCell ref="D62:H62"/>
    <mergeCell ref="A250:H250"/>
    <mergeCell ref="A247:H247"/>
    <mergeCell ref="A129:B129"/>
    <mergeCell ref="A100:B100"/>
    <mergeCell ref="D121:D122"/>
    <mergeCell ref="E121:E122"/>
    <mergeCell ref="G121:H122"/>
    <mergeCell ref="F81:H81"/>
    <mergeCell ref="G96:H96"/>
    <mergeCell ref="F88:H88"/>
    <mergeCell ref="C95:D95"/>
    <mergeCell ref="C102:D102"/>
    <mergeCell ref="A123:H123"/>
    <mergeCell ref="A174:B174"/>
    <mergeCell ref="A171:B171"/>
    <mergeCell ref="G127:H127"/>
    <mergeCell ref="A109:B109"/>
    <mergeCell ref="B243:H243"/>
    <mergeCell ref="B242:H242"/>
    <mergeCell ref="B240:H240"/>
    <mergeCell ref="B236:H236"/>
    <mergeCell ref="A194:B194"/>
    <mergeCell ref="A191:H191"/>
    <mergeCell ref="B234:H234"/>
    <mergeCell ref="B235:H235"/>
    <mergeCell ref="F80:H80"/>
    <mergeCell ref="F85:H85"/>
    <mergeCell ref="A124:B124"/>
    <mergeCell ref="A112:B112"/>
    <mergeCell ref="A111:B111"/>
    <mergeCell ref="A86:E86"/>
    <mergeCell ref="F86:H86"/>
    <mergeCell ref="A87:E87"/>
    <mergeCell ref="A89:E89"/>
    <mergeCell ref="F83:H83"/>
    <mergeCell ref="A88:E88"/>
    <mergeCell ref="A120:H120"/>
    <mergeCell ref="E100:F100"/>
    <mergeCell ref="A104:H104"/>
    <mergeCell ref="A121:A122"/>
    <mergeCell ref="A113:B113"/>
    <mergeCell ref="A141:B141"/>
    <mergeCell ref="A142:B142"/>
    <mergeCell ref="A143:B143"/>
    <mergeCell ref="A144:B144"/>
    <mergeCell ref="A135:B135"/>
    <mergeCell ref="A136:B136"/>
    <mergeCell ref="A253:H256"/>
    <mergeCell ref="A252:B252"/>
    <mergeCell ref="E252:F252"/>
    <mergeCell ref="C252:D252"/>
    <mergeCell ref="G252:H252"/>
    <mergeCell ref="A94:H94"/>
    <mergeCell ref="A92:E92"/>
    <mergeCell ref="F92:H92"/>
    <mergeCell ref="A93:E93"/>
    <mergeCell ref="F93:H93"/>
    <mergeCell ref="A128:H128"/>
    <mergeCell ref="A101:B101"/>
    <mergeCell ref="A173:B173"/>
    <mergeCell ref="A96:B96"/>
    <mergeCell ref="A248:H248"/>
    <mergeCell ref="A99:H99"/>
    <mergeCell ref="A251:H251"/>
    <mergeCell ref="A249:H249"/>
    <mergeCell ref="A245:H245"/>
    <mergeCell ref="G100:H100"/>
    <mergeCell ref="A175:B175"/>
    <mergeCell ref="C106:C107"/>
    <mergeCell ref="B121:B122"/>
    <mergeCell ref="A246:H246"/>
    <mergeCell ref="A65:C65"/>
    <mergeCell ref="D65:H65"/>
    <mergeCell ref="A63:C63"/>
    <mergeCell ref="D64:H64"/>
    <mergeCell ref="A70:B70"/>
    <mergeCell ref="G69:H69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F33:H33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A37:H37"/>
    <mergeCell ref="A36:B36"/>
    <mergeCell ref="C36:E36"/>
    <mergeCell ref="A41:D41"/>
    <mergeCell ref="E41:H41"/>
    <mergeCell ref="A40:H40"/>
    <mergeCell ref="A59:C59"/>
    <mergeCell ref="A60:C60"/>
    <mergeCell ref="D59:H59"/>
    <mergeCell ref="D60:H60"/>
    <mergeCell ref="A43:D43"/>
    <mergeCell ref="E43:H43"/>
    <mergeCell ref="E44:H44"/>
    <mergeCell ref="E45:H45"/>
    <mergeCell ref="E46:H46"/>
    <mergeCell ref="A44:D44"/>
    <mergeCell ref="F36:H36"/>
    <mergeCell ref="A46:D46"/>
    <mergeCell ref="A47:H47"/>
    <mergeCell ref="D57:H57"/>
    <mergeCell ref="A57:C57"/>
    <mergeCell ref="G50:H50"/>
    <mergeCell ref="A51:B52"/>
    <mergeCell ref="A38:B38"/>
    <mergeCell ref="C38:H38"/>
    <mergeCell ref="A45:D45"/>
    <mergeCell ref="L112:M112"/>
    <mergeCell ref="L111:M111"/>
    <mergeCell ref="L110:M110"/>
    <mergeCell ref="L109:M109"/>
    <mergeCell ref="A77:B77"/>
    <mergeCell ref="E101:F101"/>
    <mergeCell ref="F87:H87"/>
    <mergeCell ref="A81:E81"/>
    <mergeCell ref="A108:H108"/>
    <mergeCell ref="E106:E107"/>
    <mergeCell ref="G106:H107"/>
    <mergeCell ref="E70:F79"/>
    <mergeCell ref="G70:H79"/>
    <mergeCell ref="A78:B78"/>
    <mergeCell ref="A79:B79"/>
    <mergeCell ref="A76:B76"/>
    <mergeCell ref="A69:B69"/>
    <mergeCell ref="A72:B72"/>
    <mergeCell ref="A68:B68"/>
    <mergeCell ref="A66:B66"/>
    <mergeCell ref="C66:H66"/>
    <mergeCell ref="A39:B39"/>
    <mergeCell ref="C39:H39"/>
    <mergeCell ref="B241:H241"/>
    <mergeCell ref="A48:B48"/>
    <mergeCell ref="C48:H48"/>
    <mergeCell ref="B239:H239"/>
    <mergeCell ref="F82:H82"/>
    <mergeCell ref="A82:E82"/>
    <mergeCell ref="D106:D107"/>
    <mergeCell ref="A84:E84"/>
    <mergeCell ref="A83:E83"/>
    <mergeCell ref="A80:E80"/>
    <mergeCell ref="F84:H84"/>
    <mergeCell ref="G97:H97"/>
    <mergeCell ref="A97:B97"/>
    <mergeCell ref="A126:B126"/>
    <mergeCell ref="G126:H126"/>
    <mergeCell ref="B237:H237"/>
    <mergeCell ref="B238:H238"/>
    <mergeCell ref="A233:H233"/>
    <mergeCell ref="A170:H170"/>
    <mergeCell ref="A127:B127"/>
    <mergeCell ref="A132:B132"/>
    <mergeCell ref="A133:B133"/>
    <mergeCell ref="C52:H52"/>
    <mergeCell ref="L113:M113"/>
    <mergeCell ref="A114:B114"/>
    <mergeCell ref="L114:M114"/>
    <mergeCell ref="G109:H114"/>
    <mergeCell ref="A115:H115"/>
    <mergeCell ref="A85:E85"/>
    <mergeCell ref="A102:B102"/>
    <mergeCell ref="E102:F102"/>
    <mergeCell ref="A91:E91"/>
    <mergeCell ref="G102:H102"/>
    <mergeCell ref="C97:D97"/>
    <mergeCell ref="E97:F97"/>
    <mergeCell ref="A98:B98"/>
    <mergeCell ref="C98:D98"/>
    <mergeCell ref="E98:F98"/>
    <mergeCell ref="G98:H98"/>
    <mergeCell ref="C101:D101"/>
    <mergeCell ref="G101:H101"/>
    <mergeCell ref="C96:D96"/>
    <mergeCell ref="E96:F96"/>
    <mergeCell ref="B106:B107"/>
    <mergeCell ref="A106:A107"/>
    <mergeCell ref="L116:M116"/>
    <mergeCell ref="A117:B117"/>
    <mergeCell ref="L117:M117"/>
    <mergeCell ref="A118:B118"/>
    <mergeCell ref="L118:M118"/>
    <mergeCell ref="A119:B119"/>
    <mergeCell ref="L119:M119"/>
    <mergeCell ref="G116:H119"/>
    <mergeCell ref="A134:B134"/>
    <mergeCell ref="L125:M125"/>
    <mergeCell ref="L126:M126"/>
    <mergeCell ref="L128:M128"/>
    <mergeCell ref="A130:B130"/>
    <mergeCell ref="A131:B131"/>
    <mergeCell ref="C121:C122"/>
    <mergeCell ref="A116:B116"/>
    <mergeCell ref="L127:M127"/>
    <mergeCell ref="G124:H124"/>
    <mergeCell ref="L124:M124"/>
    <mergeCell ref="A125:B125"/>
    <mergeCell ref="G125:H125"/>
    <mergeCell ref="G129:H148"/>
    <mergeCell ref="C136:F139"/>
    <mergeCell ref="A140:B140"/>
    <mergeCell ref="A137:B137"/>
    <mergeCell ref="A138:B138"/>
    <mergeCell ref="A139:B139"/>
    <mergeCell ref="A164:B164"/>
    <mergeCell ref="A165:B165"/>
    <mergeCell ref="A166:B166"/>
    <mergeCell ref="A167:B167"/>
    <mergeCell ref="A168:B168"/>
    <mergeCell ref="A169:B169"/>
    <mergeCell ref="A145:B145"/>
    <mergeCell ref="A146:B146"/>
    <mergeCell ref="A147:B147"/>
    <mergeCell ref="A148:B148"/>
    <mergeCell ref="A185:B185"/>
    <mergeCell ref="A186:B186"/>
    <mergeCell ref="A178:B178"/>
    <mergeCell ref="A179:B179"/>
    <mergeCell ref="A180:B180"/>
    <mergeCell ref="A181:B181"/>
    <mergeCell ref="A182:B182"/>
    <mergeCell ref="A183:B183"/>
    <mergeCell ref="A184:B184"/>
    <mergeCell ref="A187:B187"/>
    <mergeCell ref="A188:B188"/>
    <mergeCell ref="A189:B189"/>
    <mergeCell ref="A190:B190"/>
    <mergeCell ref="G171:H190"/>
    <mergeCell ref="A149:H149"/>
    <mergeCell ref="L149:M149"/>
    <mergeCell ref="A150:B150"/>
    <mergeCell ref="G150:H169"/>
    <mergeCell ref="A151:B151"/>
    <mergeCell ref="A152:B152"/>
    <mergeCell ref="A153:B153"/>
    <mergeCell ref="A154:B154"/>
    <mergeCell ref="A155:B155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A176:B176"/>
    <mergeCell ref="A177:B177"/>
    <mergeCell ref="A231:B231"/>
    <mergeCell ref="A232:B232"/>
    <mergeCell ref="C224:F229"/>
    <mergeCell ref="A207:B207"/>
    <mergeCell ref="A208:B208"/>
    <mergeCell ref="A209:B209"/>
    <mergeCell ref="A210:B210"/>
    <mergeCell ref="A211:B211"/>
    <mergeCell ref="G192:H211"/>
    <mergeCell ref="C199:F200"/>
    <mergeCell ref="A202:B202"/>
    <mergeCell ref="A203:B203"/>
    <mergeCell ref="A204:B204"/>
    <mergeCell ref="A205:B205"/>
    <mergeCell ref="A206:B206"/>
    <mergeCell ref="A197:B197"/>
    <mergeCell ref="A198:B198"/>
    <mergeCell ref="A199:B199"/>
    <mergeCell ref="A200:B200"/>
    <mergeCell ref="A201:B201"/>
    <mergeCell ref="A193:B193"/>
    <mergeCell ref="A196:B196"/>
    <mergeCell ref="A195:B195"/>
    <mergeCell ref="A192:B192"/>
    <mergeCell ref="I81:L81"/>
    <mergeCell ref="B244:H244"/>
    <mergeCell ref="C230:F230"/>
    <mergeCell ref="A212:H212"/>
    <mergeCell ref="L212:M212"/>
    <mergeCell ref="A213:B213"/>
    <mergeCell ref="G213:H232"/>
    <mergeCell ref="A214:B214"/>
    <mergeCell ref="A215:B215"/>
    <mergeCell ref="A216:B216"/>
    <mergeCell ref="A217:B217"/>
    <mergeCell ref="A218:B218"/>
    <mergeCell ref="A219:B219"/>
    <mergeCell ref="A220:B220"/>
    <mergeCell ref="A221:B221"/>
    <mergeCell ref="A222:B222"/>
    <mergeCell ref="A223:B223"/>
    <mergeCell ref="A224:B224"/>
    <mergeCell ref="A225:B225"/>
    <mergeCell ref="A226:B226"/>
    <mergeCell ref="A227:B227"/>
    <mergeCell ref="A228:B228"/>
    <mergeCell ref="A229:B229"/>
    <mergeCell ref="A230:B230"/>
  </mergeCells>
  <dataValidations count="13">
    <dataValidation type="list" allowBlank="1" showInputMessage="1" showErrorMessage="1" sqref="E4:H4">
      <formula1>"Axis Goregaon,Axis Thane,Axis Badlapur,Axis Sanpada, PNB Thane"</formula1>
    </dataValidation>
    <dataValidation type="list" allowBlank="1" showInputMessage="1" showErrorMessage="1" sqref="A16:B16">
      <formula1>"CTS No,Survey No,Plot No,Gut No,FP No,"</formula1>
    </dataValidation>
    <dataValidation type="list" allowBlank="1" showInputMessage="1" showErrorMessage="1" sqref="G19:H19">
      <formula1>$S$12:$W$12</formula1>
    </dataValidation>
    <dataValidation type="list" allowBlank="1" showInputMessage="1" showErrorMessage="1" sqref="E106:E107">
      <formula1>"Attached Loft area,Attached Terrace area,Attached Mezzanine area"</formula1>
    </dataValidation>
    <dataValidation type="list" allowBlank="1" showInputMessage="1" showErrorMessage="1" sqref="F107 F122">
      <formula1>"45%,50%,55%,60%"</formula1>
    </dataValidation>
    <dataValidation type="list" allowBlank="1" showInputMessage="1" showErrorMessage="1" sqref="G252:H252">
      <formula1>"Kunal Kadam,Shruti Tathare,Pranita Mhatre,Shruti Fule,Pooja Kawale,Mansee Mohite,Anjali Kamble, Hitakshi Mhatre, Sachin Sawant"</formula1>
    </dataValidation>
    <dataValidation type="list" allowBlank="1" showInputMessage="1" showErrorMessage="1" sqref="F80:H80">
      <formula1>"On Saleable Area,On Builtup Area,On Carpet Area,On Plot Area"</formula1>
    </dataValidation>
    <dataValidation type="list" allowBlank="1" showInputMessage="1" showErrorMessage="1" sqref="F92:H92">
      <formula1>"100000,150000,200000,250000,300000,350000,400000,500000,600000,700000,800000,900000,1000000,1200000,1400000,1500000"</formula1>
    </dataValidation>
    <dataValidation type="list" allowBlank="1" showInputMessage="1" showErrorMessage="1" sqref="F106 F121">
      <formula1>"Saleable area Loading :,Builder Saleable area"</formula1>
    </dataValidation>
    <dataValidation type="list" allowBlank="1" showInputMessage="1" showErrorMessage="1" sqref="B106:B107">
      <formula1>"Shop No. (Sale Plan),Sale / Rehab,Sale / Mhada"</formula1>
    </dataValidation>
    <dataValidation type="list" allowBlank="1" showInputMessage="1" showErrorMessage="1" sqref="B121:B122">
      <formula1>"Flat No. (Sale Plan),Sale / Rehab,Sale / Mhada"</formula1>
    </dataValidation>
    <dataValidation type="list" allowBlank="1" showInputMessage="1" showErrorMessage="1" sqref="C20:D20">
      <formula1>OFFSET($S$12,1,MATCH($G19,$S$12:$W$12,0)-1,15,1)</formula1>
    </dataValidation>
    <dataValidation type="list" allowBlank="1" showInputMessage="1" showErrorMessage="1" sqref="Y12">
      <formula1>$D$4:$H$4</formula1>
    </dataValidation>
  </dataValidation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37" max="7" man="1"/>
    <brk id="65" max="7" man="1"/>
    <brk id="256" max="16383" man="1"/>
    <brk id="298" max="16383" man="1"/>
    <brk id="340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19" zoomScale="85" zoomScaleNormal="85" workbookViewId="0">
      <selection activeCell="G40" sqref="G40"/>
    </sheetView>
  </sheetViews>
  <sheetFormatPr defaultColWidth="8.7109375" defaultRowHeight="15" x14ac:dyDescent="0.25"/>
  <cols>
    <col min="1" max="1" width="8.7109375" style="1"/>
    <col min="2" max="2" width="22.28515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04" t="s">
        <v>108</v>
      </c>
      <c r="C3" s="204"/>
      <c r="D3" s="204"/>
      <c r="E3" s="204"/>
      <c r="F3" s="204"/>
      <c r="G3" s="204"/>
      <c r="H3" s="204"/>
    </row>
    <row r="4" spans="1:9" x14ac:dyDescent="0.25">
      <c r="A4" s="2"/>
      <c r="B4" s="3" t="s">
        <v>109</v>
      </c>
      <c r="C4" s="3" t="s">
        <v>110</v>
      </c>
      <c r="D4" s="3" t="s">
        <v>69</v>
      </c>
      <c r="E4" s="3" t="s">
        <v>111</v>
      </c>
      <c r="F4" s="3" t="s">
        <v>117</v>
      </c>
      <c r="G4" s="3" t="s">
        <v>118</v>
      </c>
      <c r="H4" s="3" t="s">
        <v>112</v>
      </c>
    </row>
    <row r="5" spans="1:9" ht="15" customHeight="1" x14ac:dyDescent="0.25">
      <c r="A5" s="2"/>
      <c r="B5" s="5" t="s">
        <v>113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113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113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113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113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114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114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115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116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5" x14ac:dyDescent="0.25"/>
  <cols>
    <col min="4" max="4" width="11" bestFit="1" customWidth="1"/>
    <col min="5" max="5" width="10.42578125" bestFit="1" customWidth="1"/>
    <col min="8" max="8" width="10.5703125" bestFit="1" customWidth="1"/>
  </cols>
  <sheetData>
    <row r="3" spans="2:11" x14ac:dyDescent="0.25">
      <c r="J3">
        <v>1</v>
      </c>
      <c r="K3">
        <v>2</v>
      </c>
    </row>
    <row r="4" spans="2:11" x14ac:dyDescent="0.25">
      <c r="B4" s="48"/>
      <c r="C4" s="48" t="s">
        <v>12</v>
      </c>
      <c r="D4" s="49" t="s">
        <v>182</v>
      </c>
      <c r="E4" s="49" t="s">
        <v>192</v>
      </c>
      <c r="F4" s="49" t="s">
        <v>176</v>
      </c>
      <c r="G4" s="49" t="s">
        <v>197</v>
      </c>
      <c r="H4" s="49" t="s">
        <v>215</v>
      </c>
      <c r="J4" t="s">
        <v>197</v>
      </c>
      <c r="K4" t="s">
        <v>213</v>
      </c>
    </row>
    <row r="5" spans="2:11" x14ac:dyDescent="0.25">
      <c r="B5" s="48"/>
      <c r="C5" s="48"/>
      <c r="D5" s="49" t="s">
        <v>183</v>
      </c>
      <c r="E5" s="49" t="s">
        <v>190</v>
      </c>
      <c r="F5" s="49" t="s">
        <v>212</v>
      </c>
      <c r="G5" s="49" t="s">
        <v>198</v>
      </c>
      <c r="H5" s="49" t="s">
        <v>216</v>
      </c>
    </row>
    <row r="6" spans="2:11" x14ac:dyDescent="0.25">
      <c r="B6" s="48"/>
      <c r="C6" s="48"/>
      <c r="D6" s="49" t="s">
        <v>184</v>
      </c>
      <c r="E6" s="49" t="s">
        <v>191</v>
      </c>
      <c r="F6" s="49" t="s">
        <v>213</v>
      </c>
      <c r="G6" s="49" t="s">
        <v>199</v>
      </c>
      <c r="H6" s="49" t="s">
        <v>229</v>
      </c>
    </row>
    <row r="7" spans="2:11" x14ac:dyDescent="0.25">
      <c r="B7" s="48"/>
      <c r="C7" s="48"/>
      <c r="D7" s="49" t="s">
        <v>185</v>
      </c>
      <c r="E7" s="49" t="s">
        <v>193</v>
      </c>
      <c r="F7" s="49" t="s">
        <v>214</v>
      </c>
      <c r="G7" s="49" t="s">
        <v>200</v>
      </c>
      <c r="H7" s="49" t="s">
        <v>217</v>
      </c>
    </row>
    <row r="8" spans="2:11" x14ac:dyDescent="0.25">
      <c r="B8" s="48"/>
      <c r="C8" s="48"/>
      <c r="D8" s="49" t="s">
        <v>186</v>
      </c>
      <c r="E8" s="49" t="s">
        <v>194</v>
      </c>
      <c r="F8" s="49"/>
      <c r="G8" s="49" t="s">
        <v>201</v>
      </c>
      <c r="H8" s="49" t="s">
        <v>218</v>
      </c>
    </row>
    <row r="9" spans="2:11" x14ac:dyDescent="0.25">
      <c r="B9" s="48"/>
      <c r="C9" s="48"/>
      <c r="D9" s="49" t="s">
        <v>187</v>
      </c>
      <c r="E9" s="49" t="s">
        <v>192</v>
      </c>
      <c r="F9" s="49"/>
      <c r="G9" s="49" t="s">
        <v>202</v>
      </c>
      <c r="H9" s="49" t="s">
        <v>219</v>
      </c>
    </row>
    <row r="10" spans="2:11" x14ac:dyDescent="0.25">
      <c r="B10" s="48"/>
      <c r="C10" s="48"/>
      <c r="D10" s="49" t="s">
        <v>188</v>
      </c>
      <c r="E10" s="49" t="s">
        <v>195</v>
      </c>
      <c r="F10" s="49"/>
      <c r="G10" s="49" t="s">
        <v>203</v>
      </c>
      <c r="H10" s="49" t="s">
        <v>220</v>
      </c>
    </row>
    <row r="11" spans="2:11" x14ac:dyDescent="0.25">
      <c r="B11" s="48"/>
      <c r="C11" s="48"/>
      <c r="D11" s="49" t="s">
        <v>189</v>
      </c>
      <c r="E11" s="49" t="s">
        <v>196</v>
      </c>
      <c r="F11" s="49"/>
      <c r="G11" s="49" t="s">
        <v>204</v>
      </c>
      <c r="H11" s="49" t="s">
        <v>221</v>
      </c>
    </row>
    <row r="12" spans="2:11" x14ac:dyDescent="0.25">
      <c r="B12" s="48"/>
      <c r="C12" s="48"/>
      <c r="D12" s="49"/>
      <c r="E12" s="49"/>
      <c r="F12" s="49"/>
      <c r="G12" s="49" t="s">
        <v>205</v>
      </c>
      <c r="H12" s="49" t="s">
        <v>222</v>
      </c>
    </row>
    <row r="13" spans="2:11" x14ac:dyDescent="0.25">
      <c r="B13" s="48"/>
      <c r="C13" s="48"/>
      <c r="D13" s="49"/>
      <c r="E13" s="49"/>
      <c r="F13" s="49"/>
      <c r="G13" s="49" t="s">
        <v>206</v>
      </c>
      <c r="H13" s="49" t="s">
        <v>223</v>
      </c>
    </row>
    <row r="14" spans="2:11" x14ac:dyDescent="0.25">
      <c r="B14" s="48"/>
      <c r="C14" s="48"/>
      <c r="D14" s="49"/>
      <c r="E14" s="49"/>
      <c r="F14" s="49"/>
      <c r="G14" s="49" t="s">
        <v>207</v>
      </c>
      <c r="H14" s="49" t="s">
        <v>224</v>
      </c>
    </row>
    <row r="15" spans="2:11" x14ac:dyDescent="0.25">
      <c r="B15" s="48"/>
      <c r="C15" s="48"/>
      <c r="D15" s="49"/>
      <c r="E15" s="49"/>
      <c r="F15" s="49"/>
      <c r="G15" s="49" t="s">
        <v>208</v>
      </c>
      <c r="H15" s="49" t="s">
        <v>225</v>
      </c>
    </row>
    <row r="16" spans="2:11" x14ac:dyDescent="0.25">
      <c r="B16" s="48"/>
      <c r="C16" s="48"/>
      <c r="D16" s="49"/>
      <c r="E16" s="49"/>
      <c r="F16" s="49"/>
      <c r="G16" s="49" t="s">
        <v>209</v>
      </c>
      <c r="H16" s="49" t="s">
        <v>226</v>
      </c>
    </row>
    <row r="17" spans="2:8" x14ac:dyDescent="0.25">
      <c r="B17" s="48"/>
      <c r="C17" s="48"/>
      <c r="D17" s="49"/>
      <c r="E17" s="49"/>
      <c r="F17" s="49"/>
      <c r="G17" s="49" t="s">
        <v>210</v>
      </c>
      <c r="H17" s="49" t="s">
        <v>227</v>
      </c>
    </row>
    <row r="18" spans="2:8" x14ac:dyDescent="0.25">
      <c r="B18" s="48"/>
      <c r="C18" s="48"/>
      <c r="D18" s="49"/>
      <c r="E18" s="49"/>
      <c r="F18" s="49"/>
      <c r="G18" s="49" t="s">
        <v>211</v>
      </c>
      <c r="H18" s="49" t="s">
        <v>228</v>
      </c>
    </row>
    <row r="24" spans="2:8" x14ac:dyDescent="0.25">
      <c r="C24" t="s">
        <v>173</v>
      </c>
    </row>
    <row r="25" spans="2:8" x14ac:dyDescent="0.25">
      <c r="C25" t="s">
        <v>230</v>
      </c>
    </row>
    <row r="26" spans="2:8" x14ac:dyDescent="0.25">
      <c r="C26" t="s">
        <v>231</v>
      </c>
    </row>
    <row r="27" spans="2:8" x14ac:dyDescent="0.25">
      <c r="C27" t="s">
        <v>232</v>
      </c>
    </row>
    <row r="28" spans="2:8" x14ac:dyDescent="0.25">
      <c r="C28" t="s">
        <v>233</v>
      </c>
    </row>
    <row r="29" spans="2:8" x14ac:dyDescent="0.25">
      <c r="C29" t="s">
        <v>234</v>
      </c>
    </row>
    <row r="30" spans="2:8" x14ac:dyDescent="0.25">
      <c r="C30" t="s">
        <v>173</v>
      </c>
    </row>
  </sheetData>
  <dataValidations count="2">
    <dataValidation type="list" allowBlank="1" showInputMessage="1" showErrorMessage="1" sqref="J4">
      <formula1>$D$4:$H$4</formula1>
    </dataValidation>
    <dataValidation type="list" allowBlank="1" showInputMessage="1" showErrorMessage="1" sqref="K4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Welcome</cp:lastModifiedBy>
  <cp:lastPrinted>2025-08-10T19:41:24Z</cp:lastPrinted>
  <dcterms:created xsi:type="dcterms:W3CDTF">2019-07-16T09:29:46Z</dcterms:created>
  <dcterms:modified xsi:type="dcterms:W3CDTF">2025-08-10T19:42:59Z</dcterms:modified>
</cp:coreProperties>
</file>