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Aug 25\Dump\DUMP\New folder\"/>
    </mc:Choice>
  </mc:AlternateContent>
  <bookViews>
    <workbookView xWindow="0" yWindow="0" windowWidth="20490" windowHeight="7755" tabRatio="70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8" i="1" l="1"/>
  <c r="C79" i="1" s="1"/>
  <c r="J24" i="4"/>
  <c r="C80" i="1" l="1"/>
  <c r="C92" i="1"/>
  <c r="C94" i="1" s="1"/>
  <c r="C93" i="1" l="1"/>
  <c r="C106" i="1"/>
  <c r="C108" i="1" s="1"/>
  <c r="C107" i="1" l="1"/>
  <c r="E40" i="1"/>
  <c r="I40" i="1"/>
  <c r="D207" i="1" l="1"/>
  <c r="F207" i="1" s="1"/>
  <c r="D206" i="1"/>
  <c r="F206" i="1" s="1"/>
  <c r="D205" i="1"/>
  <c r="F205" i="1" s="1"/>
  <c r="D204" i="1"/>
  <c r="F204" i="1" s="1"/>
  <c r="D203" i="1"/>
  <c r="F203" i="1" s="1"/>
  <c r="D202" i="1"/>
  <c r="F202" i="1" s="1"/>
  <c r="D200" i="1"/>
  <c r="F200" i="1" s="1"/>
  <c r="A201" i="1"/>
  <c r="A202" i="1" s="1"/>
  <c r="A203" i="1" s="1"/>
  <c r="A204" i="1" s="1"/>
  <c r="A205" i="1" s="1"/>
  <c r="A206" i="1" s="1"/>
  <c r="A207" i="1" s="1"/>
  <c r="G200" i="1"/>
  <c r="D198" i="1"/>
  <c r="F198" i="1" s="1"/>
  <c r="D197" i="1"/>
  <c r="F197" i="1" s="1"/>
  <c r="D196" i="1"/>
  <c r="F196" i="1" s="1"/>
  <c r="D195" i="1"/>
  <c r="F195" i="1" s="1"/>
  <c r="D193" i="1"/>
  <c r="F193" i="1" s="1"/>
  <c r="D192" i="1"/>
  <c r="F192" i="1" s="1"/>
  <c r="D194" i="1"/>
  <c r="F194" i="1" s="1"/>
  <c r="D191" i="1"/>
  <c r="F191" i="1" s="1"/>
  <c r="A192" i="1"/>
  <c r="A193" i="1" s="1"/>
  <c r="A194" i="1" s="1"/>
  <c r="A195" i="1" s="1"/>
  <c r="A196" i="1" s="1"/>
  <c r="A197" i="1" s="1"/>
  <c r="A198" i="1" s="1"/>
  <c r="G191" i="1"/>
  <c r="D185" i="1"/>
  <c r="F185" i="1" s="1"/>
  <c r="D184" i="1"/>
  <c r="F184" i="1" s="1"/>
  <c r="D183" i="1"/>
  <c r="F183" i="1" s="1"/>
  <c r="A183" i="1"/>
  <c r="A184" i="1" s="1"/>
  <c r="A185" i="1" s="1"/>
  <c r="A186" i="1" s="1"/>
  <c r="A187" i="1" s="1"/>
  <c r="A188" i="1" s="1"/>
  <c r="A189" i="1" s="1"/>
  <c r="G182" i="1"/>
  <c r="D182" i="1"/>
  <c r="F182" i="1" s="1"/>
  <c r="D173" i="1"/>
  <c r="F173" i="1" s="1"/>
  <c r="D176" i="1"/>
  <c r="F176" i="1" s="1"/>
  <c r="D175" i="1"/>
  <c r="D174" i="1"/>
  <c r="D167" i="1"/>
  <c r="D166" i="1"/>
  <c r="F166" i="1" s="1"/>
  <c r="D165" i="1"/>
  <c r="F165" i="1" s="1"/>
  <c r="D158" i="1"/>
  <c r="F158" i="1" s="1"/>
  <c r="D157" i="1"/>
  <c r="F157" i="1" s="1"/>
  <c r="D156" i="1"/>
  <c r="F156" i="1" s="1"/>
  <c r="G133" i="1" s="1"/>
  <c r="F175" i="1"/>
  <c r="F174" i="1"/>
  <c r="A174" i="1"/>
  <c r="A175" i="1" s="1"/>
  <c r="A176" i="1" s="1"/>
  <c r="A177" i="1" s="1"/>
  <c r="A178" i="1" s="1"/>
  <c r="A179" i="1" s="1"/>
  <c r="A180" i="1" s="1"/>
  <c r="G173" i="1"/>
  <c r="F167" i="1"/>
  <c r="A165" i="1"/>
  <c r="A166" i="1" s="1"/>
  <c r="A167" i="1" s="1"/>
  <c r="A168" i="1" s="1"/>
  <c r="A169" i="1" s="1"/>
  <c r="A170" i="1" s="1"/>
  <c r="A171" i="1" s="1"/>
  <c r="G164" i="1"/>
  <c r="A156" i="1"/>
  <c r="A157" i="1" s="1"/>
  <c r="A158" i="1" s="1"/>
  <c r="A159" i="1" s="1"/>
  <c r="A160" i="1" s="1"/>
  <c r="A161" i="1" s="1"/>
  <c r="A162" i="1" s="1"/>
  <c r="G155" i="1"/>
  <c r="E133" i="1" l="1"/>
  <c r="C133" i="1"/>
  <c r="C99" i="1"/>
  <c r="C85" i="1"/>
  <c r="C71" i="1"/>
  <c r="J82" i="1"/>
  <c r="J81" i="1"/>
  <c r="J80" i="1"/>
  <c r="J79" i="1"/>
  <c r="I43" i="1"/>
  <c r="I42" i="1" s="1"/>
  <c r="H72" i="1"/>
  <c r="J74" i="1" l="1"/>
  <c r="J75" i="1"/>
  <c r="D80" i="1"/>
  <c r="D84" i="1"/>
  <c r="D78" i="1"/>
  <c r="J76" i="1"/>
  <c r="D81" i="1"/>
  <c r="J71" i="1"/>
  <c r="J73" i="1" s="1"/>
  <c r="J77" i="1"/>
  <c r="D79" i="1"/>
  <c r="D83" i="1"/>
  <c r="D77" i="1"/>
  <c r="D82" i="1"/>
  <c r="J110" i="1"/>
  <c r="J109" i="1"/>
  <c r="J108" i="1"/>
  <c r="J107" i="1"/>
  <c r="J78" i="1" l="1"/>
  <c r="J83" i="1" s="1"/>
  <c r="D75" i="1"/>
  <c r="J114" i="1"/>
  <c r="J307" i="1"/>
  <c r="J235" i="1"/>
  <c r="G281" i="1"/>
  <c r="G290" i="1"/>
  <c r="G299" i="1"/>
  <c r="G308" i="1"/>
  <c r="D293" i="1"/>
  <c r="D291" i="1"/>
  <c r="D290" i="1"/>
  <c r="J84" i="1" l="1"/>
  <c r="C76" i="1" s="1"/>
  <c r="G75" i="1" s="1"/>
  <c r="D248" i="1"/>
  <c r="D246" i="1"/>
  <c r="D245" i="1"/>
  <c r="D242" i="1"/>
  <c r="D241" i="1"/>
  <c r="D226" i="1"/>
  <c r="D268" i="1"/>
  <c r="D267" i="1"/>
  <c r="D214" i="1"/>
  <c r="D213" i="1"/>
  <c r="E75" i="1" l="1"/>
  <c r="J72" i="1"/>
  <c r="D76" i="1"/>
  <c r="I72" i="1" s="1"/>
  <c r="I73" i="1" s="1"/>
  <c r="D315" i="1"/>
  <c r="D313" i="1"/>
  <c r="D312" i="1"/>
  <c r="D311" i="1"/>
  <c r="F311" i="1" s="1"/>
  <c r="D310" i="1"/>
  <c r="F310" i="1" s="1"/>
  <c r="D309" i="1"/>
  <c r="F309" i="1" s="1"/>
  <c r="D308" i="1"/>
  <c r="F308" i="1" s="1"/>
  <c r="D306" i="1"/>
  <c r="F306" i="1" s="1"/>
  <c r="D305" i="1"/>
  <c r="F305" i="1" s="1"/>
  <c r="D304" i="1"/>
  <c r="F304" i="1" s="1"/>
  <c r="D303" i="1"/>
  <c r="F303" i="1" s="1"/>
  <c r="D302" i="1"/>
  <c r="F302" i="1" s="1"/>
  <c r="D301" i="1"/>
  <c r="D300" i="1"/>
  <c r="D299" i="1"/>
  <c r="D297" i="1"/>
  <c r="F297" i="1" s="1"/>
  <c r="D296" i="1"/>
  <c r="F296" i="1" s="1"/>
  <c r="D295" i="1"/>
  <c r="F295" i="1" s="1"/>
  <c r="D294" i="1"/>
  <c r="F294" i="1" s="1"/>
  <c r="D292" i="1"/>
  <c r="F292" i="1" s="1"/>
  <c r="F291" i="1"/>
  <c r="F290" i="1"/>
  <c r="D278" i="1"/>
  <c r="D277" i="1"/>
  <c r="D276" i="1"/>
  <c r="D287" i="1"/>
  <c r="F287" i="1" s="1"/>
  <c r="D286" i="1"/>
  <c r="F286" i="1" s="1"/>
  <c r="D285" i="1"/>
  <c r="F285" i="1" s="1"/>
  <c r="D269" i="1"/>
  <c r="D257" i="1"/>
  <c r="F257" i="1" s="1"/>
  <c r="D256" i="1"/>
  <c r="F256" i="1" s="1"/>
  <c r="D255" i="1"/>
  <c r="F255" i="1" s="1"/>
  <c r="D254" i="1"/>
  <c r="F254" i="1" s="1"/>
  <c r="D253" i="1"/>
  <c r="D252" i="1"/>
  <c r="F252" i="1" s="1"/>
  <c r="D250" i="1"/>
  <c r="F250" i="1" s="1"/>
  <c r="D247" i="1"/>
  <c r="F245" i="1"/>
  <c r="D244" i="1"/>
  <c r="F244" i="1" s="1"/>
  <c r="D243" i="1"/>
  <c r="F242" i="1"/>
  <c r="F241" i="1"/>
  <c r="D235" i="1"/>
  <c r="F235" i="1" s="1"/>
  <c r="D234" i="1"/>
  <c r="F234" i="1" s="1"/>
  <c r="D233" i="1"/>
  <c r="F233" i="1" s="1"/>
  <c r="D232" i="1"/>
  <c r="F232" i="1" s="1"/>
  <c r="D225" i="1"/>
  <c r="D224" i="1"/>
  <c r="D223" i="1"/>
  <c r="D220" i="1"/>
  <c r="D219" i="1"/>
  <c r="D218" i="1"/>
  <c r="D215" i="1"/>
  <c r="J212" i="1"/>
  <c r="F315" i="1"/>
  <c r="F313" i="1"/>
  <c r="F312" i="1"/>
  <c r="A310" i="1"/>
  <c r="A311" i="1" s="1"/>
  <c r="A312" i="1" s="1"/>
  <c r="A313" i="1" s="1"/>
  <c r="A314" i="1" s="1"/>
  <c r="A315" i="1" s="1"/>
  <c r="G309" i="1"/>
  <c r="G310" i="1" s="1"/>
  <c r="G311" i="1" s="1"/>
  <c r="G312" i="1" s="1"/>
  <c r="G313" i="1" s="1"/>
  <c r="G314" i="1" s="1"/>
  <c r="G315" i="1" s="1"/>
  <c r="A309" i="1"/>
  <c r="F301" i="1"/>
  <c r="G300" i="1"/>
  <c r="G301" i="1" s="1"/>
  <c r="G302" i="1" s="1"/>
  <c r="G303" i="1" s="1"/>
  <c r="G304" i="1" s="1"/>
  <c r="G305" i="1" s="1"/>
  <c r="G306" i="1" s="1"/>
  <c r="F300" i="1"/>
  <c r="A300" i="1"/>
  <c r="A301" i="1" s="1"/>
  <c r="A302" i="1" s="1"/>
  <c r="A303" i="1" s="1"/>
  <c r="A304" i="1" s="1"/>
  <c r="A305" i="1" s="1"/>
  <c r="A306" i="1" s="1"/>
  <c r="F299" i="1"/>
  <c r="F293" i="1"/>
  <c r="A291" i="1"/>
  <c r="A292" i="1" s="1"/>
  <c r="A293" i="1" s="1"/>
  <c r="A294" i="1" s="1"/>
  <c r="A295" i="1" s="1"/>
  <c r="A296" i="1" s="1"/>
  <c r="A297" i="1" s="1"/>
  <c r="G291" i="1"/>
  <c r="G292" i="1" s="1"/>
  <c r="G293" i="1" s="1"/>
  <c r="G294" i="1" s="1"/>
  <c r="G295" i="1" s="1"/>
  <c r="G296" i="1" s="1"/>
  <c r="G297" i="1" s="1"/>
  <c r="F253" i="1"/>
  <c r="A251" i="1"/>
  <c r="A252" i="1" s="1"/>
  <c r="A253" i="1" s="1"/>
  <c r="A254" i="1" s="1"/>
  <c r="A255" i="1" s="1"/>
  <c r="A256" i="1" s="1"/>
  <c r="A257" i="1" s="1"/>
  <c r="G250" i="1"/>
  <c r="F248" i="1"/>
  <c r="F247" i="1"/>
  <c r="F246" i="1"/>
  <c r="F243" i="1"/>
  <c r="A242" i="1"/>
  <c r="A243" i="1" s="1"/>
  <c r="A244" i="1" s="1"/>
  <c r="A245" i="1" s="1"/>
  <c r="A246" i="1" s="1"/>
  <c r="A247" i="1" s="1"/>
  <c r="A248" i="1" s="1"/>
  <c r="G241" i="1"/>
  <c r="A233" i="1"/>
  <c r="A234" i="1" s="1"/>
  <c r="A235" i="1" s="1"/>
  <c r="A236" i="1" s="1"/>
  <c r="A237" i="1" s="1"/>
  <c r="A238" i="1" s="1"/>
  <c r="A239" i="1" s="1"/>
  <c r="G232" i="1"/>
  <c r="A282" i="1"/>
  <c r="A283" i="1" s="1"/>
  <c r="A284" i="1" s="1"/>
  <c r="A285" i="1" s="1"/>
  <c r="A286" i="1" s="1"/>
  <c r="A287" i="1" s="1"/>
  <c r="A288" i="1" s="1"/>
  <c r="C135" i="1" l="1"/>
  <c r="I71" i="1"/>
  <c r="C73" i="1" s="1"/>
  <c r="E134" i="1"/>
  <c r="E135" i="1"/>
  <c r="C134" i="1"/>
  <c r="C136" i="1" s="1"/>
  <c r="G223" i="1"/>
  <c r="F226" i="1"/>
  <c r="F225" i="1"/>
  <c r="F224" i="1"/>
  <c r="J224" i="1" s="1"/>
  <c r="A224" i="1"/>
  <c r="A225" i="1" s="1"/>
  <c r="A226" i="1" s="1"/>
  <c r="A227" i="1" s="1"/>
  <c r="A228" i="1" s="1"/>
  <c r="A229" i="1" s="1"/>
  <c r="A230" i="1" s="1"/>
  <c r="F223" i="1"/>
  <c r="J223" i="1" s="1"/>
  <c r="F278" i="1"/>
  <c r="F277" i="1"/>
  <c r="F276" i="1"/>
  <c r="A273" i="1"/>
  <c r="A274" i="1" s="1"/>
  <c r="A275" i="1" s="1"/>
  <c r="A276" i="1" s="1"/>
  <c r="A277" i="1" s="1"/>
  <c r="A278" i="1" s="1"/>
  <c r="A279" i="1" s="1"/>
  <c r="G272" i="1"/>
  <c r="G273" i="1" s="1"/>
  <c r="G274" i="1" s="1"/>
  <c r="G275" i="1" s="1"/>
  <c r="G276" i="1" s="1"/>
  <c r="G277" i="1" s="1"/>
  <c r="G278" i="1" s="1"/>
  <c r="G279" i="1" s="1"/>
  <c r="F220" i="1"/>
  <c r="F219" i="1"/>
  <c r="A219" i="1"/>
  <c r="A220" i="1" s="1"/>
  <c r="A221" i="1" s="1"/>
  <c r="F218" i="1"/>
  <c r="F269" i="1"/>
  <c r="F267" i="1"/>
  <c r="F268" i="1"/>
  <c r="J267" i="1" s="1"/>
  <c r="A264" i="1"/>
  <c r="A265" i="1" s="1"/>
  <c r="A266" i="1" s="1"/>
  <c r="A267" i="1" s="1"/>
  <c r="A268" i="1" s="1"/>
  <c r="A269" i="1" s="1"/>
  <c r="A270" i="1" s="1"/>
  <c r="G263" i="1"/>
  <c r="G264" i="1" s="1"/>
  <c r="G265" i="1" s="1"/>
  <c r="G266" i="1" s="1"/>
  <c r="G267" i="1" s="1"/>
  <c r="G268" i="1" s="1"/>
  <c r="G269" i="1" s="1"/>
  <c r="G270" i="1" s="1"/>
  <c r="F214" i="1"/>
  <c r="F213" i="1"/>
  <c r="J213" i="1"/>
  <c r="F215" i="1"/>
  <c r="A214" i="1"/>
  <c r="A215" i="1" s="1"/>
  <c r="A216" i="1" s="1"/>
  <c r="G213" i="1"/>
  <c r="E136" i="1" l="1"/>
  <c r="G135" i="1"/>
  <c r="G134" i="1"/>
  <c r="G136" i="1" s="1"/>
  <c r="J228" i="1"/>
  <c r="E137" i="1"/>
  <c r="C137" i="1"/>
  <c r="G137" i="1" l="1"/>
  <c r="E42" i="1"/>
  <c r="E43" i="1" s="1"/>
  <c r="C14" i="1" l="1"/>
  <c r="E29" i="1" l="1"/>
  <c r="F126" i="1" l="1"/>
  <c r="F144" i="1" l="1"/>
  <c r="F145" i="1"/>
  <c r="F146" i="1"/>
  <c r="F143" i="1"/>
  <c r="B318" i="1" l="1"/>
  <c r="B319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42" i="1"/>
  <c r="A144" i="1"/>
  <c r="A145" i="1" s="1"/>
  <c r="A146" i="1" s="1"/>
  <c r="G143" i="1"/>
  <c r="G144" i="1" s="1"/>
  <c r="G145" i="1" s="1"/>
  <c r="G146" i="1" s="1"/>
  <c r="D58" i="1"/>
  <c r="E26" i="1"/>
  <c r="E24" i="1"/>
  <c r="E7" i="1"/>
  <c r="E3" i="1"/>
  <c r="H86" i="1"/>
  <c r="D65" i="1" l="1"/>
  <c r="D98" i="1"/>
  <c r="D96" i="1"/>
  <c r="D95" i="1"/>
  <c r="D94" i="1"/>
  <c r="D92" i="1"/>
  <c r="J85" i="1"/>
  <c r="D97" i="1"/>
  <c r="D93" i="1"/>
  <c r="J89" i="1"/>
  <c r="J90" i="1"/>
  <c r="C89" i="1" s="1"/>
  <c r="J88" i="1"/>
  <c r="J91" i="1"/>
  <c r="J92" i="1" s="1"/>
  <c r="J97" i="1" l="1"/>
  <c r="J93" i="1"/>
  <c r="J94" i="1" s="1"/>
  <c r="J95" i="1" s="1"/>
  <c r="J96" i="1" s="1"/>
  <c r="D91" i="1"/>
  <c r="J87" i="1"/>
  <c r="D89" i="1"/>
  <c r="H100" i="1"/>
  <c r="D112" i="1" l="1"/>
  <c r="D110" i="1"/>
  <c r="D108" i="1"/>
  <c r="D106" i="1"/>
  <c r="J103" i="1"/>
  <c r="D111" i="1"/>
  <c r="D109" i="1"/>
  <c r="D107" i="1"/>
  <c r="J105" i="1"/>
  <c r="J106" i="1" s="1"/>
  <c r="J111" i="1" s="1"/>
  <c r="J99" i="1"/>
  <c r="J101" i="1" s="1"/>
  <c r="D105" i="1"/>
  <c r="J102" i="1"/>
  <c r="J104" i="1"/>
  <c r="C103" i="1" s="1"/>
  <c r="D103" i="1" s="1"/>
  <c r="J98" i="1"/>
  <c r="C90" i="1" s="1"/>
  <c r="J112" i="1" l="1"/>
  <c r="C104" i="1" s="1"/>
  <c r="G103" i="1" s="1"/>
  <c r="G89" i="1"/>
  <c r="D69" i="1" s="1"/>
  <c r="J86" i="1"/>
  <c r="D90" i="1"/>
  <c r="I86" i="1" s="1"/>
  <c r="I87" i="1" s="1"/>
  <c r="E89" i="1"/>
  <c r="J100" i="1" l="1"/>
  <c r="E103" i="1"/>
  <c r="D104" i="1"/>
  <c r="I100" i="1" s="1"/>
  <c r="I101" i="1" s="1"/>
  <c r="D70" i="1"/>
  <c r="F70" i="1"/>
  <c r="I85" i="1"/>
  <c r="C87" i="1" s="1"/>
  <c r="I99" i="1" l="1"/>
  <c r="C101" i="1" s="1"/>
</calcChain>
</file>

<file path=xl/sharedStrings.xml><?xml version="1.0" encoding="utf-8"?>
<sst xmlns="http://schemas.openxmlformats.org/spreadsheetml/2006/main" count="493" uniqueCount="259">
  <si>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</si>
  <si>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</si>
  <si>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</si>
  <si>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</si>
  <si>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</si>
  <si>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</si>
  <si>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</si>
  <si>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</si>
  <si>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</si>
  <si>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</si>
  <si>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</si>
  <si>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</si>
  <si>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</si>
  <si>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</si>
  <si>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</si>
  <si>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</si>
  <si>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</si>
  <si>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</si>
  <si>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</si>
  <si>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</si>
  <si>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</si>
  <si>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</si>
  <si>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</si>
  <si>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</si>
  <si>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</si>
  <si>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</si>
  <si>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</si>
  <si>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</si>
  <si>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</si>
  <si>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</si>
  <si>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</si>
  <si>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</si>
  <si>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</si>
  <si>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</si>
  <si>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</si>
  <si>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</si>
  <si>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</si>
  <si>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</si>
  <si>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</si>
  <si>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</si>
  <si>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</si>
  <si>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</si>
  <si>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</si>
  <si>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</si>
  <si>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</si>
  <si>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</si>
  <si>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</si>
  <si>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</si>
  <si>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</si>
  <si>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</si>
  <si>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</si>
  <si>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</si>
  <si>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</si>
  <si>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</si>
  <si>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</si>
  <si>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</si>
  <si>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</si>
  <si>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</si>
  <si>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</si>
  <si>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</si>
  <si>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</si>
  <si>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</si>
  <si>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</si>
  <si>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</si>
  <si>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</si>
  <si>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</si>
  <si>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</si>
  <si>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</si>
  <si>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</si>
  <si>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</si>
  <si>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</si>
  <si>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</si>
  <si>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</si>
  <si>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</si>
  <si>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</si>
  <si>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</si>
  <si>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</si>
  <si>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</si>
  <si>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</si>
  <si>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</si>
  <si>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</si>
  <si>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</si>
  <si>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</si>
  <si>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</si>
  <si>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</si>
  <si>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</si>
  <si>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</si>
  <si>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</si>
  <si>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</si>
  <si>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</si>
  <si>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</si>
  <si>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</si>
  <si>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</si>
  <si>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</si>
  <si>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</si>
  <si>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</si>
  <si>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</si>
  <si>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</si>
  <si>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</si>
  <si>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</si>
  <si>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</si>
  <si>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</si>
  <si>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</si>
  <si>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</si>
  <si>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</si>
  <si>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</si>
  <si>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</si>
  <si>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</si>
  <si>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</si>
  <si>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</si>
  <si>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</si>
  <si>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</si>
  <si>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</si>
  <si>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</si>
  <si>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</si>
  <si>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</si>
  <si>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</si>
  <si>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</si>
  <si>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</si>
  <si>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</si>
  <si>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</si>
  <si>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</si>
  <si>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</si>
  <si>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</si>
  <si>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</si>
  <si>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</si>
  <si>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</si>
  <si>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</si>
  <si>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</si>
  <si>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</si>
  <si>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</si>
  <si>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</si>
  <si>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</si>
  <si>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</si>
  <si>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</si>
  <si>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</si>
  <si>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</si>
  <si>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</si>
  <si>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</si>
  <si>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</si>
  <si>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</si>
  <si>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</si>
  <si>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</si>
  <si>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</si>
  <si>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</si>
  <si>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</si>
  <si>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</si>
  <si>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</si>
  <si>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</si>
  <si>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</si>
  <si>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</si>
  <si>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</si>
  <si>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</si>
  <si>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</si>
  <si>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</si>
  <si>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</si>
  <si>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</si>
  <si>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</si>
  <si>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</si>
  <si>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</si>
  <si>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</si>
  <si>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</si>
  <si>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</si>
  <si>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</si>
  <si>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</si>
  <si>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</si>
  <si>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</si>
  <si>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</si>
  <si>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</si>
  <si>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</si>
  <si>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</si>
  <si>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</si>
  <si>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</si>
  <si>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Latitude, Longitude</t>
  </si>
  <si>
    <t>Grand Total</t>
  </si>
  <si>
    <t>Axis Thane</t>
  </si>
  <si>
    <t>Raymond Limited</t>
  </si>
  <si>
    <t>Mr.Mayur Parte 7700023042</t>
  </si>
  <si>
    <t>Survey No</t>
  </si>
  <si>
    <t>121, 83/1, 83/3</t>
  </si>
  <si>
    <t>Thane</t>
  </si>
  <si>
    <t>Panchpakhadi</t>
  </si>
  <si>
    <t>Thane Municipal Corporation</t>
  </si>
  <si>
    <t>Does the boundaries at site match, as mentioned in the Documentation: NA</t>
  </si>
  <si>
    <t>S04/0185/21/TMC/TDD/4301/23</t>
  </si>
  <si>
    <t>Tower B</t>
  </si>
  <si>
    <t>Basement Floor For Parking</t>
  </si>
  <si>
    <t>Ground Floor For Parking, Meter Room &amp; Society Office</t>
  </si>
  <si>
    <t>4th Podium/ Podium Top Floor For Parking &amp; Part Residential</t>
  </si>
  <si>
    <t>https://goo.gl/maps/GmEFJLMsjWLn1eLu6</t>
  </si>
  <si>
    <t>6.1KM from Thane Railway Station</t>
  </si>
  <si>
    <t>Thane West</t>
  </si>
  <si>
    <t>Ten x Habitat</t>
  </si>
  <si>
    <t>Pokhran</t>
  </si>
  <si>
    <t>Open Plot</t>
  </si>
  <si>
    <t>S04/0185/21/TMC/TD-DP/TPS/4301/23</t>
  </si>
  <si>
    <t>2nd Podium Floor For Par Residential</t>
  </si>
  <si>
    <t>2BHK</t>
  </si>
  <si>
    <t>Parking</t>
  </si>
  <si>
    <t>3BHK</t>
  </si>
  <si>
    <t>2.5BHK</t>
  </si>
  <si>
    <t>1st Podium Floor For Parking &amp; Amenities</t>
  </si>
  <si>
    <t>3rd Podium Floor For Par Residential</t>
  </si>
  <si>
    <t>Activity Area, Pottary Area, Community Kitchen &amp; Multipurpose Hall</t>
  </si>
  <si>
    <t>3rd Podium Floor For Part Residential</t>
  </si>
  <si>
    <t>Kids Play Area &amp; Library</t>
  </si>
  <si>
    <t>Lounge</t>
  </si>
  <si>
    <t>1st Floor For Residential</t>
  </si>
  <si>
    <t>Double Height Club House</t>
  </si>
  <si>
    <t>2nd, 4th to 7th, 9th to 12th, 14th to 17th, 19th to 22nd,
 24th to 27th, 29th to 32nd &amp; 34th to 37th Floor</t>
  </si>
  <si>
    <t>Refuge Area</t>
  </si>
  <si>
    <t>1st Floor</t>
  </si>
  <si>
    <t>We considered Gross carpet area = Net carpet + Balcony</t>
  </si>
  <si>
    <t>Approved Plans, CC</t>
  </si>
  <si>
    <t>4th Podium/ Top Podium Floor For Part Residential</t>
  </si>
  <si>
    <t>Cafe, Hobby Room, Pool Deck, Kids Pool, Family Area, Yoga/ Meditation Room, Indoor Games, Library, Cricket Box, Function Spaces, Outdoor Fitness, Picnic Area, Tennis Lawn, Garden, Mini Theater, Multipurpose Hall</t>
  </si>
  <si>
    <t>Raymond Realty Road</t>
  </si>
  <si>
    <t>The Address By GS - Raymond</t>
  </si>
  <si>
    <t>Houses</t>
  </si>
  <si>
    <t>3rd, 8th, 13th, 18th, 23rd, 28th, 33rd &amp; 38th Floor (Part Refuge Area)</t>
  </si>
  <si>
    <t>Wing B = B + Gr + 3P + Podium Top + 1st to 38th Floor</t>
  </si>
  <si>
    <t>Wing C = B + Gr + 3P + Podium Top + 1st to 38th Floor</t>
  </si>
  <si>
    <t>Tower A to C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</si>
  <si>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</si>
  <si>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Tower A = P51700053528 
Tower B = P51700049592
Tower C = P51700049520</t>
  </si>
  <si>
    <t>Wing A, B &amp; C = B + Gr + 3P + Podium Top + 1st to 38th Floor</t>
  </si>
  <si>
    <t>Wing A = B + Gr + 3P + Podium Top + 1st to 38th Floor</t>
  </si>
  <si>
    <t>Wing A</t>
  </si>
  <si>
    <t>Ground Floor For Parking</t>
  </si>
  <si>
    <t>1st Podium Floor For Parking, Society Office, Drivers Room &amp; Meter Room</t>
  </si>
  <si>
    <t>2nd Podium Floor For Parking &amp; Part Residential</t>
  </si>
  <si>
    <t>3rd Podium Floor For Parking &amp; Part Residential</t>
  </si>
  <si>
    <t>Billard Room, Football Area, Carrom Room</t>
  </si>
  <si>
    <t>Table Tennis Area, Cards &amp; Poker Room</t>
  </si>
  <si>
    <t>1st Floor For Residential &amp; Amenities</t>
  </si>
  <si>
    <t>3rd,  8th, 13th, 18th, 23rd, 28th, 33rd &amp; 38th Floor (Part Refuge Area)</t>
  </si>
  <si>
    <t>Wing B</t>
  </si>
  <si>
    <t>Wing C</t>
  </si>
  <si>
    <t>2nd, 4th to 7th, 9th to 12th, 14th to 17th, 19th to 22nd,
24th to 27th, 29th to 32nd, 34th to 37th Floor</t>
  </si>
  <si>
    <t>Flats - 905</t>
  </si>
  <si>
    <t>Wing A = B + Gr + 3P +  Podium Top + 1st to 2nd Floor
Wing B &amp; C = B + Gr + 3P +  Podium Top + 1st to 36th Floor</t>
  </si>
  <si>
    <t>S04/0185/21/TMC/TDD/4479/23</t>
  </si>
  <si>
    <t>3 Wings</t>
  </si>
  <si>
    <t>19.212024,72.968426</t>
  </si>
  <si>
    <t>TEN X ERA Raymond Realty Tower A, B &amp; C</t>
  </si>
  <si>
    <t>Wing B &amp; C</t>
  </si>
  <si>
    <t>Approved Floor plan No.
(Wing B &amp; C)</t>
  </si>
  <si>
    <t>Net area</t>
  </si>
  <si>
    <t>We have referred an approved floor plan of 1 basement + ground + 1st, 2nd, 3rd &amp; top podium floor + 1st residential floor Wing A from RERA site.</t>
  </si>
  <si>
    <t>We have referred an approved CC from RERA site.</t>
  </si>
  <si>
    <t>We have updated approved layout plan &amp; floor plan for Wing A (on 24/11/2023).</t>
  </si>
  <si>
    <t>Approved Floor plan No.
(B + Gr + 3P + Podium Top + 1st Floor)</t>
  </si>
  <si>
    <t xml:space="preserve">Approved Floor plan No.
(2nd to 38th floor)  </t>
  </si>
  <si>
    <t>4th Podium/Top Podium Floor For Parking &amp; Part Residential</t>
  </si>
  <si>
    <t>Ajay Songare</t>
  </si>
  <si>
    <t xml:space="preserve">Construction work is in process at the time of Visit. (Internal photo not allowed).
</t>
  </si>
  <si>
    <t xml:space="preserve">As per RERA -  Tower A = 31/08/2029 
                           Tower B &amp; C = 30/01/2029
                    </t>
  </si>
  <si>
    <t>Shruti Tathare</t>
  </si>
  <si>
    <t>Please provide revised CC of Tower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</si>
</sst>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dd\/mm\/yyyy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2" fontId="15" fillId="0" borderId="0" xfId="1" applyNumberFormat="1" applyFont="1"/>
    <xf numFmtId="0" fontId="12" fillId="0" borderId="1" xfId="1" applyFont="1" applyBorder="1" applyAlignment="1" applyProtection="1">
      <alignment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31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68" fontId="12" fillId="0" borderId="1" xfId="1" applyNumberFormat="1" applyFont="1" applyBorder="1" applyAlignment="1" applyProtection="1">
      <alignment horizontal="left" vertical="top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8" fillId="3" borderId="7" xfId="1" applyFont="1" applyFill="1" applyBorder="1" applyAlignment="1" applyProtection="1">
      <alignment horizontal="center" vertical="top" wrapText="1"/>
      <protection locked="0"/>
    </xf>
    <xf numFmtId="0" fontId="8" fillId="3" borderId="20" xfId="1" applyFont="1" applyFill="1" applyBorder="1" applyAlignment="1" applyProtection="1">
      <alignment horizontal="center" vertical="top" wrapText="1"/>
      <protection locked="0"/>
    </xf>
    <xf numFmtId="0" fontId="8" fillId="3" borderId="8" xfId="1" applyFont="1" applyFill="1" applyBorder="1" applyAlignment="1" applyProtection="1">
      <alignment horizontal="center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36" xfId="0" applyNumberFormat="1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1" fontId="8" fillId="0" borderId="36" xfId="0" applyNumberFormat="1" applyFont="1" applyBorder="1" applyAlignment="1" applyProtection="1">
      <alignment horizontal="center" vertical="top" wrapText="1"/>
      <protection locked="0"/>
    </xf>
    <xf numFmtId="1" fontId="8" fillId="0" borderId="37" xfId="0" applyNumberFormat="1" applyFont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35" xfId="0" applyNumberFormat="1" applyFont="1" applyBorder="1" applyAlignment="1" applyProtection="1">
      <alignment horizontal="center" vertical="center" wrapText="1"/>
      <protection locked="0"/>
    </xf>
    <xf numFmtId="1" fontId="8" fillId="0" borderId="36" xfId="0" applyNumberFormat="1" applyFont="1" applyBorder="1" applyAlignment="1" applyProtection="1">
      <alignment horizontal="center" vertical="center" wrapText="1"/>
      <protection locked="0"/>
    </xf>
    <xf numFmtId="1" fontId="10" fillId="0" borderId="36" xfId="0" applyNumberFormat="1" applyFont="1" applyBorder="1" applyAlignment="1" applyProtection="1">
      <alignment horizontal="center" vertical="top" wrapText="1"/>
      <protection locked="0"/>
    </xf>
    <xf numFmtId="0" fontId="10" fillId="0" borderId="36" xfId="0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681404</xdr:colOff>
      <xdr:row>235</xdr:row>
      <xdr:rowOff>183174</xdr:rowOff>
    </xdr:from>
    <xdr:to>
      <xdr:col>19</xdr:col>
      <xdr:colOff>98250</xdr:colOff>
      <xdr:row>260</xdr:row>
      <xdr:rowOff>52870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29197789"/>
          <a:ext cx="6480000" cy="5024666"/>
        </a:xfrm>
        <a:prstGeom prst="rect">
          <a:avLst/>
        </a:prstGeom>
      </xdr:spPr>
    </xdr:pic>
    <xdr:clientData/>
  </xdr:twoCellAnchor>
  <xdr:twoCellAnchor editAs="oneCell">
    <xdr:from>
      <xdr:col>0</xdr:col>
      <xdr:colOff>205021</xdr:colOff>
      <xdr:row>424</xdr:row>
      <xdr:rowOff>41415</xdr:rowOff>
    </xdr:from>
    <xdr:to>
      <xdr:col>7</xdr:col>
      <xdr:colOff>634869</xdr:colOff>
      <xdr:row>440</xdr:row>
      <xdr:rowOff>186980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5021" y="66360263"/>
          <a:ext cx="6120000" cy="332608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190503</xdr:colOff>
      <xdr:row>441</xdr:row>
      <xdr:rowOff>167311</xdr:rowOff>
    </xdr:from>
    <xdr:to>
      <xdr:col>7</xdr:col>
      <xdr:colOff>620351</xdr:colOff>
      <xdr:row>464</xdr:row>
      <xdr:rowOff>187856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3" y="69865463"/>
          <a:ext cx="6120000" cy="459254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230958</xdr:colOff>
      <xdr:row>450</xdr:row>
      <xdr:rowOff>104484</xdr:rowOff>
    </xdr:from>
    <xdr:to>
      <xdr:col>3</xdr:col>
      <xdr:colOff>798634</xdr:colOff>
      <xdr:row>457</xdr:row>
      <xdr:rowOff>124557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 rot="817913">
          <a:off x="2641516" y="68625869"/>
          <a:ext cx="567676" cy="1404861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419100</xdr:colOff>
      <xdr:row>386</xdr:row>
      <xdr:rowOff>85725</xdr:rowOff>
    </xdr:from>
    <xdr:to>
      <xdr:col>7</xdr:col>
      <xdr:colOff>485775</xdr:colOff>
      <xdr:row>421</xdr:row>
      <xdr:rowOff>57150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9100" y="75504675"/>
          <a:ext cx="5762625" cy="69723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0</xdr:colOff>
      <xdr:row>394</xdr:row>
      <xdr:rowOff>161925</xdr:rowOff>
    </xdr:from>
    <xdr:to>
      <xdr:col>3</xdr:col>
      <xdr:colOff>19050</xdr:colOff>
      <xdr:row>403</xdr:row>
      <xdr:rowOff>28575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562100" y="77181075"/>
          <a:ext cx="866775" cy="16668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0</xdr:colOff>
      <xdr:row>403</xdr:row>
      <xdr:rowOff>133350</xdr:rowOff>
    </xdr:from>
    <xdr:to>
      <xdr:col>3</xdr:col>
      <xdr:colOff>19050</xdr:colOff>
      <xdr:row>412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1562100" y="78952725"/>
          <a:ext cx="866775" cy="16668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619123</xdr:colOff>
      <xdr:row>409</xdr:row>
      <xdr:rowOff>1</xdr:rowOff>
    </xdr:from>
    <xdr:to>
      <xdr:col>5</xdr:col>
      <xdr:colOff>752474</xdr:colOff>
      <xdr:row>414</xdr:row>
      <xdr:rowOff>1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 rot="5400000">
          <a:off x="3457573" y="79590901"/>
          <a:ext cx="1000125" cy="185737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3</xdr:col>
      <xdr:colOff>228600</xdr:colOff>
      <xdr:row>398</xdr:row>
      <xdr:rowOff>66675</xdr:rowOff>
    </xdr:from>
    <xdr:ext cx="340093" cy="40543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638425" y="77885925"/>
          <a:ext cx="340093" cy="405432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/>
            <a:t>A</a:t>
          </a:r>
        </a:p>
      </xdr:txBody>
    </xdr:sp>
    <xdr:clientData/>
  </xdr:oneCellAnchor>
  <xdr:oneCellAnchor>
    <xdr:from>
      <xdr:col>3</xdr:col>
      <xdr:colOff>152400</xdr:colOff>
      <xdr:row>405</xdr:row>
      <xdr:rowOff>133350</xdr:rowOff>
    </xdr:from>
    <xdr:ext cx="340093" cy="405432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2562225" y="79352775"/>
          <a:ext cx="340093" cy="405432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/>
            <a:t>B</a:t>
          </a:r>
        </a:p>
      </xdr:txBody>
    </xdr:sp>
    <xdr:clientData/>
  </xdr:oneCellAnchor>
  <xdr:oneCellAnchor>
    <xdr:from>
      <xdr:col>5</xdr:col>
      <xdr:colOff>95250</xdr:colOff>
      <xdr:row>406</xdr:row>
      <xdr:rowOff>123825</xdr:rowOff>
    </xdr:from>
    <xdr:ext cx="320409" cy="405432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4229100" y="79543275"/>
          <a:ext cx="320409" cy="405432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/>
            <a:t>C</a:t>
          </a:r>
        </a:p>
      </xdr:txBody>
    </xdr:sp>
    <xdr:clientData/>
  </xdr:oneCellAnchor>
  <xdr:twoCellAnchor editAs="oneCell">
    <xdr:from>
      <xdr:col>8</xdr:col>
      <xdr:colOff>314325</xdr:colOff>
      <xdr:row>69</xdr:row>
      <xdr:rowOff>133350</xdr:rowOff>
    </xdr:from>
    <xdr:to>
      <xdr:col>12</xdr:col>
      <xdr:colOff>580575</xdr:colOff>
      <xdr:row>83</xdr:row>
      <xdr:rowOff>142362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7DF09F07-8B5F-41B2-87AF-DDA77AE34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38950" y="17621250"/>
          <a:ext cx="3600000" cy="3266562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342</xdr:row>
      <xdr:rowOff>85724</xdr:rowOff>
    </xdr:from>
    <xdr:to>
      <xdr:col>7</xdr:col>
      <xdr:colOff>670821</xdr:colOff>
      <xdr:row>384</xdr:row>
      <xdr:rowOff>133350</xdr:rowOff>
    </xdr:to>
    <xdr:grpSp>
      <xdr:nvGrpSpPr>
        <xdr:cNvPr id="12" name="Group 11"/>
        <xdr:cNvGrpSpPr/>
      </xdr:nvGrpSpPr>
      <xdr:grpSpPr>
        <a:xfrm>
          <a:off x="381000" y="69694424"/>
          <a:ext cx="5985771" cy="8439151"/>
          <a:chOff x="295275" y="69446774"/>
          <a:chExt cx="5985771" cy="8439151"/>
        </a:xfrm>
      </xdr:grpSpPr>
      <xdr:grpSp>
        <xdr:nvGrpSpPr>
          <xdr:cNvPr id="8" name="Group 7"/>
          <xdr:cNvGrpSpPr/>
        </xdr:nvGrpSpPr>
        <xdr:grpSpPr>
          <a:xfrm>
            <a:off x="295275" y="69446774"/>
            <a:ext cx="5985771" cy="8439151"/>
            <a:chOff x="295275" y="69446774"/>
            <a:chExt cx="5985771" cy="8439151"/>
          </a:xfrm>
        </xdr:grpSpPr>
        <xdr:pic>
          <xdr:nvPicPr>
            <xdr:cNvPr id="31" name="Picture 30" descr="https://vsjcllp.vsjadon.com/upload/insp-242871-1525.jpg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b="5632"/>
            <a:stretch/>
          </xdr:blipFill>
          <xdr:spPr bwMode="auto">
            <a:xfrm>
              <a:off x="3371850" y="75714225"/>
              <a:ext cx="1618313" cy="21717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" name="Picture 31" descr="https://vsjcllp.vsjadon.com/upload/insp-242871-843.jpg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b="5327"/>
            <a:stretch/>
          </xdr:blipFill>
          <xdr:spPr bwMode="auto">
            <a:xfrm>
              <a:off x="3333750" y="69446775"/>
              <a:ext cx="2947296" cy="39338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3" name="Picture 32" descr="https://vsjcllp.vsjadon.com/upload/insp-242871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95275" y="69446774"/>
              <a:ext cx="2947296" cy="39338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4" name="Picture 33" descr="https://vsjcllp.vsjadon.com/upload/insp-242871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66775" y="73480612"/>
              <a:ext cx="287733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3" name="Picture 42" descr="https://vsjcllp.vsjadon.com/upload/insp-242871-85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38575" y="73475850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4" name="Picture 43" descr="https://vsjcllp.vsjadon.com/upload/insp-242871-151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666875" y="75723750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51" name="TextBox 321">
            <a:extLst>
              <a:ext uri="{FF2B5EF4-FFF2-40B4-BE49-F238E27FC236}">
                <a16:creationId xmlns:a16="http://schemas.microsoft.com/office/drawing/2014/main" xmlns="" id="{413A5A6B-068A-4B93-8F7B-B6D8C9A9C3A8}"/>
              </a:ext>
            </a:extLst>
          </xdr:cNvPr>
          <xdr:cNvSpPr txBox="1"/>
        </xdr:nvSpPr>
        <xdr:spPr>
          <a:xfrm>
            <a:off x="3390900" y="71027925"/>
            <a:ext cx="1028700" cy="3693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>
                <a:solidFill>
                  <a:sysClr val="windowText" lastClr="000000"/>
                </a:solidFill>
              </a:rPr>
              <a:t>Tower B</a:t>
            </a:r>
            <a:endParaRPr lang="en-IN" sz="16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2" name="TextBox 321">
            <a:extLst>
              <a:ext uri="{FF2B5EF4-FFF2-40B4-BE49-F238E27FC236}">
                <a16:creationId xmlns:a16="http://schemas.microsoft.com/office/drawing/2014/main" xmlns="" id="{413A5A6B-068A-4B93-8F7B-B6D8C9A9C3A8}"/>
              </a:ext>
            </a:extLst>
          </xdr:cNvPr>
          <xdr:cNvSpPr txBox="1"/>
        </xdr:nvSpPr>
        <xdr:spPr>
          <a:xfrm rot="20728445">
            <a:off x="3943350" y="69475350"/>
            <a:ext cx="943143" cy="3693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>
                <a:solidFill>
                  <a:sysClr val="windowText" lastClr="000000"/>
                </a:solidFill>
              </a:rPr>
              <a:t>Tower C</a:t>
            </a:r>
            <a:endParaRPr lang="en-IN" sz="16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3" name="TextBox 321">
            <a:extLst>
              <a:ext uri="{FF2B5EF4-FFF2-40B4-BE49-F238E27FC236}">
                <a16:creationId xmlns:a16="http://schemas.microsoft.com/office/drawing/2014/main" xmlns="" id="{413A5A6B-068A-4B93-8F7B-B6D8C9A9C3A8}"/>
              </a:ext>
            </a:extLst>
          </xdr:cNvPr>
          <xdr:cNvSpPr txBox="1"/>
        </xdr:nvSpPr>
        <xdr:spPr>
          <a:xfrm>
            <a:off x="504825" y="70656449"/>
            <a:ext cx="1028700" cy="3693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600" b="1">
                <a:solidFill>
                  <a:sysClr val="windowText" lastClr="000000"/>
                </a:solidFill>
              </a:rPr>
              <a:t>Tower B</a:t>
            </a:r>
            <a:endParaRPr lang="en-IN" sz="1600" b="1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GmEFJLMsjWLn1eLu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23"/>
  <sheetViews>
    <sheetView tabSelected="1" showWhiteSpace="0" view="pageBreakPreview" zoomScaleNormal="100" zoomScaleSheetLayoutView="100" workbookViewId="0">
      <selection activeCell="L335" sqref="L335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2.42578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86" t="s">
        <v>223</v>
      </c>
      <c r="B1" s="186"/>
      <c r="C1" s="186"/>
      <c r="D1" s="186"/>
      <c r="E1" s="186"/>
      <c r="F1" s="186"/>
      <c r="G1" s="186"/>
      <c r="H1" s="186"/>
    </row>
    <row r="2" spans="1:8" ht="16.5" customHeight="1" x14ac:dyDescent="0.25">
      <c r="A2" s="174" t="s">
        <v>0</v>
      </c>
      <c r="B2" s="174"/>
      <c r="C2" s="174"/>
      <c r="D2" s="174"/>
      <c r="E2" s="174"/>
      <c r="F2" s="174"/>
      <c r="G2" s="174"/>
      <c r="H2" s="174"/>
    </row>
    <row r="3" spans="1:8" x14ac:dyDescent="0.25">
      <c r="A3" s="140" t="s">
        <v>1</v>
      </c>
      <c r="B3" s="140"/>
      <c r="C3" s="140"/>
      <c r="D3" s="140"/>
      <c r="E3" s="140" t="str">
        <f ca="1">TEXT(TODAY(),"DD/MM/YYYY")</f>
        <v>18/08/2025</v>
      </c>
      <c r="F3" s="140"/>
      <c r="G3" s="140"/>
      <c r="H3" s="140"/>
    </row>
    <row r="4" spans="1:8" ht="15" customHeight="1" x14ac:dyDescent="0.25">
      <c r="A4" s="140" t="s">
        <v>2</v>
      </c>
      <c r="B4" s="140"/>
      <c r="C4" s="140"/>
      <c r="D4" s="140"/>
      <c r="E4" s="140" t="s">
        <v>175</v>
      </c>
      <c r="F4" s="140"/>
      <c r="G4" s="140"/>
      <c r="H4" s="140"/>
    </row>
    <row r="5" spans="1:8" x14ac:dyDescent="0.25">
      <c r="A5" s="140" t="s">
        <v>3</v>
      </c>
      <c r="B5" s="140"/>
      <c r="C5" s="140"/>
      <c r="D5" s="140"/>
      <c r="E5" s="94">
        <v>45878</v>
      </c>
      <c r="F5" s="94"/>
      <c r="G5" s="94"/>
      <c r="H5" s="94"/>
    </row>
    <row r="6" spans="1:8" ht="16.5" customHeight="1" x14ac:dyDescent="0.25">
      <c r="A6" s="140" t="s">
        <v>4</v>
      </c>
      <c r="B6" s="140"/>
      <c r="C6" s="140"/>
      <c r="D6" s="140"/>
      <c r="E6" s="140" t="s">
        <v>176</v>
      </c>
      <c r="F6" s="140"/>
      <c r="G6" s="140"/>
      <c r="H6" s="140"/>
    </row>
    <row r="7" spans="1:8" ht="15" customHeight="1" x14ac:dyDescent="0.25">
      <c r="A7" s="140" t="s">
        <v>5</v>
      </c>
      <c r="B7" s="140"/>
      <c r="C7" s="140"/>
      <c r="D7" s="140"/>
      <c r="E7" s="140" t="str">
        <f>E6</f>
        <v>Raymond Limited</v>
      </c>
      <c r="F7" s="140"/>
      <c r="G7" s="140"/>
      <c r="H7" s="140"/>
    </row>
    <row r="8" spans="1:8" x14ac:dyDescent="0.25">
      <c r="A8" s="140" t="s">
        <v>6</v>
      </c>
      <c r="B8" s="140"/>
      <c r="C8" s="140"/>
      <c r="D8" s="140"/>
      <c r="E8" s="137" t="s">
        <v>244</v>
      </c>
      <c r="F8" s="137"/>
      <c r="G8" s="137"/>
      <c r="H8" s="137"/>
    </row>
    <row r="9" spans="1:8" x14ac:dyDescent="0.25">
      <c r="A9" s="140" t="s">
        <v>170</v>
      </c>
      <c r="B9" s="140"/>
      <c r="C9" s="140"/>
      <c r="D9" s="140"/>
      <c r="E9" s="169" t="s">
        <v>177</v>
      </c>
      <c r="F9" s="140"/>
      <c r="G9" s="140"/>
      <c r="H9" s="140"/>
    </row>
    <row r="10" spans="1:8" x14ac:dyDescent="0.25">
      <c r="A10" s="140" t="s">
        <v>171</v>
      </c>
      <c r="B10" s="140"/>
      <c r="C10" s="140"/>
      <c r="D10" s="140"/>
      <c r="E10" s="140" t="s">
        <v>30</v>
      </c>
      <c r="F10" s="140"/>
      <c r="G10" s="140"/>
      <c r="H10" s="140"/>
    </row>
    <row r="11" spans="1:8" x14ac:dyDescent="0.25">
      <c r="A11" s="140" t="s">
        <v>7</v>
      </c>
      <c r="B11" s="140"/>
      <c r="C11" s="140"/>
      <c r="D11" s="140"/>
      <c r="E11" s="140" t="s">
        <v>222</v>
      </c>
      <c r="F11" s="140"/>
      <c r="G11" s="140"/>
      <c r="H11" s="140"/>
    </row>
    <row r="12" spans="1:8" x14ac:dyDescent="0.25">
      <c r="A12" s="143" t="s">
        <v>8</v>
      </c>
      <c r="B12" s="143"/>
      <c r="C12" s="143"/>
      <c r="D12" s="143"/>
      <c r="E12" s="169" t="s">
        <v>213</v>
      </c>
      <c r="F12" s="169"/>
      <c r="G12" s="169"/>
      <c r="H12" s="169"/>
    </row>
    <row r="13" spans="1:8" ht="49.5" customHeight="1" x14ac:dyDescent="0.25">
      <c r="A13" s="143" t="s">
        <v>9</v>
      </c>
      <c r="B13" s="143"/>
      <c r="C13" s="143"/>
      <c r="D13" s="143"/>
      <c r="E13" s="169" t="s">
        <v>224</v>
      </c>
      <c r="F13" s="140"/>
      <c r="G13" s="140"/>
      <c r="H13" s="140"/>
    </row>
    <row r="14" spans="1:8" ht="48.75" customHeight="1" x14ac:dyDescent="0.25">
      <c r="A14" s="168" t="s">
        <v>10</v>
      </c>
      <c r="B14" s="168"/>
      <c r="C14" s="168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TEN X ERA Raymond Realty Tower A, B &amp; C, Survey No.121, 83/1, 83/3, near Ten x Habitat, Raymond Realty Road, Pokhran, Panchpakhadi, Thane West, Thane, Thane - 400606.</v>
      </c>
      <c r="D14" s="168"/>
      <c r="E14" s="168"/>
      <c r="F14" s="168"/>
      <c r="G14" s="168"/>
      <c r="H14" s="168"/>
    </row>
    <row r="15" spans="1:8" x14ac:dyDescent="0.25">
      <c r="A15" s="169" t="s">
        <v>178</v>
      </c>
      <c r="B15" s="169"/>
      <c r="C15" s="169" t="s">
        <v>179</v>
      </c>
      <c r="D15" s="169"/>
      <c r="E15" s="169"/>
      <c r="F15" s="169"/>
      <c r="G15" s="169"/>
      <c r="H15" s="169"/>
    </row>
    <row r="16" spans="1:8" ht="15.75" customHeight="1" x14ac:dyDescent="0.25">
      <c r="A16" s="169" t="s">
        <v>169</v>
      </c>
      <c r="B16" s="169"/>
      <c r="C16" s="169" t="s">
        <v>193</v>
      </c>
      <c r="D16" s="169"/>
      <c r="E16" s="169"/>
      <c r="F16" s="169"/>
      <c r="G16" s="169"/>
      <c r="H16" s="169"/>
    </row>
    <row r="17" spans="1:8" ht="15.75" customHeight="1" x14ac:dyDescent="0.25">
      <c r="A17" s="168" t="s">
        <v>11</v>
      </c>
      <c r="B17" s="168"/>
      <c r="C17" s="140" t="s">
        <v>216</v>
      </c>
      <c r="D17" s="140"/>
      <c r="E17" s="168" t="s">
        <v>73</v>
      </c>
      <c r="F17" s="168"/>
      <c r="G17" s="169" t="s">
        <v>181</v>
      </c>
      <c r="H17" s="169"/>
    </row>
    <row r="18" spans="1:8" x14ac:dyDescent="0.25">
      <c r="A18" s="143" t="s">
        <v>13</v>
      </c>
      <c r="B18" s="143"/>
      <c r="C18" s="169" t="s">
        <v>191</v>
      </c>
      <c r="D18" s="169"/>
      <c r="E18" s="168" t="s">
        <v>12</v>
      </c>
      <c r="F18" s="168"/>
      <c r="G18" s="187" t="s">
        <v>180</v>
      </c>
      <c r="H18" s="187"/>
    </row>
    <row r="19" spans="1:8" x14ac:dyDescent="0.25">
      <c r="A19" s="143" t="s">
        <v>74</v>
      </c>
      <c r="B19" s="143"/>
      <c r="C19" s="169" t="s">
        <v>180</v>
      </c>
      <c r="D19" s="169"/>
      <c r="E19" s="168" t="s">
        <v>14</v>
      </c>
      <c r="F19" s="168"/>
      <c r="G19" s="169">
        <v>400606</v>
      </c>
      <c r="H19" s="169"/>
    </row>
    <row r="20" spans="1:8" ht="32.25" customHeight="1" x14ac:dyDescent="0.25">
      <c r="A20" s="143" t="s">
        <v>126</v>
      </c>
      <c r="B20" s="143"/>
      <c r="C20" s="169" t="s">
        <v>192</v>
      </c>
      <c r="D20" s="169"/>
      <c r="E20" s="168" t="s">
        <v>15</v>
      </c>
      <c r="F20" s="168"/>
      <c r="G20" s="169" t="s">
        <v>190</v>
      </c>
      <c r="H20" s="169"/>
    </row>
    <row r="21" spans="1:8" ht="15" customHeight="1" x14ac:dyDescent="0.25">
      <c r="A21" s="168" t="s">
        <v>77</v>
      </c>
      <c r="B21" s="168"/>
      <c r="C21" s="168"/>
      <c r="D21" s="168"/>
      <c r="E21" s="140" t="s">
        <v>16</v>
      </c>
      <c r="F21" s="140"/>
      <c r="G21" s="140"/>
      <c r="H21" s="140"/>
    </row>
    <row r="22" spans="1:8" ht="18.75" customHeight="1" x14ac:dyDescent="0.25">
      <c r="A22" s="168"/>
      <c r="B22" s="168"/>
      <c r="C22" s="168"/>
      <c r="D22" s="168"/>
      <c r="E22" s="140"/>
      <c r="F22" s="140"/>
      <c r="G22" s="140"/>
      <c r="H22" s="140"/>
    </row>
    <row r="23" spans="1:8" ht="15" customHeight="1" x14ac:dyDescent="0.25">
      <c r="A23" s="168" t="s">
        <v>17</v>
      </c>
      <c r="B23" s="168"/>
      <c r="C23" s="168"/>
      <c r="D23" s="168"/>
      <c r="E23" s="169" t="s">
        <v>18</v>
      </c>
      <c r="F23" s="169"/>
      <c r="G23" s="169"/>
      <c r="H23" s="169"/>
    </row>
    <row r="24" spans="1:8" ht="15" customHeight="1" x14ac:dyDescent="0.25">
      <c r="A24" s="143" t="s">
        <v>19</v>
      </c>
      <c r="B24" s="143"/>
      <c r="C24" s="143"/>
      <c r="D24" s="143"/>
      <c r="E24" s="169" t="str">
        <f>IF(AND(G18="Mumbai"),"Upper Class","Middle Class")</f>
        <v>Middle Class</v>
      </c>
      <c r="F24" s="169"/>
      <c r="G24" s="169"/>
      <c r="H24" s="169"/>
    </row>
    <row r="25" spans="1:8" x14ac:dyDescent="0.25">
      <c r="A25" s="143" t="s">
        <v>20</v>
      </c>
      <c r="B25" s="143"/>
      <c r="C25" s="143"/>
      <c r="D25" s="143"/>
      <c r="E25" s="169" t="s">
        <v>21</v>
      </c>
      <c r="F25" s="169"/>
      <c r="G25" s="169"/>
      <c r="H25" s="169"/>
    </row>
    <row r="26" spans="1:8" ht="15.75" customHeight="1" x14ac:dyDescent="0.25">
      <c r="A26" s="143" t="s">
        <v>22</v>
      </c>
      <c r="B26" s="143"/>
      <c r="C26" s="143"/>
      <c r="D26" s="143"/>
      <c r="E26" s="169" t="str">
        <f>IF(AND(G18="Mumbai"),"Developed","Developing")</f>
        <v>Developing</v>
      </c>
      <c r="F26" s="169"/>
      <c r="G26" s="169"/>
      <c r="H26" s="169"/>
    </row>
    <row r="27" spans="1:8" x14ac:dyDescent="0.25">
      <c r="A27" s="143" t="s">
        <v>23</v>
      </c>
      <c r="B27" s="143"/>
      <c r="C27" s="143"/>
      <c r="D27" s="143"/>
      <c r="E27" s="169" t="s">
        <v>24</v>
      </c>
      <c r="F27" s="169"/>
      <c r="G27" s="169"/>
      <c r="H27" s="169"/>
    </row>
    <row r="28" spans="1:8" ht="15.75" customHeight="1" x14ac:dyDescent="0.25">
      <c r="A28" s="143" t="s">
        <v>82</v>
      </c>
      <c r="B28" s="143"/>
      <c r="C28" s="143"/>
      <c r="D28" s="143"/>
      <c r="E28" s="169" t="s">
        <v>83</v>
      </c>
      <c r="F28" s="169"/>
      <c r="G28" s="169"/>
      <c r="H28" s="169"/>
    </row>
    <row r="29" spans="1:8" ht="15" customHeight="1" x14ac:dyDescent="0.25">
      <c r="A29" s="143" t="s">
        <v>32</v>
      </c>
      <c r="B29" s="143"/>
      <c r="C29" s="143"/>
      <c r="D29" s="143"/>
      <c r="E29" s="169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Residential</v>
      </c>
      <c r="F29" s="169"/>
      <c r="G29" s="169"/>
      <c r="H29" s="169"/>
    </row>
    <row r="30" spans="1:8" ht="15.75" customHeight="1" x14ac:dyDescent="0.25">
      <c r="A30" s="143" t="s">
        <v>94</v>
      </c>
      <c r="B30" s="143"/>
      <c r="C30" s="143"/>
      <c r="D30" s="143"/>
      <c r="E30" s="169" t="s">
        <v>33</v>
      </c>
      <c r="F30" s="169"/>
      <c r="G30" s="169"/>
      <c r="H30" s="169"/>
    </row>
    <row r="31" spans="1:8" s="22" customFormat="1" x14ac:dyDescent="0.25">
      <c r="A31" s="191" t="s">
        <v>95</v>
      </c>
      <c r="B31" s="191"/>
      <c r="C31" s="188" t="s">
        <v>29</v>
      </c>
      <c r="D31" s="188"/>
      <c r="E31" s="188"/>
      <c r="F31" s="188" t="s">
        <v>31</v>
      </c>
      <c r="G31" s="188"/>
      <c r="H31" s="188"/>
    </row>
    <row r="32" spans="1:8" s="22" customFormat="1" x14ac:dyDescent="0.25">
      <c r="A32" s="190" t="s">
        <v>25</v>
      </c>
      <c r="B32" s="190" t="s">
        <v>30</v>
      </c>
      <c r="C32" s="189" t="s">
        <v>30</v>
      </c>
      <c r="D32" s="189"/>
      <c r="E32" s="189"/>
      <c r="F32" s="189" t="s">
        <v>218</v>
      </c>
      <c r="G32" s="189"/>
      <c r="H32" s="189"/>
    </row>
    <row r="33" spans="1:10" x14ac:dyDescent="0.25">
      <c r="A33" s="190" t="s">
        <v>26</v>
      </c>
      <c r="B33" s="190" t="s">
        <v>30</v>
      </c>
      <c r="C33" s="189" t="s">
        <v>30</v>
      </c>
      <c r="D33" s="189"/>
      <c r="E33" s="189"/>
      <c r="F33" s="189" t="s">
        <v>192</v>
      </c>
      <c r="G33" s="189"/>
      <c r="H33" s="189"/>
    </row>
    <row r="34" spans="1:10" s="22" customFormat="1" x14ac:dyDescent="0.25">
      <c r="A34" s="190" t="s">
        <v>28</v>
      </c>
      <c r="B34" s="190" t="s">
        <v>30</v>
      </c>
      <c r="C34" s="189" t="s">
        <v>30</v>
      </c>
      <c r="D34" s="189"/>
      <c r="E34" s="189"/>
      <c r="F34" s="189" t="s">
        <v>217</v>
      </c>
      <c r="G34" s="189"/>
      <c r="H34" s="189"/>
    </row>
    <row r="35" spans="1:10" x14ac:dyDescent="0.25">
      <c r="A35" s="190" t="s">
        <v>27</v>
      </c>
      <c r="B35" s="190" t="s">
        <v>30</v>
      </c>
      <c r="C35" s="189" t="s">
        <v>30</v>
      </c>
      <c r="D35" s="189"/>
      <c r="E35" s="189"/>
      <c r="F35" s="189" t="s">
        <v>194</v>
      </c>
      <c r="G35" s="189"/>
      <c r="H35" s="189"/>
    </row>
    <row r="36" spans="1:10" x14ac:dyDescent="0.25">
      <c r="A36" s="143" t="s">
        <v>183</v>
      </c>
      <c r="B36" s="143"/>
      <c r="C36" s="143"/>
      <c r="D36" s="143"/>
      <c r="E36" s="143"/>
      <c r="F36" s="143"/>
      <c r="G36" s="143"/>
      <c r="H36" s="143"/>
    </row>
    <row r="37" spans="1:10" ht="15.75" customHeight="1" x14ac:dyDescent="0.25">
      <c r="A37" s="143" t="s">
        <v>173</v>
      </c>
      <c r="B37" s="143"/>
      <c r="C37" s="185" t="s">
        <v>243</v>
      </c>
      <c r="D37" s="185"/>
      <c r="E37" s="185"/>
      <c r="F37" s="185"/>
      <c r="G37" s="185"/>
      <c r="H37" s="185"/>
    </row>
    <row r="38" spans="1:10" x14ac:dyDescent="0.25">
      <c r="A38" s="143" t="s">
        <v>168</v>
      </c>
      <c r="B38" s="143"/>
      <c r="C38" s="201" t="s">
        <v>189</v>
      </c>
      <c r="D38" s="169"/>
      <c r="E38" s="169"/>
      <c r="F38" s="169"/>
      <c r="G38" s="169"/>
      <c r="H38" s="169"/>
    </row>
    <row r="39" spans="1:10" x14ac:dyDescent="0.25">
      <c r="A39" s="137" t="s">
        <v>34</v>
      </c>
      <c r="B39" s="137"/>
      <c r="C39" s="137"/>
      <c r="D39" s="137"/>
      <c r="E39" s="137"/>
      <c r="F39" s="137"/>
      <c r="G39" s="137"/>
      <c r="H39" s="137"/>
    </row>
    <row r="40" spans="1:10" x14ac:dyDescent="0.25">
      <c r="A40" s="143" t="s">
        <v>35</v>
      </c>
      <c r="B40" s="143"/>
      <c r="C40" s="143"/>
      <c r="D40" s="143"/>
      <c r="E40" s="199">
        <f>25396.19+1481.75+419.13</f>
        <v>27297.07</v>
      </c>
      <c r="F40" s="199"/>
      <c r="G40" s="199"/>
      <c r="H40" s="199"/>
      <c r="I40" s="22">
        <f>25396.19+1481.75+419.13</f>
        <v>27297.07</v>
      </c>
      <c r="J40" s="21" t="s">
        <v>247</v>
      </c>
    </row>
    <row r="41" spans="1:10" x14ac:dyDescent="0.25">
      <c r="A41" s="143" t="s">
        <v>36</v>
      </c>
      <c r="B41" s="143"/>
      <c r="C41" s="143"/>
      <c r="D41" s="143"/>
      <c r="E41" s="202">
        <v>1.1000000000000001</v>
      </c>
      <c r="F41" s="202"/>
      <c r="G41" s="202"/>
      <c r="H41" s="202"/>
      <c r="I41" s="22">
        <v>1.1000000000000001</v>
      </c>
    </row>
    <row r="42" spans="1:10" x14ac:dyDescent="0.25">
      <c r="A42" s="143" t="s">
        <v>37</v>
      </c>
      <c r="B42" s="143"/>
      <c r="C42" s="143"/>
      <c r="D42" s="143"/>
      <c r="E42" s="202">
        <f>E44/E40-E41</f>
        <v>2.4885836831572035</v>
      </c>
      <c r="F42" s="202"/>
      <c r="G42" s="202"/>
      <c r="H42" s="202"/>
      <c r="I42" s="72">
        <f>I43-I41</f>
        <v>2.4885836831572035</v>
      </c>
    </row>
    <row r="43" spans="1:10" x14ac:dyDescent="0.25">
      <c r="A43" s="143" t="s">
        <v>38</v>
      </c>
      <c r="B43" s="143"/>
      <c r="C43" s="143"/>
      <c r="D43" s="143"/>
      <c r="E43" s="202">
        <f>E41+E42</f>
        <v>3.5885836831572036</v>
      </c>
      <c r="F43" s="202"/>
      <c r="G43" s="202"/>
      <c r="H43" s="202"/>
      <c r="I43" s="72">
        <f>I44/I40</f>
        <v>3.5885836831572036</v>
      </c>
    </row>
    <row r="44" spans="1:10" x14ac:dyDescent="0.25">
      <c r="A44" s="143" t="s">
        <v>93</v>
      </c>
      <c r="B44" s="143"/>
      <c r="C44" s="143"/>
      <c r="D44" s="143"/>
      <c r="E44" s="203">
        <v>97957.82</v>
      </c>
      <c r="F44" s="203"/>
      <c r="G44" s="203"/>
      <c r="H44" s="203"/>
      <c r="I44" s="22">
        <v>97957.82</v>
      </c>
    </row>
    <row r="45" spans="1:10" x14ac:dyDescent="0.25">
      <c r="A45" s="140" t="s">
        <v>39</v>
      </c>
      <c r="B45" s="140"/>
      <c r="C45" s="140"/>
      <c r="D45" s="140"/>
      <c r="E45" s="140" t="s">
        <v>242</v>
      </c>
      <c r="F45" s="140"/>
      <c r="G45" s="140"/>
      <c r="H45" s="140"/>
      <c r="I45" s="22"/>
    </row>
    <row r="46" spans="1:10" x14ac:dyDescent="0.25">
      <c r="A46" s="185" t="s">
        <v>40</v>
      </c>
      <c r="B46" s="185"/>
      <c r="C46" s="185"/>
      <c r="D46" s="185"/>
      <c r="E46" s="185"/>
      <c r="F46" s="185"/>
      <c r="G46" s="185"/>
      <c r="H46" s="185"/>
    </row>
    <row r="47" spans="1:10" ht="33.75" customHeight="1" x14ac:dyDescent="0.25">
      <c r="A47" s="91" t="s">
        <v>155</v>
      </c>
      <c r="B47" s="92"/>
      <c r="C47" s="216" t="s">
        <v>182</v>
      </c>
      <c r="D47" s="217"/>
      <c r="E47" s="217"/>
      <c r="F47" s="217"/>
      <c r="G47" s="217"/>
      <c r="H47" s="218"/>
    </row>
    <row r="48" spans="1:10" ht="16.5" customHeight="1" x14ac:dyDescent="0.25">
      <c r="A48" s="91" t="s">
        <v>41</v>
      </c>
      <c r="B48" s="92"/>
      <c r="C48" s="161" t="s">
        <v>241</v>
      </c>
      <c r="D48" s="162"/>
      <c r="E48" s="163"/>
      <c r="F48" s="73" t="s">
        <v>42</v>
      </c>
      <c r="G48" s="94">
        <v>45222</v>
      </c>
      <c r="H48" s="94"/>
    </row>
    <row r="49" spans="1:14" ht="16.5" customHeight="1" x14ac:dyDescent="0.25">
      <c r="A49" s="104" t="s">
        <v>227</v>
      </c>
      <c r="B49" s="105"/>
      <c r="C49" s="105"/>
      <c r="D49" s="105"/>
      <c r="E49" s="105"/>
      <c r="F49" s="105"/>
      <c r="G49" s="105"/>
      <c r="H49" s="106"/>
    </row>
    <row r="50" spans="1:14" ht="50.25" customHeight="1" x14ac:dyDescent="0.25">
      <c r="A50" s="91" t="s">
        <v>251</v>
      </c>
      <c r="B50" s="92"/>
      <c r="C50" s="91" t="s">
        <v>195</v>
      </c>
      <c r="D50" s="93"/>
      <c r="E50" s="92"/>
      <c r="F50" s="18" t="s">
        <v>42</v>
      </c>
      <c r="G50" s="94">
        <v>44978</v>
      </c>
      <c r="H50" s="94"/>
    </row>
    <row r="51" spans="1:14" ht="35.25" customHeight="1" x14ac:dyDescent="0.25">
      <c r="A51" s="91" t="s">
        <v>252</v>
      </c>
      <c r="B51" s="92"/>
      <c r="C51" s="91" t="s">
        <v>241</v>
      </c>
      <c r="D51" s="93"/>
      <c r="E51" s="92"/>
      <c r="F51" s="18" t="s">
        <v>42</v>
      </c>
      <c r="G51" s="94">
        <v>45222</v>
      </c>
      <c r="H51" s="94"/>
    </row>
    <row r="52" spans="1:14" ht="16.5" customHeight="1" x14ac:dyDescent="0.25">
      <c r="A52" s="104" t="s">
        <v>245</v>
      </c>
      <c r="B52" s="105"/>
      <c r="C52" s="105"/>
      <c r="D52" s="105"/>
      <c r="E52" s="105"/>
      <c r="F52" s="105"/>
      <c r="G52" s="105"/>
      <c r="H52" s="106"/>
    </row>
    <row r="53" spans="1:14" ht="35.25" customHeight="1" x14ac:dyDescent="0.25">
      <c r="A53" s="91" t="s">
        <v>246</v>
      </c>
      <c r="B53" s="92"/>
      <c r="C53" s="91" t="s">
        <v>195</v>
      </c>
      <c r="D53" s="93"/>
      <c r="E53" s="92"/>
      <c r="F53" s="18" t="s">
        <v>42</v>
      </c>
      <c r="G53" s="94">
        <v>44978</v>
      </c>
      <c r="H53" s="94"/>
    </row>
    <row r="54" spans="1:14" s="23" customFormat="1" x14ac:dyDescent="0.25">
      <c r="A54" s="194" t="s">
        <v>159</v>
      </c>
      <c r="B54" s="195"/>
      <c r="C54" s="91" t="s">
        <v>184</v>
      </c>
      <c r="D54" s="93"/>
      <c r="E54" s="92"/>
      <c r="F54" s="18" t="s">
        <v>42</v>
      </c>
      <c r="G54" s="94">
        <v>44978</v>
      </c>
      <c r="H54" s="94"/>
    </row>
    <row r="55" spans="1:14" s="23" customFormat="1" ht="33" customHeight="1" x14ac:dyDescent="0.25">
      <c r="A55" s="196"/>
      <c r="B55" s="197"/>
      <c r="C55" s="91" t="s">
        <v>240</v>
      </c>
      <c r="D55" s="93"/>
      <c r="E55" s="93"/>
      <c r="F55" s="93"/>
      <c r="G55" s="93"/>
      <c r="H55" s="92"/>
    </row>
    <row r="56" spans="1:14" x14ac:dyDescent="0.25">
      <c r="A56" s="164" t="s">
        <v>43</v>
      </c>
      <c r="B56" s="165"/>
      <c r="C56" s="164" t="s">
        <v>107</v>
      </c>
      <c r="D56" s="166"/>
      <c r="E56" s="165"/>
      <c r="F56" s="46" t="s">
        <v>42</v>
      </c>
      <c r="G56" s="141" t="s">
        <v>30</v>
      </c>
      <c r="H56" s="142"/>
    </row>
    <row r="57" spans="1:14" x14ac:dyDescent="0.25">
      <c r="A57" s="167" t="s">
        <v>45</v>
      </c>
      <c r="B57" s="167"/>
      <c r="C57" s="167"/>
      <c r="D57" s="167"/>
      <c r="E57" s="167"/>
      <c r="F57" s="167"/>
      <c r="G57" s="167"/>
      <c r="H57" s="167"/>
    </row>
    <row r="58" spans="1:14" x14ac:dyDescent="0.25">
      <c r="A58" s="168" t="s">
        <v>92</v>
      </c>
      <c r="B58" s="168"/>
      <c r="C58" s="168"/>
      <c r="D58" s="143">
        <f>E44</f>
        <v>97957.82</v>
      </c>
      <c r="E58" s="143"/>
      <c r="F58" s="143"/>
      <c r="G58" s="143"/>
      <c r="H58" s="143"/>
    </row>
    <row r="59" spans="1:14" x14ac:dyDescent="0.25">
      <c r="A59" s="169" t="s">
        <v>46</v>
      </c>
      <c r="B59" s="140"/>
      <c r="C59" s="140"/>
      <c r="D59" s="140" t="s">
        <v>239</v>
      </c>
      <c r="E59" s="140"/>
      <c r="F59" s="140"/>
      <c r="G59" s="140"/>
      <c r="H59" s="140"/>
      <c r="I59" s="24"/>
    </row>
    <row r="60" spans="1:14" x14ac:dyDescent="0.25">
      <c r="A60" s="122" t="s">
        <v>47</v>
      </c>
      <c r="B60" s="123"/>
      <c r="C60" s="124"/>
      <c r="D60" s="192" t="s">
        <v>225</v>
      </c>
      <c r="E60" s="193"/>
      <c r="F60" s="193"/>
      <c r="G60" s="193"/>
      <c r="H60" s="193"/>
    </row>
    <row r="61" spans="1:14" ht="15.75" customHeight="1" x14ac:dyDescent="0.25">
      <c r="A61" s="122" t="s">
        <v>90</v>
      </c>
      <c r="B61" s="123"/>
      <c r="C61" s="124"/>
      <c r="D61" s="119" t="s">
        <v>226</v>
      </c>
      <c r="E61" s="120"/>
      <c r="F61" s="120"/>
      <c r="G61" s="120"/>
      <c r="H61" s="121"/>
    </row>
    <row r="62" spans="1:14" ht="15.75" customHeight="1" x14ac:dyDescent="0.25">
      <c r="A62" s="125"/>
      <c r="B62" s="126"/>
      <c r="C62" s="127"/>
      <c r="D62" s="119" t="s">
        <v>220</v>
      </c>
      <c r="E62" s="120"/>
      <c r="F62" s="120"/>
      <c r="G62" s="120"/>
      <c r="H62" s="121"/>
    </row>
    <row r="63" spans="1:14" ht="15.75" customHeight="1" x14ac:dyDescent="0.25">
      <c r="A63" s="128"/>
      <c r="B63" s="129"/>
      <c r="C63" s="130"/>
      <c r="D63" s="119" t="s">
        <v>221</v>
      </c>
      <c r="E63" s="120"/>
      <c r="F63" s="120"/>
      <c r="G63" s="120"/>
      <c r="H63" s="121"/>
    </row>
    <row r="64" spans="1:14" ht="32.25" customHeight="1" x14ac:dyDescent="0.25">
      <c r="A64" s="143" t="s">
        <v>44</v>
      </c>
      <c r="B64" s="143"/>
      <c r="C64" s="143"/>
      <c r="D64" s="200" t="s">
        <v>256</v>
      </c>
      <c r="E64" s="200"/>
      <c r="F64" s="200"/>
      <c r="G64" s="200"/>
      <c r="H64" s="200"/>
      <c r="J64" s="25"/>
      <c r="K64" s="24"/>
      <c r="N64" s="24"/>
    </row>
    <row r="65" spans="1:14" ht="15.75" customHeight="1" x14ac:dyDescent="0.25">
      <c r="A65" s="143" t="s">
        <v>88</v>
      </c>
      <c r="B65" s="143"/>
      <c r="C65" s="143"/>
      <c r="D65" s="209" t="str">
        <f>(IF(G56="NA","60 Years After Completion",IF(G56&lt;&gt;"NA",""&amp;60-ROUNDDOWN((E3-G56)/360,0)&amp;" Years"," ")))</f>
        <v>60 Years After Completion</v>
      </c>
      <c r="E65" s="209"/>
      <c r="F65" s="209"/>
      <c r="G65" s="209"/>
      <c r="H65" s="209"/>
      <c r="N65" s="24"/>
    </row>
    <row r="66" spans="1:14" ht="15.75" customHeight="1" x14ac:dyDescent="0.25">
      <c r="A66" s="143" t="s">
        <v>89</v>
      </c>
      <c r="B66" s="143"/>
      <c r="C66" s="143"/>
      <c r="D66" s="168" t="s">
        <v>24</v>
      </c>
      <c r="E66" s="168"/>
      <c r="F66" s="168"/>
      <c r="G66" s="168"/>
      <c r="H66" s="168"/>
      <c r="J66" s="26"/>
      <c r="K66" s="26"/>
    </row>
    <row r="67" spans="1:14" ht="64.5" customHeight="1" x14ac:dyDescent="0.25">
      <c r="A67" s="143" t="s">
        <v>75</v>
      </c>
      <c r="B67" s="143"/>
      <c r="C67" s="143"/>
      <c r="D67" s="169" t="s">
        <v>215</v>
      </c>
      <c r="E67" s="168"/>
      <c r="F67" s="168"/>
      <c r="G67" s="168"/>
      <c r="H67" s="168"/>
    </row>
    <row r="68" spans="1:14" x14ac:dyDescent="0.25">
      <c r="A68" s="168" t="s">
        <v>152</v>
      </c>
      <c r="B68" s="168"/>
      <c r="C68" s="168"/>
      <c r="D68" s="168" t="s">
        <v>30</v>
      </c>
      <c r="E68" s="168"/>
      <c r="F68" s="168"/>
      <c r="G68" s="168"/>
      <c r="H68" s="168"/>
      <c r="I68" s="27"/>
      <c r="J68" s="27"/>
      <c r="K68" s="27"/>
      <c r="L68" s="27"/>
      <c r="M68" s="27"/>
      <c r="N68" s="27"/>
    </row>
    <row r="69" spans="1:14" ht="15.75" customHeight="1" x14ac:dyDescent="0.25">
      <c r="A69" s="210" t="s">
        <v>87</v>
      </c>
      <c r="B69" s="210"/>
      <c r="C69" s="210"/>
      <c r="D69" s="192" t="str">
        <f ca="1">(IF(G89&gt;95%,"Nothing",IF(G89&gt;0%,"Cement, Aggregate, Steel, etc",IF(G89=0%,"Work not yet Started"))))</f>
        <v>Cement, Aggregate, Steel, etc</v>
      </c>
      <c r="E69" s="192"/>
      <c r="F69" s="192"/>
      <c r="G69" s="192"/>
      <c r="H69" s="192"/>
      <c r="J69" s="26"/>
    </row>
    <row r="70" spans="1:14" ht="33.75" customHeight="1" thickBot="1" x14ac:dyDescent="0.3">
      <c r="A70" s="198" t="s">
        <v>120</v>
      </c>
      <c r="B70" s="198"/>
      <c r="C70" s="198"/>
      <c r="D70" s="192" t="str">
        <f ca="1">(IF(D69="Nothing","Yes",IF(D69="Cement, Aggregate, Steel, etc","Under Construction",IF(D69="Work not yet Started","Work not yet Started"))))</f>
        <v>Under Construction</v>
      </c>
      <c r="E70" s="192"/>
      <c r="F70" s="192" t="str">
        <f ca="1">(IF(D69="Nothing","Yes",IF(D69="Cement, Aggregate, Steel, etc","Under Construction",IF(D69="Work not yet Started","Work not yet Started"))))</f>
        <v>Under Construction</v>
      </c>
      <c r="G70" s="192"/>
      <c r="H70" s="192"/>
    </row>
    <row r="71" spans="1:14" ht="15.75" customHeight="1" x14ac:dyDescent="0.25">
      <c r="A71" s="131" t="s">
        <v>144</v>
      </c>
      <c r="B71" s="132"/>
      <c r="C71" s="133" t="str">
        <f>D61</f>
        <v>Wing A = B + Gr + 3P + Podium Top + 1st to 38th Floor</v>
      </c>
      <c r="D71" s="134"/>
      <c r="E71" s="134"/>
      <c r="F71" s="134"/>
      <c r="G71" s="134"/>
      <c r="H71" s="135"/>
      <c r="I71" s="50" t="str">
        <f ca="1">IF(D84=100%,"All work Completed. Possession granted to the Building.",IF(D83=100%,"All work Completed, Waiting for OC",I72&amp;""&amp;I73&amp;""&amp;J72&amp;""&amp;J71&amp;" "&amp;J73))</f>
        <v>Excavation, Plinth Completed, RCC upto 13 Slab, Brickwork upto 8 Floor, Internal Plaster upto 6 Floor, External Plaster upto 5.2 Floor Completed</v>
      </c>
      <c r="J71" s="51" t="str">
        <f ca="1">(IF(C77=(D72+F72+H72),"",IF(C77&gt;0,", RCC upto "&amp;C77&amp;" Slab","")))&amp;(IF(C78=H72,"",IF(C78&gt;0,", Brickwork upto "&amp;C78&amp;" Floor","")))&amp;(IF(C79=H72,"",IF(C79&gt;0,", Internal Plaster upto "&amp;C79&amp;" Floor","")))&amp;(IF(C80=H72,"",IF(C80&gt;0,", External Plaster upto "&amp;C80&amp;" Floor","")))&amp;(IF(C81=H72,"",IF(C81&gt;0,", Flooring upto "&amp;C81&amp;" Floor","")))&amp;(IF(C82=H72,"",IF(C82&gt;0,", Painting upto "&amp;C82&amp;" Floor","")))&amp;(IF(C83=H72,"",IF(C83&gt;0,", Finishing upto "&amp;C83&amp;" Floor","")))&amp;(IF(C84=H72,"",IF(C84&gt;0,", Possession upto "&amp;C84&amp;" Floor","")))</f>
        <v>, RCC upto 13 Slab, Brickwork upto 8 Floor, Internal Plaster upto 6 Floor, External Plaster upto 5.2 Floor</v>
      </c>
    </row>
    <row r="72" spans="1:14" x14ac:dyDescent="0.25">
      <c r="A72" s="16" t="s">
        <v>146</v>
      </c>
      <c r="B72" s="70">
        <v>1</v>
      </c>
      <c r="C72" s="70" t="s">
        <v>72</v>
      </c>
      <c r="D72" s="70">
        <v>1</v>
      </c>
      <c r="E72" s="70" t="s">
        <v>71</v>
      </c>
      <c r="F72" s="70">
        <v>4</v>
      </c>
      <c r="G72" s="49" t="s">
        <v>81</v>
      </c>
      <c r="H72" s="17">
        <f ca="1">--TRIM(RIGHT(SUBSTITUTE(LEFT(C71,_xlfn.AGGREGATE(16,6,FIND({0,1,2,3,4,5,6,7,8,9},C71,ROW(INDIRECT("1:"&amp;LEN(C71)))),1))," ",REPT(" ",LEN(C71))),LEN(C71)))</f>
        <v>38</v>
      </c>
      <c r="I72" s="52" t="str">
        <f ca="1">IF(D75=100%,"Excavation","")&amp;IF(D76=100%,", Plinth","")&amp;IF(D77=100%,", RCC Slab","")&amp;IF(D78=100%,", Brickwork","")&amp;IF(D79=100%,", Internal Plaster","")&amp;IF(D80=100%,", External Plaster","")&amp;IF(D81=100%,", Flooring","")&amp;IF(D82=100%,", Painting","")&amp;IF(D83=100%,", Building common Amenities","")</f>
        <v>Excavation, Plinth</v>
      </c>
      <c r="J72" s="53" t="str">
        <f ca="1">(IF(C75=0,"Work not yet Started.",IF(D75=25%,"Piling work in process",IF(D75=50%,"Excavation work in process",IF(D75=100%,"","0")))))&amp;(IF(C76=0%,"",IF(C76=J77,", Footing work is process",IF(C76=J78,", Footing work Completed",IF(C76=J79,", 1st Basement Completed",IF(C76=J80,", 1st &amp; 2nd Basement Completed",IF(C76=J81,", 1st to 3rd Basement Completed",IF(C76=J82,", 1st to 4th Basement Completed",IF(C76=J83,", Plinth work is process",IF(C76=J84,"","0"))))))))))</f>
        <v/>
      </c>
    </row>
    <row r="73" spans="1:14" ht="34.5" customHeight="1" x14ac:dyDescent="0.25">
      <c r="A73" s="136" t="s">
        <v>91</v>
      </c>
      <c r="B73" s="137"/>
      <c r="C73" s="138" t="str">
        <f ca="1">I71</f>
        <v>Excavation, Plinth Completed, RCC upto 13 Slab, Brickwork upto 8 Floor, Internal Plaster upto 6 Floor, External Plaster upto 5.2 Floor Completed</v>
      </c>
      <c r="D73" s="138"/>
      <c r="E73" s="138"/>
      <c r="F73" s="138"/>
      <c r="G73" s="138"/>
      <c r="H73" s="139"/>
      <c r="I73" s="52" t="str">
        <f ca="1">IF(I72&lt;&gt;""," Completed","")</f>
        <v xml:space="preserve"> Completed</v>
      </c>
      <c r="J73" s="53" t="str">
        <f ca="1">IF(J71&lt;&gt;"","Completed","")</f>
        <v>Completed</v>
      </c>
    </row>
    <row r="74" spans="1:14" ht="15.75" customHeight="1" x14ac:dyDescent="0.25">
      <c r="A74" s="100" t="s">
        <v>48</v>
      </c>
      <c r="B74" s="101"/>
      <c r="C74" s="68" t="s">
        <v>143</v>
      </c>
      <c r="D74" s="68" t="s">
        <v>84</v>
      </c>
      <c r="E74" s="101" t="s">
        <v>86</v>
      </c>
      <c r="F74" s="101"/>
      <c r="G74" s="101" t="s">
        <v>85</v>
      </c>
      <c r="H74" s="102"/>
      <c r="I74" s="14" t="s">
        <v>145</v>
      </c>
      <c r="J74" s="28">
        <f ca="1">H72*25%</f>
        <v>9.5</v>
      </c>
    </row>
    <row r="75" spans="1:14" x14ac:dyDescent="0.25">
      <c r="A75" s="100" t="s">
        <v>132</v>
      </c>
      <c r="B75" s="101"/>
      <c r="C75" s="68">
        <v>38</v>
      </c>
      <c r="D75" s="19">
        <f ca="1">((100/H72)*C75)/100</f>
        <v>1</v>
      </c>
      <c r="E75" s="108">
        <f ca="1">(((C76/H72*10)+(40/(D72+F72+H72)*C77)+(7.5/(H72)*C78)+(7.5/(H72)*C79)+(10/H72*C80)+(10/H72*C81)+(5/H72*C82)+(5/H72*C83)+(5/H72*C84))/100)</f>
        <v>0.26224602203182373</v>
      </c>
      <c r="F75" s="109"/>
      <c r="G75" s="108">
        <f ca="1">((((C75/H72)*20)+((C76/H72)*25)+(30/(H72+F72+D72)*C77)+(5/H72*C78)+(5/H72*C79)+(5/H72*C80)+(5/H72*C81)+(0/H72*C82)+(0/H72*C83)+(5/H72*C84))/100)</f>
        <v>0.56596083231334149</v>
      </c>
      <c r="H75" s="114"/>
      <c r="I75" s="14" t="s">
        <v>102</v>
      </c>
      <c r="J75" s="29">
        <f ca="1">H72*50%</f>
        <v>19</v>
      </c>
    </row>
    <row r="76" spans="1:14" x14ac:dyDescent="0.25">
      <c r="A76" s="100" t="s">
        <v>49</v>
      </c>
      <c r="B76" s="101"/>
      <c r="C76" s="57">
        <f ca="1">J84</f>
        <v>38</v>
      </c>
      <c r="D76" s="19">
        <f ca="1">((100/H72)*C76)/100</f>
        <v>1</v>
      </c>
      <c r="E76" s="110"/>
      <c r="F76" s="111"/>
      <c r="G76" s="110"/>
      <c r="H76" s="115"/>
      <c r="I76" s="14" t="s">
        <v>103</v>
      </c>
      <c r="J76" s="29">
        <f ca="1">H72</f>
        <v>38</v>
      </c>
    </row>
    <row r="77" spans="1:14" ht="15.75" customHeight="1" x14ac:dyDescent="0.25">
      <c r="A77" s="100" t="s">
        <v>133</v>
      </c>
      <c r="B77" s="101"/>
      <c r="C77" s="68">
        <v>13</v>
      </c>
      <c r="D77" s="19">
        <f ca="1">((100/(D72+F72+H72))*C77)/100</f>
        <v>0.30232558139534882</v>
      </c>
      <c r="E77" s="110"/>
      <c r="F77" s="111"/>
      <c r="G77" s="110"/>
      <c r="H77" s="115"/>
      <c r="I77" s="14" t="s">
        <v>104</v>
      </c>
      <c r="J77" s="30">
        <f ca="1">(IF(B72&gt;1,(H72/(B72+2)),H72/4))</f>
        <v>9.5</v>
      </c>
    </row>
    <row r="78" spans="1:14" ht="15.75" customHeight="1" x14ac:dyDescent="0.25">
      <c r="A78" s="100" t="s">
        <v>140</v>
      </c>
      <c r="B78" s="101" t="s">
        <v>134</v>
      </c>
      <c r="C78" s="68">
        <f>C77-D72-F72</f>
        <v>8</v>
      </c>
      <c r="D78" s="19">
        <f ca="1">((100/H72)*C78)/100</f>
        <v>0.2105263157894737</v>
      </c>
      <c r="E78" s="110"/>
      <c r="F78" s="111"/>
      <c r="G78" s="110"/>
      <c r="H78" s="115"/>
      <c r="I78" s="14" t="s">
        <v>105</v>
      </c>
      <c r="J78" s="30">
        <f ca="1">(IF(B72&gt;1,(H72/(B72+2)+J77),H72/4+J77))</f>
        <v>19</v>
      </c>
    </row>
    <row r="79" spans="1:14" ht="15.75" customHeight="1" x14ac:dyDescent="0.25">
      <c r="A79" s="100" t="s">
        <v>141</v>
      </c>
      <c r="B79" s="101" t="s">
        <v>134</v>
      </c>
      <c r="C79" s="57">
        <f>C78*0.75</f>
        <v>6</v>
      </c>
      <c r="D79" s="19">
        <f ca="1">((100/H72)*C79)/100</f>
        <v>0.15789473684210528</v>
      </c>
      <c r="E79" s="110"/>
      <c r="F79" s="111"/>
      <c r="G79" s="110"/>
      <c r="H79" s="115"/>
      <c r="I79" s="14" t="s">
        <v>150</v>
      </c>
      <c r="J79" s="30">
        <f>(IF(B72&gt;1,(H72/(B72+2)+J78),0))</f>
        <v>0</v>
      </c>
    </row>
    <row r="80" spans="1:14" ht="15" customHeight="1" x14ac:dyDescent="0.25">
      <c r="A80" s="100" t="s">
        <v>139</v>
      </c>
      <c r="B80" s="101" t="s">
        <v>136</v>
      </c>
      <c r="C80" s="57">
        <f>C78*0.65</f>
        <v>5.2</v>
      </c>
      <c r="D80" s="19">
        <f ca="1">((100/(H72))*C80)/100</f>
        <v>0.1368421052631579</v>
      </c>
      <c r="E80" s="110"/>
      <c r="F80" s="111"/>
      <c r="G80" s="110"/>
      <c r="H80" s="115"/>
      <c r="I80" s="14" t="s">
        <v>147</v>
      </c>
      <c r="J80" s="30">
        <f>(IF(B72&gt;2,(H72/(B72+2)+J79),0))</f>
        <v>0</v>
      </c>
    </row>
    <row r="81" spans="1:10" ht="15.75" customHeight="1" x14ac:dyDescent="0.25">
      <c r="A81" s="100" t="s">
        <v>135</v>
      </c>
      <c r="B81" s="101" t="s">
        <v>135</v>
      </c>
      <c r="C81" s="68">
        <v>0</v>
      </c>
      <c r="D81" s="19">
        <f ca="1">((100/H72)*C81)/100</f>
        <v>0</v>
      </c>
      <c r="E81" s="110"/>
      <c r="F81" s="111"/>
      <c r="G81" s="110"/>
      <c r="H81" s="115"/>
      <c r="I81" s="14" t="s">
        <v>148</v>
      </c>
      <c r="J81" s="31">
        <f>(IF(B72&gt;3,(H72/(B72+2)+J80),0))</f>
        <v>0</v>
      </c>
    </row>
    <row r="82" spans="1:10" ht="15.75" customHeight="1" x14ac:dyDescent="0.25">
      <c r="A82" s="100" t="s">
        <v>142</v>
      </c>
      <c r="B82" s="101"/>
      <c r="C82" s="68">
        <v>0</v>
      </c>
      <c r="D82" s="19">
        <f ca="1">((100/H72)*C82)/100</f>
        <v>0</v>
      </c>
      <c r="E82" s="110"/>
      <c r="F82" s="111"/>
      <c r="G82" s="110"/>
      <c r="H82" s="115"/>
      <c r="I82" s="14" t="s">
        <v>149</v>
      </c>
      <c r="J82" s="30">
        <f>(IF(B72&gt;4,(H72/(B72+2)+J81),0))</f>
        <v>0</v>
      </c>
    </row>
    <row r="83" spans="1:10" ht="15.75" customHeight="1" x14ac:dyDescent="0.25">
      <c r="A83" s="100" t="s">
        <v>137</v>
      </c>
      <c r="B83" s="101" t="s">
        <v>137</v>
      </c>
      <c r="C83" s="68">
        <v>0</v>
      </c>
      <c r="D83" s="19">
        <f ca="1">((100/(H72))*C83)/100</f>
        <v>0</v>
      </c>
      <c r="E83" s="110"/>
      <c r="F83" s="111"/>
      <c r="G83" s="110"/>
      <c r="H83" s="115"/>
      <c r="I83" s="14" t="s">
        <v>151</v>
      </c>
      <c r="J83" s="30">
        <f ca="1">(IF(B72=1,(H72/(B72+3)+J78),IF(B72=0,(H72/4+J78),IF(B72&gt;1,0))))</f>
        <v>28.5</v>
      </c>
    </row>
    <row r="84" spans="1:10" ht="16.5" thickBot="1" x14ac:dyDescent="0.3">
      <c r="A84" s="117" t="s">
        <v>138</v>
      </c>
      <c r="B84" s="118"/>
      <c r="C84" s="71">
        <v>0</v>
      </c>
      <c r="D84" s="20">
        <f ca="1">((100/(H72))*C84)/100</f>
        <v>0</v>
      </c>
      <c r="E84" s="112"/>
      <c r="F84" s="113"/>
      <c r="G84" s="112"/>
      <c r="H84" s="116"/>
      <c r="I84" s="15" t="s">
        <v>106</v>
      </c>
      <c r="J84" s="32">
        <f ca="1">(IF(B72&gt;1.5,(H72/(B72+2)+J78+MAX(0,J79-J78)+MAX(0,J80-J79)+MAX(0,J81-J80)+MAX(0,J82-J81)+MAX(0,J83-J82)),IF(B72=1,(H72/(B72+3)+J83),IF(B72=0,H72/4+J83))))</f>
        <v>38</v>
      </c>
    </row>
    <row r="85" spans="1:10" ht="15.75" customHeight="1" x14ac:dyDescent="0.25">
      <c r="A85" s="131" t="s">
        <v>144</v>
      </c>
      <c r="B85" s="132"/>
      <c r="C85" s="133" t="str">
        <f>D62</f>
        <v>Wing B = B + Gr + 3P + Podium Top + 1st to 38th Floor</v>
      </c>
      <c r="D85" s="134"/>
      <c r="E85" s="134"/>
      <c r="F85" s="134"/>
      <c r="G85" s="134"/>
      <c r="H85" s="135"/>
      <c r="I85" s="50" t="str">
        <f ca="1">IF(D98=100%,"All work Completed. Possession granted to the Building.",IF(D97=100%,"All work Completed, Waiting for OC",I86&amp;""&amp;I87&amp;""&amp;J86&amp;""&amp;J85&amp;" "&amp;J87))</f>
        <v>Excavation, Plinth Completed, RCC upto 24 Slab, Brickwork upto 19 Floor, Internal Plaster upto 14.25 Floor, External Plaster upto 11.4 Floor Completed</v>
      </c>
      <c r="J85" s="51" t="str">
        <f ca="1">(IF(C91=(D86+F86+H86),"",IF(C91&gt;0,", RCC upto "&amp;C91&amp;" Slab","")))&amp;(IF(C92=H86,"",IF(C92&gt;0,", Brickwork upto "&amp;C92&amp;" Floor","")))&amp;(IF(C93=H86,"",IF(C93&gt;0,", Internal Plaster upto "&amp;C93&amp;" Floor","")))&amp;(IF(C94=H86,"",IF(C94&gt;0,", External Plaster upto "&amp;C94&amp;" Floor","")))&amp;(IF(C95=H86,"",IF(C95&gt;0,", Flooring upto "&amp;C95&amp;" Floor","")))&amp;(IF(C96=H86,"",IF(C96&gt;0,", Painting upto "&amp;C96&amp;" Floor","")))&amp;(IF(C97=H86,"",IF(C97&gt;0,", Finishing upto "&amp;C97&amp;" Floor","")))&amp;(IF(C98=H86,"",IF(C98&gt;0,", Possession upto "&amp;C98&amp;" Floor","")))</f>
        <v>, RCC upto 24 Slab, Brickwork upto 19 Floor, Internal Plaster upto 14.25 Floor, External Plaster upto 11.4 Floor</v>
      </c>
    </row>
    <row r="86" spans="1:10" x14ac:dyDescent="0.25">
      <c r="A86" s="16" t="s">
        <v>146</v>
      </c>
      <c r="B86" s="54">
        <v>1</v>
      </c>
      <c r="C86" s="48" t="s">
        <v>72</v>
      </c>
      <c r="D86" s="48">
        <v>1</v>
      </c>
      <c r="E86" s="48" t="s">
        <v>71</v>
      </c>
      <c r="F86" s="55">
        <v>4</v>
      </c>
      <c r="G86" s="49" t="s">
        <v>81</v>
      </c>
      <c r="H86" s="17">
        <f ca="1">--TRIM(RIGHT(SUBSTITUTE(LEFT(C85,_xlfn.AGGREGATE(16,6,FIND({0,1,2,3,4,5,6,7,8,9},C85,ROW(INDIRECT("1:"&amp;LEN(C85)))),1))," ",REPT(" ",LEN(C85))),LEN(C85)))</f>
        <v>38</v>
      </c>
      <c r="I86" s="52" t="str">
        <f ca="1">IF(D89=100%,"Excavation","")&amp;IF(D90=100%,", Plinth","")&amp;IF(D91=100%,", RCC Slab","")&amp;IF(D92=100%,", Brickwork","")&amp;IF(D93=100%,", Internal Plaster","")&amp;IF(D94=100%,", External Plaster","")&amp;IF(D95=100%,", Flooring","")&amp;IF(D96=100%,", Painting","")&amp;IF(D97=100%,", Building common Amenities","")</f>
        <v>Excavation, Plinth</v>
      </c>
      <c r="J86" s="53" t="str">
        <f ca="1">(IF(C89=0,"Work not yet Started.",IF(D89=25%,"Piling work in process",IF(D89=50%,"Excavation work in process",IF(D89=100%,"","0")))))&amp;(IF(C90=0%,"",IF(C90=J91,", Footing work is process",IF(C90=J92,", Footing work Completed",IF(C90=J93,", 1st Basement Completed",IF(C90=J94,", 1st &amp; 2nd Basement Completed",IF(C90=J95,", 1st to 3rd Basement Completed",IF(C90=J96,", 1st to 4th Basement Completed",IF(C90=J97,", Plinth work is process",IF(C90=J98,"","0"))))))))))</f>
        <v/>
      </c>
    </row>
    <row r="87" spans="1:10" ht="33" customHeight="1" x14ac:dyDescent="0.25">
      <c r="A87" s="136" t="s">
        <v>91</v>
      </c>
      <c r="B87" s="137"/>
      <c r="C87" s="138" t="str">
        <f ca="1">I85</f>
        <v>Excavation, Plinth Completed, RCC upto 24 Slab, Brickwork upto 19 Floor, Internal Plaster upto 14.25 Floor, External Plaster upto 11.4 Floor Completed</v>
      </c>
      <c r="D87" s="138"/>
      <c r="E87" s="138"/>
      <c r="F87" s="138"/>
      <c r="G87" s="138"/>
      <c r="H87" s="139"/>
      <c r="I87" s="52" t="str">
        <f ca="1">IF(I86&lt;&gt;""," Completed","")</f>
        <v xml:space="preserve"> Completed</v>
      </c>
      <c r="J87" s="53" t="str">
        <f ca="1">IF(J85&lt;&gt;"","Completed","")</f>
        <v>Completed</v>
      </c>
    </row>
    <row r="88" spans="1:10" ht="15.75" customHeight="1" x14ac:dyDescent="0.25">
      <c r="A88" s="100" t="s">
        <v>48</v>
      </c>
      <c r="B88" s="101"/>
      <c r="C88" s="44" t="s">
        <v>143</v>
      </c>
      <c r="D88" s="44" t="s">
        <v>84</v>
      </c>
      <c r="E88" s="101" t="s">
        <v>86</v>
      </c>
      <c r="F88" s="101"/>
      <c r="G88" s="101" t="s">
        <v>85</v>
      </c>
      <c r="H88" s="102"/>
      <c r="I88" s="14" t="s">
        <v>145</v>
      </c>
      <c r="J88" s="28">
        <f ca="1">H86*25%</f>
        <v>9.5</v>
      </c>
    </row>
    <row r="89" spans="1:10" x14ac:dyDescent="0.25">
      <c r="A89" s="100" t="s">
        <v>132</v>
      </c>
      <c r="B89" s="101"/>
      <c r="C89" s="44">
        <f ca="1">J90</f>
        <v>38</v>
      </c>
      <c r="D89" s="19">
        <f ca="1">((100/H86)*C89)/100</f>
        <v>1</v>
      </c>
      <c r="E89" s="108">
        <f ca="1">(((C90/H86*10)+(40/(D86+F86+H86)*C91)+(7.5/(H86)*C92)+(7.5/(H86)*C93)+(10/H86*C94)+(10/H86*C95)+(5/H86*C96)+(5/H86*C97)+(5/H86*C98))/100)</f>
        <v>0.41888081395348836</v>
      </c>
      <c r="F89" s="109"/>
      <c r="G89" s="108">
        <f ca="1">((((C89/H86)*20)+((C90/H86)*25)+(30/(H86+F86+D86)*C91)+(5/H86*C92)+(5/H86*C93)+(5/H86*C94)+(5/H86*C95)+(0/H86*C96)+(0/H86*C97)+(5/H86*C98))/100)</f>
        <v>0.67619186046511626</v>
      </c>
      <c r="H89" s="114"/>
      <c r="I89" s="14" t="s">
        <v>102</v>
      </c>
      <c r="J89" s="29">
        <f ca="1">H86*50%</f>
        <v>19</v>
      </c>
    </row>
    <row r="90" spans="1:10" x14ac:dyDescent="0.25">
      <c r="A90" s="100" t="s">
        <v>49</v>
      </c>
      <c r="B90" s="101"/>
      <c r="C90" s="57">
        <f ca="1">J98</f>
        <v>38</v>
      </c>
      <c r="D90" s="19">
        <f ca="1">((100/H86)*C90)/100</f>
        <v>1</v>
      </c>
      <c r="E90" s="110"/>
      <c r="F90" s="111"/>
      <c r="G90" s="110"/>
      <c r="H90" s="115"/>
      <c r="I90" s="14" t="s">
        <v>103</v>
      </c>
      <c r="J90" s="29">
        <f ca="1">H86</f>
        <v>38</v>
      </c>
    </row>
    <row r="91" spans="1:10" ht="15.75" customHeight="1" x14ac:dyDescent="0.25">
      <c r="A91" s="100" t="s">
        <v>133</v>
      </c>
      <c r="B91" s="101"/>
      <c r="C91" s="44">
        <v>24</v>
      </c>
      <c r="D91" s="19">
        <f ca="1">((100/(D86+F86+H86))*C91)/100</f>
        <v>0.55813953488372092</v>
      </c>
      <c r="E91" s="110"/>
      <c r="F91" s="111"/>
      <c r="G91" s="110"/>
      <c r="H91" s="115"/>
      <c r="I91" s="14" t="s">
        <v>104</v>
      </c>
      <c r="J91" s="30">
        <f ca="1">(IF(B86&gt;1,(H86/(B86+2)),H86/4))</f>
        <v>9.5</v>
      </c>
    </row>
    <row r="92" spans="1:10" ht="15.75" customHeight="1" x14ac:dyDescent="0.25">
      <c r="A92" s="100" t="s">
        <v>140</v>
      </c>
      <c r="B92" s="101" t="s">
        <v>134</v>
      </c>
      <c r="C92" s="44">
        <f>C91-F86-D86</f>
        <v>19</v>
      </c>
      <c r="D92" s="19">
        <f ca="1">((100/H86)*C92)/100</f>
        <v>0.5</v>
      </c>
      <c r="E92" s="110"/>
      <c r="F92" s="111"/>
      <c r="G92" s="110"/>
      <c r="H92" s="115"/>
      <c r="I92" s="14" t="s">
        <v>105</v>
      </c>
      <c r="J92" s="30">
        <f ca="1">(IF(B86&gt;1,(H86/(B86+2)+J91),H86/4+J91))</f>
        <v>19</v>
      </c>
    </row>
    <row r="93" spans="1:10" ht="15.75" customHeight="1" x14ac:dyDescent="0.25">
      <c r="A93" s="100" t="s">
        <v>141</v>
      </c>
      <c r="B93" s="101" t="s">
        <v>134</v>
      </c>
      <c r="C93" s="57">
        <f>C92*0.75</f>
        <v>14.25</v>
      </c>
      <c r="D93" s="19">
        <f ca="1">((100/H86)*C93)/100</f>
        <v>0.375</v>
      </c>
      <c r="E93" s="110"/>
      <c r="F93" s="111"/>
      <c r="G93" s="110"/>
      <c r="H93" s="115"/>
      <c r="I93" s="14" t="s">
        <v>150</v>
      </c>
      <c r="J93" s="30">
        <f>(IF(B86&gt;1,(H86/(B86+2)+J92),0))</f>
        <v>0</v>
      </c>
    </row>
    <row r="94" spans="1:10" ht="15" customHeight="1" x14ac:dyDescent="0.25">
      <c r="A94" s="100" t="s">
        <v>139</v>
      </c>
      <c r="B94" s="101" t="s">
        <v>136</v>
      </c>
      <c r="C94" s="57">
        <f>C92*0.6</f>
        <v>11.4</v>
      </c>
      <c r="D94" s="19">
        <f ca="1">((100/(H86))*C94)/100</f>
        <v>0.30000000000000004</v>
      </c>
      <c r="E94" s="110"/>
      <c r="F94" s="111"/>
      <c r="G94" s="110"/>
      <c r="H94" s="115"/>
      <c r="I94" s="14" t="s">
        <v>147</v>
      </c>
      <c r="J94" s="30">
        <f>(IF(B86&gt;2,(H86/(B86+2)+J93),0))</f>
        <v>0</v>
      </c>
    </row>
    <row r="95" spans="1:10" ht="15.75" customHeight="1" x14ac:dyDescent="0.25">
      <c r="A95" s="100" t="s">
        <v>135</v>
      </c>
      <c r="B95" s="101" t="s">
        <v>135</v>
      </c>
      <c r="C95" s="44">
        <v>0</v>
      </c>
      <c r="D95" s="19">
        <f ca="1">((100/H86)*C95)/100</f>
        <v>0</v>
      </c>
      <c r="E95" s="110"/>
      <c r="F95" s="111"/>
      <c r="G95" s="110"/>
      <c r="H95" s="115"/>
      <c r="I95" s="14" t="s">
        <v>148</v>
      </c>
      <c r="J95" s="31">
        <f>(IF(B86&gt;3,(H86/(B86+2)+J94),0))</f>
        <v>0</v>
      </c>
    </row>
    <row r="96" spans="1:10" ht="15.75" customHeight="1" x14ac:dyDescent="0.25">
      <c r="A96" s="100" t="s">
        <v>142</v>
      </c>
      <c r="B96" s="101"/>
      <c r="C96" s="44">
        <v>0</v>
      </c>
      <c r="D96" s="19">
        <f ca="1">((100/H86)*C96)/100</f>
        <v>0</v>
      </c>
      <c r="E96" s="110"/>
      <c r="F96" s="111"/>
      <c r="G96" s="110"/>
      <c r="H96" s="115"/>
      <c r="I96" s="14" t="s">
        <v>149</v>
      </c>
      <c r="J96" s="30">
        <f>(IF(B86&gt;4,(H86/(B86+2)+J95),0))</f>
        <v>0</v>
      </c>
    </row>
    <row r="97" spans="1:10" ht="15.75" customHeight="1" x14ac:dyDescent="0.25">
      <c r="A97" s="100" t="s">
        <v>137</v>
      </c>
      <c r="B97" s="101" t="s">
        <v>137</v>
      </c>
      <c r="C97" s="44">
        <v>0</v>
      </c>
      <c r="D97" s="19">
        <f ca="1">((100/(H86))*C97)/100</f>
        <v>0</v>
      </c>
      <c r="E97" s="110"/>
      <c r="F97" s="111"/>
      <c r="G97" s="110"/>
      <c r="H97" s="115"/>
      <c r="I97" s="14" t="s">
        <v>151</v>
      </c>
      <c r="J97" s="30">
        <f ca="1">(IF(B86=1,(H86/(B86+3)+J92),IF(B86=0,(H86/4+J92),IF(B86&gt;1,0))))</f>
        <v>28.5</v>
      </c>
    </row>
    <row r="98" spans="1:10" ht="16.5" thickBot="1" x14ac:dyDescent="0.3">
      <c r="A98" s="117" t="s">
        <v>138</v>
      </c>
      <c r="B98" s="118"/>
      <c r="C98" s="45">
        <v>0</v>
      </c>
      <c r="D98" s="20">
        <f ca="1">((100/(H86))*C98)/100</f>
        <v>0</v>
      </c>
      <c r="E98" s="112"/>
      <c r="F98" s="113"/>
      <c r="G98" s="112"/>
      <c r="H98" s="116"/>
      <c r="I98" s="15" t="s">
        <v>106</v>
      </c>
      <c r="J98" s="32">
        <f ca="1">(IF(B86&gt;1.5,(H86/(B86+2)+J92+MAX(0,J93-J92)+MAX(0,J94-J93)+MAX(0,J95-J94)+MAX(0,J96-J95)+MAX(0,J97-J96)),IF(B86=1,(H86/(B86+3)+J97),IF(B86=0,H86/4+J97))))</f>
        <v>38</v>
      </c>
    </row>
    <row r="99" spans="1:10" ht="15.75" customHeight="1" x14ac:dyDescent="0.25">
      <c r="A99" s="131" t="s">
        <v>144</v>
      </c>
      <c r="B99" s="132"/>
      <c r="C99" s="133" t="str">
        <f>D63</f>
        <v>Wing C = B + Gr + 3P + Podium Top + 1st to 38th Floor</v>
      </c>
      <c r="D99" s="134"/>
      <c r="E99" s="134"/>
      <c r="F99" s="134"/>
      <c r="G99" s="134"/>
      <c r="H99" s="135"/>
      <c r="I99" s="50" t="str">
        <f ca="1">IF(D112=100%,"All work Completed. Possession granted to the Building.",IF(D111=100%,"All work Completed, Waiting for OC",I100&amp;""&amp;I101&amp;""&amp;J100&amp;""&amp;J99&amp;" "&amp;J101))</f>
        <v>Excavation, Plinth Completed, RCC upto 38 Slab, Brickwork upto 33 Floor, Internal Plaster upto 24.75 Floor, External Plaster upto 21.45 Floor Completed</v>
      </c>
      <c r="J99" s="51" t="str">
        <f ca="1">(IF(C105=(D100+F100+H100),"",IF(C105&gt;0,", RCC upto "&amp;C105&amp;" Slab","")))&amp;(IF(C106=H100,"",IF(C106&gt;0,", Brickwork upto "&amp;C106&amp;" Floor","")))&amp;(IF(C107=H100,"",IF(C107&gt;0,", Internal Plaster upto "&amp;C107&amp;" Floor","")))&amp;(IF(C108=H100,"",IF(C108&gt;0,", External Plaster upto "&amp;C108&amp;" Floor","")))&amp;(IF(C109=H100,"",IF(C109&gt;0,", Flooring upto "&amp;C109&amp;" Floor","")))&amp;(IF(C110=H100,"",IF(C110&gt;0,", Painting upto "&amp;C110&amp;" Floor","")))&amp;(IF(C111=H100,"",IF(C111&gt;0,", Finishing upto "&amp;C111&amp;" Floor","")))&amp;(IF(C112=H100,"",IF(C112&gt;0,", Possession upto "&amp;C112&amp;" Floor","")))</f>
        <v>, RCC upto 38 Slab, Brickwork upto 33 Floor, Internal Plaster upto 24.75 Floor, External Plaster upto 21.45 Floor</v>
      </c>
    </row>
    <row r="100" spans="1:10" x14ac:dyDescent="0.25">
      <c r="A100" s="16" t="s">
        <v>146</v>
      </c>
      <c r="B100" s="66">
        <v>1</v>
      </c>
      <c r="C100" s="66" t="s">
        <v>72</v>
      </c>
      <c r="D100" s="66">
        <v>1</v>
      </c>
      <c r="E100" s="66" t="s">
        <v>71</v>
      </c>
      <c r="F100" s="66">
        <v>4</v>
      </c>
      <c r="G100" s="49" t="s">
        <v>81</v>
      </c>
      <c r="H100" s="17">
        <f ca="1">--TRIM(RIGHT(SUBSTITUTE(LEFT(C99,_xlfn.AGGREGATE(16,6,FIND({0,1,2,3,4,5,6,7,8,9},C99,ROW(INDIRECT("1:"&amp;LEN(C99)))),1))," ",REPT(" ",LEN(C99))),LEN(C99)))</f>
        <v>38</v>
      </c>
      <c r="I100" s="52" t="str">
        <f ca="1">IF(D103=100%,"Excavation","")&amp;IF(D104=100%,", Plinth","")&amp;IF(D105=100%,", RCC Slab","")&amp;IF(D106=100%,", Brickwork","")&amp;IF(D107=100%,", Internal Plaster","")&amp;IF(D108=100%,", External Plaster","")&amp;IF(D109=100%,", Flooring","")&amp;IF(D110=100%,", Painting","")&amp;IF(D111=100%,", Building common Amenities","")</f>
        <v>Excavation, Plinth</v>
      </c>
      <c r="J100" s="53" t="str">
        <f ca="1">(IF(C103=0,"Work not yet Started.",IF(D103=25%,"Piling work in process",IF(D103=50%,"Excavation work in process",IF(D103=100%,"","0")))))&amp;(IF(C104=0%,"",IF(C104=J105,", Footing work is process",IF(C104=J106,", Footing work Completed",IF(C104=J107,", 1st Basement Completed",IF(C104=J108,", 1st &amp; 2nd Basement Completed",IF(C104=J109,", 1st to 3rd Basement Completed",IF(C104=J110,", 1st to 4th Basement Completed",IF(C104=J111,", Plinth work is process",IF(C104=J112,"","0"))))))))))</f>
        <v/>
      </c>
    </row>
    <row r="101" spans="1:10" ht="31.5" customHeight="1" x14ac:dyDescent="0.25">
      <c r="A101" s="136" t="s">
        <v>91</v>
      </c>
      <c r="B101" s="137"/>
      <c r="C101" s="138" t="str">
        <f ca="1">I99</f>
        <v>Excavation, Plinth Completed, RCC upto 38 Slab, Brickwork upto 33 Floor, Internal Plaster upto 24.75 Floor, External Plaster upto 21.45 Floor Completed</v>
      </c>
      <c r="D101" s="138"/>
      <c r="E101" s="138"/>
      <c r="F101" s="138"/>
      <c r="G101" s="138"/>
      <c r="H101" s="139"/>
      <c r="I101" s="52" t="str">
        <f ca="1">IF(I100&lt;&gt;""," Completed","")</f>
        <v xml:space="preserve"> Completed</v>
      </c>
      <c r="J101" s="53" t="str">
        <f ca="1">IF(J99&lt;&gt;"","Completed","")</f>
        <v>Completed</v>
      </c>
    </row>
    <row r="102" spans="1:10" ht="15.75" customHeight="1" x14ac:dyDescent="0.25">
      <c r="A102" s="100" t="s">
        <v>48</v>
      </c>
      <c r="B102" s="101"/>
      <c r="C102" s="64" t="s">
        <v>143</v>
      </c>
      <c r="D102" s="64" t="s">
        <v>84</v>
      </c>
      <c r="E102" s="101" t="s">
        <v>86</v>
      </c>
      <c r="F102" s="101"/>
      <c r="G102" s="101" t="s">
        <v>85</v>
      </c>
      <c r="H102" s="102"/>
      <c r="I102" s="14" t="s">
        <v>145</v>
      </c>
      <c r="J102" s="28">
        <f ca="1">H100*25%</f>
        <v>9.5</v>
      </c>
    </row>
    <row r="103" spans="1:10" x14ac:dyDescent="0.25">
      <c r="A103" s="100" t="s">
        <v>132</v>
      </c>
      <c r="B103" s="101"/>
      <c r="C103" s="64">
        <f ca="1">J104</f>
        <v>38</v>
      </c>
      <c r="D103" s="19">
        <f ca="1">((100/H100)*C103)/100</f>
        <v>1</v>
      </c>
      <c r="E103" s="108">
        <f ca="1">(((C104/H100*10)+(40/(D100+F100+H100)*C105)+(7.5/(H100)*C106)+(7.5/(H100)*C107)+(10/H100*C108)+(10/H100*C109)+(5/H100*C110)+(5/H100*C111)+(5/H100*C112))/100)</f>
        <v>0.62391600367197053</v>
      </c>
      <c r="F103" s="109"/>
      <c r="G103" s="108">
        <f ca="1">((((C103/H100)*20)+((C104/H100)*25)+(30/(H100+F100+D100)*C105)+(5/H100*C106)+(5/H100*C107)+(5/H100*C108)+(5/H100*C109)+(0/H100*C110)+(0/H100*C111)+(5/H100*C112))/100)</f>
        <v>0.81932680538555691</v>
      </c>
      <c r="H103" s="114"/>
      <c r="I103" s="14" t="s">
        <v>102</v>
      </c>
      <c r="J103" s="29">
        <f ca="1">H100*50%</f>
        <v>19</v>
      </c>
    </row>
    <row r="104" spans="1:10" x14ac:dyDescent="0.25">
      <c r="A104" s="100" t="s">
        <v>49</v>
      </c>
      <c r="B104" s="101"/>
      <c r="C104" s="57">
        <f ca="1">J112</f>
        <v>38</v>
      </c>
      <c r="D104" s="19">
        <f ca="1">((100/H100)*C104)/100</f>
        <v>1</v>
      </c>
      <c r="E104" s="110"/>
      <c r="F104" s="111"/>
      <c r="G104" s="110"/>
      <c r="H104" s="115"/>
      <c r="I104" s="14" t="s">
        <v>103</v>
      </c>
      <c r="J104" s="29">
        <f ca="1">H100</f>
        <v>38</v>
      </c>
    </row>
    <row r="105" spans="1:10" ht="15.75" customHeight="1" x14ac:dyDescent="0.25">
      <c r="A105" s="100" t="s">
        <v>133</v>
      </c>
      <c r="B105" s="101"/>
      <c r="C105" s="64">
        <v>38</v>
      </c>
      <c r="D105" s="19">
        <f ca="1">((100/(D100+F100+H100))*C105)/100</f>
        <v>0.88372093023255816</v>
      </c>
      <c r="E105" s="110"/>
      <c r="F105" s="111"/>
      <c r="G105" s="110"/>
      <c r="H105" s="115"/>
      <c r="I105" s="14" t="s">
        <v>104</v>
      </c>
      <c r="J105" s="30">
        <f ca="1">(IF(B100&gt;1,(H100/(B100+2)),H100/4))</f>
        <v>9.5</v>
      </c>
    </row>
    <row r="106" spans="1:10" ht="15.75" customHeight="1" x14ac:dyDescent="0.25">
      <c r="A106" s="100" t="s">
        <v>140</v>
      </c>
      <c r="B106" s="101" t="s">
        <v>134</v>
      </c>
      <c r="C106" s="64">
        <f>C105-F100-D100</f>
        <v>33</v>
      </c>
      <c r="D106" s="19">
        <f ca="1">((100/H100)*C106)/100</f>
        <v>0.86842105263157909</v>
      </c>
      <c r="E106" s="110"/>
      <c r="F106" s="111"/>
      <c r="G106" s="110"/>
      <c r="H106" s="115"/>
      <c r="I106" s="14" t="s">
        <v>105</v>
      </c>
      <c r="J106" s="30">
        <f ca="1">(IF(B100&gt;1,(H100/(B100+2)+J105),H100/4+J105))</f>
        <v>19</v>
      </c>
    </row>
    <row r="107" spans="1:10" ht="15.75" customHeight="1" x14ac:dyDescent="0.25">
      <c r="A107" s="100" t="s">
        <v>141</v>
      </c>
      <c r="B107" s="101" t="s">
        <v>134</v>
      </c>
      <c r="C107" s="57">
        <f>C106*0.75</f>
        <v>24.75</v>
      </c>
      <c r="D107" s="19">
        <f ca="1">((100/H100)*C107)/100</f>
        <v>0.65131578947368429</v>
      </c>
      <c r="E107" s="110"/>
      <c r="F107" s="111"/>
      <c r="G107" s="110"/>
      <c r="H107" s="115"/>
      <c r="I107" s="14" t="s">
        <v>150</v>
      </c>
      <c r="J107" s="30">
        <f>(IF(B100&gt;1,(H100/(B100+2)+J106),0))</f>
        <v>0</v>
      </c>
    </row>
    <row r="108" spans="1:10" ht="15" customHeight="1" x14ac:dyDescent="0.25">
      <c r="A108" s="100" t="s">
        <v>139</v>
      </c>
      <c r="B108" s="101" t="s">
        <v>136</v>
      </c>
      <c r="C108" s="57">
        <f>C106*0.65</f>
        <v>21.45</v>
      </c>
      <c r="D108" s="19">
        <f ca="1">((100/(H100))*C108)/100</f>
        <v>0.56447368421052635</v>
      </c>
      <c r="E108" s="110"/>
      <c r="F108" s="111"/>
      <c r="G108" s="110"/>
      <c r="H108" s="115"/>
      <c r="I108" s="14" t="s">
        <v>147</v>
      </c>
      <c r="J108" s="30">
        <f>(IF(B100&gt;2,(H100/(B100+2)+J107),0))</f>
        <v>0</v>
      </c>
    </row>
    <row r="109" spans="1:10" ht="15.75" customHeight="1" x14ac:dyDescent="0.25">
      <c r="A109" s="100" t="s">
        <v>135</v>
      </c>
      <c r="B109" s="101" t="s">
        <v>135</v>
      </c>
      <c r="C109" s="64">
        <v>0</v>
      </c>
      <c r="D109" s="19">
        <f ca="1">((100/H100)*C109)/100</f>
        <v>0</v>
      </c>
      <c r="E109" s="110"/>
      <c r="F109" s="111"/>
      <c r="G109" s="110"/>
      <c r="H109" s="115"/>
      <c r="I109" s="14" t="s">
        <v>148</v>
      </c>
      <c r="J109" s="31">
        <f>(IF(B100&gt;3,(H100/(B100+2)+J108),0))</f>
        <v>0</v>
      </c>
    </row>
    <row r="110" spans="1:10" ht="15.75" customHeight="1" x14ac:dyDescent="0.25">
      <c r="A110" s="100" t="s">
        <v>142</v>
      </c>
      <c r="B110" s="101"/>
      <c r="C110" s="64">
        <v>0</v>
      </c>
      <c r="D110" s="19">
        <f ca="1">((100/H100)*C110)/100</f>
        <v>0</v>
      </c>
      <c r="E110" s="110"/>
      <c r="F110" s="111"/>
      <c r="G110" s="110"/>
      <c r="H110" s="115"/>
      <c r="I110" s="14" t="s">
        <v>149</v>
      </c>
      <c r="J110" s="30">
        <f>(IF(B100&gt;4,(H100/(B100+2)+J109),0))</f>
        <v>0</v>
      </c>
    </row>
    <row r="111" spans="1:10" ht="15.75" customHeight="1" x14ac:dyDescent="0.25">
      <c r="A111" s="100" t="s">
        <v>137</v>
      </c>
      <c r="B111" s="101" t="s">
        <v>137</v>
      </c>
      <c r="C111" s="64">
        <v>0</v>
      </c>
      <c r="D111" s="19">
        <f ca="1">((100/(H100))*C111)/100</f>
        <v>0</v>
      </c>
      <c r="E111" s="110"/>
      <c r="F111" s="111"/>
      <c r="G111" s="110"/>
      <c r="H111" s="115"/>
      <c r="I111" s="14" t="s">
        <v>151</v>
      </c>
      <c r="J111" s="30">
        <f ca="1">(IF(B100=1,(H100/(B100+3)+J106),IF(B100=0,(H100/4+J106),IF(B100&gt;1,0))))</f>
        <v>28.5</v>
      </c>
    </row>
    <row r="112" spans="1:10" ht="16.5" thickBot="1" x14ac:dyDescent="0.3">
      <c r="A112" s="117" t="s">
        <v>138</v>
      </c>
      <c r="B112" s="118"/>
      <c r="C112" s="65">
        <v>0</v>
      </c>
      <c r="D112" s="20">
        <f ca="1">((100/(H100))*C112)/100</f>
        <v>0</v>
      </c>
      <c r="E112" s="112"/>
      <c r="F112" s="113"/>
      <c r="G112" s="112"/>
      <c r="H112" s="116"/>
      <c r="I112" s="15" t="s">
        <v>106</v>
      </c>
      <c r="J112" s="32">
        <f ca="1">(IF(B100&gt;1.5,(H100/(B100+2)+J106+MAX(0,J107-J106)+MAX(0,J108-J107)+MAX(0,J109-J108)+MAX(0,J110-J109)+MAX(0,J111-J110)),IF(B100=1,(H100/(B100+3)+J111),IF(B100=0,H100/4+J111))))</f>
        <v>38</v>
      </c>
    </row>
    <row r="113" spans="1:10" x14ac:dyDescent="0.25">
      <c r="A113" s="219" t="s">
        <v>161</v>
      </c>
      <c r="B113" s="219"/>
      <c r="C113" s="219"/>
      <c r="D113" s="219"/>
      <c r="E113" s="219"/>
      <c r="F113" s="160" t="s">
        <v>166</v>
      </c>
      <c r="G113" s="160"/>
      <c r="H113" s="160"/>
    </row>
    <row r="114" spans="1:10" x14ac:dyDescent="0.25">
      <c r="A114" s="143" t="s">
        <v>164</v>
      </c>
      <c r="B114" s="143"/>
      <c r="C114" s="143"/>
      <c r="D114" s="143"/>
      <c r="E114" s="143"/>
      <c r="F114" s="154">
        <v>16000</v>
      </c>
      <c r="G114" s="154"/>
      <c r="H114" s="154"/>
      <c r="J114" s="21">
        <f>16200*1.5</f>
        <v>24300</v>
      </c>
    </row>
    <row r="115" spans="1:10" hidden="1" x14ac:dyDescent="0.25">
      <c r="A115" s="143" t="s">
        <v>163</v>
      </c>
      <c r="B115" s="143"/>
      <c r="C115" s="143"/>
      <c r="D115" s="143"/>
      <c r="E115" s="143"/>
      <c r="F115" s="154"/>
      <c r="G115" s="154"/>
      <c r="H115" s="154"/>
    </row>
    <row r="116" spans="1:10" hidden="1" x14ac:dyDescent="0.25">
      <c r="A116" s="143" t="s">
        <v>165</v>
      </c>
      <c r="B116" s="143"/>
      <c r="C116" s="143"/>
      <c r="D116" s="143"/>
      <c r="E116" s="143"/>
      <c r="F116" s="154"/>
      <c r="G116" s="154"/>
      <c r="H116" s="154"/>
    </row>
    <row r="117" spans="1:10" s="33" customFormat="1" hidden="1" x14ac:dyDescent="0.25">
      <c r="A117" s="143" t="s">
        <v>162</v>
      </c>
      <c r="B117" s="143"/>
      <c r="C117" s="143"/>
      <c r="D117" s="143"/>
      <c r="E117" s="143"/>
      <c r="F117" s="154"/>
      <c r="G117" s="154"/>
      <c r="H117" s="154"/>
    </row>
    <row r="118" spans="1:10" s="33" customFormat="1" hidden="1" x14ac:dyDescent="0.25">
      <c r="A118" s="143" t="s">
        <v>96</v>
      </c>
      <c r="B118" s="143"/>
      <c r="C118" s="143"/>
      <c r="D118" s="143"/>
      <c r="E118" s="143"/>
      <c r="F118" s="154"/>
      <c r="G118" s="154"/>
      <c r="H118" s="154"/>
    </row>
    <row r="119" spans="1:10" s="33" customFormat="1" hidden="1" x14ac:dyDescent="0.25">
      <c r="A119" s="143" t="s">
        <v>97</v>
      </c>
      <c r="B119" s="143"/>
      <c r="C119" s="143"/>
      <c r="D119" s="143"/>
      <c r="E119" s="143"/>
      <c r="F119" s="154"/>
      <c r="G119" s="154"/>
      <c r="H119" s="154"/>
    </row>
    <row r="120" spans="1:10" s="33" customFormat="1" hidden="1" x14ac:dyDescent="0.25">
      <c r="A120" s="143" t="s">
        <v>167</v>
      </c>
      <c r="B120" s="143"/>
      <c r="C120" s="143"/>
      <c r="D120" s="143"/>
      <c r="E120" s="143"/>
      <c r="F120" s="154"/>
      <c r="G120" s="154"/>
      <c r="H120" s="154"/>
    </row>
    <row r="121" spans="1:10" s="33" customFormat="1" hidden="1" x14ac:dyDescent="0.25">
      <c r="A121" s="143" t="s">
        <v>98</v>
      </c>
      <c r="B121" s="143"/>
      <c r="C121" s="143"/>
      <c r="D121" s="143"/>
      <c r="E121" s="143"/>
      <c r="F121" s="154"/>
      <c r="G121" s="154"/>
      <c r="H121" s="154"/>
    </row>
    <row r="122" spans="1:10" s="33" customFormat="1" hidden="1" x14ac:dyDescent="0.25">
      <c r="A122" s="143" t="s">
        <v>99</v>
      </c>
      <c r="B122" s="143"/>
      <c r="C122" s="143"/>
      <c r="D122" s="143"/>
      <c r="E122" s="143"/>
      <c r="F122" s="154"/>
      <c r="G122" s="154"/>
      <c r="H122" s="154"/>
    </row>
    <row r="123" spans="1:10" s="33" customFormat="1" hidden="1" x14ac:dyDescent="0.25">
      <c r="A123" s="143" t="s">
        <v>100</v>
      </c>
      <c r="B123" s="143"/>
      <c r="C123" s="143"/>
      <c r="D123" s="143"/>
      <c r="E123" s="143"/>
      <c r="F123" s="154"/>
      <c r="G123" s="154"/>
      <c r="H123" s="154"/>
    </row>
    <row r="124" spans="1:10" s="33" customFormat="1" hidden="1" x14ac:dyDescent="0.25">
      <c r="A124" s="143" t="s">
        <v>101</v>
      </c>
      <c r="B124" s="143"/>
      <c r="C124" s="143"/>
      <c r="D124" s="143"/>
      <c r="E124" s="143"/>
      <c r="F124" s="154"/>
      <c r="G124" s="154"/>
      <c r="H124" s="154"/>
    </row>
    <row r="125" spans="1:10" x14ac:dyDescent="0.25">
      <c r="A125" s="143" t="s">
        <v>50</v>
      </c>
      <c r="B125" s="143"/>
      <c r="C125" s="143"/>
      <c r="D125" s="143"/>
      <c r="E125" s="143"/>
      <c r="F125" s="154">
        <v>800000</v>
      </c>
      <c r="G125" s="154"/>
      <c r="H125" s="154"/>
    </row>
    <row r="126" spans="1:10" s="34" customFormat="1" x14ac:dyDescent="0.25">
      <c r="A126" s="185" t="s">
        <v>51</v>
      </c>
      <c r="B126" s="185"/>
      <c r="C126" s="185"/>
      <c r="D126" s="185"/>
      <c r="E126" s="185"/>
      <c r="F126" s="154">
        <f>F114*0.8</f>
        <v>12800</v>
      </c>
      <c r="G126" s="154"/>
      <c r="H126" s="154"/>
    </row>
    <row r="127" spans="1:10" s="35" customFormat="1" ht="15.75" hidden="1" customHeight="1" x14ac:dyDescent="0.25">
      <c r="A127" s="184" t="s">
        <v>76</v>
      </c>
      <c r="B127" s="184"/>
      <c r="C127" s="184"/>
      <c r="D127" s="184"/>
      <c r="E127" s="184"/>
      <c r="F127" s="184"/>
      <c r="G127" s="184"/>
      <c r="H127" s="184"/>
    </row>
    <row r="128" spans="1:10" s="35" customFormat="1" ht="15.75" hidden="1" customHeight="1" x14ac:dyDescent="0.25">
      <c r="A128" s="145" t="s">
        <v>52</v>
      </c>
      <c r="B128" s="145"/>
      <c r="C128" s="173" t="s">
        <v>79</v>
      </c>
      <c r="D128" s="173"/>
      <c r="E128" s="156" t="s">
        <v>53</v>
      </c>
      <c r="F128" s="156"/>
      <c r="G128" s="145" t="s">
        <v>54</v>
      </c>
      <c r="H128" s="145"/>
    </row>
    <row r="129" spans="1:14" s="35" customFormat="1" hidden="1" x14ac:dyDescent="0.25">
      <c r="A129" s="88" t="s">
        <v>185</v>
      </c>
      <c r="B129" s="88"/>
      <c r="C129" s="175"/>
      <c r="D129" s="175"/>
      <c r="E129" s="176"/>
      <c r="F129" s="176"/>
      <c r="G129" s="155"/>
      <c r="H129" s="155"/>
    </row>
    <row r="130" spans="1:14" s="35" customFormat="1" hidden="1" x14ac:dyDescent="0.25">
      <c r="A130" s="184" t="s">
        <v>154</v>
      </c>
      <c r="B130" s="184"/>
      <c r="C130" s="173"/>
      <c r="D130" s="173"/>
      <c r="E130" s="156"/>
      <c r="F130" s="156"/>
      <c r="G130" s="145"/>
      <c r="H130" s="145"/>
    </row>
    <row r="131" spans="1:14" s="35" customFormat="1" x14ac:dyDescent="0.25">
      <c r="A131" s="184" t="s">
        <v>70</v>
      </c>
      <c r="B131" s="184"/>
      <c r="C131" s="184"/>
      <c r="D131" s="184"/>
      <c r="E131" s="184"/>
      <c r="F131" s="184"/>
      <c r="G131" s="184"/>
      <c r="H131" s="184"/>
    </row>
    <row r="132" spans="1:14" s="35" customFormat="1" ht="15.75" customHeight="1" x14ac:dyDescent="0.25">
      <c r="A132" s="145" t="s">
        <v>52</v>
      </c>
      <c r="B132" s="145"/>
      <c r="C132" s="173" t="s">
        <v>79</v>
      </c>
      <c r="D132" s="173"/>
      <c r="E132" s="156" t="s">
        <v>53</v>
      </c>
      <c r="F132" s="156"/>
      <c r="G132" s="145" t="s">
        <v>54</v>
      </c>
      <c r="H132" s="145"/>
    </row>
    <row r="133" spans="1:14" s="35" customFormat="1" x14ac:dyDescent="0.25">
      <c r="A133" s="88" t="s">
        <v>227</v>
      </c>
      <c r="B133" s="88"/>
      <c r="C133" s="89">
        <f>COUNT(D156:D158)+COUNT(D165:D167)+COUNT(D173:D176)+COUNT(D182:D185)+COUNT(D191:D198)*29+COUNT(D200,D202:D207)*8</f>
        <v>302</v>
      </c>
      <c r="D133" s="89"/>
      <c r="E133" s="90">
        <f>SUM(D156:D158)+SUM(D165:D167)+SUM(D173:D176)+SUM(D182:D185)+SUM(D191:D198)*29+SUM(D200,D202:D207)*8</f>
        <v>188113.8878424</v>
      </c>
      <c r="F133" s="90"/>
      <c r="G133" s="90">
        <f>SUM(F156:F158)+SUM(F165:F167)+SUM(F173:F176)+SUM(F182:F185)+SUM(F191:F198)*29+SUM(F200,F202:F207)*8</f>
        <v>282170.8317636</v>
      </c>
      <c r="H133" s="90"/>
    </row>
    <row r="134" spans="1:14" s="35" customFormat="1" x14ac:dyDescent="0.25">
      <c r="A134" s="88" t="s">
        <v>236</v>
      </c>
      <c r="B134" s="88"/>
      <c r="C134" s="89">
        <f>COUNT(D213:D215)+COUNT(D218:D220)+COUNT(D223:D226)+COUNT(D232:D235)+COUNT(D241:D248)*29+COUNT(D250,D252:D257)*8</f>
        <v>302</v>
      </c>
      <c r="D134" s="89"/>
      <c r="E134" s="90">
        <f>SUM(D213:D215)+SUM(D218:D220)+SUM(D223:D226)+SUM(D232:D235)+SUM(D241:D248)*29+SUM(D250,D252:D257)*7</f>
        <v>185691.21175799999</v>
      </c>
      <c r="F134" s="90"/>
      <c r="G134" s="90">
        <f>SUM(F213:F215)+SUM(F218:F220)+SUM(F223:F226)+SUM(F232:F235)+SUM(F241:F248)*29+SUM(F250,F252:F257)*8</f>
        <v>285204.24536759994</v>
      </c>
      <c r="H134" s="90"/>
    </row>
    <row r="135" spans="1:14" s="35" customFormat="1" ht="16.5" thickBot="1" x14ac:dyDescent="0.3">
      <c r="A135" s="206" t="s">
        <v>237</v>
      </c>
      <c r="B135" s="206"/>
      <c r="C135" s="207">
        <f>COUNT(D267:D269)+COUNT(D276:D278)+COUNT(D285:D287)+COUNT(D294:D297)+COUNT(D299:D306)*29+COUNT(D308:D313,D315)*8</f>
        <v>301</v>
      </c>
      <c r="D135" s="207"/>
      <c r="E135" s="208">
        <f>SUM(D267:D269)+SUM(D276:D278)+SUM(D285:D287)+SUM(D294:D297)+SUM(D299:D306)*30+SUM(D308:D313,D315)*8</f>
        <v>251907.45933600009</v>
      </c>
      <c r="F135" s="208"/>
      <c r="G135" s="208">
        <f>SUM(F267:F269)+SUM(F276:F278)+SUM(F285:F287)+SUM(F294:F297)+SUM(F299:F306)*29+SUM(F308:F313,F315)*8</f>
        <v>368088.49958399998</v>
      </c>
      <c r="H135" s="208"/>
    </row>
    <row r="136" spans="1:14" s="35" customFormat="1" ht="16.5" thickBot="1" x14ac:dyDescent="0.3">
      <c r="A136" s="212" t="s">
        <v>154</v>
      </c>
      <c r="B136" s="213"/>
      <c r="C136" s="177">
        <f>SUM(C133:C135)</f>
        <v>905</v>
      </c>
      <c r="D136" s="178"/>
      <c r="E136" s="214">
        <f>SUM(E133:E135)</f>
        <v>625712.55893640011</v>
      </c>
      <c r="F136" s="215"/>
      <c r="G136" s="204">
        <f>SUM(G133:G135)</f>
        <v>935463.57671519986</v>
      </c>
      <c r="H136" s="205"/>
    </row>
    <row r="137" spans="1:14" s="35" customFormat="1" ht="16.5" hidden="1" thickBot="1" x14ac:dyDescent="0.3">
      <c r="A137" s="157" t="s">
        <v>174</v>
      </c>
      <c r="B137" s="158"/>
      <c r="C137" s="159">
        <f>C130+C136</f>
        <v>905</v>
      </c>
      <c r="D137" s="159"/>
      <c r="E137" s="179">
        <f>E130+E136</f>
        <v>625712.55893640011</v>
      </c>
      <c r="F137" s="179"/>
      <c r="G137" s="180">
        <f>G130+G136</f>
        <v>935463.57671519986</v>
      </c>
      <c r="H137" s="181"/>
    </row>
    <row r="138" spans="1:14" s="34" customFormat="1" x14ac:dyDescent="0.25">
      <c r="A138" s="160" t="s">
        <v>55</v>
      </c>
      <c r="B138" s="160"/>
      <c r="C138" s="160"/>
      <c r="D138" s="160"/>
      <c r="E138" s="160"/>
      <c r="F138" s="160"/>
      <c r="G138" s="160"/>
      <c r="H138" s="160"/>
    </row>
    <row r="139" spans="1:14" x14ac:dyDescent="0.25">
      <c r="A139" s="174" t="s">
        <v>56</v>
      </c>
      <c r="B139" s="174"/>
      <c r="C139" s="174"/>
      <c r="D139" s="174"/>
      <c r="E139" s="174"/>
      <c r="F139" s="174"/>
      <c r="G139" s="174"/>
      <c r="H139" s="174"/>
    </row>
    <row r="140" spans="1:14" ht="47.25" hidden="1" customHeight="1" x14ac:dyDescent="0.25">
      <c r="A140" s="146" t="s">
        <v>123</v>
      </c>
      <c r="B140" s="146" t="s">
        <v>122</v>
      </c>
      <c r="C140" s="146" t="s">
        <v>57</v>
      </c>
      <c r="D140" s="146" t="s">
        <v>58</v>
      </c>
      <c r="E140" s="148" t="s">
        <v>160</v>
      </c>
      <c r="F140" s="43" t="s">
        <v>153</v>
      </c>
      <c r="G140" s="150" t="s">
        <v>60</v>
      </c>
      <c r="H140" s="151"/>
    </row>
    <row r="141" spans="1:14" s="37" customFormat="1" hidden="1" x14ac:dyDescent="0.25">
      <c r="A141" s="147"/>
      <c r="B141" s="147"/>
      <c r="C141" s="147"/>
      <c r="D141" s="147"/>
      <c r="E141" s="149"/>
      <c r="F141" s="13">
        <v>0.6</v>
      </c>
      <c r="G141" s="152"/>
      <c r="H141" s="153"/>
    </row>
    <row r="142" spans="1:14" s="37" customFormat="1" hidden="1" x14ac:dyDescent="0.25">
      <c r="A142" s="95" t="s">
        <v>121</v>
      </c>
      <c r="B142" s="96"/>
      <c r="C142" s="96"/>
      <c r="D142" s="96"/>
      <c r="E142" s="96"/>
      <c r="F142" s="96"/>
      <c r="G142" s="96"/>
      <c r="H142" s="97"/>
      <c r="J142" s="36"/>
    </row>
    <row r="143" spans="1:14" s="37" customFormat="1" hidden="1" x14ac:dyDescent="0.25">
      <c r="A143" s="98">
        <v>1</v>
      </c>
      <c r="B143" s="99"/>
      <c r="C143" s="42"/>
      <c r="D143" s="42"/>
      <c r="E143" s="42">
        <v>0</v>
      </c>
      <c r="F143" s="42">
        <f>(D143+E143)*(($F$141)+1)</f>
        <v>0</v>
      </c>
      <c r="G143" s="98" t="str">
        <f>A142</f>
        <v>Ground Floor</v>
      </c>
      <c r="H143" s="99"/>
      <c r="I143" s="36"/>
      <c r="L143" s="103"/>
      <c r="M143" s="103"/>
      <c r="N143" s="36"/>
    </row>
    <row r="144" spans="1:14" s="37" customFormat="1" hidden="1" x14ac:dyDescent="0.25">
      <c r="A144" s="98">
        <f t="shared" ref="A144:A146" si="0">A143+1</f>
        <v>2</v>
      </c>
      <c r="B144" s="99"/>
      <c r="C144" s="42"/>
      <c r="D144" s="42"/>
      <c r="E144" s="42">
        <v>0</v>
      </c>
      <c r="F144" s="42">
        <f t="shared" ref="F144:F146" si="1">(D144+E144)*(($F$141)+1)</f>
        <v>0</v>
      </c>
      <c r="G144" s="98" t="str">
        <f t="shared" ref="G144:G146" si="2">G143</f>
        <v>Ground Floor</v>
      </c>
      <c r="H144" s="99"/>
      <c r="I144" s="36"/>
      <c r="L144" s="103"/>
      <c r="M144" s="103"/>
      <c r="N144" s="36"/>
    </row>
    <row r="145" spans="1:14" s="37" customFormat="1" hidden="1" x14ac:dyDescent="0.25">
      <c r="A145" s="98">
        <f t="shared" si="0"/>
        <v>3</v>
      </c>
      <c r="B145" s="99"/>
      <c r="C145" s="42"/>
      <c r="D145" s="42"/>
      <c r="E145" s="42">
        <v>0</v>
      </c>
      <c r="F145" s="42">
        <f t="shared" si="1"/>
        <v>0</v>
      </c>
      <c r="G145" s="98" t="str">
        <f t="shared" si="2"/>
        <v>Ground Floor</v>
      </c>
      <c r="H145" s="99"/>
      <c r="I145" s="36"/>
      <c r="L145" s="103"/>
      <c r="M145" s="103"/>
      <c r="N145" s="36"/>
    </row>
    <row r="146" spans="1:14" s="37" customFormat="1" hidden="1" x14ac:dyDescent="0.25">
      <c r="A146" s="98">
        <f t="shared" si="0"/>
        <v>4</v>
      </c>
      <c r="B146" s="99"/>
      <c r="C146" s="42"/>
      <c r="D146" s="42"/>
      <c r="E146" s="42">
        <v>0</v>
      </c>
      <c r="F146" s="42">
        <f t="shared" si="1"/>
        <v>0</v>
      </c>
      <c r="G146" s="98" t="str">
        <f t="shared" si="2"/>
        <v>Ground Floor</v>
      </c>
      <c r="H146" s="99"/>
      <c r="I146" s="36"/>
      <c r="L146" s="103"/>
      <c r="M146" s="103"/>
      <c r="N146" s="36"/>
    </row>
    <row r="147" spans="1:14" s="37" customFormat="1" hidden="1" x14ac:dyDescent="0.25">
      <c r="A147" s="98"/>
      <c r="B147" s="107"/>
      <c r="C147" s="107"/>
      <c r="D147" s="107"/>
      <c r="E147" s="107"/>
      <c r="F147" s="107"/>
      <c r="G147" s="107"/>
      <c r="H147" s="99"/>
      <c r="I147" s="36"/>
      <c r="N147" s="36"/>
    </row>
    <row r="148" spans="1:14" ht="47.25" customHeight="1" x14ac:dyDescent="0.25">
      <c r="A148" s="150" t="s">
        <v>124</v>
      </c>
      <c r="B148" s="150" t="s">
        <v>125</v>
      </c>
      <c r="C148" s="146" t="s">
        <v>57</v>
      </c>
      <c r="D148" s="146" t="s">
        <v>58</v>
      </c>
      <c r="E148" s="148" t="s">
        <v>59</v>
      </c>
      <c r="F148" s="43" t="s">
        <v>153</v>
      </c>
      <c r="G148" s="150" t="s">
        <v>60</v>
      </c>
      <c r="H148" s="151"/>
      <c r="I148" s="36"/>
    </row>
    <row r="149" spans="1:14" s="37" customFormat="1" x14ac:dyDescent="0.25">
      <c r="A149" s="152"/>
      <c r="B149" s="152"/>
      <c r="C149" s="147"/>
      <c r="D149" s="147"/>
      <c r="E149" s="149"/>
      <c r="F149" s="13">
        <v>0.5</v>
      </c>
      <c r="G149" s="152"/>
      <c r="H149" s="153"/>
      <c r="I149" s="36"/>
    </row>
    <row r="150" spans="1:14" s="67" customFormat="1" x14ac:dyDescent="0.25">
      <c r="A150" s="95" t="s">
        <v>227</v>
      </c>
      <c r="B150" s="96"/>
      <c r="C150" s="96"/>
      <c r="D150" s="96"/>
      <c r="E150" s="96"/>
      <c r="F150" s="96"/>
      <c r="G150" s="96"/>
      <c r="H150" s="97"/>
      <c r="J150" s="36"/>
    </row>
    <row r="151" spans="1:14" s="67" customFormat="1" x14ac:dyDescent="0.25">
      <c r="A151" s="95" t="s">
        <v>186</v>
      </c>
      <c r="B151" s="96"/>
      <c r="C151" s="96"/>
      <c r="D151" s="96"/>
      <c r="E151" s="96"/>
      <c r="F151" s="96"/>
      <c r="G151" s="96"/>
      <c r="H151" s="97"/>
      <c r="J151" s="36"/>
    </row>
    <row r="152" spans="1:14" s="67" customFormat="1" x14ac:dyDescent="0.25">
      <c r="A152" s="95" t="s">
        <v>228</v>
      </c>
      <c r="B152" s="96"/>
      <c r="C152" s="96"/>
      <c r="D152" s="96"/>
      <c r="E152" s="96"/>
      <c r="F152" s="96"/>
      <c r="G152" s="96"/>
      <c r="H152" s="97"/>
      <c r="J152" s="36"/>
    </row>
    <row r="153" spans="1:14" s="67" customFormat="1" x14ac:dyDescent="0.25">
      <c r="A153" s="95" t="s">
        <v>229</v>
      </c>
      <c r="B153" s="96"/>
      <c r="C153" s="96"/>
      <c r="D153" s="96"/>
      <c r="E153" s="96"/>
      <c r="F153" s="96"/>
      <c r="G153" s="96"/>
      <c r="H153" s="97"/>
      <c r="J153" s="36"/>
    </row>
    <row r="154" spans="1:14" s="67" customFormat="1" x14ac:dyDescent="0.25">
      <c r="A154" s="95" t="s">
        <v>230</v>
      </c>
      <c r="B154" s="96"/>
      <c r="C154" s="96"/>
      <c r="D154" s="96"/>
      <c r="E154" s="96"/>
      <c r="F154" s="96"/>
      <c r="G154" s="96"/>
      <c r="H154" s="97"/>
      <c r="J154" s="36"/>
    </row>
    <row r="155" spans="1:14" s="67" customFormat="1" ht="15.75" customHeight="1" x14ac:dyDescent="0.25">
      <c r="A155" s="98">
        <v>1</v>
      </c>
      <c r="B155" s="99"/>
      <c r="C155" s="98" t="s">
        <v>198</v>
      </c>
      <c r="D155" s="107"/>
      <c r="E155" s="107"/>
      <c r="F155" s="99"/>
      <c r="G155" s="79" t="str">
        <f>A154</f>
        <v>2nd Podium Floor For Parking &amp; Part Residential</v>
      </c>
      <c r="H155" s="81"/>
      <c r="I155" s="36"/>
      <c r="L155" s="103"/>
      <c r="M155" s="103"/>
      <c r="N155" s="36"/>
    </row>
    <row r="156" spans="1:14" s="67" customFormat="1" ht="15.75" customHeight="1" x14ac:dyDescent="0.25">
      <c r="A156" s="98">
        <f t="shared" ref="A156:A162" si="3">A155+1</f>
        <v>2</v>
      </c>
      <c r="B156" s="99"/>
      <c r="C156" s="60" t="s">
        <v>197</v>
      </c>
      <c r="D156" s="63">
        <f>(0.7*1.52+3.05*4.722+2.13*3.05+2.75*3.27+0.6*1.22+3.35*3.05+2.13*1.38+1.38*2.14+1.68*0.6+1.08*1+1.97*1+2.15*1)*(10.764)</f>
        <v>581.31197280000004</v>
      </c>
      <c r="E156" s="60">
        <v>0</v>
      </c>
      <c r="F156" s="60">
        <f>D156*(($F$149)+1)+(IF(E156&lt;101,E156,IF(E156&lt;201,E156/2,IF(E156&lt;=301,E156/3,E156/4))))</f>
        <v>871.9679592</v>
      </c>
      <c r="G156" s="82"/>
      <c r="H156" s="84"/>
      <c r="I156" s="36"/>
      <c r="L156" s="103"/>
      <c r="M156" s="103"/>
      <c r="N156" s="36"/>
    </row>
    <row r="157" spans="1:14" s="67" customFormat="1" ht="15.75" customHeight="1" x14ac:dyDescent="0.25">
      <c r="A157" s="98">
        <f t="shared" si="3"/>
        <v>3</v>
      </c>
      <c r="B157" s="99"/>
      <c r="C157" s="60" t="s">
        <v>197</v>
      </c>
      <c r="D157" s="63">
        <f>(0.7*1.52+3.05*4.722+2.13*3.05+2.75*3.27+0.6*1.22+3.35*3.05+2.13*1.38+1.38*2.14+1.68*0.6+1.08*1+1.97*1+2.15*1)*(10.764)</f>
        <v>581.31197280000004</v>
      </c>
      <c r="E157" s="60">
        <v>0</v>
      </c>
      <c r="F157" s="60">
        <f>D157*(($F$149)+1)+(IF(E157&lt;101,E157,IF(E157&lt;201,E157/2,IF(E157&lt;=301,E157/3,E157/4))))</f>
        <v>871.9679592</v>
      </c>
      <c r="G157" s="82"/>
      <c r="H157" s="84"/>
      <c r="I157" s="36"/>
      <c r="L157" s="103"/>
      <c r="M157" s="103"/>
      <c r="N157" s="36"/>
    </row>
    <row r="158" spans="1:14" s="67" customFormat="1" ht="15.75" customHeight="1" x14ac:dyDescent="0.25">
      <c r="A158" s="98">
        <f t="shared" si="3"/>
        <v>4</v>
      </c>
      <c r="B158" s="99"/>
      <c r="C158" s="60" t="s">
        <v>197</v>
      </c>
      <c r="D158" s="63">
        <f>(1.58*1.52+3.05*5.64+3.35*2.29+3.05*3.35+1.36*0.6+3.35*3.05+2.29*1.38+2.29*1.38+1.67*0.6+1.5*1.06+1.85*1.06+2.3*1.22)*(10.764)</f>
        <v>669.58000200000004</v>
      </c>
      <c r="E158" s="60">
        <v>0</v>
      </c>
      <c r="F158" s="60">
        <f>D158*(($F$149)+1)+(IF(E158&lt;101,E158,IF(E158&lt;201,E158/2,IF(E158&lt;=301,E158/3,E158/4))))</f>
        <v>1004.370003</v>
      </c>
      <c r="G158" s="82"/>
      <c r="H158" s="84"/>
      <c r="I158" s="36"/>
      <c r="L158" s="103"/>
      <c r="M158" s="103"/>
      <c r="N158" s="36"/>
    </row>
    <row r="159" spans="1:14" s="67" customFormat="1" ht="15.75" customHeight="1" x14ac:dyDescent="0.25">
      <c r="A159" s="98">
        <f t="shared" si="3"/>
        <v>5</v>
      </c>
      <c r="B159" s="99"/>
      <c r="C159" s="79" t="s">
        <v>198</v>
      </c>
      <c r="D159" s="80"/>
      <c r="E159" s="80"/>
      <c r="F159" s="81"/>
      <c r="G159" s="82"/>
      <c r="H159" s="84"/>
      <c r="I159" s="36"/>
      <c r="L159" s="103"/>
      <c r="M159" s="103"/>
      <c r="N159" s="36"/>
    </row>
    <row r="160" spans="1:14" s="67" customFormat="1" x14ac:dyDescent="0.25">
      <c r="A160" s="98">
        <f t="shared" si="3"/>
        <v>6</v>
      </c>
      <c r="B160" s="99"/>
      <c r="C160" s="82"/>
      <c r="D160" s="83"/>
      <c r="E160" s="83"/>
      <c r="F160" s="84"/>
      <c r="G160" s="82"/>
      <c r="H160" s="84"/>
      <c r="I160" s="36"/>
      <c r="L160" s="103"/>
      <c r="M160" s="103"/>
      <c r="N160" s="36"/>
    </row>
    <row r="161" spans="1:14" s="67" customFormat="1" x14ac:dyDescent="0.25">
      <c r="A161" s="98">
        <f t="shared" si="3"/>
        <v>7</v>
      </c>
      <c r="B161" s="99"/>
      <c r="C161" s="82"/>
      <c r="D161" s="83"/>
      <c r="E161" s="83"/>
      <c r="F161" s="84"/>
      <c r="G161" s="82"/>
      <c r="H161" s="84"/>
      <c r="I161" s="36"/>
      <c r="L161" s="103"/>
      <c r="M161" s="103"/>
      <c r="N161" s="36"/>
    </row>
    <row r="162" spans="1:14" s="67" customFormat="1" x14ac:dyDescent="0.25">
      <c r="A162" s="98">
        <f t="shared" si="3"/>
        <v>8</v>
      </c>
      <c r="B162" s="99"/>
      <c r="C162" s="85"/>
      <c r="D162" s="86"/>
      <c r="E162" s="86"/>
      <c r="F162" s="87"/>
      <c r="G162" s="85"/>
      <c r="H162" s="87"/>
      <c r="I162" s="36"/>
      <c r="L162" s="103"/>
      <c r="M162" s="103"/>
      <c r="N162" s="36"/>
    </row>
    <row r="163" spans="1:14" s="67" customFormat="1" x14ac:dyDescent="0.25">
      <c r="A163" s="95" t="s">
        <v>231</v>
      </c>
      <c r="B163" s="96"/>
      <c r="C163" s="96"/>
      <c r="D163" s="96"/>
      <c r="E163" s="96"/>
      <c r="F163" s="96"/>
      <c r="G163" s="96"/>
      <c r="H163" s="97"/>
      <c r="J163" s="36"/>
    </row>
    <row r="164" spans="1:14" s="67" customFormat="1" ht="15.75" customHeight="1" x14ac:dyDescent="0.25">
      <c r="A164" s="98">
        <v>1</v>
      </c>
      <c r="B164" s="99"/>
      <c r="C164" s="98" t="s">
        <v>198</v>
      </c>
      <c r="D164" s="107"/>
      <c r="E164" s="107"/>
      <c r="F164" s="99"/>
      <c r="G164" s="79" t="str">
        <f>A163</f>
        <v>3rd Podium Floor For Parking &amp; Part Residential</v>
      </c>
      <c r="H164" s="81"/>
      <c r="I164" s="36"/>
      <c r="L164" s="103"/>
      <c r="M164" s="103"/>
      <c r="N164" s="36"/>
    </row>
    <row r="165" spans="1:14" s="67" customFormat="1" ht="15.75" customHeight="1" x14ac:dyDescent="0.25">
      <c r="A165" s="98">
        <f t="shared" ref="A165:A171" si="4">A164+1</f>
        <v>2</v>
      </c>
      <c r="B165" s="99"/>
      <c r="C165" s="60" t="s">
        <v>197</v>
      </c>
      <c r="D165" s="63">
        <f>(0.7*1.52+3.05*4.722+2.13*3.05+2.75*3.27+0.6*1.22+3.35*3.05+2.13*1.38+1.38*2.14+1.68*0.6+1.08*1+1.97*1+2.15*1)*(10.764)</f>
        <v>581.31197280000004</v>
      </c>
      <c r="E165" s="60">
        <v>0</v>
      </c>
      <c r="F165" s="60">
        <f t="shared" ref="F165:F167" si="5">D165*(($F$149)+1)+(IF(E165&lt;101,E165,IF(E165&lt;201,E165/2,IF(E165&lt;=301,E165/3,E165/4))))</f>
        <v>871.9679592</v>
      </c>
      <c r="G165" s="82"/>
      <c r="H165" s="84"/>
      <c r="I165" s="36"/>
      <c r="L165" s="103"/>
      <c r="M165" s="103"/>
      <c r="N165" s="36"/>
    </row>
    <row r="166" spans="1:14" s="67" customFormat="1" ht="15.75" customHeight="1" x14ac:dyDescent="0.25">
      <c r="A166" s="98">
        <f t="shared" si="4"/>
        <v>3</v>
      </c>
      <c r="B166" s="99"/>
      <c r="C166" s="60" t="s">
        <v>197</v>
      </c>
      <c r="D166" s="63">
        <f>(0.7*1.52+3.05*4.722+2.13*3.05+2.75*3.27+0.6*1.22+3.35*3.05+2.13*1.38+1.38*2.14+1.68*0.6+1.08*1+1.97*1+2.15*1)*(10.764)</f>
        <v>581.31197280000004</v>
      </c>
      <c r="E166" s="60">
        <v>0</v>
      </c>
      <c r="F166" s="60">
        <f t="shared" si="5"/>
        <v>871.9679592</v>
      </c>
      <c r="G166" s="82"/>
      <c r="H166" s="84"/>
      <c r="I166" s="36"/>
      <c r="L166" s="103"/>
      <c r="M166" s="103"/>
      <c r="N166" s="36"/>
    </row>
    <row r="167" spans="1:14" s="67" customFormat="1" ht="15.75" customHeight="1" x14ac:dyDescent="0.25">
      <c r="A167" s="98">
        <f t="shared" si="4"/>
        <v>4</v>
      </c>
      <c r="B167" s="99"/>
      <c r="C167" s="60" t="s">
        <v>197</v>
      </c>
      <c r="D167" s="63">
        <f>(1.58*1.52+3.05*5.64+3.35*2.29+3.05*3.35+1.36*0.6+3.35*3.05+2.29*1.38+2.29*1.38+1.67*0.6+1.5*1.06+1.85*1.06+2.3*1.22)*(10.764)</f>
        <v>669.58000200000004</v>
      </c>
      <c r="E167" s="60">
        <v>0</v>
      </c>
      <c r="F167" s="60">
        <f t="shared" si="5"/>
        <v>1004.370003</v>
      </c>
      <c r="G167" s="82"/>
      <c r="H167" s="84"/>
      <c r="I167" s="36"/>
      <c r="L167" s="103"/>
      <c r="M167" s="103"/>
      <c r="N167" s="36"/>
    </row>
    <row r="168" spans="1:14" s="67" customFormat="1" ht="15.75" customHeight="1" x14ac:dyDescent="0.25">
      <c r="A168" s="98">
        <f t="shared" si="4"/>
        <v>5</v>
      </c>
      <c r="B168" s="99"/>
      <c r="C168" s="79" t="s">
        <v>198</v>
      </c>
      <c r="D168" s="80"/>
      <c r="E168" s="80"/>
      <c r="F168" s="81"/>
      <c r="G168" s="82"/>
      <c r="H168" s="84"/>
      <c r="I168" s="36"/>
      <c r="L168" s="103"/>
      <c r="M168" s="103"/>
      <c r="N168" s="36"/>
    </row>
    <row r="169" spans="1:14" s="67" customFormat="1" x14ac:dyDescent="0.25">
      <c r="A169" s="98">
        <f t="shared" si="4"/>
        <v>6</v>
      </c>
      <c r="B169" s="99"/>
      <c r="C169" s="82"/>
      <c r="D169" s="83"/>
      <c r="E169" s="83"/>
      <c r="F169" s="84"/>
      <c r="G169" s="82"/>
      <c r="H169" s="84"/>
      <c r="I169" s="36"/>
      <c r="L169" s="103"/>
      <c r="M169" s="103"/>
      <c r="N169" s="36"/>
    </row>
    <row r="170" spans="1:14" s="67" customFormat="1" x14ac:dyDescent="0.25">
      <c r="A170" s="98">
        <f t="shared" si="4"/>
        <v>7</v>
      </c>
      <c r="B170" s="99"/>
      <c r="C170" s="82"/>
      <c r="D170" s="83"/>
      <c r="E170" s="83"/>
      <c r="F170" s="84"/>
      <c r="G170" s="82"/>
      <c r="H170" s="84"/>
      <c r="I170" s="36"/>
      <c r="L170" s="103"/>
      <c r="M170" s="103"/>
      <c r="N170" s="36"/>
    </row>
    <row r="171" spans="1:14" s="67" customFormat="1" x14ac:dyDescent="0.25">
      <c r="A171" s="98">
        <f t="shared" si="4"/>
        <v>8</v>
      </c>
      <c r="B171" s="99"/>
      <c r="C171" s="85"/>
      <c r="D171" s="86"/>
      <c r="E171" s="86"/>
      <c r="F171" s="87"/>
      <c r="G171" s="85"/>
      <c r="H171" s="87"/>
      <c r="I171" s="36"/>
      <c r="L171" s="103"/>
      <c r="M171" s="103"/>
      <c r="N171" s="36"/>
    </row>
    <row r="172" spans="1:14" s="67" customFormat="1" x14ac:dyDescent="0.25">
      <c r="A172" s="95" t="s">
        <v>253</v>
      </c>
      <c r="B172" s="96"/>
      <c r="C172" s="96"/>
      <c r="D172" s="96"/>
      <c r="E172" s="96"/>
      <c r="F172" s="96"/>
      <c r="G172" s="96"/>
      <c r="H172" s="97"/>
      <c r="J172" s="36"/>
    </row>
    <row r="173" spans="1:14" s="67" customFormat="1" ht="15.75" customHeight="1" x14ac:dyDescent="0.25">
      <c r="A173" s="98">
        <v>1</v>
      </c>
      <c r="B173" s="99"/>
      <c r="C173" s="60" t="s">
        <v>197</v>
      </c>
      <c r="D173" s="63">
        <f>(1.58*1.52+3.05*5.64+3.35*2.29+3.05*3.35+1.36*0.6+3.35*3.05+2.29*1.38+2.29*1.38+1.67*0.6+1.5*1.06+1.85*1.06+2.3*1.22)*(10.764)</f>
        <v>669.58000200000004</v>
      </c>
      <c r="E173" s="60">
        <v>0</v>
      </c>
      <c r="F173" s="60">
        <f t="shared" ref="F173" si="6">D173*(($F$149)+1)+(IF(E173&lt;101,E173,IF(E173&lt;201,E173/2,IF(E173&lt;=301,E173/3,E173/4))))</f>
        <v>1004.370003</v>
      </c>
      <c r="G173" s="79" t="str">
        <f>A172</f>
        <v>4th Podium/Top Podium Floor For Parking &amp; Part Residential</v>
      </c>
      <c r="H173" s="81"/>
      <c r="I173" s="36"/>
      <c r="L173" s="103"/>
      <c r="M173" s="103"/>
      <c r="N173" s="36"/>
    </row>
    <row r="174" spans="1:14" s="67" customFormat="1" ht="15.75" customHeight="1" x14ac:dyDescent="0.25">
      <c r="A174" s="98">
        <f t="shared" ref="A174:A180" si="7">A173+1</f>
        <v>2</v>
      </c>
      <c r="B174" s="99"/>
      <c r="C174" s="60" t="s">
        <v>197</v>
      </c>
      <c r="D174" s="63">
        <f>(0.7*1.52+3.05*4.722+2.13*3.05+2.75*3.27+0.6*1.22+3.35*3.05+2.13*1.38+1.38*2.14+1.68*0.6+1.08*1+1.97*1+2.15*1)*(10.764)</f>
        <v>581.31197280000004</v>
      </c>
      <c r="E174" s="60">
        <v>0</v>
      </c>
      <c r="F174" s="60">
        <f t="shared" ref="F174:F176" si="8">D174*(($F$149)+1)+(IF(E174&lt;101,E174,IF(E174&lt;201,E174/2,IF(E174&lt;=301,E174/3,E174/4))))</f>
        <v>871.9679592</v>
      </c>
      <c r="G174" s="82"/>
      <c r="H174" s="84"/>
      <c r="I174" s="36"/>
      <c r="L174" s="103"/>
      <c r="M174" s="103"/>
      <c r="N174" s="36"/>
    </row>
    <row r="175" spans="1:14" s="67" customFormat="1" ht="15.75" customHeight="1" x14ac:dyDescent="0.25">
      <c r="A175" s="98">
        <f t="shared" si="7"/>
        <v>3</v>
      </c>
      <c r="B175" s="99"/>
      <c r="C175" s="60" t="s">
        <v>197</v>
      </c>
      <c r="D175" s="63">
        <f>(0.7*1.52+3.05*4.722+2.13*3.05+2.75*3.27+0.6*1.22+3.35*3.05+2.13*1.38+1.38*2.14+1.68*0.6+1.08*1+1.97*1+2.15*1)*(10.764)</f>
        <v>581.31197280000004</v>
      </c>
      <c r="E175" s="60">
        <v>0</v>
      </c>
      <c r="F175" s="60">
        <f t="shared" si="8"/>
        <v>871.9679592</v>
      </c>
      <c r="G175" s="82"/>
      <c r="H175" s="84"/>
      <c r="I175" s="36"/>
      <c r="L175" s="103"/>
      <c r="M175" s="103"/>
      <c r="N175" s="36"/>
    </row>
    <row r="176" spans="1:14" s="67" customFormat="1" ht="15.75" customHeight="1" x14ac:dyDescent="0.25">
      <c r="A176" s="98">
        <f t="shared" si="7"/>
        <v>4</v>
      </c>
      <c r="B176" s="99"/>
      <c r="C176" s="60" t="s">
        <v>197</v>
      </c>
      <c r="D176" s="63">
        <f>(1.58*1.52+3.05*5.64+3.35*2.29+3.05*3.35+1.36*0.6+3.35*3.05+2.29*1.38+2.29*1.38+1.67*0.6+1.5*1.06+1.85*1.06+2.3*1.22)*(10.764)</f>
        <v>669.58000200000004</v>
      </c>
      <c r="E176" s="60">
        <v>0</v>
      </c>
      <c r="F176" s="60">
        <f t="shared" si="8"/>
        <v>1004.370003</v>
      </c>
      <c r="G176" s="82"/>
      <c r="H176" s="84"/>
      <c r="I176" s="36"/>
      <c r="L176" s="103"/>
      <c r="M176" s="103"/>
      <c r="N176" s="36"/>
    </row>
    <row r="177" spans="1:14" s="67" customFormat="1" ht="15.75" customHeight="1" x14ac:dyDescent="0.25">
      <c r="A177" s="98">
        <f t="shared" si="7"/>
        <v>5</v>
      </c>
      <c r="B177" s="99"/>
      <c r="C177" s="79" t="s">
        <v>232</v>
      </c>
      <c r="D177" s="80"/>
      <c r="E177" s="80"/>
      <c r="F177" s="81"/>
      <c r="G177" s="82"/>
      <c r="H177" s="84"/>
      <c r="I177" s="36"/>
      <c r="L177" s="103"/>
      <c r="M177" s="103"/>
      <c r="N177" s="36"/>
    </row>
    <row r="178" spans="1:14" s="67" customFormat="1" x14ac:dyDescent="0.25">
      <c r="A178" s="98">
        <f t="shared" si="7"/>
        <v>6</v>
      </c>
      <c r="B178" s="99"/>
      <c r="C178" s="82"/>
      <c r="D178" s="83"/>
      <c r="E178" s="83"/>
      <c r="F178" s="84"/>
      <c r="G178" s="82"/>
      <c r="H178" s="84"/>
      <c r="I178" s="36"/>
      <c r="L178" s="103"/>
      <c r="M178" s="103"/>
      <c r="N178" s="36"/>
    </row>
    <row r="179" spans="1:14" s="67" customFormat="1" x14ac:dyDescent="0.25">
      <c r="A179" s="98">
        <f t="shared" si="7"/>
        <v>7</v>
      </c>
      <c r="B179" s="99"/>
      <c r="C179" s="79" t="s">
        <v>233</v>
      </c>
      <c r="D179" s="80"/>
      <c r="E179" s="80"/>
      <c r="F179" s="81"/>
      <c r="G179" s="82"/>
      <c r="H179" s="84"/>
      <c r="I179" s="36"/>
      <c r="L179" s="103"/>
      <c r="M179" s="103"/>
      <c r="N179" s="36"/>
    </row>
    <row r="180" spans="1:14" s="67" customFormat="1" x14ac:dyDescent="0.25">
      <c r="A180" s="98">
        <f t="shared" si="7"/>
        <v>8</v>
      </c>
      <c r="B180" s="99"/>
      <c r="C180" s="82"/>
      <c r="D180" s="83"/>
      <c r="E180" s="83"/>
      <c r="F180" s="84"/>
      <c r="G180" s="85"/>
      <c r="H180" s="87"/>
      <c r="I180" s="36"/>
      <c r="L180" s="103"/>
      <c r="M180" s="103"/>
      <c r="N180" s="36"/>
    </row>
    <row r="181" spans="1:14" s="67" customFormat="1" x14ac:dyDescent="0.25">
      <c r="A181" s="95" t="s">
        <v>234</v>
      </c>
      <c r="B181" s="96"/>
      <c r="C181" s="96"/>
      <c r="D181" s="96"/>
      <c r="E181" s="96"/>
      <c r="F181" s="96"/>
      <c r="G181" s="96"/>
      <c r="H181" s="97"/>
      <c r="J181" s="36"/>
    </row>
    <row r="182" spans="1:14" s="67" customFormat="1" ht="15.75" customHeight="1" x14ac:dyDescent="0.25">
      <c r="A182" s="98">
        <v>1</v>
      </c>
      <c r="B182" s="99"/>
      <c r="C182" s="60" t="s">
        <v>197</v>
      </c>
      <c r="D182" s="63">
        <f>(1.58*1.52+3.05*5.64+3.35*2.29+3.05*3.35+1.36*0.6+3.35*3.05+2.29*1.38+2.29*1.38+1.67*0.6+1.5*1.06+1.85*1.06+2.3*1.22)*(10.764)</f>
        <v>669.58000200000004</v>
      </c>
      <c r="E182" s="60">
        <v>0</v>
      </c>
      <c r="F182" s="60">
        <f t="shared" ref="F182:F185" si="9">D182*(($F$149)+1)+(IF(E182&lt;101,E182,IF(E182&lt;201,E182/2,IF(E182&lt;=301,E182/3,E182/4))))</f>
        <v>1004.370003</v>
      </c>
      <c r="G182" s="79" t="str">
        <f>A181</f>
        <v>1st Floor For Residential &amp; Amenities</v>
      </c>
      <c r="H182" s="81"/>
      <c r="I182" s="36"/>
      <c r="L182" s="103"/>
      <c r="M182" s="103"/>
      <c r="N182" s="36"/>
    </row>
    <row r="183" spans="1:14" s="67" customFormat="1" ht="15.75" customHeight="1" x14ac:dyDescent="0.25">
      <c r="A183" s="98">
        <f t="shared" ref="A183:A189" si="10">A182+1</f>
        <v>2</v>
      </c>
      <c r="B183" s="99"/>
      <c r="C183" s="60" t="s">
        <v>197</v>
      </c>
      <c r="D183" s="63">
        <f>(0.7*1.52+3.05*4.722+2.13*3.05+2.75*3.27+0.6*1.22+3.35*3.05+2.13*1.38+1.38*2.14+1.68*0.6+1.08*1+1.97*1+2.15*1)*(10.764)</f>
        <v>581.31197280000004</v>
      </c>
      <c r="E183" s="60">
        <v>0</v>
      </c>
      <c r="F183" s="60">
        <f t="shared" si="9"/>
        <v>871.9679592</v>
      </c>
      <c r="G183" s="82"/>
      <c r="H183" s="84"/>
      <c r="I183" s="36"/>
      <c r="L183" s="103"/>
      <c r="M183" s="103"/>
      <c r="N183" s="36"/>
    </row>
    <row r="184" spans="1:14" s="67" customFormat="1" ht="15.75" customHeight="1" x14ac:dyDescent="0.25">
      <c r="A184" s="98">
        <f t="shared" si="10"/>
        <v>3</v>
      </c>
      <c r="B184" s="99"/>
      <c r="C184" s="60" t="s">
        <v>197</v>
      </c>
      <c r="D184" s="63">
        <f>(0.7*1.52+3.05*4.722+2.13*3.05+2.75*3.27+0.6*1.22+3.35*3.05+2.13*1.38+1.38*2.14+1.68*0.6+1.08*1+1.97*1+2.15*1)*(10.764)</f>
        <v>581.31197280000004</v>
      </c>
      <c r="E184" s="60">
        <v>0</v>
      </c>
      <c r="F184" s="60">
        <f t="shared" si="9"/>
        <v>871.9679592</v>
      </c>
      <c r="G184" s="82"/>
      <c r="H184" s="84"/>
      <c r="I184" s="36"/>
      <c r="L184" s="103"/>
      <c r="M184" s="103"/>
      <c r="N184" s="36"/>
    </row>
    <row r="185" spans="1:14" s="67" customFormat="1" ht="15.75" customHeight="1" x14ac:dyDescent="0.25">
      <c r="A185" s="98">
        <f t="shared" si="10"/>
        <v>4</v>
      </c>
      <c r="B185" s="99"/>
      <c r="C185" s="60" t="s">
        <v>197</v>
      </c>
      <c r="D185" s="63">
        <f>(1.58*1.52+3.05*5.64+3.35*2.29+3.05*3.35+1.36*0.6+3.35*3.05+2.29*1.38+2.29*1.38+1.67*0.6+1.5*1.06+1.85*1.06+2.3*1.22)*(10.764)</f>
        <v>669.58000200000004</v>
      </c>
      <c r="E185" s="60">
        <v>0</v>
      </c>
      <c r="F185" s="60">
        <f t="shared" si="9"/>
        <v>1004.370003</v>
      </c>
      <c r="G185" s="82"/>
      <c r="H185" s="84"/>
      <c r="I185" s="36"/>
      <c r="L185" s="103"/>
      <c r="M185" s="103"/>
      <c r="N185" s="36"/>
    </row>
    <row r="186" spans="1:14" s="67" customFormat="1" ht="15.75" customHeight="1" x14ac:dyDescent="0.25">
      <c r="A186" s="98">
        <f t="shared" si="10"/>
        <v>5</v>
      </c>
      <c r="B186" s="99"/>
      <c r="C186" s="79" t="s">
        <v>198</v>
      </c>
      <c r="D186" s="80"/>
      <c r="E186" s="80"/>
      <c r="F186" s="81"/>
      <c r="G186" s="82"/>
      <c r="H186" s="84"/>
      <c r="I186" s="36"/>
      <c r="L186" s="103"/>
      <c r="M186" s="103"/>
      <c r="N186" s="36"/>
    </row>
    <row r="187" spans="1:14" s="67" customFormat="1" x14ac:dyDescent="0.25">
      <c r="A187" s="98">
        <f t="shared" si="10"/>
        <v>6</v>
      </c>
      <c r="B187" s="99"/>
      <c r="C187" s="82"/>
      <c r="D187" s="83"/>
      <c r="E187" s="83"/>
      <c r="F187" s="84"/>
      <c r="G187" s="82"/>
      <c r="H187" s="84"/>
      <c r="I187" s="36"/>
      <c r="L187" s="103"/>
      <c r="M187" s="103"/>
      <c r="N187" s="36"/>
    </row>
    <row r="188" spans="1:14" s="67" customFormat="1" ht="15.75" customHeight="1" x14ac:dyDescent="0.25">
      <c r="A188" s="98">
        <f t="shared" si="10"/>
        <v>7</v>
      </c>
      <c r="B188" s="99"/>
      <c r="C188" s="82"/>
      <c r="D188" s="83"/>
      <c r="E188" s="83"/>
      <c r="F188" s="84"/>
      <c r="G188" s="82"/>
      <c r="H188" s="84"/>
      <c r="I188" s="36"/>
      <c r="L188" s="103"/>
      <c r="M188" s="103"/>
      <c r="N188" s="36"/>
    </row>
    <row r="189" spans="1:14" s="67" customFormat="1" x14ac:dyDescent="0.25">
      <c r="A189" s="98">
        <f t="shared" si="10"/>
        <v>8</v>
      </c>
      <c r="B189" s="99"/>
      <c r="C189" s="85"/>
      <c r="D189" s="86"/>
      <c r="E189" s="86"/>
      <c r="F189" s="87"/>
      <c r="G189" s="85"/>
      <c r="H189" s="87"/>
      <c r="I189" s="36"/>
      <c r="L189" s="103"/>
      <c r="M189" s="103"/>
      <c r="N189" s="36"/>
    </row>
    <row r="190" spans="1:14" s="67" customFormat="1" ht="32.25" customHeight="1" x14ac:dyDescent="0.25">
      <c r="A190" s="95" t="s">
        <v>238</v>
      </c>
      <c r="B190" s="96"/>
      <c r="C190" s="96"/>
      <c r="D190" s="96"/>
      <c r="E190" s="96"/>
      <c r="F190" s="96"/>
      <c r="G190" s="96"/>
      <c r="H190" s="97"/>
      <c r="J190" s="36"/>
    </row>
    <row r="191" spans="1:14" s="67" customFormat="1" ht="15.75" customHeight="1" x14ac:dyDescent="0.25">
      <c r="A191" s="98">
        <v>1</v>
      </c>
      <c r="B191" s="99"/>
      <c r="C191" s="60" t="s">
        <v>197</v>
      </c>
      <c r="D191" s="63">
        <f>(1.58*1.52+3.05*5.64+3.35*2.29+3.05*3.35+1.36*0.6+3.35*3.05+2.29*1.38+2.29*1.38+1.67*0.6+1.5*1.06+1.85*1.06+2.3*1.07)*(10.764)</f>
        <v>665.86642200000006</v>
      </c>
      <c r="E191" s="60">
        <v>0</v>
      </c>
      <c r="F191" s="60">
        <f t="shared" ref="F191:F194" si="11">D191*(($F$149)+1)+(IF(E191&lt;101,E191,IF(E191&lt;201,E191/2,IF(E191&lt;=301,E191/3,E191/4))))</f>
        <v>998.79963300000009</v>
      </c>
      <c r="G191" s="79" t="str">
        <f>A190</f>
        <v>2nd, 4th to 7th, 9th to 12th, 14th to 17th, 19th to 22nd,
24th to 27th, 29th to 32nd, 34th to 37th Floor</v>
      </c>
      <c r="H191" s="81"/>
      <c r="I191" s="36"/>
      <c r="L191" s="103"/>
      <c r="M191" s="103"/>
      <c r="N191" s="36"/>
    </row>
    <row r="192" spans="1:14" s="67" customFormat="1" ht="15.75" customHeight="1" x14ac:dyDescent="0.25">
      <c r="A192" s="98">
        <f t="shared" ref="A192:A198" si="12">A191+1</f>
        <v>2</v>
      </c>
      <c r="B192" s="99"/>
      <c r="C192" s="60" t="s">
        <v>197</v>
      </c>
      <c r="D192" s="63">
        <f>(0.7*1.52+3.05*4.722+2.13*3.05+2.75*3.27+0.6*1.22+3.35*3.05+2.13*1.38+1.38*2.14+1.68*0.6+1.08*1+1.97*1+2.15*0.85)*(10.764)</f>
        <v>577.84058279999999</v>
      </c>
      <c r="E192" s="60">
        <v>0</v>
      </c>
      <c r="F192" s="60">
        <f t="shared" si="11"/>
        <v>866.76087419999999</v>
      </c>
      <c r="G192" s="82"/>
      <c r="H192" s="84"/>
      <c r="I192" s="36"/>
      <c r="L192" s="103"/>
      <c r="M192" s="103"/>
      <c r="N192" s="36"/>
    </row>
    <row r="193" spans="1:14" s="67" customFormat="1" ht="15.75" customHeight="1" x14ac:dyDescent="0.25">
      <c r="A193" s="98">
        <f t="shared" si="12"/>
        <v>3</v>
      </c>
      <c r="B193" s="99"/>
      <c r="C193" s="60" t="s">
        <v>197</v>
      </c>
      <c r="D193" s="63">
        <f>(0.7*1.52+3.05*4.722+2.13*3.05+2.75*3.27+0.6*1.22+3.35*3.05+2.13*1.38+1.38*2.14+1.68*0.6+1.08*1+1.97*1+2.15*0.85)*(10.764)</f>
        <v>577.84058279999999</v>
      </c>
      <c r="E193" s="60">
        <v>0</v>
      </c>
      <c r="F193" s="60">
        <f t="shared" si="11"/>
        <v>866.76087419999999</v>
      </c>
      <c r="G193" s="82"/>
      <c r="H193" s="84"/>
      <c r="I193" s="36"/>
      <c r="L193" s="103"/>
      <c r="M193" s="103"/>
      <c r="N193" s="36"/>
    </row>
    <row r="194" spans="1:14" s="67" customFormat="1" ht="15.75" customHeight="1" x14ac:dyDescent="0.25">
      <c r="A194" s="98">
        <f t="shared" si="12"/>
        <v>4</v>
      </c>
      <c r="B194" s="99"/>
      <c r="C194" s="60" t="s">
        <v>197</v>
      </c>
      <c r="D194" s="63">
        <f>(1.58*1.52+3.05*5.64+3.35*2.29+3.05*3.35+1.36*0.6+3.35*3.05+2.29*1.38+2.29*1.38+1.67*0.6+1.5*1.06+1.85*1.06+2.3*1.07)*(10.764)</f>
        <v>665.86642200000006</v>
      </c>
      <c r="E194" s="60">
        <v>0</v>
      </c>
      <c r="F194" s="60">
        <f t="shared" si="11"/>
        <v>998.79963300000009</v>
      </c>
      <c r="G194" s="82"/>
      <c r="H194" s="84"/>
      <c r="I194" s="36"/>
      <c r="L194" s="103"/>
      <c r="M194" s="103"/>
      <c r="N194" s="36"/>
    </row>
    <row r="195" spans="1:14" s="67" customFormat="1" ht="15.75" customHeight="1" x14ac:dyDescent="0.25">
      <c r="A195" s="98">
        <f t="shared" si="12"/>
        <v>5</v>
      </c>
      <c r="B195" s="99"/>
      <c r="C195" s="60" t="s">
        <v>197</v>
      </c>
      <c r="D195" s="63">
        <f>(1.58*1.52+3.05*5.64+3.35*2.29+3.05*3.35+1.36*0.6+3.35*3.05+2.29*1.38+2.29*1.38+1.67*0.6+1.5*1.06+1.85*1.06+2.3*1.07)*(10.764)</f>
        <v>665.86642200000006</v>
      </c>
      <c r="E195" s="60">
        <v>0</v>
      </c>
      <c r="F195" s="60">
        <f t="shared" ref="F195:F198" si="13">D195*(($F$149)+1)+(IF(E195&lt;101,E195,IF(E195&lt;201,E195/2,IF(E195&lt;=301,E195/3,E195/4))))</f>
        <v>998.79963300000009</v>
      </c>
      <c r="G195" s="82"/>
      <c r="H195" s="84"/>
      <c r="I195" s="36"/>
      <c r="L195" s="103"/>
      <c r="M195" s="103"/>
      <c r="N195" s="36"/>
    </row>
    <row r="196" spans="1:14" s="67" customFormat="1" x14ac:dyDescent="0.25">
      <c r="A196" s="98">
        <f t="shared" si="12"/>
        <v>6</v>
      </c>
      <c r="B196" s="99"/>
      <c r="C196" s="60" t="s">
        <v>197</v>
      </c>
      <c r="D196" s="63">
        <f>(0.7*1.52+3.05*4.722+2.13*3.05+2.75*3.27+0.6*1.22+3.35*3.05+2.13*1.38+1.38*2.14+1.68*0.6+1.08*1+1.97*1+2.15*0.85)*(10.764)</f>
        <v>577.84058279999999</v>
      </c>
      <c r="E196" s="60">
        <v>0</v>
      </c>
      <c r="F196" s="60">
        <f t="shared" si="13"/>
        <v>866.76087419999999</v>
      </c>
      <c r="G196" s="82"/>
      <c r="H196" s="84"/>
      <c r="I196" s="36"/>
      <c r="L196" s="103"/>
      <c r="M196" s="103"/>
      <c r="N196" s="36"/>
    </row>
    <row r="197" spans="1:14" s="67" customFormat="1" x14ac:dyDescent="0.25">
      <c r="A197" s="98">
        <f t="shared" si="12"/>
        <v>7</v>
      </c>
      <c r="B197" s="99"/>
      <c r="C197" s="60" t="s">
        <v>197</v>
      </c>
      <c r="D197" s="63">
        <f>(0.7*1.52+3.05*4.722+2.13*3.05+2.75*3.27+0.6*1.22+3.35*3.05+2.13*1.38+1.38*2.14+1.68*0.6+1.08*1+1.97*1+2.15*0.85)*(10.764)</f>
        <v>577.84058279999999</v>
      </c>
      <c r="E197" s="60">
        <v>0</v>
      </c>
      <c r="F197" s="60">
        <f t="shared" si="13"/>
        <v>866.76087419999999</v>
      </c>
      <c r="G197" s="82"/>
      <c r="H197" s="84"/>
      <c r="I197" s="36"/>
      <c r="L197" s="103"/>
      <c r="M197" s="103"/>
      <c r="N197" s="36"/>
    </row>
    <row r="198" spans="1:14" s="67" customFormat="1" x14ac:dyDescent="0.25">
      <c r="A198" s="98">
        <f t="shared" si="12"/>
        <v>8</v>
      </c>
      <c r="B198" s="99"/>
      <c r="C198" s="60" t="s">
        <v>197</v>
      </c>
      <c r="D198" s="63">
        <f>(1.58*1.52+3.05*5.64+3.35*2.29+3.05*3.35+1.36*0.6+3.35*3.05+2.29*1.38+2.29*1.38+1.67*0.6+1.5*1.06+1.85*1.06+2.3*1.07)*(10.764)</f>
        <v>665.86642200000006</v>
      </c>
      <c r="E198" s="60">
        <v>0</v>
      </c>
      <c r="F198" s="60">
        <f t="shared" si="13"/>
        <v>998.79963300000009</v>
      </c>
      <c r="G198" s="85"/>
      <c r="H198" s="87"/>
      <c r="I198" s="36"/>
      <c r="L198" s="103"/>
      <c r="M198" s="103"/>
      <c r="N198" s="36"/>
    </row>
    <row r="199" spans="1:14" s="67" customFormat="1" x14ac:dyDescent="0.25">
      <c r="A199" s="95" t="s">
        <v>235</v>
      </c>
      <c r="B199" s="96"/>
      <c r="C199" s="96"/>
      <c r="D199" s="96"/>
      <c r="E199" s="96"/>
      <c r="F199" s="96"/>
      <c r="G199" s="96"/>
      <c r="H199" s="97"/>
      <c r="J199" s="36"/>
    </row>
    <row r="200" spans="1:14" s="67" customFormat="1" ht="15.75" customHeight="1" x14ac:dyDescent="0.25">
      <c r="A200" s="98">
        <v>1</v>
      </c>
      <c r="B200" s="99"/>
      <c r="C200" s="60" t="s">
        <v>197</v>
      </c>
      <c r="D200" s="63">
        <f>(1.58*1.52+3.05*5.64+3.35*2.29+3.05*3.35+1.36*0.6+3.35*3.05+2.29*1.38+2.29*1.38+1.67*0.6+1.5*1.06+1.85*1.06+2.3*1.07)*(10.764)</f>
        <v>665.86642200000006</v>
      </c>
      <c r="E200" s="60">
        <v>0</v>
      </c>
      <c r="F200" s="60">
        <f>D200*(($F$149)+1)+(IF(E200&lt;101,E200,IF(E200&lt;201,E200/2,IF(E200&lt;=301,E200/3,E200/4))))</f>
        <v>998.79963300000009</v>
      </c>
      <c r="G200" s="79" t="str">
        <f>A199</f>
        <v>3rd,  8th, 13th, 18th, 23rd, 28th, 33rd &amp; 38th Floor (Part Refuge Area)</v>
      </c>
      <c r="H200" s="81"/>
      <c r="I200" s="36"/>
      <c r="L200" s="103"/>
      <c r="M200" s="103"/>
      <c r="N200" s="36"/>
    </row>
    <row r="201" spans="1:14" s="67" customFormat="1" ht="15.75" customHeight="1" x14ac:dyDescent="0.25">
      <c r="A201" s="98">
        <f t="shared" ref="A201:A207" si="14">A200+1</f>
        <v>2</v>
      </c>
      <c r="B201" s="99"/>
      <c r="C201" s="98" t="s">
        <v>210</v>
      </c>
      <c r="D201" s="107"/>
      <c r="E201" s="107"/>
      <c r="F201" s="99"/>
      <c r="G201" s="82"/>
      <c r="H201" s="84"/>
      <c r="I201" s="36"/>
      <c r="L201" s="103"/>
      <c r="M201" s="103"/>
      <c r="N201" s="36"/>
    </row>
    <row r="202" spans="1:14" s="67" customFormat="1" ht="15.75" customHeight="1" x14ac:dyDescent="0.25">
      <c r="A202" s="98">
        <f t="shared" si="14"/>
        <v>3</v>
      </c>
      <c r="B202" s="99"/>
      <c r="C202" s="60" t="s">
        <v>197</v>
      </c>
      <c r="D202" s="63">
        <f>(0.7*1.52+3.05*4.722+2.13*3.05+2.75*3.27+0.6*1.22+3.35*3.05+2.13*1.38+1.38*2.14+1.68*0.6+1.08*1+1.97*1+2.15*0.85)*(10.764)</f>
        <v>577.84058279999999</v>
      </c>
      <c r="E202" s="60">
        <v>0</v>
      </c>
      <c r="F202" s="60">
        <f t="shared" ref="F202:F207" si="15">D202*(($F$149)+1)+(IF(E202&lt;101,E202,IF(E202&lt;201,E202/2,IF(E202&lt;=301,E202/3,E202/4))))</f>
        <v>866.76087419999999</v>
      </c>
      <c r="G202" s="82"/>
      <c r="H202" s="84"/>
      <c r="I202" s="36"/>
      <c r="L202" s="103"/>
      <c r="M202" s="103"/>
      <c r="N202" s="36"/>
    </row>
    <row r="203" spans="1:14" s="67" customFormat="1" ht="15.75" customHeight="1" x14ac:dyDescent="0.25">
      <c r="A203" s="98">
        <f t="shared" si="14"/>
        <v>4</v>
      </c>
      <c r="B203" s="99"/>
      <c r="C203" s="60" t="s">
        <v>197</v>
      </c>
      <c r="D203" s="63">
        <f>(1.58*1.52+3.05*5.64+3.35*2.29+3.05*3.35+1.36*0.6+3.35*3.05+2.29*1.38+2.29*1.38+1.67*0.6+1.5*1.06+1.85*1.06+2.3*1.07)*(10.764)</f>
        <v>665.86642200000006</v>
      </c>
      <c r="E203" s="60">
        <v>0</v>
      </c>
      <c r="F203" s="60">
        <f t="shared" si="15"/>
        <v>998.79963300000009</v>
      </c>
      <c r="G203" s="82"/>
      <c r="H203" s="84"/>
      <c r="I203" s="36"/>
      <c r="L203" s="103"/>
      <c r="M203" s="103"/>
      <c r="N203" s="36"/>
    </row>
    <row r="204" spans="1:14" s="67" customFormat="1" ht="15.75" customHeight="1" x14ac:dyDescent="0.25">
      <c r="A204" s="98">
        <f t="shared" si="14"/>
        <v>5</v>
      </c>
      <c r="B204" s="99"/>
      <c r="C204" s="60" t="s">
        <v>197</v>
      </c>
      <c r="D204" s="63">
        <f>(1.58*1.52+3.05*5.64+3.35*2.29+3.05*3.35+1.36*0.6+3.35*3.05+2.29*1.38+2.29*1.38+1.67*0.6+1.5*1.06+1.85*1.06+2.3*1.07)*(10.764)</f>
        <v>665.86642200000006</v>
      </c>
      <c r="E204" s="60">
        <v>0</v>
      </c>
      <c r="F204" s="60">
        <f t="shared" si="15"/>
        <v>998.79963300000009</v>
      </c>
      <c r="G204" s="82"/>
      <c r="H204" s="84"/>
      <c r="I204" s="36"/>
      <c r="L204" s="103"/>
      <c r="M204" s="103"/>
      <c r="N204" s="36"/>
    </row>
    <row r="205" spans="1:14" s="67" customFormat="1" x14ac:dyDescent="0.25">
      <c r="A205" s="98">
        <f t="shared" si="14"/>
        <v>6</v>
      </c>
      <c r="B205" s="99"/>
      <c r="C205" s="60" t="s">
        <v>197</v>
      </c>
      <c r="D205" s="63">
        <f>(0.7*1.52+3.05*4.722+2.13*3.05+2.75*3.27+0.6*1.22+3.35*3.05+2.13*1.38+1.38*2.14+1.68*0.6+1.08*1+1.97*1+2.15*0.85)*(10.764)</f>
        <v>577.84058279999999</v>
      </c>
      <c r="E205" s="60">
        <v>0</v>
      </c>
      <c r="F205" s="60">
        <f t="shared" si="15"/>
        <v>866.76087419999999</v>
      </c>
      <c r="G205" s="82"/>
      <c r="H205" s="84"/>
      <c r="I205" s="36"/>
      <c r="L205" s="103"/>
      <c r="M205" s="103"/>
      <c r="N205" s="36"/>
    </row>
    <row r="206" spans="1:14" s="67" customFormat="1" x14ac:dyDescent="0.25">
      <c r="A206" s="98">
        <f t="shared" si="14"/>
        <v>7</v>
      </c>
      <c r="B206" s="99"/>
      <c r="C206" s="60" t="s">
        <v>197</v>
      </c>
      <c r="D206" s="63">
        <f>(0.7*1.52+3.05*4.722+2.13*3.05+2.75*3.27+0.6*1.22+3.35*3.05+2.13*1.38+1.38*2.14+1.68*0.6+1.08*1+1.97*1+2.15*0.85)*(10.764)</f>
        <v>577.84058279999999</v>
      </c>
      <c r="E206" s="60">
        <v>0</v>
      </c>
      <c r="F206" s="60">
        <f t="shared" si="15"/>
        <v>866.76087419999999</v>
      </c>
      <c r="G206" s="82"/>
      <c r="H206" s="84"/>
      <c r="I206" s="36"/>
      <c r="L206" s="103"/>
      <c r="M206" s="103"/>
      <c r="N206" s="36"/>
    </row>
    <row r="207" spans="1:14" s="67" customFormat="1" x14ac:dyDescent="0.25">
      <c r="A207" s="98">
        <f t="shared" si="14"/>
        <v>8</v>
      </c>
      <c r="B207" s="99"/>
      <c r="C207" s="60" t="s">
        <v>197</v>
      </c>
      <c r="D207" s="63">
        <f>(1.58*1.52+3.05*5.64+3.35*2.29+3.05*3.35+1.36*0.6+3.35*3.05+2.29*1.38+2.29*1.38+1.67*0.6+1.5*1.06+1.85*1.06+2.3*1.07)*(10.764)</f>
        <v>665.86642200000006</v>
      </c>
      <c r="E207" s="60">
        <v>0</v>
      </c>
      <c r="F207" s="60">
        <f t="shared" si="15"/>
        <v>998.79963300000009</v>
      </c>
      <c r="G207" s="85"/>
      <c r="H207" s="87"/>
      <c r="I207" s="36"/>
      <c r="L207" s="103"/>
      <c r="M207" s="103"/>
      <c r="N207" s="36"/>
    </row>
    <row r="208" spans="1:14" s="56" customFormat="1" x14ac:dyDescent="0.25">
      <c r="A208" s="95" t="s">
        <v>236</v>
      </c>
      <c r="B208" s="96"/>
      <c r="C208" s="96"/>
      <c r="D208" s="96"/>
      <c r="E208" s="96"/>
      <c r="F208" s="96"/>
      <c r="G208" s="96"/>
      <c r="H208" s="97"/>
      <c r="J208" s="36"/>
    </row>
    <row r="209" spans="1:14" s="56" customFormat="1" x14ac:dyDescent="0.25">
      <c r="A209" s="95" t="s">
        <v>186</v>
      </c>
      <c r="B209" s="96"/>
      <c r="C209" s="96"/>
      <c r="D209" s="96"/>
      <c r="E209" s="96"/>
      <c r="F209" s="96"/>
      <c r="G209" s="96"/>
      <c r="H209" s="97"/>
      <c r="J209" s="36"/>
    </row>
    <row r="210" spans="1:14" s="56" customFormat="1" x14ac:dyDescent="0.25">
      <c r="A210" s="95" t="s">
        <v>187</v>
      </c>
      <c r="B210" s="96"/>
      <c r="C210" s="96"/>
      <c r="D210" s="96"/>
      <c r="E210" s="96"/>
      <c r="F210" s="96"/>
      <c r="G210" s="96"/>
      <c r="H210" s="97"/>
      <c r="J210" s="36"/>
    </row>
    <row r="211" spans="1:14" s="56" customFormat="1" x14ac:dyDescent="0.25">
      <c r="A211" s="95" t="s">
        <v>201</v>
      </c>
      <c r="B211" s="96"/>
      <c r="C211" s="96"/>
      <c r="D211" s="96"/>
      <c r="E211" s="96"/>
      <c r="F211" s="96"/>
      <c r="G211" s="96"/>
      <c r="H211" s="97"/>
      <c r="J211" s="36"/>
    </row>
    <row r="212" spans="1:14" s="59" customFormat="1" ht="15" customHeight="1" x14ac:dyDescent="0.25">
      <c r="A212" s="95" t="s">
        <v>196</v>
      </c>
      <c r="B212" s="96"/>
      <c r="C212" s="96"/>
      <c r="D212" s="96"/>
      <c r="E212" s="96"/>
      <c r="F212" s="96"/>
      <c r="G212" s="96"/>
      <c r="H212" s="97"/>
      <c r="J212" s="63">
        <f>10.764</f>
        <v>10.763999999999999</v>
      </c>
    </row>
    <row r="213" spans="1:14" s="59" customFormat="1" ht="15.75" customHeight="1" x14ac:dyDescent="0.25">
      <c r="A213" s="98">
        <v>1</v>
      </c>
      <c r="B213" s="99"/>
      <c r="C213" s="58" t="s">
        <v>197</v>
      </c>
      <c r="D213" s="63">
        <f>(1.58*1.52+3.05*5.72+3.35*2.29+3.05*3.35+0.6*1.36+3.35*3.05+2.29*1.38+1.67*0.6+1.7*1+1.65*1+2.29*1.38+2.66*1.22)*(10.764)</f>
        <v>674.77040280000006</v>
      </c>
      <c r="E213" s="58">
        <v>0</v>
      </c>
      <c r="F213" s="58">
        <f>D213*(($F$149)+1)+(IF(E213&lt;101,E213,IF(E213&lt;201,E213/2,IF(E213&lt;=301,E213/3,E213/4))))</f>
        <v>1012.1556042000001</v>
      </c>
      <c r="G213" s="79" t="str">
        <f>A212</f>
        <v>2nd Podium Floor For Par Residential</v>
      </c>
      <c r="H213" s="81"/>
      <c r="I213" s="36"/>
      <c r="J213" s="59">
        <f>1.58*1.52+3.05*5.72+3.35*2.29+3.05*3.35+0.6*1.36+3.35*3.05+2.29*1.38+1.67*0.6+1.7*1+1.65*1+2.29*1.38</f>
        <v>59.44250000000001</v>
      </c>
      <c r="L213" s="103"/>
      <c r="M213" s="103"/>
      <c r="N213" s="36"/>
    </row>
    <row r="214" spans="1:14" s="59" customFormat="1" ht="15.75" customHeight="1" x14ac:dyDescent="0.25">
      <c r="A214" s="98">
        <f t="shared" ref="A214:A216" si="16">A213+1</f>
        <v>2</v>
      </c>
      <c r="B214" s="99"/>
      <c r="C214" s="58" t="s">
        <v>197</v>
      </c>
      <c r="D214" s="63">
        <f>(0.7*1.52+3.05*4.72+2.13*3.05+2.75*3.27+0.6*1.22+3.35*3.05+2.13*1.38+1.68*0.6+1.53*1+1.53*1+1.38*2.14+2.45*1)*(10.764)</f>
        <v>584.58315240000002</v>
      </c>
      <c r="E214" s="58">
        <v>0</v>
      </c>
      <c r="F214" s="58">
        <f>D214*(($F$149)+1)+(IF(E214&lt;101,E214,IF(E214&lt;201,E214/2,IF(E214&lt;=301,E214/3,E214/4))))</f>
        <v>876.87472860000003</v>
      </c>
      <c r="G214" s="82"/>
      <c r="H214" s="84"/>
      <c r="I214" s="36"/>
      <c r="L214" s="103"/>
      <c r="M214" s="103"/>
      <c r="N214" s="36"/>
    </row>
    <row r="215" spans="1:14" s="59" customFormat="1" ht="15.75" customHeight="1" x14ac:dyDescent="0.25">
      <c r="A215" s="98">
        <f t="shared" si="16"/>
        <v>3</v>
      </c>
      <c r="B215" s="99"/>
      <c r="C215" s="58" t="s">
        <v>197</v>
      </c>
      <c r="D215" s="63">
        <f>(0.7*1.52+3.05*4.72+2.13*3.05+2.75*3.27+0.6*1.22+3.35*3.05+2.13*1.38+1.68*0.6+1.53*1+1.53*1+1.38*2.14+2.45*1)*(10.764)</f>
        <v>584.58315240000002</v>
      </c>
      <c r="E215" s="58">
        <v>0</v>
      </c>
      <c r="F215" s="58">
        <f>D215*(($F$149)+1)+(IF(E215&lt;101,E215,IF(E215&lt;201,E215/2,IF(E215&lt;=301,E215/3,E215/4))))</f>
        <v>876.87472860000003</v>
      </c>
      <c r="G215" s="82"/>
      <c r="H215" s="84"/>
      <c r="I215" s="36"/>
      <c r="L215" s="103"/>
      <c r="M215" s="103"/>
      <c r="N215" s="36"/>
    </row>
    <row r="216" spans="1:14" s="59" customFormat="1" ht="15.75" customHeight="1" x14ac:dyDescent="0.25">
      <c r="A216" s="98">
        <f t="shared" si="16"/>
        <v>4</v>
      </c>
      <c r="B216" s="99"/>
      <c r="C216" s="98" t="s">
        <v>198</v>
      </c>
      <c r="D216" s="107"/>
      <c r="E216" s="107"/>
      <c r="F216" s="99"/>
      <c r="G216" s="85"/>
      <c r="H216" s="87"/>
      <c r="I216" s="36"/>
      <c r="L216" s="103"/>
      <c r="M216" s="103"/>
      <c r="N216" s="36"/>
    </row>
    <row r="217" spans="1:14" s="59" customFormat="1" ht="15" customHeight="1" x14ac:dyDescent="0.25">
      <c r="A217" s="95" t="s">
        <v>202</v>
      </c>
      <c r="B217" s="96"/>
      <c r="C217" s="96"/>
      <c r="D217" s="96"/>
      <c r="E217" s="96"/>
      <c r="F217" s="96"/>
      <c r="G217" s="96"/>
      <c r="H217" s="97"/>
      <c r="J217" s="36"/>
    </row>
    <row r="218" spans="1:14" s="59" customFormat="1" ht="15.75" customHeight="1" x14ac:dyDescent="0.25">
      <c r="A218" s="98">
        <v>1</v>
      </c>
      <c r="B218" s="99"/>
      <c r="C218" s="58" t="s">
        <v>197</v>
      </c>
      <c r="D218" s="63">
        <f>(1.58*1.52+3.05*5.72+3.35*2.29+3.05*3.35+0.6*1.36+3.35*3.05+2.29*1.38+1.67*0.6+1.7*1+1.65*1+2.29*1.38+2.66*1.22)*(10.764)</f>
        <v>674.77040280000006</v>
      </c>
      <c r="E218" s="58">
        <v>0</v>
      </c>
      <c r="F218" s="58">
        <f>D218*(($F$149)+1)+(IF(E218&lt;101,E218,IF(E218&lt;201,E218/2,IF(E218&lt;=301,E218/3,E218/4))))</f>
        <v>1012.1556042000001</v>
      </c>
      <c r="G218" s="79" t="s">
        <v>196</v>
      </c>
      <c r="H218" s="81"/>
      <c r="I218" s="36"/>
      <c r="L218" s="103"/>
      <c r="M218" s="103"/>
      <c r="N218" s="36"/>
    </row>
    <row r="219" spans="1:14" s="59" customFormat="1" ht="15.75" customHeight="1" x14ac:dyDescent="0.25">
      <c r="A219" s="98">
        <f t="shared" ref="A219:A221" si="17">A218+1</f>
        <v>2</v>
      </c>
      <c r="B219" s="99"/>
      <c r="C219" s="58" t="s">
        <v>197</v>
      </c>
      <c r="D219" s="63">
        <f>(0.7*1.52+3.05*4.72+2.13*3.05+2.75*3.27+0.6*1.22+3.35*3.05+2.13*1.38+1.68*0.6+1.53*1+1.53*1+1.38*2.14+2.45*1)*(10.764)</f>
        <v>584.58315240000002</v>
      </c>
      <c r="E219" s="58">
        <v>0</v>
      </c>
      <c r="F219" s="58">
        <f>D219*(($F$149)+1)+(IF(E219&lt;101,E219,IF(E219&lt;201,E219/2,IF(E219&lt;=301,E219/3,E219/4))))</f>
        <v>876.87472860000003</v>
      </c>
      <c r="G219" s="82"/>
      <c r="H219" s="84"/>
      <c r="I219" s="36"/>
      <c r="L219" s="103"/>
      <c r="M219" s="103"/>
      <c r="N219" s="36"/>
    </row>
    <row r="220" spans="1:14" s="59" customFormat="1" ht="15.75" customHeight="1" x14ac:dyDescent="0.25">
      <c r="A220" s="98">
        <f t="shared" si="17"/>
        <v>3</v>
      </c>
      <c r="B220" s="99"/>
      <c r="C220" s="58" t="s">
        <v>197</v>
      </c>
      <c r="D220" s="63">
        <f>(0.7*1.52+3.05*4.72+2.13*3.05+2.75*3.27+0.6*1.22+3.35*3.05+2.13*1.38+1.68*0.6+1.53*1+1.53*1+1.38*2.14+2.45*1)*(10.764)</f>
        <v>584.58315240000002</v>
      </c>
      <c r="E220" s="58">
        <v>0</v>
      </c>
      <c r="F220" s="58">
        <f>D220*(($F$149)+1)+(IF(E220&lt;101,E220,IF(E220&lt;201,E220/2,IF(E220&lt;=301,E220/3,E220/4))))</f>
        <v>876.87472860000003</v>
      </c>
      <c r="G220" s="82"/>
      <c r="H220" s="84"/>
      <c r="I220" s="36"/>
      <c r="L220" s="103"/>
      <c r="M220" s="103"/>
      <c r="N220" s="36"/>
    </row>
    <row r="221" spans="1:14" s="59" customFormat="1" ht="15.75" customHeight="1" x14ac:dyDescent="0.25">
      <c r="A221" s="98">
        <f t="shared" si="17"/>
        <v>4</v>
      </c>
      <c r="B221" s="99"/>
      <c r="C221" s="98" t="s">
        <v>198</v>
      </c>
      <c r="D221" s="107"/>
      <c r="E221" s="107"/>
      <c r="F221" s="99"/>
      <c r="G221" s="85"/>
      <c r="H221" s="87"/>
      <c r="I221" s="36"/>
      <c r="L221" s="103"/>
      <c r="M221" s="103"/>
      <c r="N221" s="36"/>
    </row>
    <row r="222" spans="1:14" s="56" customFormat="1" x14ac:dyDescent="0.25">
      <c r="A222" s="95" t="s">
        <v>188</v>
      </c>
      <c r="B222" s="96"/>
      <c r="C222" s="96"/>
      <c r="D222" s="96"/>
      <c r="E222" s="96"/>
      <c r="F222" s="96"/>
      <c r="G222" s="96"/>
      <c r="H222" s="97"/>
      <c r="J222" s="36"/>
    </row>
    <row r="223" spans="1:14" s="59" customFormat="1" ht="15.75" customHeight="1" x14ac:dyDescent="0.25">
      <c r="A223" s="98">
        <v>1</v>
      </c>
      <c r="B223" s="99"/>
      <c r="C223" s="58" t="s">
        <v>197</v>
      </c>
      <c r="D223" s="63">
        <f>(1.58*1.52+3.05*5.72+3.35*2.29+3.05*3.35+0.6*1.36+3.35*3.05+2.29*1.38+1.67*0.6+1.7*1+1.65*1+2.29*1.38+2.66*1.22)*(10.764)</f>
        <v>674.77040280000006</v>
      </c>
      <c r="E223" s="58">
        <v>0</v>
      </c>
      <c r="F223" s="58">
        <f>D223*(($F$149)+1)+(IF(E223&lt;101,E223,IF(E223&lt;201,E223/2,IF(E223&lt;=301,E223/3,E223/4))))</f>
        <v>1012.1556042000001</v>
      </c>
      <c r="G223" s="79" t="str">
        <f>A222</f>
        <v>4th Podium/ Podium Top Floor For Parking &amp; Part Residential</v>
      </c>
      <c r="H223" s="81"/>
      <c r="I223" s="36"/>
      <c r="J223" s="59">
        <f>16300000/F223</f>
        <v>16104.243193795675</v>
      </c>
      <c r="L223" s="103"/>
      <c r="M223" s="103"/>
      <c r="N223" s="36"/>
    </row>
    <row r="224" spans="1:14" s="59" customFormat="1" ht="15.75" customHeight="1" x14ac:dyDescent="0.25">
      <c r="A224" s="98">
        <f t="shared" ref="A224:A230" si="18">A223+1</f>
        <v>2</v>
      </c>
      <c r="B224" s="99"/>
      <c r="C224" s="58" t="s">
        <v>197</v>
      </c>
      <c r="D224" s="63">
        <f>(0.7*1.52+3.05*4.72+2.13*3.05+2.75*3.27+0.6*1.22+3.35*3.05+2.13*1.38+1.68*0.6+1.53*1+1.53*1+1.38*2.14+2.45*1)*(10.764)</f>
        <v>584.58315240000002</v>
      </c>
      <c r="E224" s="58">
        <v>0</v>
      </c>
      <c r="F224" s="58">
        <f>D224*(($F$149)+1)+(IF(E224&lt;101,E224,IF(E224&lt;201,E224/2,IF(E224&lt;=301,E224/3,E224/4))))</f>
        <v>876.87472860000003</v>
      </c>
      <c r="G224" s="82"/>
      <c r="H224" s="84"/>
      <c r="I224" s="36"/>
      <c r="J224" s="59">
        <f>14300000/F224</f>
        <v>16307.916665395391</v>
      </c>
      <c r="L224" s="103"/>
      <c r="M224" s="103"/>
      <c r="N224" s="36"/>
    </row>
    <row r="225" spans="1:14" s="59" customFormat="1" ht="15.75" customHeight="1" x14ac:dyDescent="0.25">
      <c r="A225" s="98">
        <f t="shared" si="18"/>
        <v>3</v>
      </c>
      <c r="B225" s="99"/>
      <c r="C225" s="58" t="s">
        <v>197</v>
      </c>
      <c r="D225" s="63">
        <f>(0.7*1.52+3.05*4.72+2.13*3.05+2.75*3.27+0.6*1.22+3.35*3.05+2.13*1.38+1.68*0.6+1.53*1+1.53*1+1.38*2.14+2.45*1)*(10.764)</f>
        <v>584.58315240000002</v>
      </c>
      <c r="E225" s="58">
        <v>0</v>
      </c>
      <c r="F225" s="58">
        <f>D225*(($F$149)+1)+(IF(E225&lt;101,E225,IF(E225&lt;201,E225/2,IF(E225&lt;=301,E225/3,E225/4))))</f>
        <v>876.87472860000003</v>
      </c>
      <c r="G225" s="82"/>
      <c r="H225" s="84"/>
      <c r="I225" s="36"/>
      <c r="L225" s="103"/>
      <c r="M225" s="103"/>
      <c r="N225" s="36"/>
    </row>
    <row r="226" spans="1:14" s="59" customFormat="1" ht="15.75" customHeight="1" x14ac:dyDescent="0.25">
      <c r="A226" s="98">
        <f t="shared" si="18"/>
        <v>4</v>
      </c>
      <c r="B226" s="99"/>
      <c r="C226" s="58" t="s">
        <v>197</v>
      </c>
      <c r="D226" s="63">
        <f>(1.58*1.52+3.05*5.64+3.35*2.29+3.05*3.35+0.6*1.36+3.35*3.05+2.29*1.38+1.67*0.6+1.7*1+1.65*1+2.29*1.38+2.66*1.22)*(10.764)</f>
        <v>672.14398679999999</v>
      </c>
      <c r="E226" s="58">
        <v>0</v>
      </c>
      <c r="F226" s="58">
        <f>D226*(($F$149)+1)+(IF(E226&lt;101,E226,IF(E226&lt;201,E226/2,IF(E226&lt;=301,E226/3,E226/4))))</f>
        <v>1008.2159802</v>
      </c>
      <c r="G226" s="82"/>
      <c r="H226" s="84"/>
      <c r="I226" s="36"/>
      <c r="L226" s="103"/>
      <c r="M226" s="103"/>
      <c r="N226" s="36"/>
    </row>
    <row r="227" spans="1:14" s="59" customFormat="1" x14ac:dyDescent="0.25">
      <c r="A227" s="98">
        <f t="shared" si="18"/>
        <v>5</v>
      </c>
      <c r="B227" s="99"/>
      <c r="C227" s="79" t="s">
        <v>203</v>
      </c>
      <c r="D227" s="80"/>
      <c r="E227" s="80"/>
      <c r="F227" s="81"/>
      <c r="G227" s="82"/>
      <c r="H227" s="84"/>
      <c r="I227" s="36"/>
      <c r="L227" s="103"/>
      <c r="M227" s="103"/>
      <c r="N227" s="36"/>
    </row>
    <row r="228" spans="1:14" s="59" customFormat="1" x14ac:dyDescent="0.25">
      <c r="A228" s="98">
        <f t="shared" si="18"/>
        <v>6</v>
      </c>
      <c r="B228" s="99"/>
      <c r="C228" s="82"/>
      <c r="D228" s="83"/>
      <c r="E228" s="83"/>
      <c r="F228" s="84"/>
      <c r="G228" s="82"/>
      <c r="H228" s="84"/>
      <c r="I228" s="36"/>
      <c r="J228" s="59">
        <f>(J224+J223+J267)/3</f>
        <v>16314.060680685259</v>
      </c>
      <c r="L228" s="103"/>
      <c r="M228" s="103"/>
      <c r="N228" s="36"/>
    </row>
    <row r="229" spans="1:14" s="59" customFormat="1" x14ac:dyDescent="0.25">
      <c r="A229" s="98">
        <f t="shared" si="18"/>
        <v>7</v>
      </c>
      <c r="B229" s="99"/>
      <c r="C229" s="82"/>
      <c r="D229" s="83"/>
      <c r="E229" s="83"/>
      <c r="F229" s="84"/>
      <c r="G229" s="82"/>
      <c r="H229" s="84"/>
      <c r="I229" s="36"/>
      <c r="L229" s="103"/>
      <c r="M229" s="103"/>
      <c r="N229" s="36"/>
    </row>
    <row r="230" spans="1:14" s="59" customFormat="1" x14ac:dyDescent="0.25">
      <c r="A230" s="98">
        <f t="shared" si="18"/>
        <v>8</v>
      </c>
      <c r="B230" s="99"/>
      <c r="C230" s="85"/>
      <c r="D230" s="86"/>
      <c r="E230" s="86"/>
      <c r="F230" s="87"/>
      <c r="G230" s="85"/>
      <c r="H230" s="87"/>
      <c r="I230" s="36"/>
      <c r="L230" s="103"/>
      <c r="M230" s="103"/>
      <c r="N230" s="36"/>
    </row>
    <row r="231" spans="1:14" s="61" customFormat="1" x14ac:dyDescent="0.25">
      <c r="A231" s="95" t="s">
        <v>207</v>
      </c>
      <c r="B231" s="96"/>
      <c r="C231" s="96"/>
      <c r="D231" s="96"/>
      <c r="E231" s="96"/>
      <c r="F231" s="96"/>
      <c r="G231" s="96"/>
      <c r="H231" s="97"/>
      <c r="J231" s="36"/>
    </row>
    <row r="232" spans="1:14" s="61" customFormat="1" ht="15.75" customHeight="1" x14ac:dyDescent="0.25">
      <c r="A232" s="98">
        <v>1</v>
      </c>
      <c r="B232" s="99"/>
      <c r="C232" s="60" t="s">
        <v>197</v>
      </c>
      <c r="D232" s="63">
        <f>(1.58*1.52+3.05*5.72+3.35*2.29+3.05*3.35+0.6*1.36+3.35*3.05+2.29*1.38+1.67*0.6+1.7*1+1.65*1+2.29*1.38+2.66*1.22)*(10.764)</f>
        <v>674.77040280000006</v>
      </c>
      <c r="E232" s="60">
        <v>0</v>
      </c>
      <c r="F232" s="60">
        <f>D232*(($F$149)+1)+(IF(E232&lt;101,E232,IF(E232&lt;201,E232/2,IF(E232&lt;=301,E232/3,E232/4))))</f>
        <v>1012.1556042000001</v>
      </c>
      <c r="G232" s="79" t="str">
        <f>A231</f>
        <v>1st Floor For Residential</v>
      </c>
      <c r="H232" s="81"/>
      <c r="I232" s="36"/>
      <c r="L232" s="103"/>
      <c r="M232" s="103"/>
      <c r="N232" s="36"/>
    </row>
    <row r="233" spans="1:14" s="61" customFormat="1" ht="15.75" customHeight="1" x14ac:dyDescent="0.25">
      <c r="A233" s="98">
        <f t="shared" ref="A233:A239" si="19">A232+1</f>
        <v>2</v>
      </c>
      <c r="B233" s="99"/>
      <c r="C233" s="60" t="s">
        <v>197</v>
      </c>
      <c r="D233" s="63">
        <f>(0.7*1.52+3.05*4.72+2.13*3.05+2.75*3.27+0.6*1.22+3.35*3.05+2.13*1.38+1.68*0.6+1.53*1+1.53*1+1.38*2.14+2.45*1)*(10.764)</f>
        <v>584.58315240000002</v>
      </c>
      <c r="E233" s="60">
        <v>0</v>
      </c>
      <c r="F233" s="60">
        <f>D233*(($F$149)+1)+(IF(E233&lt;101,E233,IF(E233&lt;201,E233/2,IF(E233&lt;=301,E233/3,E233/4))))</f>
        <v>876.87472860000003</v>
      </c>
      <c r="G233" s="82"/>
      <c r="H233" s="84"/>
      <c r="I233" s="36"/>
      <c r="L233" s="103"/>
      <c r="M233" s="103"/>
      <c r="N233" s="36"/>
    </row>
    <row r="234" spans="1:14" s="61" customFormat="1" ht="15.75" customHeight="1" x14ac:dyDescent="0.25">
      <c r="A234" s="98">
        <f t="shared" si="19"/>
        <v>3</v>
      </c>
      <c r="B234" s="99"/>
      <c r="C234" s="60" t="s">
        <v>197</v>
      </c>
      <c r="D234" s="63">
        <f>(0.7*1.52+3.05*4.72+2.13*3.05+2.75*3.27+0.6*1.22+3.35*3.05+2.13*1.38+1.68*0.6+1.53*1+1.53*1+1.38*2.14+2.45*1)*(10.764)</f>
        <v>584.58315240000002</v>
      </c>
      <c r="E234" s="60">
        <v>0</v>
      </c>
      <c r="F234" s="60">
        <f>D234*(($F$149)+1)+(IF(E234&lt;101,E234,IF(E234&lt;201,E234/2,IF(E234&lt;=301,E234/3,E234/4))))</f>
        <v>876.87472860000003</v>
      </c>
      <c r="G234" s="82"/>
      <c r="H234" s="84"/>
      <c r="I234" s="36"/>
      <c r="L234" s="103"/>
      <c r="M234" s="103"/>
      <c r="N234" s="36"/>
    </row>
    <row r="235" spans="1:14" s="61" customFormat="1" ht="15.75" customHeight="1" x14ac:dyDescent="0.25">
      <c r="A235" s="98">
        <f t="shared" si="19"/>
        <v>4</v>
      </c>
      <c r="B235" s="99"/>
      <c r="C235" s="60" t="s">
        <v>197</v>
      </c>
      <c r="D235" s="63">
        <f>(1.58*1.52+3.05*5.64+3.35*2.29+3.05*3.35+0.6*1.36+3.35*3.05+2.29*1.38+1.67*0.6+1.7*1+1.65*1+2.29*1.38+2.66*1.22)*(10.764)</f>
        <v>672.14398679999999</v>
      </c>
      <c r="E235" s="60">
        <v>0</v>
      </c>
      <c r="F235" s="60">
        <f>D235*(($F$149)+1)+(IF(E235&lt;101,E235,IF(E235&lt;201,E235/2,IF(E235&lt;=301,E235/3,E235/4))))</f>
        <v>1008.2159802</v>
      </c>
      <c r="G235" s="82"/>
      <c r="H235" s="84"/>
      <c r="I235" s="36"/>
      <c r="J235" s="61">
        <f>30*8+7*7+14</f>
        <v>303</v>
      </c>
      <c r="L235" s="103"/>
      <c r="M235" s="103"/>
      <c r="N235" s="36"/>
    </row>
    <row r="236" spans="1:14" s="61" customFormat="1" x14ac:dyDescent="0.25">
      <c r="A236" s="98">
        <f t="shared" si="19"/>
        <v>5</v>
      </c>
      <c r="B236" s="99"/>
      <c r="C236" s="79" t="s">
        <v>208</v>
      </c>
      <c r="D236" s="80"/>
      <c r="E236" s="80"/>
      <c r="F236" s="81"/>
      <c r="G236" s="82"/>
      <c r="H236" s="84"/>
      <c r="I236" s="36"/>
      <c r="L236" s="103"/>
      <c r="M236" s="103"/>
      <c r="N236" s="36"/>
    </row>
    <row r="237" spans="1:14" s="61" customFormat="1" x14ac:dyDescent="0.25">
      <c r="A237" s="98">
        <f t="shared" si="19"/>
        <v>6</v>
      </c>
      <c r="B237" s="99"/>
      <c r="C237" s="82"/>
      <c r="D237" s="83"/>
      <c r="E237" s="83"/>
      <c r="F237" s="84"/>
      <c r="G237" s="82"/>
      <c r="H237" s="84"/>
      <c r="I237" s="36"/>
      <c r="L237" s="103"/>
      <c r="M237" s="103"/>
      <c r="N237" s="36"/>
    </row>
    <row r="238" spans="1:14" s="61" customFormat="1" x14ac:dyDescent="0.25">
      <c r="A238" s="98">
        <f t="shared" si="19"/>
        <v>7</v>
      </c>
      <c r="B238" s="99"/>
      <c r="C238" s="82"/>
      <c r="D238" s="83"/>
      <c r="E238" s="83"/>
      <c r="F238" s="84"/>
      <c r="G238" s="82"/>
      <c r="H238" s="84"/>
      <c r="I238" s="36"/>
      <c r="L238" s="103"/>
      <c r="M238" s="103"/>
      <c r="N238" s="36"/>
    </row>
    <row r="239" spans="1:14" s="61" customFormat="1" x14ac:dyDescent="0.25">
      <c r="A239" s="98">
        <f t="shared" si="19"/>
        <v>8</v>
      </c>
      <c r="B239" s="99"/>
      <c r="C239" s="85"/>
      <c r="D239" s="86"/>
      <c r="E239" s="86"/>
      <c r="F239" s="87"/>
      <c r="G239" s="85"/>
      <c r="H239" s="87"/>
      <c r="I239" s="36"/>
      <c r="L239" s="103"/>
      <c r="M239" s="103"/>
      <c r="N239" s="36"/>
    </row>
    <row r="240" spans="1:14" s="61" customFormat="1" ht="32.25" customHeight="1" x14ac:dyDescent="0.25">
      <c r="A240" s="95" t="s">
        <v>209</v>
      </c>
      <c r="B240" s="96"/>
      <c r="C240" s="96"/>
      <c r="D240" s="96"/>
      <c r="E240" s="96"/>
      <c r="F240" s="96"/>
      <c r="G240" s="96"/>
      <c r="H240" s="97"/>
      <c r="J240" s="36"/>
    </row>
    <row r="241" spans="1:14" s="61" customFormat="1" ht="15.75" customHeight="1" x14ac:dyDescent="0.25">
      <c r="A241" s="98">
        <v>1</v>
      </c>
      <c r="B241" s="99"/>
      <c r="C241" s="60" t="s">
        <v>197</v>
      </c>
      <c r="D241" s="63">
        <f>(1.58*1.52+3.05*5.72+3.35*2.29+3.05*3.35+0.6*1.36+3.35*3.05+2.29*1.38+1.67*0.6+1.7*1+1.65*1+2.29*1.38+2.66*1.22)*(10.764)</f>
        <v>674.77040280000006</v>
      </c>
      <c r="E241" s="60">
        <v>0</v>
      </c>
      <c r="F241" s="60">
        <f t="shared" ref="F241:F248" si="20">D241*(($F$149)+1)+(IF(E241&lt;101,E241,IF(E241&lt;201,E241/2,IF(E241&lt;=301,E241/3,E241/4))))</f>
        <v>1012.1556042000001</v>
      </c>
      <c r="G241" s="79" t="str">
        <f>A240</f>
        <v>2nd, 4th to 7th, 9th to 12th, 14th to 17th, 19th to 22nd,
 24th to 27th, 29th to 32nd &amp; 34th to 37th Floor</v>
      </c>
      <c r="H241" s="81"/>
      <c r="I241" s="36"/>
      <c r="L241" s="103"/>
      <c r="M241" s="103"/>
      <c r="N241" s="36"/>
    </row>
    <row r="242" spans="1:14" s="61" customFormat="1" ht="15.75" customHeight="1" x14ac:dyDescent="0.25">
      <c r="A242" s="98">
        <f t="shared" ref="A242:A248" si="21">A241+1</f>
        <v>2</v>
      </c>
      <c r="B242" s="99"/>
      <c r="C242" s="60" t="s">
        <v>197</v>
      </c>
      <c r="D242" s="63">
        <f>(0.7*1.52+3.05*4.72+2.13*3.05+2.75*3.27+0.6*1.22+3.35*3.05+2.13*1.38+1.68*0.6+1.53*1+1.53*1+1.38*2.14+2.45*1)*(10.764)</f>
        <v>584.58315240000002</v>
      </c>
      <c r="E242" s="60">
        <v>0</v>
      </c>
      <c r="F242" s="60">
        <f t="shared" si="20"/>
        <v>876.87472860000003</v>
      </c>
      <c r="G242" s="82"/>
      <c r="H242" s="84"/>
      <c r="I242" s="36"/>
      <c r="L242" s="103"/>
      <c r="M242" s="103"/>
      <c r="N242" s="36"/>
    </row>
    <row r="243" spans="1:14" s="61" customFormat="1" ht="15.75" customHeight="1" x14ac:dyDescent="0.25">
      <c r="A243" s="98">
        <f t="shared" si="21"/>
        <v>3</v>
      </c>
      <c r="B243" s="99"/>
      <c r="C243" s="60" t="s">
        <v>197</v>
      </c>
      <c r="D243" s="63">
        <f>(0.7*1.52+3.05*4.72+2.13*3.05+2.75*3.27+0.6*1.22+3.35*3.05+2.13*1.38+1.68*0.6+1.53*1+1.53*1+1.38*2.14+2.45*1)*(10.764)</f>
        <v>584.58315240000002</v>
      </c>
      <c r="E243" s="60">
        <v>0</v>
      </c>
      <c r="F243" s="60">
        <f t="shared" si="20"/>
        <v>876.87472860000003</v>
      </c>
      <c r="G243" s="82"/>
      <c r="H243" s="84"/>
      <c r="I243" s="36"/>
      <c r="L243" s="103"/>
      <c r="M243" s="103"/>
      <c r="N243" s="36"/>
    </row>
    <row r="244" spans="1:14" s="61" customFormat="1" ht="15.75" customHeight="1" x14ac:dyDescent="0.25">
      <c r="A244" s="98">
        <f t="shared" si="21"/>
        <v>4</v>
      </c>
      <c r="B244" s="99"/>
      <c r="C244" s="60" t="s">
        <v>197</v>
      </c>
      <c r="D244" s="63">
        <f>(1.58*1.52+3.05*5.64+3.35*2.29+3.05*3.35+0.6*1.36+3.35*3.05+2.29*1.38+1.67*0.6+1.7*1+1.65*1+2.29*1.38+2.66*1.22)*(10.764)</f>
        <v>672.14398679999999</v>
      </c>
      <c r="E244" s="60">
        <v>0</v>
      </c>
      <c r="F244" s="60">
        <f t="shared" si="20"/>
        <v>1008.2159802</v>
      </c>
      <c r="G244" s="82"/>
      <c r="H244" s="84"/>
      <c r="I244" s="36"/>
      <c r="L244" s="103"/>
      <c r="M244" s="103"/>
      <c r="N244" s="36"/>
    </row>
    <row r="245" spans="1:14" s="61" customFormat="1" ht="15.75" customHeight="1" x14ac:dyDescent="0.25">
      <c r="A245" s="98">
        <f t="shared" si="21"/>
        <v>5</v>
      </c>
      <c r="B245" s="99"/>
      <c r="C245" s="60" t="s">
        <v>197</v>
      </c>
      <c r="D245" s="63">
        <f>(1.58*1.52+3.05*5.64+3.35*2.29+3.05*3.35+0.6*1.36+3.35*3.05+2.29*1.38+1.67*0.6+1.7*1+1.65*1+2.29*1.38+2.66*1.22)*(10.764)</f>
        <v>672.14398679999999</v>
      </c>
      <c r="E245" s="60">
        <v>0</v>
      </c>
      <c r="F245" s="60">
        <f t="shared" si="20"/>
        <v>1008.2159802</v>
      </c>
      <c r="G245" s="82"/>
      <c r="H245" s="84"/>
      <c r="I245" s="36"/>
      <c r="L245" s="103"/>
      <c r="M245" s="103"/>
      <c r="N245" s="36"/>
    </row>
    <row r="246" spans="1:14" s="61" customFormat="1" x14ac:dyDescent="0.25">
      <c r="A246" s="98">
        <f t="shared" si="21"/>
        <v>6</v>
      </c>
      <c r="B246" s="99"/>
      <c r="C246" s="60" t="s">
        <v>197</v>
      </c>
      <c r="D246" s="63">
        <f>(0.7*1.52+3.05*4.72+2.13*3.05+2.75*3.27+0.6*1.22+3.35*3.05+2.13*1.38+1.68*0.6+1.53*1+1.53*1+1.38*2.14+2.45*1)*(10.764)</f>
        <v>584.58315240000002</v>
      </c>
      <c r="E246" s="60">
        <v>0</v>
      </c>
      <c r="F246" s="60">
        <f t="shared" si="20"/>
        <v>876.87472860000003</v>
      </c>
      <c r="G246" s="82"/>
      <c r="H246" s="84"/>
      <c r="I246" s="36"/>
      <c r="L246" s="103"/>
      <c r="M246" s="103"/>
      <c r="N246" s="36"/>
    </row>
    <row r="247" spans="1:14" s="61" customFormat="1" x14ac:dyDescent="0.25">
      <c r="A247" s="98">
        <f t="shared" si="21"/>
        <v>7</v>
      </c>
      <c r="B247" s="99"/>
      <c r="C247" s="60" t="s">
        <v>197</v>
      </c>
      <c r="D247" s="63">
        <f>(0.7*1.52+3.05*4.72+2.13*3.05+2.75*3.27+0.6*1.22+3.35*3.05+2.13*1.38+1.68*0.6+1.53*1+1.53*1+1.38*2.14+2.45*1)*(10.764)</f>
        <v>584.58315240000002</v>
      </c>
      <c r="E247" s="60">
        <v>0</v>
      </c>
      <c r="F247" s="60">
        <f t="shared" si="20"/>
        <v>876.87472860000003</v>
      </c>
      <c r="G247" s="82"/>
      <c r="H247" s="84"/>
      <c r="I247" s="36"/>
      <c r="L247" s="103"/>
      <c r="M247" s="103"/>
      <c r="N247" s="36"/>
    </row>
    <row r="248" spans="1:14" s="61" customFormat="1" x14ac:dyDescent="0.25">
      <c r="A248" s="98">
        <f t="shared" si="21"/>
        <v>8</v>
      </c>
      <c r="B248" s="99"/>
      <c r="C248" s="60" t="s">
        <v>197</v>
      </c>
      <c r="D248" s="63">
        <f>(1.58*1.52+3.05*5.64+3.35*2.29+3.05*3.35+0.6*1.36+3.35*3.05+2.29*1.38+1.67*0.6+1.7*1+1.65*1+2.29*1.38+2.66*1.22)*(10.764)</f>
        <v>672.14398679999999</v>
      </c>
      <c r="E248" s="60">
        <v>0</v>
      </c>
      <c r="F248" s="60">
        <f t="shared" si="20"/>
        <v>1008.2159802</v>
      </c>
      <c r="G248" s="85"/>
      <c r="H248" s="87"/>
      <c r="I248" s="36"/>
      <c r="L248" s="103"/>
      <c r="M248" s="103"/>
      <c r="N248" s="36"/>
    </row>
    <row r="249" spans="1:14" s="61" customFormat="1" x14ac:dyDescent="0.25">
      <c r="A249" s="95" t="s">
        <v>219</v>
      </c>
      <c r="B249" s="96"/>
      <c r="C249" s="96"/>
      <c r="D249" s="96"/>
      <c r="E249" s="96"/>
      <c r="F249" s="96"/>
      <c r="G249" s="96"/>
      <c r="H249" s="97"/>
      <c r="J249" s="36"/>
    </row>
    <row r="250" spans="1:14" s="61" customFormat="1" ht="15.75" customHeight="1" x14ac:dyDescent="0.25">
      <c r="A250" s="98">
        <v>1</v>
      </c>
      <c r="B250" s="99"/>
      <c r="C250" s="60" t="s">
        <v>197</v>
      </c>
      <c r="D250" s="63">
        <f>(1.58*1.52+3.05*5.72+3.35*2.29+3.05*3.35+0.6*1.36+3.35*3.05+2.29*1.38+1.67*0.6+1.7*1+1.65*1+2.29*1.38+2.66*1.22)*(10.764)</f>
        <v>674.77040280000006</v>
      </c>
      <c r="E250" s="60">
        <v>0</v>
      </c>
      <c r="F250" s="60">
        <f>D250*(($F$149)+1)+(IF(E250&lt;101,E250,IF(E250&lt;201,E250/2,IF(E250&lt;=301,E250/3,E250/4))))</f>
        <v>1012.1556042000001</v>
      </c>
      <c r="G250" s="79" t="str">
        <f>A249</f>
        <v>3rd, 8th, 13th, 18th, 23rd, 28th, 33rd &amp; 38th Floor (Part Refuge Area)</v>
      </c>
      <c r="H250" s="81"/>
      <c r="I250" s="36"/>
      <c r="L250" s="103"/>
      <c r="M250" s="103"/>
      <c r="N250" s="36"/>
    </row>
    <row r="251" spans="1:14" s="61" customFormat="1" ht="15.75" customHeight="1" x14ac:dyDescent="0.25">
      <c r="A251" s="98">
        <f t="shared" ref="A251:A257" si="22">A250+1</f>
        <v>2</v>
      </c>
      <c r="B251" s="99"/>
      <c r="C251" s="98" t="s">
        <v>210</v>
      </c>
      <c r="D251" s="107"/>
      <c r="E251" s="107"/>
      <c r="F251" s="99"/>
      <c r="G251" s="82"/>
      <c r="H251" s="84"/>
      <c r="I251" s="36"/>
      <c r="L251" s="103"/>
      <c r="M251" s="103"/>
      <c r="N251" s="36"/>
    </row>
    <row r="252" spans="1:14" s="61" customFormat="1" ht="15.75" customHeight="1" x14ac:dyDescent="0.25">
      <c r="A252" s="98">
        <f t="shared" si="22"/>
        <v>3</v>
      </c>
      <c r="B252" s="99"/>
      <c r="C252" s="60" t="s">
        <v>197</v>
      </c>
      <c r="D252" s="63">
        <f>(0.7*1.52+3.05*4.72+2.13*3.05+2.75*3.27+0.6*1.22+3.35*3.05+2.13*1.38+1.68*0.6+1.53*1+1.53*1+1.38*2.14+2.45*1)*(10.764)</f>
        <v>584.58315240000002</v>
      </c>
      <c r="E252" s="60">
        <v>0</v>
      </c>
      <c r="F252" s="60">
        <f t="shared" ref="F252:F257" si="23">D252*(($F$149)+1)+(IF(E252&lt;101,E252,IF(E252&lt;201,E252/2,IF(E252&lt;=301,E252/3,E252/4))))</f>
        <v>876.87472860000003</v>
      </c>
      <c r="G252" s="82"/>
      <c r="H252" s="84"/>
      <c r="I252" s="36"/>
      <c r="L252" s="103"/>
      <c r="M252" s="103"/>
      <c r="N252" s="36"/>
    </row>
    <row r="253" spans="1:14" s="61" customFormat="1" ht="15.75" customHeight="1" x14ac:dyDescent="0.25">
      <c r="A253" s="98">
        <f t="shared" si="22"/>
        <v>4</v>
      </c>
      <c r="B253" s="99"/>
      <c r="C253" s="60" t="s">
        <v>197</v>
      </c>
      <c r="D253" s="63">
        <f>(1.58*1.52+3.05*5.64+3.35*2.29+3.05*3.35+0.6*1.36+3.35*3.05+2.29*1.38+1.67*0.6+1.7*1+1.65*1+2.29*1.38+2.66*1.22)*(10.764)</f>
        <v>672.14398679999999</v>
      </c>
      <c r="E253" s="60">
        <v>0</v>
      </c>
      <c r="F253" s="60">
        <f t="shared" si="23"/>
        <v>1008.2159802</v>
      </c>
      <c r="G253" s="82"/>
      <c r="H253" s="84"/>
      <c r="I253" s="36"/>
      <c r="L253" s="103"/>
      <c r="M253" s="103"/>
      <c r="N253" s="36"/>
    </row>
    <row r="254" spans="1:14" s="61" customFormat="1" ht="15.75" customHeight="1" x14ac:dyDescent="0.25">
      <c r="A254" s="98">
        <f t="shared" si="22"/>
        <v>5</v>
      </c>
      <c r="B254" s="99"/>
      <c r="C254" s="60" t="s">
        <v>197</v>
      </c>
      <c r="D254" s="63">
        <f>(1.58*1.52+3.05*5.64+3.35*2.29+3.05*3.35+0.6*1.36+3.35*3.05+2.29*1.38+1.67*0.6+1.7*1+1.65*1+2.29*1.38+2.66*1.22)*(10.764)</f>
        <v>672.14398679999999</v>
      </c>
      <c r="E254" s="60">
        <v>0</v>
      </c>
      <c r="F254" s="60">
        <f t="shared" si="23"/>
        <v>1008.2159802</v>
      </c>
      <c r="G254" s="82"/>
      <c r="H254" s="84"/>
      <c r="I254" s="36"/>
      <c r="L254" s="103"/>
      <c r="M254" s="103"/>
      <c r="N254" s="36"/>
    </row>
    <row r="255" spans="1:14" s="61" customFormat="1" x14ac:dyDescent="0.25">
      <c r="A255" s="98">
        <f t="shared" si="22"/>
        <v>6</v>
      </c>
      <c r="B255" s="99"/>
      <c r="C255" s="60" t="s">
        <v>197</v>
      </c>
      <c r="D255" s="63">
        <f>(0.7*1.52+3.05*4.72+2.13*3.05+2.75*3.27+0.6*1.22+3.35*3.05+2.13*1.38+1.68*0.6+1.53*1+1.53*1+1.38*2.14+2.45*1)*(10.764)</f>
        <v>584.58315240000002</v>
      </c>
      <c r="E255" s="60">
        <v>0</v>
      </c>
      <c r="F255" s="60">
        <f t="shared" si="23"/>
        <v>876.87472860000003</v>
      </c>
      <c r="G255" s="82"/>
      <c r="H255" s="84"/>
      <c r="I255" s="36"/>
      <c r="L255" s="103"/>
      <c r="M255" s="103"/>
      <c r="N255" s="36"/>
    </row>
    <row r="256" spans="1:14" s="61" customFormat="1" x14ac:dyDescent="0.25">
      <c r="A256" s="98">
        <f t="shared" si="22"/>
        <v>7</v>
      </c>
      <c r="B256" s="99"/>
      <c r="C256" s="60" t="s">
        <v>197</v>
      </c>
      <c r="D256" s="63">
        <f>(0.7*1.52+3.05*4.72+2.13*3.05+2.75*3.27+0.6*1.22+3.35*3.05+2.13*1.38+1.68*0.6+1.53*1+1.53*1+1.38*2.14+2.45*1)*(10.764)</f>
        <v>584.58315240000002</v>
      </c>
      <c r="E256" s="60">
        <v>0</v>
      </c>
      <c r="F256" s="60">
        <f t="shared" si="23"/>
        <v>876.87472860000003</v>
      </c>
      <c r="G256" s="82"/>
      <c r="H256" s="84"/>
      <c r="I256" s="36"/>
      <c r="L256" s="103"/>
      <c r="M256" s="103"/>
      <c r="N256" s="36"/>
    </row>
    <row r="257" spans="1:14" s="61" customFormat="1" x14ac:dyDescent="0.25">
      <c r="A257" s="98">
        <f t="shared" si="22"/>
        <v>8</v>
      </c>
      <c r="B257" s="99"/>
      <c r="C257" s="60" t="s">
        <v>197</v>
      </c>
      <c r="D257" s="63">
        <f>(1.58*1.52+3.05*5.64+3.35*2.29+3.05*3.35+0.6*1.36+3.35*3.05+2.29*1.38+1.67*0.6+1.7*1+1.65*1+2.29*1.38+2.66*1.22)*(10.764)</f>
        <v>672.14398679999999</v>
      </c>
      <c r="E257" s="60">
        <v>0</v>
      </c>
      <c r="F257" s="60">
        <f t="shared" si="23"/>
        <v>1008.2159802</v>
      </c>
      <c r="G257" s="85"/>
      <c r="H257" s="87"/>
      <c r="I257" s="36"/>
      <c r="L257" s="103"/>
      <c r="M257" s="103"/>
      <c r="N257" s="36"/>
    </row>
    <row r="258" spans="1:14" s="59" customFormat="1" x14ac:dyDescent="0.25">
      <c r="A258" s="95" t="s">
        <v>237</v>
      </c>
      <c r="B258" s="96"/>
      <c r="C258" s="96"/>
      <c r="D258" s="96"/>
      <c r="E258" s="96"/>
      <c r="F258" s="96"/>
      <c r="G258" s="96"/>
      <c r="H258" s="97"/>
      <c r="J258" s="36"/>
    </row>
    <row r="259" spans="1:14" s="59" customFormat="1" x14ac:dyDescent="0.25">
      <c r="A259" s="95" t="s">
        <v>186</v>
      </c>
      <c r="B259" s="96"/>
      <c r="C259" s="96"/>
      <c r="D259" s="96"/>
      <c r="E259" s="96"/>
      <c r="F259" s="96"/>
      <c r="G259" s="96"/>
      <c r="H259" s="97"/>
      <c r="J259" s="36"/>
    </row>
    <row r="260" spans="1:14" s="59" customFormat="1" x14ac:dyDescent="0.25">
      <c r="A260" s="95" t="s">
        <v>187</v>
      </c>
      <c r="B260" s="96"/>
      <c r="C260" s="96"/>
      <c r="D260" s="96"/>
      <c r="E260" s="96"/>
      <c r="F260" s="96"/>
      <c r="G260" s="96"/>
      <c r="H260" s="97"/>
      <c r="J260" s="36"/>
    </row>
    <row r="261" spans="1:14" s="59" customFormat="1" x14ac:dyDescent="0.25">
      <c r="A261" s="95" t="s">
        <v>201</v>
      </c>
      <c r="B261" s="96"/>
      <c r="C261" s="96"/>
      <c r="D261" s="96"/>
      <c r="E261" s="96"/>
      <c r="F261" s="96"/>
      <c r="G261" s="96"/>
      <c r="H261" s="97"/>
      <c r="J261" s="36"/>
    </row>
    <row r="262" spans="1:14" s="59" customFormat="1" ht="15" customHeight="1" x14ac:dyDescent="0.25">
      <c r="A262" s="95" t="s">
        <v>196</v>
      </c>
      <c r="B262" s="96"/>
      <c r="C262" s="96"/>
      <c r="D262" s="96"/>
      <c r="E262" s="96"/>
      <c r="F262" s="96"/>
      <c r="G262" s="96"/>
      <c r="H262" s="97"/>
      <c r="J262" s="36"/>
    </row>
    <row r="263" spans="1:14" s="59" customFormat="1" ht="15.75" customHeight="1" x14ac:dyDescent="0.25">
      <c r="A263" s="98">
        <v>1</v>
      </c>
      <c r="B263" s="99"/>
      <c r="C263" s="79" t="s">
        <v>198</v>
      </c>
      <c r="D263" s="80"/>
      <c r="E263" s="80"/>
      <c r="F263" s="81"/>
      <c r="G263" s="79" t="str">
        <f>A262</f>
        <v>2nd Podium Floor For Par Residential</v>
      </c>
      <c r="H263" s="81"/>
      <c r="I263" s="36"/>
      <c r="L263" s="103"/>
      <c r="M263" s="103"/>
      <c r="N263" s="36"/>
    </row>
    <row r="264" spans="1:14" s="59" customFormat="1" ht="15.75" customHeight="1" x14ac:dyDescent="0.25">
      <c r="A264" s="98">
        <f t="shared" ref="A264:A270" si="24">A263+1</f>
        <v>2</v>
      </c>
      <c r="B264" s="99"/>
      <c r="C264" s="82"/>
      <c r="D264" s="83"/>
      <c r="E264" s="83"/>
      <c r="F264" s="84"/>
      <c r="G264" s="82" t="str">
        <f t="shared" ref="G264:G270" si="25">G263</f>
        <v>2nd Podium Floor For Par Residential</v>
      </c>
      <c r="H264" s="84"/>
      <c r="I264" s="36"/>
      <c r="L264" s="103"/>
      <c r="M264" s="103"/>
      <c r="N264" s="36"/>
    </row>
    <row r="265" spans="1:14" s="59" customFormat="1" ht="15.75" customHeight="1" x14ac:dyDescent="0.25">
      <c r="A265" s="98">
        <f t="shared" si="24"/>
        <v>3</v>
      </c>
      <c r="B265" s="99"/>
      <c r="C265" s="82"/>
      <c r="D265" s="83"/>
      <c r="E265" s="83"/>
      <c r="F265" s="84"/>
      <c r="G265" s="82" t="str">
        <f t="shared" si="25"/>
        <v>2nd Podium Floor For Par Residential</v>
      </c>
      <c r="H265" s="84"/>
      <c r="I265" s="36"/>
      <c r="L265" s="103"/>
      <c r="M265" s="103"/>
      <c r="N265" s="36"/>
    </row>
    <row r="266" spans="1:14" s="59" customFormat="1" ht="15.75" customHeight="1" x14ac:dyDescent="0.25">
      <c r="A266" s="98">
        <f t="shared" si="24"/>
        <v>4</v>
      </c>
      <c r="B266" s="99"/>
      <c r="C266" s="85"/>
      <c r="D266" s="86"/>
      <c r="E266" s="86"/>
      <c r="F266" s="87"/>
      <c r="G266" s="82" t="str">
        <f t="shared" si="25"/>
        <v>2nd Podium Floor For Par Residential</v>
      </c>
      <c r="H266" s="84"/>
      <c r="I266" s="36"/>
      <c r="L266" s="103"/>
      <c r="M266" s="103"/>
      <c r="N266" s="36"/>
    </row>
    <row r="267" spans="1:14" s="59" customFormat="1" ht="15.75" customHeight="1" x14ac:dyDescent="0.25">
      <c r="A267" s="98">
        <f t="shared" si="24"/>
        <v>5</v>
      </c>
      <c r="B267" s="99"/>
      <c r="C267" s="58" t="s">
        <v>199</v>
      </c>
      <c r="D267" s="63">
        <f>(0.8*1.53+3.35*5.8+3.35*2.29+3.05*3.5+3*(1.38*2.14)+3.82*3.06+1.76*0.6+3.05*3.25+1.6*1.53+3.45*1+3.35*1.22)*(10.764)</f>
        <v>866.53213920000007</v>
      </c>
      <c r="E267" s="62">
        <v>0</v>
      </c>
      <c r="F267" s="58">
        <f>D267*(($F$149)+1)+(IF(E267&lt;101,E267,IF(E267&lt;201,E267/2,IF(E267&lt;=301,E267/3,E267/4))))</f>
        <v>1299.7982088000001</v>
      </c>
      <c r="G267" s="82" t="str">
        <f t="shared" si="25"/>
        <v>2nd Podium Floor For Par Residential</v>
      </c>
      <c r="H267" s="84"/>
      <c r="I267" s="36"/>
      <c r="J267" s="59">
        <f>18900000/F268</f>
        <v>16530.022182864712</v>
      </c>
      <c r="L267" s="103"/>
      <c r="M267" s="103"/>
      <c r="N267" s="36"/>
    </row>
    <row r="268" spans="1:14" s="59" customFormat="1" ht="15.75" customHeight="1" x14ac:dyDescent="0.25">
      <c r="A268" s="98">
        <f t="shared" si="24"/>
        <v>6</v>
      </c>
      <c r="B268" s="99"/>
      <c r="C268" s="58" t="s">
        <v>200</v>
      </c>
      <c r="D268" s="63">
        <f>(3.05*5.2+1.13*2.53+2.13*3.52+2.44*2.53+3.05*3.65+1.38*2.29+3.35*3.05+2*(2.13*1.38)+4.8*1.05+2.8*1.07)*(10.764)</f>
        <v>762.24943080000003</v>
      </c>
      <c r="E268" s="62">
        <v>0</v>
      </c>
      <c r="F268" s="58">
        <f>D268*(($F$149)+1)+(IF(E268&lt;101,E268,IF(E268&lt;201,E268/2,IF(E268&lt;=301,E268/3,E268/4))))</f>
        <v>1143.3741462</v>
      </c>
      <c r="G268" s="82" t="str">
        <f t="shared" si="25"/>
        <v>2nd Podium Floor For Par Residential</v>
      </c>
      <c r="H268" s="84"/>
      <c r="I268" s="36"/>
      <c r="L268" s="103"/>
      <c r="M268" s="103"/>
      <c r="N268" s="36"/>
    </row>
    <row r="269" spans="1:14" s="59" customFormat="1" ht="15.75" customHeight="1" x14ac:dyDescent="0.25">
      <c r="A269" s="98">
        <f t="shared" si="24"/>
        <v>7</v>
      </c>
      <c r="B269" s="99"/>
      <c r="C269" s="58" t="s">
        <v>200</v>
      </c>
      <c r="D269" s="63">
        <f>(3.05*5.2+1.13*2.53+2.13*3.52+2.44*2.53+3.05*3.65+1.38*2.29+3.35*3.05+2*(2.13*1.38)+4.8*1.05+2.8*1.07)*(10.764)</f>
        <v>762.24943080000003</v>
      </c>
      <c r="E269" s="62">
        <v>0</v>
      </c>
      <c r="F269" s="58">
        <f>D269*(($F$149)+1)+(IF(E269&lt;101,E269,IF(E269&lt;201,E269/2,IF(E269&lt;=301,E269/3,E269/4))))</f>
        <v>1143.3741462</v>
      </c>
      <c r="G269" s="82" t="str">
        <f t="shared" si="25"/>
        <v>2nd Podium Floor For Par Residential</v>
      </c>
      <c r="H269" s="84"/>
      <c r="I269" s="36"/>
      <c r="L269" s="103"/>
      <c r="M269" s="103"/>
      <c r="N269" s="36"/>
    </row>
    <row r="270" spans="1:14" s="59" customFormat="1" ht="15.75" customHeight="1" x14ac:dyDescent="0.25">
      <c r="A270" s="98">
        <f t="shared" si="24"/>
        <v>8</v>
      </c>
      <c r="B270" s="99"/>
      <c r="C270" s="98" t="s">
        <v>198</v>
      </c>
      <c r="D270" s="107"/>
      <c r="E270" s="107"/>
      <c r="F270" s="99"/>
      <c r="G270" s="85" t="str">
        <f t="shared" si="25"/>
        <v>2nd Podium Floor For Par Residential</v>
      </c>
      <c r="H270" s="87"/>
      <c r="I270" s="36"/>
      <c r="L270" s="103"/>
      <c r="M270" s="103"/>
      <c r="N270" s="36"/>
    </row>
    <row r="271" spans="1:14" s="59" customFormat="1" ht="15" customHeight="1" x14ac:dyDescent="0.25">
      <c r="A271" s="95" t="s">
        <v>204</v>
      </c>
      <c r="B271" s="96"/>
      <c r="C271" s="96"/>
      <c r="D271" s="96"/>
      <c r="E271" s="96"/>
      <c r="F271" s="96"/>
      <c r="G271" s="96"/>
      <c r="H271" s="97"/>
      <c r="J271" s="36"/>
    </row>
    <row r="272" spans="1:14" s="59" customFormat="1" ht="15.75" customHeight="1" x14ac:dyDescent="0.25">
      <c r="A272" s="98">
        <v>1</v>
      </c>
      <c r="B272" s="99"/>
      <c r="C272" s="79" t="s">
        <v>198</v>
      </c>
      <c r="D272" s="80"/>
      <c r="E272" s="80"/>
      <c r="F272" s="81"/>
      <c r="G272" s="79" t="str">
        <f>A271</f>
        <v>3rd Podium Floor For Part Residential</v>
      </c>
      <c r="H272" s="81"/>
      <c r="I272" s="36"/>
      <c r="L272" s="103"/>
      <c r="M272" s="103"/>
      <c r="N272" s="36"/>
    </row>
    <row r="273" spans="1:14" s="59" customFormat="1" ht="15.75" customHeight="1" x14ac:dyDescent="0.25">
      <c r="A273" s="98">
        <f t="shared" ref="A273:A279" si="26">A272+1</f>
        <v>2</v>
      </c>
      <c r="B273" s="99"/>
      <c r="C273" s="82"/>
      <c r="D273" s="83"/>
      <c r="E273" s="83"/>
      <c r="F273" s="84"/>
      <c r="G273" s="82" t="str">
        <f t="shared" ref="G273:G279" si="27">G272</f>
        <v>3rd Podium Floor For Part Residential</v>
      </c>
      <c r="H273" s="84"/>
      <c r="I273" s="36"/>
      <c r="L273" s="103"/>
      <c r="M273" s="103"/>
      <c r="N273" s="36"/>
    </row>
    <row r="274" spans="1:14" s="59" customFormat="1" ht="15.75" customHeight="1" x14ac:dyDescent="0.25">
      <c r="A274" s="98">
        <f t="shared" si="26"/>
        <v>3</v>
      </c>
      <c r="B274" s="99"/>
      <c r="C274" s="82"/>
      <c r="D274" s="83"/>
      <c r="E274" s="83"/>
      <c r="F274" s="84"/>
      <c r="G274" s="82" t="str">
        <f t="shared" si="27"/>
        <v>3rd Podium Floor For Part Residential</v>
      </c>
      <c r="H274" s="84"/>
      <c r="I274" s="36"/>
      <c r="L274" s="103"/>
      <c r="M274" s="103"/>
      <c r="N274" s="36"/>
    </row>
    <row r="275" spans="1:14" s="59" customFormat="1" ht="15.75" customHeight="1" x14ac:dyDescent="0.25">
      <c r="A275" s="98">
        <f t="shared" si="26"/>
        <v>4</v>
      </c>
      <c r="B275" s="99"/>
      <c r="C275" s="85"/>
      <c r="D275" s="86"/>
      <c r="E275" s="86"/>
      <c r="F275" s="87"/>
      <c r="G275" s="82" t="str">
        <f t="shared" si="27"/>
        <v>3rd Podium Floor For Part Residential</v>
      </c>
      <c r="H275" s="84"/>
      <c r="I275" s="36"/>
      <c r="L275" s="103"/>
      <c r="M275" s="103"/>
      <c r="N275" s="36"/>
    </row>
    <row r="276" spans="1:14" s="59" customFormat="1" ht="15.75" customHeight="1" x14ac:dyDescent="0.25">
      <c r="A276" s="98">
        <f t="shared" si="26"/>
        <v>5</v>
      </c>
      <c r="B276" s="99"/>
      <c r="C276" s="58" t="s">
        <v>199</v>
      </c>
      <c r="D276" s="63">
        <f>(0.8*1.53+3.35*5.8+3.35*2.29+3.05*3.5+3*(1.38*2.14)+3.82*3.06+1.76*0.6+3.05*3.25+1.6*1.53+3.45*1+3.35*1.22)*(10.764)</f>
        <v>866.53213920000007</v>
      </c>
      <c r="E276" s="62">
        <v>0</v>
      </c>
      <c r="F276" s="58">
        <f>D276*(($F$149)+1)+(IF(E276&lt;101,E276,IF(E276&lt;201,E276/2,IF(E276&lt;=301,E276/3,E276/4))))</f>
        <v>1299.7982088000001</v>
      </c>
      <c r="G276" s="82" t="str">
        <f t="shared" si="27"/>
        <v>3rd Podium Floor For Part Residential</v>
      </c>
      <c r="H276" s="84"/>
      <c r="I276" s="36"/>
      <c r="L276" s="103"/>
      <c r="M276" s="103"/>
      <c r="N276" s="36"/>
    </row>
    <row r="277" spans="1:14" s="59" customFormat="1" ht="15.75" customHeight="1" x14ac:dyDescent="0.25">
      <c r="A277" s="98">
        <f t="shared" si="26"/>
        <v>6</v>
      </c>
      <c r="B277" s="99"/>
      <c r="C277" s="58" t="s">
        <v>200</v>
      </c>
      <c r="D277" s="63">
        <f>(3.05*5.2+1.13*2.53+2.13*3.52+2.44*2.53+3.05*3.65+1.38*2.29+3.35*3.05+2*(2.13*1.38)+4.8*1.05+2.8*1.07)*(10.764)</f>
        <v>762.24943080000003</v>
      </c>
      <c r="E277" s="62">
        <v>0</v>
      </c>
      <c r="F277" s="58">
        <f>D277*(($F$149)+1)+(IF(E277&lt;101,E277,IF(E277&lt;201,E277/2,IF(E277&lt;=301,E277/3,E277/4))))</f>
        <v>1143.3741462</v>
      </c>
      <c r="G277" s="82" t="str">
        <f t="shared" si="27"/>
        <v>3rd Podium Floor For Part Residential</v>
      </c>
      <c r="H277" s="84"/>
      <c r="I277" s="36"/>
      <c r="L277" s="103"/>
      <c r="M277" s="103"/>
      <c r="N277" s="36"/>
    </row>
    <row r="278" spans="1:14" s="59" customFormat="1" ht="15.75" customHeight="1" x14ac:dyDescent="0.25">
      <c r="A278" s="98">
        <f t="shared" si="26"/>
        <v>7</v>
      </c>
      <c r="B278" s="99"/>
      <c r="C278" s="58" t="s">
        <v>200</v>
      </c>
      <c r="D278" s="63">
        <f>(3.05*5.2+1.13*2.53+2.13*3.52+2.44*2.53+3.05*3.65+1.38*2.29+3.35*3.05+2*(2.13*1.38)+4.8*1.05+2.8*1.07)*(10.764)</f>
        <v>762.24943080000003</v>
      </c>
      <c r="E278" s="62">
        <v>0</v>
      </c>
      <c r="F278" s="58">
        <f>D278*(($F$149)+1)+(IF(E278&lt;101,E278,IF(E278&lt;201,E278/2,IF(E278&lt;=301,E278/3,E278/4))))</f>
        <v>1143.3741462</v>
      </c>
      <c r="G278" s="82" t="str">
        <f t="shared" si="27"/>
        <v>3rd Podium Floor For Part Residential</v>
      </c>
      <c r="H278" s="84"/>
      <c r="I278" s="36"/>
      <c r="L278" s="103"/>
      <c r="M278" s="103"/>
      <c r="N278" s="36"/>
    </row>
    <row r="279" spans="1:14" s="59" customFormat="1" ht="15.75" customHeight="1" x14ac:dyDescent="0.25">
      <c r="A279" s="98">
        <f t="shared" si="26"/>
        <v>8</v>
      </c>
      <c r="B279" s="99"/>
      <c r="C279" s="98" t="s">
        <v>198</v>
      </c>
      <c r="D279" s="107"/>
      <c r="E279" s="107"/>
      <c r="F279" s="99"/>
      <c r="G279" s="85" t="str">
        <f t="shared" si="27"/>
        <v>3rd Podium Floor For Part Residential</v>
      </c>
      <c r="H279" s="87"/>
      <c r="I279" s="36"/>
      <c r="L279" s="103"/>
      <c r="M279" s="103"/>
      <c r="N279" s="36"/>
    </row>
    <row r="280" spans="1:14" s="61" customFormat="1" ht="15" customHeight="1" x14ac:dyDescent="0.25">
      <c r="A280" s="95" t="s">
        <v>214</v>
      </c>
      <c r="B280" s="96"/>
      <c r="C280" s="96"/>
      <c r="D280" s="96"/>
      <c r="E280" s="96"/>
      <c r="F280" s="96"/>
      <c r="G280" s="96"/>
      <c r="H280" s="97"/>
      <c r="J280" s="36"/>
    </row>
    <row r="281" spans="1:14" s="61" customFormat="1" ht="15.75" customHeight="1" x14ac:dyDescent="0.25">
      <c r="A281" s="98">
        <v>1</v>
      </c>
      <c r="B281" s="99"/>
      <c r="C281" s="79" t="s">
        <v>205</v>
      </c>
      <c r="D281" s="80"/>
      <c r="E281" s="80"/>
      <c r="F281" s="81"/>
      <c r="G281" s="79" t="str">
        <f>A280</f>
        <v>4th Podium/ Top Podium Floor For Part Residential</v>
      </c>
      <c r="H281" s="81"/>
      <c r="I281" s="36"/>
      <c r="L281" s="103"/>
      <c r="M281" s="103"/>
      <c r="N281" s="36"/>
    </row>
    <row r="282" spans="1:14" s="61" customFormat="1" ht="15.75" customHeight="1" x14ac:dyDescent="0.25">
      <c r="A282" s="98">
        <f t="shared" ref="A282:A288" si="28">A281+1</f>
        <v>2</v>
      </c>
      <c r="B282" s="99"/>
      <c r="C282" s="82"/>
      <c r="D282" s="83"/>
      <c r="E282" s="83"/>
      <c r="F282" s="84"/>
      <c r="G282" s="82"/>
      <c r="H282" s="84"/>
      <c r="I282" s="36"/>
      <c r="L282" s="103"/>
      <c r="M282" s="103"/>
      <c r="N282" s="36"/>
    </row>
    <row r="283" spans="1:14" s="61" customFormat="1" ht="15.75" customHeight="1" x14ac:dyDescent="0.25">
      <c r="A283" s="98">
        <f t="shared" si="28"/>
        <v>3</v>
      </c>
      <c r="B283" s="99"/>
      <c r="C283" s="82"/>
      <c r="D283" s="83"/>
      <c r="E283" s="83"/>
      <c r="F283" s="84"/>
      <c r="G283" s="82"/>
      <c r="H283" s="84"/>
      <c r="I283" s="36"/>
      <c r="L283" s="103"/>
      <c r="M283" s="103"/>
      <c r="N283" s="36"/>
    </row>
    <row r="284" spans="1:14" s="61" customFormat="1" ht="15.75" customHeight="1" x14ac:dyDescent="0.25">
      <c r="A284" s="98">
        <f t="shared" si="28"/>
        <v>4</v>
      </c>
      <c r="B284" s="99"/>
      <c r="C284" s="85"/>
      <c r="D284" s="86"/>
      <c r="E284" s="86"/>
      <c r="F284" s="87"/>
      <c r="G284" s="82"/>
      <c r="H284" s="84"/>
      <c r="I284" s="36"/>
      <c r="L284" s="103"/>
      <c r="M284" s="103"/>
      <c r="N284" s="36"/>
    </row>
    <row r="285" spans="1:14" s="61" customFormat="1" ht="15.75" customHeight="1" x14ac:dyDescent="0.25">
      <c r="A285" s="98">
        <f t="shared" si="28"/>
        <v>5</v>
      </c>
      <c r="B285" s="99"/>
      <c r="C285" s="60" t="s">
        <v>199</v>
      </c>
      <c r="D285" s="63">
        <f>(0.8*1.53+3.35*5.8+3.35*2.29+3.05*3.5+3*(1.38*2.14)+3.82*3.06+1.76*0.6+3.05*3.25+1.6*1.53+3.45*1+3.35*1.22)*(10.764)</f>
        <v>866.53213920000007</v>
      </c>
      <c r="E285" s="62">
        <v>0</v>
      </c>
      <c r="F285" s="60">
        <f>D285*(($F$149)+1)+(IF(E285&lt;101,E285,IF(E285&lt;201,E285/2,IF(E285&lt;=301,E285/3,E285/4))))</f>
        <v>1299.7982088000001</v>
      </c>
      <c r="G285" s="82"/>
      <c r="H285" s="84"/>
      <c r="I285" s="36"/>
      <c r="L285" s="103"/>
      <c r="M285" s="103"/>
      <c r="N285" s="36"/>
    </row>
    <row r="286" spans="1:14" s="61" customFormat="1" ht="15.75" customHeight="1" x14ac:dyDescent="0.25">
      <c r="A286" s="98">
        <f t="shared" si="28"/>
        <v>6</v>
      </c>
      <c r="B286" s="99"/>
      <c r="C286" s="60" t="s">
        <v>200</v>
      </c>
      <c r="D286" s="63">
        <f>(3.05*5.2+1.13*2.53+2.13*3.52+2.44*2.53+3.05*3.65+1.38*2.29+3.35*3.05+2*(2.13*1.38)+4.8*1.05+2.8*1.07)*(10.764)</f>
        <v>762.24943080000003</v>
      </c>
      <c r="E286" s="62">
        <v>0</v>
      </c>
      <c r="F286" s="60">
        <f>D286*(($F$149)+1)+(IF(E286&lt;101,E286,IF(E286&lt;201,E286/2,IF(E286&lt;=301,E286/3,E286/4))))</f>
        <v>1143.3741462</v>
      </c>
      <c r="G286" s="82"/>
      <c r="H286" s="84"/>
      <c r="I286" s="36"/>
      <c r="L286" s="103"/>
      <c r="M286" s="103"/>
      <c r="N286" s="36"/>
    </row>
    <row r="287" spans="1:14" s="61" customFormat="1" ht="15.75" customHeight="1" x14ac:dyDescent="0.25">
      <c r="A287" s="98">
        <f t="shared" si="28"/>
        <v>7</v>
      </c>
      <c r="B287" s="99"/>
      <c r="C287" s="60" t="s">
        <v>200</v>
      </c>
      <c r="D287" s="63">
        <f>(3.05*5.2+1.13*2.53+2.13*3.52+2.44*2.53+3.05*3.65+1.38*2.29+3.35*3.05+2*(2.13*1.38)+4.8*1.05+2.8*1.07)*(10.764)</f>
        <v>762.24943080000003</v>
      </c>
      <c r="E287" s="62">
        <v>0</v>
      </c>
      <c r="F287" s="60">
        <f>D287*(($F$149)+1)+(IF(E287&lt;101,E287,IF(E287&lt;201,E287/2,IF(E287&lt;=301,E287/3,E287/4))))</f>
        <v>1143.3741462</v>
      </c>
      <c r="G287" s="82"/>
      <c r="H287" s="84"/>
      <c r="I287" s="36"/>
      <c r="L287" s="103"/>
      <c r="M287" s="103"/>
      <c r="N287" s="36"/>
    </row>
    <row r="288" spans="1:14" s="61" customFormat="1" ht="15.75" customHeight="1" x14ac:dyDescent="0.25">
      <c r="A288" s="98">
        <f t="shared" si="28"/>
        <v>8</v>
      </c>
      <c r="B288" s="99"/>
      <c r="C288" s="98" t="s">
        <v>206</v>
      </c>
      <c r="D288" s="107"/>
      <c r="E288" s="107"/>
      <c r="F288" s="99"/>
      <c r="G288" s="85"/>
      <c r="H288" s="87"/>
      <c r="I288" s="36"/>
      <c r="L288" s="103"/>
      <c r="M288" s="103"/>
      <c r="N288" s="36"/>
    </row>
    <row r="289" spans="1:14" s="61" customFormat="1" ht="15" customHeight="1" x14ac:dyDescent="0.25">
      <c r="A289" s="95" t="s">
        <v>211</v>
      </c>
      <c r="B289" s="96"/>
      <c r="C289" s="96"/>
      <c r="D289" s="96"/>
      <c r="E289" s="96"/>
      <c r="F289" s="96"/>
      <c r="G289" s="96"/>
      <c r="H289" s="97"/>
      <c r="J289" s="36"/>
    </row>
    <row r="290" spans="1:14" s="61" customFormat="1" ht="15.75" customHeight="1" x14ac:dyDescent="0.25">
      <c r="A290" s="98">
        <v>1</v>
      </c>
      <c r="B290" s="99"/>
      <c r="C290" s="79" t="s">
        <v>208</v>
      </c>
      <c r="D290" s="80">
        <f>(0.8*1.53+3.35*5.8+3.35*2.29+3.05*3.5+3*(1.38*2.14)+3.82*3.06+1.76*0.6+3.05*3.25+1.6*1.53+3.45*1+3.35*1.22)*(10.764)</f>
        <v>866.53213920000007</v>
      </c>
      <c r="E290" s="80">
        <v>0</v>
      </c>
      <c r="F290" s="81">
        <f t="shared" ref="F290:F297" si="29">D290*(($F$149)+1)+(IF(E290&lt;101,E290,IF(E290&lt;201,E290/2,IF(E290&lt;=301,E290/3,E290/4))))</f>
        <v>1299.7982088000001</v>
      </c>
      <c r="G290" s="79" t="str">
        <f>A289</f>
        <v>1st Floor</v>
      </c>
      <c r="H290" s="81"/>
      <c r="I290" s="36"/>
      <c r="L290" s="103"/>
      <c r="M290" s="103"/>
      <c r="N290" s="36"/>
    </row>
    <row r="291" spans="1:14" s="61" customFormat="1" ht="15.75" customHeight="1" x14ac:dyDescent="0.25">
      <c r="A291" s="98">
        <f t="shared" ref="A291:A297" si="30">A290+1</f>
        <v>2</v>
      </c>
      <c r="B291" s="99"/>
      <c r="C291" s="82" t="s">
        <v>200</v>
      </c>
      <c r="D291" s="83">
        <f>(3.05*5.2+1.13*2.53+2.13*3.52+2.44*2.53+3.05*3.65+1.38*2.29+3.35*3.05+2*(2.13*1.38)+4.8*1.05+2.8*1.07)*(10.764)</f>
        <v>762.24943080000003</v>
      </c>
      <c r="E291" s="83">
        <v>0</v>
      </c>
      <c r="F291" s="84">
        <f t="shared" si="29"/>
        <v>1143.3741462</v>
      </c>
      <c r="G291" s="82" t="str">
        <f t="shared" ref="G291:G297" si="31">G290</f>
        <v>1st Floor</v>
      </c>
      <c r="H291" s="84"/>
      <c r="I291" s="36"/>
      <c r="L291" s="103"/>
      <c r="M291" s="103"/>
      <c r="N291" s="36"/>
    </row>
    <row r="292" spans="1:14" s="61" customFormat="1" ht="15.75" customHeight="1" x14ac:dyDescent="0.25">
      <c r="A292" s="98">
        <f t="shared" si="30"/>
        <v>3</v>
      </c>
      <c r="B292" s="99"/>
      <c r="C292" s="82" t="s">
        <v>200</v>
      </c>
      <c r="D292" s="83">
        <f>(3.05*5.2+1.13*2.53+2.13*3.52+2.44*2.53+3.05*3.65+1.38*2.29+3.35*3.05+2*(2.13*1.38)+4.8*1.05+2.8*1.07)*(10.764)</f>
        <v>762.24943080000003</v>
      </c>
      <c r="E292" s="83">
        <v>0</v>
      </c>
      <c r="F292" s="84">
        <f t="shared" si="29"/>
        <v>1143.3741462</v>
      </c>
      <c r="G292" s="82" t="str">
        <f t="shared" si="31"/>
        <v>1st Floor</v>
      </c>
      <c r="H292" s="84"/>
      <c r="I292" s="36"/>
      <c r="L292" s="103"/>
      <c r="M292" s="103"/>
      <c r="N292" s="36"/>
    </row>
    <row r="293" spans="1:14" s="61" customFormat="1" ht="15.75" customHeight="1" x14ac:dyDescent="0.25">
      <c r="A293" s="98">
        <f t="shared" si="30"/>
        <v>4</v>
      </c>
      <c r="B293" s="99"/>
      <c r="C293" s="85" t="s">
        <v>199</v>
      </c>
      <c r="D293" s="86">
        <f>(0.8*1.53+3.35*5.8+3.35*2.29+3.05*3.5+3*(1.38*2.14)+3.82*3.06+1.76*0.6+3.05*3.25+1.6*1.53+3.45*1+3.35*1.22)*(10.764)</f>
        <v>866.53213920000007</v>
      </c>
      <c r="E293" s="86">
        <v>0</v>
      </c>
      <c r="F293" s="87">
        <f t="shared" si="29"/>
        <v>1299.7982088000001</v>
      </c>
      <c r="G293" s="82" t="str">
        <f t="shared" si="31"/>
        <v>1st Floor</v>
      </c>
      <c r="H293" s="84"/>
      <c r="I293" s="36"/>
      <c r="L293" s="103"/>
      <c r="M293" s="103"/>
      <c r="N293" s="36"/>
    </row>
    <row r="294" spans="1:14" s="61" customFormat="1" ht="15.75" customHeight="1" x14ac:dyDescent="0.25">
      <c r="A294" s="98">
        <f t="shared" si="30"/>
        <v>5</v>
      </c>
      <c r="B294" s="99"/>
      <c r="C294" s="60" t="s">
        <v>199</v>
      </c>
      <c r="D294" s="63">
        <f>(0.8*1.53+3.35*5.8+3.35*2.29+3.05*3.5+3*(1.38*2.14)+3.82*3.06+1.76*0.6+3.05*3.25+1.6*1.53+3.45*1+3.35*1.22)*(10.764)</f>
        <v>866.53213920000007</v>
      </c>
      <c r="E294" s="62">
        <v>0</v>
      </c>
      <c r="F294" s="60">
        <f t="shared" si="29"/>
        <v>1299.7982088000001</v>
      </c>
      <c r="G294" s="82" t="str">
        <f t="shared" si="31"/>
        <v>1st Floor</v>
      </c>
      <c r="H294" s="84"/>
      <c r="I294" s="36"/>
      <c r="L294" s="103"/>
      <c r="M294" s="103"/>
      <c r="N294" s="36"/>
    </row>
    <row r="295" spans="1:14" s="61" customFormat="1" ht="15.75" customHeight="1" x14ac:dyDescent="0.25">
      <c r="A295" s="98">
        <f t="shared" si="30"/>
        <v>6</v>
      </c>
      <c r="B295" s="99"/>
      <c r="C295" s="60" t="s">
        <v>200</v>
      </c>
      <c r="D295" s="63">
        <f>(3.05*5.2+1.13*2.53+2.13*3.52+2.44*2.53+3.05*3.65+1.38*2.29+3.35*3.05+2*(2.13*1.38)+4.8*1.05+2.8*1.07)*(10.764)</f>
        <v>762.24943080000003</v>
      </c>
      <c r="E295" s="62">
        <v>0</v>
      </c>
      <c r="F295" s="60">
        <f t="shared" si="29"/>
        <v>1143.3741462</v>
      </c>
      <c r="G295" s="82" t="str">
        <f t="shared" si="31"/>
        <v>1st Floor</v>
      </c>
      <c r="H295" s="84"/>
      <c r="I295" s="36"/>
      <c r="L295" s="103"/>
      <c r="M295" s="103"/>
      <c r="N295" s="36"/>
    </row>
    <row r="296" spans="1:14" s="61" customFormat="1" ht="15.75" customHeight="1" x14ac:dyDescent="0.25">
      <c r="A296" s="98">
        <f t="shared" si="30"/>
        <v>7</v>
      </c>
      <c r="B296" s="99"/>
      <c r="C296" s="60" t="s">
        <v>200</v>
      </c>
      <c r="D296" s="63">
        <f>(3.05*5.2+1.13*2.53+2.13*3.52+2.44*2.53+3.05*3.65+1.38*2.29+3.35*3.05+2*(2.13*1.38)+4.8*1.05+2.8*1.07)*(10.764)</f>
        <v>762.24943080000003</v>
      </c>
      <c r="E296" s="62">
        <v>0</v>
      </c>
      <c r="F296" s="60">
        <f t="shared" si="29"/>
        <v>1143.3741462</v>
      </c>
      <c r="G296" s="82" t="str">
        <f t="shared" si="31"/>
        <v>1st Floor</v>
      </c>
      <c r="H296" s="84"/>
      <c r="I296" s="36"/>
      <c r="L296" s="103"/>
      <c r="M296" s="103"/>
      <c r="N296" s="36"/>
    </row>
    <row r="297" spans="1:14" s="61" customFormat="1" ht="15.75" customHeight="1" x14ac:dyDescent="0.25">
      <c r="A297" s="98">
        <f t="shared" si="30"/>
        <v>8</v>
      </c>
      <c r="B297" s="99"/>
      <c r="C297" s="60" t="s">
        <v>199</v>
      </c>
      <c r="D297" s="63">
        <f>(0.8*1.53+3.35*5.8+3.35*2.29+3.05*3.5+3*(1.38*2.14)+3.82*3.06+1.76*0.6+3.05*3.25+1.6*1.53+3.45*1+3.35*1.22)*(10.764)</f>
        <v>866.53213920000007</v>
      </c>
      <c r="E297" s="62">
        <v>0</v>
      </c>
      <c r="F297" s="60">
        <f t="shared" si="29"/>
        <v>1299.7982088000001</v>
      </c>
      <c r="G297" s="85" t="str">
        <f t="shared" si="31"/>
        <v>1st Floor</v>
      </c>
      <c r="H297" s="87"/>
      <c r="I297" s="36"/>
      <c r="L297" s="103"/>
      <c r="M297" s="103"/>
      <c r="N297" s="36"/>
    </row>
    <row r="298" spans="1:14" s="61" customFormat="1" ht="30.75" customHeight="1" x14ac:dyDescent="0.25">
      <c r="A298" s="95" t="s">
        <v>209</v>
      </c>
      <c r="B298" s="96"/>
      <c r="C298" s="96"/>
      <c r="D298" s="96"/>
      <c r="E298" s="96"/>
      <c r="F298" s="96"/>
      <c r="G298" s="96"/>
      <c r="H298" s="97"/>
      <c r="J298" s="36"/>
    </row>
    <row r="299" spans="1:14" s="61" customFormat="1" ht="15.75" customHeight="1" x14ac:dyDescent="0.25">
      <c r="A299" s="98">
        <v>1</v>
      </c>
      <c r="B299" s="99"/>
      <c r="C299" s="60" t="s">
        <v>199</v>
      </c>
      <c r="D299" s="63">
        <f>(0.8*1.53+3.35*5.8+3.35*2.29+3.05*3.5+3*(1.38*2.14)+3.82*3.06+1.76*0.6+3.05*3.25+1.6*1.53+3.45*1+3.35*1.22)*(10.764)</f>
        <v>866.53213920000007</v>
      </c>
      <c r="E299" s="62">
        <v>0</v>
      </c>
      <c r="F299" s="60">
        <f t="shared" ref="F299:F306" si="32">D299*(($F$149)+1)+(IF(E299&lt;101,E299,IF(E299&lt;201,E299/2,IF(E299&lt;=301,E299/3,E299/4))))</f>
        <v>1299.7982088000001</v>
      </c>
      <c r="G299" s="79" t="str">
        <f>A298</f>
        <v>2nd, 4th to 7th, 9th to 12th, 14th to 17th, 19th to 22nd,
 24th to 27th, 29th to 32nd &amp; 34th to 37th Floor</v>
      </c>
      <c r="H299" s="81"/>
      <c r="I299" s="36"/>
      <c r="L299" s="103"/>
      <c r="M299" s="103"/>
      <c r="N299" s="36"/>
    </row>
    <row r="300" spans="1:14" s="61" customFormat="1" ht="15.75" customHeight="1" x14ac:dyDescent="0.25">
      <c r="A300" s="98">
        <f t="shared" ref="A300:A306" si="33">A299+1</f>
        <v>2</v>
      </c>
      <c r="B300" s="99"/>
      <c r="C300" s="60" t="s">
        <v>200</v>
      </c>
      <c r="D300" s="63">
        <f>(3.05*5.2+1.13*2.53+2.13*3.52+2.44*2.53+3.05*3.65+1.38*2.29+3.35*3.05+2*(2.13*1.38)+4.8*1.05+2.8*1.07)*(10.764)</f>
        <v>762.24943080000003</v>
      </c>
      <c r="E300" s="62">
        <v>0</v>
      </c>
      <c r="F300" s="60">
        <f t="shared" si="32"/>
        <v>1143.3741462</v>
      </c>
      <c r="G300" s="82" t="str">
        <f t="shared" ref="G300:G306" si="34">G299</f>
        <v>2nd, 4th to 7th, 9th to 12th, 14th to 17th, 19th to 22nd,
 24th to 27th, 29th to 32nd &amp; 34th to 37th Floor</v>
      </c>
      <c r="H300" s="84"/>
      <c r="I300" s="36"/>
      <c r="L300" s="103"/>
      <c r="M300" s="103"/>
      <c r="N300" s="36"/>
    </row>
    <row r="301" spans="1:14" s="61" customFormat="1" ht="15.75" customHeight="1" x14ac:dyDescent="0.25">
      <c r="A301" s="98">
        <f t="shared" si="33"/>
        <v>3</v>
      </c>
      <c r="B301" s="99"/>
      <c r="C301" s="60" t="s">
        <v>200</v>
      </c>
      <c r="D301" s="63">
        <f>(3.05*5.2+1.13*2.53+2.13*3.52+2.44*2.53+3.05*3.65+1.38*2.29+3.35*3.05+2*(2.13*1.38)+4.8*1.05+2.8*1.07)*(10.764)</f>
        <v>762.24943080000003</v>
      </c>
      <c r="E301" s="62">
        <v>0</v>
      </c>
      <c r="F301" s="60">
        <f t="shared" si="32"/>
        <v>1143.3741462</v>
      </c>
      <c r="G301" s="82" t="str">
        <f t="shared" si="34"/>
        <v>2nd, 4th to 7th, 9th to 12th, 14th to 17th, 19th to 22nd,
 24th to 27th, 29th to 32nd &amp; 34th to 37th Floor</v>
      </c>
      <c r="H301" s="84"/>
      <c r="I301" s="36"/>
      <c r="L301" s="103"/>
      <c r="M301" s="103"/>
      <c r="N301" s="36"/>
    </row>
    <row r="302" spans="1:14" s="61" customFormat="1" ht="15.75" customHeight="1" x14ac:dyDescent="0.25">
      <c r="A302" s="98">
        <f t="shared" si="33"/>
        <v>4</v>
      </c>
      <c r="B302" s="99"/>
      <c r="C302" s="60" t="s">
        <v>199</v>
      </c>
      <c r="D302" s="63">
        <f>(0.8*1.53+3.35*5.8+3.35*2.29+3.05*3.5+3*(1.38*2.14)+3.82*3.06+1.76*0.6+3.05*3.25+1.6*1.53+3.45*1+3.35*1.22)*(10.764)</f>
        <v>866.53213920000007</v>
      </c>
      <c r="E302" s="62">
        <v>0</v>
      </c>
      <c r="F302" s="60">
        <f t="shared" si="32"/>
        <v>1299.7982088000001</v>
      </c>
      <c r="G302" s="82" t="str">
        <f t="shared" si="34"/>
        <v>2nd, 4th to 7th, 9th to 12th, 14th to 17th, 19th to 22nd,
 24th to 27th, 29th to 32nd &amp; 34th to 37th Floor</v>
      </c>
      <c r="H302" s="84"/>
      <c r="I302" s="36"/>
      <c r="L302" s="103"/>
      <c r="M302" s="103"/>
      <c r="N302" s="36"/>
    </row>
    <row r="303" spans="1:14" s="61" customFormat="1" ht="15.75" customHeight="1" x14ac:dyDescent="0.25">
      <c r="A303" s="98">
        <f t="shared" si="33"/>
        <v>5</v>
      </c>
      <c r="B303" s="99"/>
      <c r="C303" s="60" t="s">
        <v>199</v>
      </c>
      <c r="D303" s="63">
        <f>(0.8*1.53+3.35*5.8+3.35*2.29+3.05*3.5+3*(1.38*2.14)+3.82*3.06+1.76*0.6+3.05*3.25+1.6*1.53+3.45*1+3.35*1.22)*(10.764)</f>
        <v>866.53213920000007</v>
      </c>
      <c r="E303" s="62">
        <v>0</v>
      </c>
      <c r="F303" s="60">
        <f t="shared" si="32"/>
        <v>1299.7982088000001</v>
      </c>
      <c r="G303" s="82" t="str">
        <f t="shared" si="34"/>
        <v>2nd, 4th to 7th, 9th to 12th, 14th to 17th, 19th to 22nd,
 24th to 27th, 29th to 32nd &amp; 34th to 37th Floor</v>
      </c>
      <c r="H303" s="84"/>
      <c r="I303" s="36"/>
      <c r="L303" s="103"/>
      <c r="M303" s="103"/>
      <c r="N303" s="36"/>
    </row>
    <row r="304" spans="1:14" s="61" customFormat="1" ht="15.75" customHeight="1" x14ac:dyDescent="0.25">
      <c r="A304" s="98">
        <f t="shared" si="33"/>
        <v>6</v>
      </c>
      <c r="B304" s="99"/>
      <c r="C304" s="60" t="s">
        <v>200</v>
      </c>
      <c r="D304" s="63">
        <f>(3.05*5.2+1.13*2.53+2.13*3.52+2.44*2.53+3.05*3.65+1.38*2.29+3.35*3.05+2*(2.13*1.38)+4.8*1.05+2.8*1.07)*(10.764)</f>
        <v>762.24943080000003</v>
      </c>
      <c r="E304" s="62">
        <v>0</v>
      </c>
      <c r="F304" s="60">
        <f t="shared" si="32"/>
        <v>1143.3741462</v>
      </c>
      <c r="G304" s="82" t="str">
        <f t="shared" si="34"/>
        <v>2nd, 4th to 7th, 9th to 12th, 14th to 17th, 19th to 22nd,
 24th to 27th, 29th to 32nd &amp; 34th to 37th Floor</v>
      </c>
      <c r="H304" s="84"/>
      <c r="I304" s="36"/>
      <c r="L304" s="103"/>
      <c r="M304" s="103"/>
      <c r="N304" s="36"/>
    </row>
    <row r="305" spans="1:14" s="61" customFormat="1" ht="15.75" customHeight="1" x14ac:dyDescent="0.25">
      <c r="A305" s="98">
        <f t="shared" si="33"/>
        <v>7</v>
      </c>
      <c r="B305" s="99"/>
      <c r="C305" s="60" t="s">
        <v>200</v>
      </c>
      <c r="D305" s="63">
        <f>(3.05*5.2+1.13*2.53+2.13*3.52+2.44*2.53+3.05*3.65+1.38*2.29+3.35*3.05+2*(2.13*1.38)+4.8*1.05+2.8*1.07)*(10.764)</f>
        <v>762.24943080000003</v>
      </c>
      <c r="E305" s="62">
        <v>0</v>
      </c>
      <c r="F305" s="60">
        <f t="shared" si="32"/>
        <v>1143.3741462</v>
      </c>
      <c r="G305" s="82" t="str">
        <f t="shared" si="34"/>
        <v>2nd, 4th to 7th, 9th to 12th, 14th to 17th, 19th to 22nd,
 24th to 27th, 29th to 32nd &amp; 34th to 37th Floor</v>
      </c>
      <c r="H305" s="84"/>
      <c r="I305" s="36"/>
      <c r="L305" s="103"/>
      <c r="M305" s="103"/>
      <c r="N305" s="36"/>
    </row>
    <row r="306" spans="1:14" s="61" customFormat="1" ht="15.75" customHeight="1" x14ac:dyDescent="0.25">
      <c r="A306" s="98">
        <f t="shared" si="33"/>
        <v>8</v>
      </c>
      <c r="B306" s="99"/>
      <c r="C306" s="60" t="s">
        <v>199</v>
      </c>
      <c r="D306" s="63">
        <f>(0.8*1.53+3.35*5.8+3.35*2.29+3.05*3.5+3*(1.38*2.14)+3.82*3.06+1.76*0.6+3.05*3.25+1.6*1.53+3.45*1+3.35*1.22)*(10.764)</f>
        <v>866.53213920000007</v>
      </c>
      <c r="E306" s="62">
        <v>0</v>
      </c>
      <c r="F306" s="60">
        <f t="shared" si="32"/>
        <v>1299.7982088000001</v>
      </c>
      <c r="G306" s="85" t="str">
        <f t="shared" si="34"/>
        <v>2nd, 4th to 7th, 9th to 12th, 14th to 17th, 19th to 22nd,
 24th to 27th, 29th to 32nd &amp; 34th to 37th Floor</v>
      </c>
      <c r="H306" s="87"/>
      <c r="I306" s="36"/>
      <c r="L306" s="103"/>
      <c r="M306" s="103"/>
      <c r="N306" s="36"/>
    </row>
    <row r="307" spans="1:14" s="61" customFormat="1" x14ac:dyDescent="0.25">
      <c r="A307" s="95" t="s">
        <v>219</v>
      </c>
      <c r="B307" s="96"/>
      <c r="C307" s="96"/>
      <c r="D307" s="96"/>
      <c r="E307" s="96"/>
      <c r="F307" s="96"/>
      <c r="G307" s="96"/>
      <c r="H307" s="97"/>
      <c r="J307" s="36">
        <f>30*8+7*7+8+9</f>
        <v>306</v>
      </c>
    </row>
    <row r="308" spans="1:14" s="61" customFormat="1" ht="15.75" customHeight="1" x14ac:dyDescent="0.25">
      <c r="A308" s="98">
        <v>1</v>
      </c>
      <c r="B308" s="99"/>
      <c r="C308" s="60" t="s">
        <v>199</v>
      </c>
      <c r="D308" s="63">
        <f>(0.8*1.53+3.35*5.8+3.35*2.29+3.05*3.5+3*(1.38*2.14)+3.82*3.06+1.76*0.6+3.05*3.25+1.6*1.53+3.45*1+3.35*1.22)*(10.764)</f>
        <v>866.53213920000007</v>
      </c>
      <c r="E308" s="62">
        <v>0</v>
      </c>
      <c r="F308" s="60">
        <f t="shared" ref="F308:F315" si="35">D308*(($F$149)+1)+(IF(E308&lt;101,E308,IF(E308&lt;201,E308/2,IF(E308&lt;=301,E308/3,E308/4))))</f>
        <v>1299.7982088000001</v>
      </c>
      <c r="G308" s="79" t="str">
        <f>A307</f>
        <v>3rd, 8th, 13th, 18th, 23rd, 28th, 33rd &amp; 38th Floor (Part Refuge Area)</v>
      </c>
      <c r="H308" s="81"/>
      <c r="I308" s="36"/>
      <c r="L308" s="103"/>
      <c r="M308" s="103"/>
      <c r="N308" s="36"/>
    </row>
    <row r="309" spans="1:14" s="61" customFormat="1" ht="15.75" customHeight="1" x14ac:dyDescent="0.25">
      <c r="A309" s="98">
        <f t="shared" ref="A309:A315" si="36">A308+1</f>
        <v>2</v>
      </c>
      <c r="B309" s="99"/>
      <c r="C309" s="60" t="s">
        <v>200</v>
      </c>
      <c r="D309" s="63">
        <f>(3.05*5.2+1.13*2.53+2.13*3.52+2.44*2.53+3.05*3.65+1.38*2.29+3.35*3.05+2*(2.13*1.38)+4.8*1.05+2.8*1.07)*(10.764)</f>
        <v>762.24943080000003</v>
      </c>
      <c r="E309" s="62">
        <v>0</v>
      </c>
      <c r="F309" s="60">
        <f t="shared" si="35"/>
        <v>1143.3741462</v>
      </c>
      <c r="G309" s="82" t="str">
        <f t="shared" ref="G309:G315" si="37">G308</f>
        <v>3rd, 8th, 13th, 18th, 23rd, 28th, 33rd &amp; 38th Floor (Part Refuge Area)</v>
      </c>
      <c r="H309" s="84"/>
      <c r="I309" s="36"/>
      <c r="L309" s="103"/>
      <c r="M309" s="103"/>
      <c r="N309" s="36"/>
    </row>
    <row r="310" spans="1:14" s="61" customFormat="1" ht="15.75" customHeight="1" x14ac:dyDescent="0.25">
      <c r="A310" s="98">
        <f t="shared" si="36"/>
        <v>3</v>
      </c>
      <c r="B310" s="99"/>
      <c r="C310" s="60" t="s">
        <v>200</v>
      </c>
      <c r="D310" s="63">
        <f>(3.05*5.2+1.13*2.53+2.13*3.52+2.44*2.53+3.05*3.65+1.38*2.29+3.35*3.05+2*(2.13*1.38)+4.8*1.05+2.8*1.07)*(10.764)</f>
        <v>762.24943080000003</v>
      </c>
      <c r="E310" s="62">
        <v>0</v>
      </c>
      <c r="F310" s="60">
        <f t="shared" si="35"/>
        <v>1143.3741462</v>
      </c>
      <c r="G310" s="82" t="str">
        <f t="shared" si="37"/>
        <v>3rd, 8th, 13th, 18th, 23rd, 28th, 33rd &amp; 38th Floor (Part Refuge Area)</v>
      </c>
      <c r="H310" s="84"/>
      <c r="I310" s="36"/>
      <c r="L310" s="103"/>
      <c r="M310" s="103"/>
      <c r="N310" s="36"/>
    </row>
    <row r="311" spans="1:14" s="61" customFormat="1" ht="15.75" customHeight="1" x14ac:dyDescent="0.25">
      <c r="A311" s="98">
        <f t="shared" si="36"/>
        <v>4</v>
      </c>
      <c r="B311" s="99"/>
      <c r="C311" s="60" t="s">
        <v>199</v>
      </c>
      <c r="D311" s="63">
        <f>(0.8*1.53+3.35*5.8+3.35*2.29+3.05*3.5+3*(1.38*2.14)+3.82*3.06+1.76*0.6+3.05*3.25+1.6*1.53+3.45*1+3.35*1.22)*(10.764)</f>
        <v>866.53213920000007</v>
      </c>
      <c r="E311" s="62">
        <v>0</v>
      </c>
      <c r="F311" s="60">
        <f t="shared" si="35"/>
        <v>1299.7982088000001</v>
      </c>
      <c r="G311" s="82" t="str">
        <f t="shared" si="37"/>
        <v>3rd, 8th, 13th, 18th, 23rd, 28th, 33rd &amp; 38th Floor (Part Refuge Area)</v>
      </c>
      <c r="H311" s="84"/>
      <c r="I311" s="36"/>
      <c r="L311" s="103"/>
      <c r="M311" s="103"/>
      <c r="N311" s="36"/>
    </row>
    <row r="312" spans="1:14" s="61" customFormat="1" ht="15.75" customHeight="1" x14ac:dyDescent="0.25">
      <c r="A312" s="98">
        <f t="shared" si="36"/>
        <v>5</v>
      </c>
      <c r="B312" s="99"/>
      <c r="C312" s="60" t="s">
        <v>199</v>
      </c>
      <c r="D312" s="63">
        <f>(0.8*1.53+3.35*5.8+3.35*2.29+3.05*3.5+3*(1.38*2.14)+3.82*3.06+1.76*0.6+3.05*3.25+1.6*1.53+3.45*1+3.35*1.22)*(10.764)</f>
        <v>866.53213920000007</v>
      </c>
      <c r="E312" s="62">
        <v>0</v>
      </c>
      <c r="F312" s="60">
        <f t="shared" si="35"/>
        <v>1299.7982088000001</v>
      </c>
      <c r="G312" s="82" t="str">
        <f t="shared" si="37"/>
        <v>3rd, 8th, 13th, 18th, 23rd, 28th, 33rd &amp; 38th Floor (Part Refuge Area)</v>
      </c>
      <c r="H312" s="84"/>
      <c r="I312" s="36"/>
      <c r="L312" s="103"/>
      <c r="M312" s="103"/>
      <c r="N312" s="36"/>
    </row>
    <row r="313" spans="1:14" s="61" customFormat="1" ht="15.75" customHeight="1" x14ac:dyDescent="0.25">
      <c r="A313" s="98">
        <f t="shared" si="36"/>
        <v>6</v>
      </c>
      <c r="B313" s="99"/>
      <c r="C313" s="60" t="s">
        <v>200</v>
      </c>
      <c r="D313" s="63">
        <f>(3.05*5.2+1.13*2.53+2.13*3.52+2.44*2.53+3.05*3.65+1.38*2.29+3.35*3.05+2*(2.13*1.38)+4.8*1.05+2.8*1.07)*(10.764)</f>
        <v>762.24943080000003</v>
      </c>
      <c r="E313" s="62">
        <v>0</v>
      </c>
      <c r="F313" s="60">
        <f t="shared" si="35"/>
        <v>1143.3741462</v>
      </c>
      <c r="G313" s="82" t="str">
        <f t="shared" si="37"/>
        <v>3rd, 8th, 13th, 18th, 23rd, 28th, 33rd &amp; 38th Floor (Part Refuge Area)</v>
      </c>
      <c r="H313" s="84"/>
      <c r="I313" s="36"/>
      <c r="L313" s="103"/>
      <c r="M313" s="103"/>
      <c r="N313" s="36"/>
    </row>
    <row r="314" spans="1:14" s="61" customFormat="1" ht="15.75" customHeight="1" x14ac:dyDescent="0.25">
      <c r="A314" s="98">
        <f t="shared" si="36"/>
        <v>7</v>
      </c>
      <c r="B314" s="99"/>
      <c r="C314" s="98" t="s">
        <v>210</v>
      </c>
      <c r="D314" s="107"/>
      <c r="E314" s="107"/>
      <c r="F314" s="99"/>
      <c r="G314" s="82" t="str">
        <f t="shared" si="37"/>
        <v>3rd, 8th, 13th, 18th, 23rd, 28th, 33rd &amp; 38th Floor (Part Refuge Area)</v>
      </c>
      <c r="H314" s="84"/>
      <c r="I314" s="36"/>
      <c r="L314" s="103"/>
      <c r="M314" s="103"/>
      <c r="N314" s="36"/>
    </row>
    <row r="315" spans="1:14" s="61" customFormat="1" ht="15.75" customHeight="1" x14ac:dyDescent="0.25">
      <c r="A315" s="98">
        <f t="shared" si="36"/>
        <v>8</v>
      </c>
      <c r="B315" s="99"/>
      <c r="C315" s="60" t="s">
        <v>199</v>
      </c>
      <c r="D315" s="63">
        <f>(0.8*1.53+3.35*5.8+3.35*2.29+3.05*3.5+3*(1.38*2.14)+3.82*3.06+1.76*0.6+3.05*3.25+1.6*1.53+3.45*1+3.35*1.22)*(10.764)</f>
        <v>866.53213920000007</v>
      </c>
      <c r="E315" s="62">
        <v>0</v>
      </c>
      <c r="F315" s="60">
        <f t="shared" si="35"/>
        <v>1299.7982088000001</v>
      </c>
      <c r="G315" s="85" t="str">
        <f t="shared" si="37"/>
        <v>3rd, 8th, 13th, 18th, 23rd, 28th, 33rd &amp; 38th Floor (Part Refuge Area)</v>
      </c>
      <c r="H315" s="87"/>
      <c r="I315" s="36"/>
      <c r="L315" s="103"/>
      <c r="M315" s="103"/>
      <c r="N315" s="36"/>
    </row>
    <row r="316" spans="1:14" s="35" customFormat="1" x14ac:dyDescent="0.25">
      <c r="A316" s="211" t="s">
        <v>68</v>
      </c>
      <c r="B316" s="211"/>
      <c r="C316" s="211"/>
      <c r="D316" s="211"/>
      <c r="E316" s="211"/>
      <c r="F316" s="211"/>
      <c r="G316" s="211"/>
      <c r="H316" s="211"/>
    </row>
    <row r="317" spans="1:14" s="35" customFormat="1" x14ac:dyDescent="0.25">
      <c r="A317" s="47" t="s">
        <v>157</v>
      </c>
      <c r="B317" s="170" t="s">
        <v>255</v>
      </c>
      <c r="C317" s="171"/>
      <c r="D317" s="171"/>
      <c r="E317" s="171"/>
      <c r="F317" s="171"/>
      <c r="G317" s="171"/>
      <c r="H317" s="172"/>
    </row>
    <row r="318" spans="1:14" s="35" customFormat="1" x14ac:dyDescent="0.25">
      <c r="A318" s="47" t="s">
        <v>157</v>
      </c>
      <c r="B318" s="170" t="str">
        <f>(IF(F148="Saleable area Loading :","We have considered Saleable area of Flats as per our Calculation.","We considered Saleable area of Flat as per Builder area Sheet."))</f>
        <v>We have considered Saleable area of Flats as per our Calculation.</v>
      </c>
      <c r="C318" s="171"/>
      <c r="D318" s="171"/>
      <c r="E318" s="171"/>
      <c r="F318" s="171"/>
      <c r="G318" s="171"/>
      <c r="H318" s="172"/>
    </row>
    <row r="319" spans="1:14" s="35" customFormat="1" hidden="1" x14ac:dyDescent="0.25">
      <c r="A319" s="47" t="s">
        <v>157</v>
      </c>
      <c r="B319" s="170" t="str">
        <f>(IF(F140="Saleable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19" s="171"/>
      <c r="D319" s="171"/>
      <c r="E319" s="171"/>
      <c r="F319" s="171"/>
      <c r="G319" s="171"/>
      <c r="H319" s="172"/>
    </row>
    <row r="320" spans="1:14" s="35" customFormat="1" x14ac:dyDescent="0.25">
      <c r="A320" s="47" t="s">
        <v>157</v>
      </c>
      <c r="B320" s="76" t="s">
        <v>127</v>
      </c>
      <c r="C320" s="77"/>
      <c r="D320" s="77"/>
      <c r="E320" s="77"/>
      <c r="F320" s="77"/>
      <c r="G320" s="77"/>
      <c r="H320" s="78"/>
    </row>
    <row r="321" spans="1:8" s="35" customFormat="1" x14ac:dyDescent="0.25">
      <c r="A321" s="47" t="s">
        <v>157</v>
      </c>
      <c r="B321" s="76" t="s">
        <v>212</v>
      </c>
      <c r="C321" s="77"/>
      <c r="D321" s="77"/>
      <c r="E321" s="77"/>
      <c r="F321" s="77"/>
      <c r="G321" s="77"/>
      <c r="H321" s="78"/>
    </row>
    <row r="322" spans="1:8" s="35" customFormat="1" x14ac:dyDescent="0.25">
      <c r="A322" s="47" t="s">
        <v>157</v>
      </c>
      <c r="B322" s="76" t="s">
        <v>156</v>
      </c>
      <c r="C322" s="77"/>
      <c r="D322" s="77"/>
      <c r="E322" s="77"/>
      <c r="F322" s="77"/>
      <c r="G322" s="77"/>
      <c r="H322" s="78"/>
    </row>
    <row r="323" spans="1:8" s="35" customFormat="1" x14ac:dyDescent="0.25">
      <c r="A323" s="47" t="s">
        <v>157</v>
      </c>
      <c r="B323" s="76" t="s">
        <v>128</v>
      </c>
      <c r="C323" s="77"/>
      <c r="D323" s="77"/>
      <c r="E323" s="77"/>
      <c r="F323" s="77"/>
      <c r="G323" s="77"/>
      <c r="H323" s="78"/>
    </row>
    <row r="324" spans="1:8" s="35" customFormat="1" ht="34.5" customHeight="1" x14ac:dyDescent="0.25">
      <c r="A324" s="47" t="s">
        <v>157</v>
      </c>
      <c r="B324" s="76" t="s">
        <v>158</v>
      </c>
      <c r="C324" s="77"/>
      <c r="D324" s="77"/>
      <c r="E324" s="77"/>
      <c r="F324" s="77"/>
      <c r="G324" s="77"/>
      <c r="H324" s="78"/>
    </row>
    <row r="325" spans="1:8" s="35" customFormat="1" x14ac:dyDescent="0.25">
      <c r="A325" s="47" t="s">
        <v>157</v>
      </c>
      <c r="B325" s="76" t="s">
        <v>129</v>
      </c>
      <c r="C325" s="77"/>
      <c r="D325" s="77"/>
      <c r="E325" s="77"/>
      <c r="F325" s="77"/>
      <c r="G325" s="77"/>
      <c r="H325" s="78"/>
    </row>
    <row r="326" spans="1:8" s="35" customFormat="1" x14ac:dyDescent="0.25">
      <c r="A326" s="69" t="s">
        <v>157</v>
      </c>
      <c r="B326" s="76" t="s">
        <v>250</v>
      </c>
      <c r="C326" s="77"/>
      <c r="D326" s="77"/>
      <c r="E326" s="77"/>
      <c r="F326" s="77"/>
      <c r="G326" s="77"/>
      <c r="H326" s="78"/>
    </row>
    <row r="327" spans="1:8" s="35" customFormat="1" ht="33" customHeight="1" x14ac:dyDescent="0.25">
      <c r="A327" s="69" t="s">
        <v>157</v>
      </c>
      <c r="B327" s="76" t="s">
        <v>248</v>
      </c>
      <c r="C327" s="77"/>
      <c r="D327" s="77"/>
      <c r="E327" s="77"/>
      <c r="F327" s="77"/>
      <c r="G327" s="77"/>
      <c r="H327" s="78"/>
    </row>
    <row r="328" spans="1:8" s="35" customFormat="1" x14ac:dyDescent="0.25">
      <c r="A328" s="75" t="s">
        <v>157</v>
      </c>
      <c r="B328" s="76" t="s">
        <v>249</v>
      </c>
      <c r="C328" s="77"/>
      <c r="D328" s="77"/>
      <c r="E328" s="77"/>
      <c r="F328" s="77"/>
      <c r="G328" s="77"/>
      <c r="H328" s="78"/>
    </row>
    <row r="329" spans="1:8" s="35" customFormat="1" x14ac:dyDescent="0.25">
      <c r="A329" s="74" t="s">
        <v>157</v>
      </c>
      <c r="B329" s="76" t="s">
        <v>258</v>
      </c>
      <c r="C329" s="77"/>
      <c r="D329" s="77"/>
      <c r="E329" s="77"/>
      <c r="F329" s="77"/>
      <c r="G329" s="77"/>
      <c r="H329" s="78"/>
    </row>
    <row r="330" spans="1:8" x14ac:dyDescent="0.25">
      <c r="A330" s="167" t="s">
        <v>61</v>
      </c>
      <c r="B330" s="167"/>
      <c r="C330" s="167"/>
      <c r="D330" s="167"/>
      <c r="E330" s="167"/>
      <c r="F330" s="167"/>
      <c r="G330" s="167"/>
      <c r="H330" s="167"/>
    </row>
    <row r="331" spans="1:8" x14ac:dyDescent="0.25">
      <c r="A331" s="143" t="s">
        <v>62</v>
      </c>
      <c r="B331" s="143"/>
      <c r="C331" s="143"/>
      <c r="D331" s="143"/>
      <c r="E331" s="143"/>
      <c r="F331" s="143"/>
      <c r="G331" s="143"/>
      <c r="H331" s="143"/>
    </row>
    <row r="332" spans="1:8" ht="15.75" customHeight="1" x14ac:dyDescent="0.25">
      <c r="A332" s="144" t="s">
        <v>63</v>
      </c>
      <c r="B332" s="144"/>
      <c r="C332" s="144"/>
      <c r="D332" s="144"/>
      <c r="E332" s="144"/>
      <c r="F332" s="144"/>
      <c r="G332" s="144"/>
      <c r="H332" s="144"/>
    </row>
    <row r="333" spans="1:8" x14ac:dyDescent="0.25">
      <c r="A333" s="143" t="s">
        <v>64</v>
      </c>
      <c r="B333" s="143"/>
      <c r="C333" s="143"/>
      <c r="D333" s="143"/>
      <c r="E333" s="143"/>
      <c r="F333" s="143"/>
      <c r="G333" s="143"/>
      <c r="H333" s="143"/>
    </row>
    <row r="334" spans="1:8" x14ac:dyDescent="0.25">
      <c r="A334" s="143" t="s">
        <v>65</v>
      </c>
      <c r="B334" s="143"/>
      <c r="C334" s="143"/>
      <c r="D334" s="143"/>
      <c r="E334" s="143"/>
      <c r="F334" s="143"/>
      <c r="G334" s="143"/>
      <c r="H334" s="143"/>
    </row>
    <row r="335" spans="1:8" x14ac:dyDescent="0.25">
      <c r="A335" s="143" t="s">
        <v>130</v>
      </c>
      <c r="B335" s="143"/>
      <c r="C335" s="143"/>
      <c r="D335" s="143"/>
      <c r="E335" s="143"/>
      <c r="F335" s="143"/>
      <c r="G335" s="143"/>
      <c r="H335" s="143"/>
    </row>
    <row r="336" spans="1:8" x14ac:dyDescent="0.25">
      <c r="A336" s="168" t="s">
        <v>131</v>
      </c>
      <c r="B336" s="168"/>
      <c r="C336" s="168"/>
      <c r="D336" s="168"/>
      <c r="E336" s="168"/>
      <c r="F336" s="168"/>
      <c r="G336" s="168"/>
      <c r="H336" s="168"/>
    </row>
    <row r="337" spans="1:8" x14ac:dyDescent="0.25">
      <c r="A337" s="183" t="s">
        <v>78</v>
      </c>
      <c r="B337" s="183"/>
      <c r="C337" s="183" t="s">
        <v>254</v>
      </c>
      <c r="D337" s="183"/>
      <c r="E337" s="183" t="s">
        <v>108</v>
      </c>
      <c r="F337" s="183"/>
      <c r="G337" s="183" t="s">
        <v>257</v>
      </c>
      <c r="H337" s="183"/>
    </row>
    <row r="338" spans="1:8" x14ac:dyDescent="0.25">
      <c r="A338" s="182" t="s">
        <v>80</v>
      </c>
      <c r="B338" s="182"/>
      <c r="C338" s="182"/>
      <c r="D338" s="182"/>
      <c r="E338" s="182"/>
      <c r="F338" s="182"/>
      <c r="G338" s="182"/>
      <c r="H338" s="182"/>
    </row>
    <row r="339" spans="1:8" x14ac:dyDescent="0.25">
      <c r="A339" s="182"/>
      <c r="B339" s="182"/>
      <c r="C339" s="182"/>
      <c r="D339" s="182"/>
      <c r="E339" s="182"/>
      <c r="F339" s="182"/>
      <c r="G339" s="182"/>
      <c r="H339" s="182"/>
    </row>
    <row r="340" spans="1:8" x14ac:dyDescent="0.25">
      <c r="A340" s="182"/>
      <c r="B340" s="182"/>
      <c r="C340" s="182"/>
      <c r="D340" s="182"/>
      <c r="E340" s="182"/>
      <c r="F340" s="182"/>
      <c r="G340" s="182"/>
      <c r="H340" s="182"/>
    </row>
    <row r="341" spans="1:8" x14ac:dyDescent="0.25">
      <c r="A341" s="182"/>
      <c r="B341" s="182"/>
      <c r="C341" s="182"/>
      <c r="D341" s="182"/>
      <c r="E341" s="182"/>
      <c r="F341" s="182"/>
      <c r="G341" s="182"/>
      <c r="H341" s="182"/>
    </row>
    <row r="342" spans="1:8" x14ac:dyDescent="0.25">
      <c r="A342" s="38" t="s">
        <v>66</v>
      </c>
      <c r="B342" s="39"/>
      <c r="C342" s="39"/>
      <c r="D342" s="38" t="str">
        <f>E8</f>
        <v>TEN X ERA Raymond Realty Tower A, B &amp; C</v>
      </c>
      <c r="F342" s="39"/>
      <c r="G342" s="39"/>
      <c r="H342" s="39"/>
    </row>
    <row r="343" spans="1:8" x14ac:dyDescent="0.25">
      <c r="A343" s="39"/>
      <c r="B343" s="39"/>
      <c r="C343" s="39"/>
      <c r="D343" s="39"/>
      <c r="E343" s="39"/>
      <c r="F343" s="39"/>
      <c r="G343" s="39"/>
      <c r="H343" s="39"/>
    </row>
    <row r="344" spans="1:8" x14ac:dyDescent="0.25">
      <c r="A344" s="39"/>
      <c r="B344" s="39"/>
      <c r="C344" s="39"/>
      <c r="D344" s="39"/>
      <c r="E344" s="39"/>
      <c r="F344" s="39"/>
      <c r="G344" s="39"/>
      <c r="H344" s="39"/>
    </row>
    <row r="345" spans="1:8" ht="15" customHeight="1" x14ac:dyDescent="0.25"/>
    <row r="386" spans="1:1" x14ac:dyDescent="0.25">
      <c r="A386" s="41" t="s">
        <v>172</v>
      </c>
    </row>
    <row r="423" spans="1:1" x14ac:dyDescent="0.25">
      <c r="A423" s="41" t="s">
        <v>67</v>
      </c>
    </row>
  </sheetData>
  <mergeCells count="664">
    <mergeCell ref="B328:H328"/>
    <mergeCell ref="G102:H102"/>
    <mergeCell ref="A103:B103"/>
    <mergeCell ref="E103:F112"/>
    <mergeCell ref="G103:H112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02:B102"/>
    <mergeCell ref="G281:H288"/>
    <mergeCell ref="G290:H297"/>
    <mergeCell ref="L281:M281"/>
    <mergeCell ref="A282:B282"/>
    <mergeCell ref="L282:M282"/>
    <mergeCell ref="A283:B283"/>
    <mergeCell ref="L283:M283"/>
    <mergeCell ref="A284:B284"/>
    <mergeCell ref="L284:M284"/>
    <mergeCell ref="C290:F293"/>
    <mergeCell ref="C281:F284"/>
    <mergeCell ref="A307:H307"/>
    <mergeCell ref="A304:B304"/>
    <mergeCell ref="L304:M304"/>
    <mergeCell ref="A305:B305"/>
    <mergeCell ref="L305:M305"/>
    <mergeCell ref="A306:B306"/>
    <mergeCell ref="L306:M306"/>
    <mergeCell ref="A297:B297"/>
    <mergeCell ref="L297:M297"/>
    <mergeCell ref="L299:M299"/>
    <mergeCell ref="A300:B300"/>
    <mergeCell ref="L300:M300"/>
    <mergeCell ref="A301:B301"/>
    <mergeCell ref="L301:M301"/>
    <mergeCell ref="A302:B302"/>
    <mergeCell ref="L302:M302"/>
    <mergeCell ref="A299:B299"/>
    <mergeCell ref="G299:H306"/>
    <mergeCell ref="A303:B303"/>
    <mergeCell ref="L303:M303"/>
    <mergeCell ref="A308:B308"/>
    <mergeCell ref="G308:H315"/>
    <mergeCell ref="L308:M308"/>
    <mergeCell ref="A309:B309"/>
    <mergeCell ref="L309:M309"/>
    <mergeCell ref="A310:B310"/>
    <mergeCell ref="L310:M310"/>
    <mergeCell ref="A311:B311"/>
    <mergeCell ref="L311:M311"/>
    <mergeCell ref="A312:B312"/>
    <mergeCell ref="L312:M312"/>
    <mergeCell ref="A313:B313"/>
    <mergeCell ref="L313:M313"/>
    <mergeCell ref="A314:B314"/>
    <mergeCell ref="L314:M314"/>
    <mergeCell ref="A315:B315"/>
    <mergeCell ref="L315:M315"/>
    <mergeCell ref="C314:F314"/>
    <mergeCell ref="G272:H279"/>
    <mergeCell ref="G263:H270"/>
    <mergeCell ref="A298:H298"/>
    <mergeCell ref="A294:B294"/>
    <mergeCell ref="L294:M294"/>
    <mergeCell ref="A295:B295"/>
    <mergeCell ref="L295:M295"/>
    <mergeCell ref="A296:B296"/>
    <mergeCell ref="L296:M296"/>
    <mergeCell ref="L290:M290"/>
    <mergeCell ref="A291:B291"/>
    <mergeCell ref="L291:M291"/>
    <mergeCell ref="A292:B292"/>
    <mergeCell ref="L292:M292"/>
    <mergeCell ref="A293:B293"/>
    <mergeCell ref="L293:M293"/>
    <mergeCell ref="L285:M285"/>
    <mergeCell ref="A286:B286"/>
    <mergeCell ref="L286:M286"/>
    <mergeCell ref="A287:B287"/>
    <mergeCell ref="L287:M287"/>
    <mergeCell ref="A288:B288"/>
    <mergeCell ref="C288:F288"/>
    <mergeCell ref="L288:M288"/>
    <mergeCell ref="A280:H280"/>
    <mergeCell ref="A281:B281"/>
    <mergeCell ref="L238:M238"/>
    <mergeCell ref="A239:B239"/>
    <mergeCell ref="L239:M239"/>
    <mergeCell ref="A240:H240"/>
    <mergeCell ref="A241:B241"/>
    <mergeCell ref="G241:H248"/>
    <mergeCell ref="L241:M241"/>
    <mergeCell ref="A242:B242"/>
    <mergeCell ref="L242:M242"/>
    <mergeCell ref="A243:B243"/>
    <mergeCell ref="L243:M243"/>
    <mergeCell ref="A244:B244"/>
    <mergeCell ref="L244:M244"/>
    <mergeCell ref="A245:B245"/>
    <mergeCell ref="L245:M245"/>
    <mergeCell ref="A246:B246"/>
    <mergeCell ref="L246:M246"/>
    <mergeCell ref="A247:B247"/>
    <mergeCell ref="L247:M247"/>
    <mergeCell ref="L248:M248"/>
    <mergeCell ref="A249:H249"/>
    <mergeCell ref="A250:B250"/>
    <mergeCell ref="L266:M266"/>
    <mergeCell ref="A267:B267"/>
    <mergeCell ref="L267:M267"/>
    <mergeCell ref="A237:B237"/>
    <mergeCell ref="B324:H324"/>
    <mergeCell ref="A47:B47"/>
    <mergeCell ref="C47:H47"/>
    <mergeCell ref="B322:H322"/>
    <mergeCell ref="F115:H115"/>
    <mergeCell ref="A115:E115"/>
    <mergeCell ref="D140:D141"/>
    <mergeCell ref="A117:E117"/>
    <mergeCell ref="A143:B143"/>
    <mergeCell ref="A144:B144"/>
    <mergeCell ref="A145:B145"/>
    <mergeCell ref="A119:E119"/>
    <mergeCell ref="F119:H119"/>
    <mergeCell ref="A120:E120"/>
    <mergeCell ref="A122:E122"/>
    <mergeCell ref="F116:H116"/>
    <mergeCell ref="A121:E121"/>
    <mergeCell ref="A116:E116"/>
    <mergeCell ref="A113:E113"/>
    <mergeCell ref="F117:H117"/>
    <mergeCell ref="L263:M263"/>
    <mergeCell ref="L264:M264"/>
    <mergeCell ref="L265:M265"/>
    <mergeCell ref="G144:H144"/>
    <mergeCell ref="G146:H146"/>
    <mergeCell ref="G250:H257"/>
    <mergeCell ref="L250:M250"/>
    <mergeCell ref="A251:B251"/>
    <mergeCell ref="L251:M251"/>
    <mergeCell ref="A252:B252"/>
    <mergeCell ref="L252:M252"/>
    <mergeCell ref="A253:B253"/>
    <mergeCell ref="L253:M253"/>
    <mergeCell ref="A254:B254"/>
    <mergeCell ref="L254:M254"/>
    <mergeCell ref="A255:B255"/>
    <mergeCell ref="L255:M255"/>
    <mergeCell ref="A256:B256"/>
    <mergeCell ref="L256:M256"/>
    <mergeCell ref="A257:B257"/>
    <mergeCell ref="L257:M257"/>
    <mergeCell ref="C251:F251"/>
    <mergeCell ref="A218:B218"/>
    <mergeCell ref="L218:M218"/>
    <mergeCell ref="A316:H316"/>
    <mergeCell ref="A118:E118"/>
    <mergeCell ref="A136:B136"/>
    <mergeCell ref="E136:F136"/>
    <mergeCell ref="A285:B285"/>
    <mergeCell ref="A231:H231"/>
    <mergeCell ref="A232:B232"/>
    <mergeCell ref="G232:H239"/>
    <mergeCell ref="A233:B233"/>
    <mergeCell ref="A234:B234"/>
    <mergeCell ref="A235:B235"/>
    <mergeCell ref="A236:B236"/>
    <mergeCell ref="C236:F239"/>
    <mergeCell ref="A248:B248"/>
    <mergeCell ref="A289:H289"/>
    <mergeCell ref="A290:B290"/>
    <mergeCell ref="A142:H142"/>
    <mergeCell ref="E140:E141"/>
    <mergeCell ref="C140:C141"/>
    <mergeCell ref="A146:B146"/>
    <mergeCell ref="A279:B279"/>
    <mergeCell ref="C279:F279"/>
    <mergeCell ref="A153:H153"/>
    <mergeCell ref="A154:H154"/>
    <mergeCell ref="A65:C65"/>
    <mergeCell ref="E89:F98"/>
    <mergeCell ref="G89:H98"/>
    <mergeCell ref="F113:H113"/>
    <mergeCell ref="F118:H118"/>
    <mergeCell ref="A96:B96"/>
    <mergeCell ref="G134:H134"/>
    <mergeCell ref="F120:H120"/>
    <mergeCell ref="A114:E114"/>
    <mergeCell ref="A97:B97"/>
    <mergeCell ref="A98:B98"/>
    <mergeCell ref="D65:H65"/>
    <mergeCell ref="D70:H70"/>
    <mergeCell ref="A68:C68"/>
    <mergeCell ref="D68:H68"/>
    <mergeCell ref="A69:C69"/>
    <mergeCell ref="D69:H69"/>
    <mergeCell ref="A89:B89"/>
    <mergeCell ref="G88:H88"/>
    <mergeCell ref="A99:B99"/>
    <mergeCell ref="C99:H99"/>
    <mergeCell ref="A101:B101"/>
    <mergeCell ref="C101:H101"/>
    <mergeCell ref="E102:F102"/>
    <mergeCell ref="L214:M214"/>
    <mergeCell ref="L215:M215"/>
    <mergeCell ref="L216:M216"/>
    <mergeCell ref="A135:B135"/>
    <mergeCell ref="C135:D135"/>
    <mergeCell ref="E135:F135"/>
    <mergeCell ref="G135:H135"/>
    <mergeCell ref="A150:H150"/>
    <mergeCell ref="A151:H151"/>
    <mergeCell ref="A152:H152"/>
    <mergeCell ref="L213:M213"/>
    <mergeCell ref="L155:M155"/>
    <mergeCell ref="L156:M156"/>
    <mergeCell ref="L157:M157"/>
    <mergeCell ref="L158:M158"/>
    <mergeCell ref="L159:M159"/>
    <mergeCell ref="L160:M160"/>
    <mergeCell ref="L161:M161"/>
    <mergeCell ref="L162:M162"/>
    <mergeCell ref="L164:M164"/>
    <mergeCell ref="L165:M165"/>
    <mergeCell ref="L166:M166"/>
    <mergeCell ref="A167:B167"/>
    <mergeCell ref="L167:M167"/>
    <mergeCell ref="C227:F230"/>
    <mergeCell ref="A147:H147"/>
    <mergeCell ref="A148:A149"/>
    <mergeCell ref="G140:H141"/>
    <mergeCell ref="A124:E124"/>
    <mergeCell ref="G136:H136"/>
    <mergeCell ref="A130:B130"/>
    <mergeCell ref="C130:D130"/>
    <mergeCell ref="E130:F130"/>
    <mergeCell ref="G130:H130"/>
    <mergeCell ref="C132:D132"/>
    <mergeCell ref="G132:H132"/>
    <mergeCell ref="A155:B155"/>
    <mergeCell ref="G155:H162"/>
    <mergeCell ref="A156:B156"/>
    <mergeCell ref="A157:B157"/>
    <mergeCell ref="A158:B158"/>
    <mergeCell ref="A159:B159"/>
    <mergeCell ref="A160:B160"/>
    <mergeCell ref="A161:B161"/>
    <mergeCell ref="A162:B162"/>
    <mergeCell ref="C155:F155"/>
    <mergeCell ref="A165:B165"/>
    <mergeCell ref="A166:B166"/>
    <mergeCell ref="A36:H36"/>
    <mergeCell ref="A35:B35"/>
    <mergeCell ref="C35:E35"/>
    <mergeCell ref="A40:D40"/>
    <mergeCell ref="E40:H40"/>
    <mergeCell ref="F32:H32"/>
    <mergeCell ref="F33:H33"/>
    <mergeCell ref="A39:H39"/>
    <mergeCell ref="A64:C64"/>
    <mergeCell ref="D64:H64"/>
    <mergeCell ref="F35:H35"/>
    <mergeCell ref="A37:B37"/>
    <mergeCell ref="C37:H37"/>
    <mergeCell ref="A44:D44"/>
    <mergeCell ref="A38:B38"/>
    <mergeCell ref="C38:H38"/>
    <mergeCell ref="A34:B34"/>
    <mergeCell ref="C34:E34"/>
    <mergeCell ref="E41:H41"/>
    <mergeCell ref="A41:D41"/>
    <mergeCell ref="A42:D42"/>
    <mergeCell ref="E42:H42"/>
    <mergeCell ref="E43:H43"/>
    <mergeCell ref="E44:H44"/>
    <mergeCell ref="E45:H45"/>
    <mergeCell ref="A43:D43"/>
    <mergeCell ref="A45:D45"/>
    <mergeCell ref="A46:H46"/>
    <mergeCell ref="D60:H60"/>
    <mergeCell ref="A60:C60"/>
    <mergeCell ref="G50:H50"/>
    <mergeCell ref="A54:B55"/>
    <mergeCell ref="A95:B95"/>
    <mergeCell ref="A88:B88"/>
    <mergeCell ref="A91:B91"/>
    <mergeCell ref="A87:B87"/>
    <mergeCell ref="A85:B85"/>
    <mergeCell ref="C85:H85"/>
    <mergeCell ref="A93:B93"/>
    <mergeCell ref="A66:C66"/>
    <mergeCell ref="D66:H66"/>
    <mergeCell ref="C87:H87"/>
    <mergeCell ref="A90:B90"/>
    <mergeCell ref="A92:B92"/>
    <mergeCell ref="E88:F88"/>
    <mergeCell ref="A67:C67"/>
    <mergeCell ref="D67:H67"/>
    <mergeCell ref="A70:C70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338:H341"/>
    <mergeCell ref="A337:B337"/>
    <mergeCell ref="E337:F337"/>
    <mergeCell ref="C337:D337"/>
    <mergeCell ref="G337:H337"/>
    <mergeCell ref="A127:H127"/>
    <mergeCell ref="A125:E125"/>
    <mergeCell ref="F125:H125"/>
    <mergeCell ref="A126:E126"/>
    <mergeCell ref="F126:H126"/>
    <mergeCell ref="A134:B134"/>
    <mergeCell ref="A129:B129"/>
    <mergeCell ref="A333:H333"/>
    <mergeCell ref="A131:H131"/>
    <mergeCell ref="A336:H336"/>
    <mergeCell ref="A334:H334"/>
    <mergeCell ref="A330:H330"/>
    <mergeCell ref="A331:H331"/>
    <mergeCell ref="E132:F132"/>
    <mergeCell ref="B325:H325"/>
    <mergeCell ref="G145:H145"/>
    <mergeCell ref="G143:H143"/>
    <mergeCell ref="B323:H323"/>
    <mergeCell ref="B319:H319"/>
    <mergeCell ref="B320:H320"/>
    <mergeCell ref="B321:H321"/>
    <mergeCell ref="B317:H317"/>
    <mergeCell ref="B318:H318"/>
    <mergeCell ref="C263:F266"/>
    <mergeCell ref="C128:D128"/>
    <mergeCell ref="F124:H124"/>
    <mergeCell ref="F122:H122"/>
    <mergeCell ref="A139:H139"/>
    <mergeCell ref="G128:H128"/>
    <mergeCell ref="A123:E123"/>
    <mergeCell ref="C129:D129"/>
    <mergeCell ref="E129:F129"/>
    <mergeCell ref="B140:B141"/>
    <mergeCell ref="A140:A141"/>
    <mergeCell ref="C148:C149"/>
    <mergeCell ref="C136:D136"/>
    <mergeCell ref="A208:H208"/>
    <mergeCell ref="A210:H210"/>
    <mergeCell ref="A211:H211"/>
    <mergeCell ref="E137:F137"/>
    <mergeCell ref="G137:H137"/>
    <mergeCell ref="A269:B269"/>
    <mergeCell ref="A262:H262"/>
    <mergeCell ref="A48:B48"/>
    <mergeCell ref="A138:H138"/>
    <mergeCell ref="A222:H222"/>
    <mergeCell ref="B148:B149"/>
    <mergeCell ref="C216:F216"/>
    <mergeCell ref="A258:H258"/>
    <mergeCell ref="A259:H259"/>
    <mergeCell ref="A260:H260"/>
    <mergeCell ref="A261:H261"/>
    <mergeCell ref="C48:E48"/>
    <mergeCell ref="G48:H48"/>
    <mergeCell ref="G54:H54"/>
    <mergeCell ref="D58:H58"/>
    <mergeCell ref="F121:H121"/>
    <mergeCell ref="C54:E54"/>
    <mergeCell ref="D61:H61"/>
    <mergeCell ref="C50:E50"/>
    <mergeCell ref="A56:B56"/>
    <mergeCell ref="C56:E56"/>
    <mergeCell ref="A50:B50"/>
    <mergeCell ref="A57:H57"/>
    <mergeCell ref="A58:C58"/>
    <mergeCell ref="A59:C59"/>
    <mergeCell ref="C134:D134"/>
    <mergeCell ref="D59:H59"/>
    <mergeCell ref="G56:H56"/>
    <mergeCell ref="C55:H55"/>
    <mergeCell ref="A335:H335"/>
    <mergeCell ref="A332:H332"/>
    <mergeCell ref="A132:B132"/>
    <mergeCell ref="D148:D149"/>
    <mergeCell ref="E148:E149"/>
    <mergeCell ref="G148:H149"/>
    <mergeCell ref="A94:B94"/>
    <mergeCell ref="F114:H114"/>
    <mergeCell ref="G129:H129"/>
    <mergeCell ref="A209:H209"/>
    <mergeCell ref="F123:H123"/>
    <mergeCell ref="E128:F128"/>
    <mergeCell ref="A128:B128"/>
    <mergeCell ref="A212:H212"/>
    <mergeCell ref="A213:B213"/>
    <mergeCell ref="A214:B214"/>
    <mergeCell ref="A215:B215"/>
    <mergeCell ref="A216:B216"/>
    <mergeCell ref="A137:B137"/>
    <mergeCell ref="C137:D137"/>
    <mergeCell ref="A268:B268"/>
    <mergeCell ref="L274:M274"/>
    <mergeCell ref="A275:B275"/>
    <mergeCell ref="L275:M275"/>
    <mergeCell ref="A219:B219"/>
    <mergeCell ref="L219:M219"/>
    <mergeCell ref="A220:B220"/>
    <mergeCell ref="L220:M220"/>
    <mergeCell ref="A221:B221"/>
    <mergeCell ref="C221:F221"/>
    <mergeCell ref="L221:M221"/>
    <mergeCell ref="A265:B265"/>
    <mergeCell ref="A266:B266"/>
    <mergeCell ref="L232:M232"/>
    <mergeCell ref="L233:M233"/>
    <mergeCell ref="L234:M234"/>
    <mergeCell ref="L235:M235"/>
    <mergeCell ref="L236:M236"/>
    <mergeCell ref="L237:M237"/>
    <mergeCell ref="A238:B238"/>
    <mergeCell ref="L268:M268"/>
    <mergeCell ref="L269:M269"/>
    <mergeCell ref="A263:B263"/>
    <mergeCell ref="L229:M229"/>
    <mergeCell ref="G223:H230"/>
    <mergeCell ref="L279:M279"/>
    <mergeCell ref="A223:B223"/>
    <mergeCell ref="L223:M223"/>
    <mergeCell ref="A224:B224"/>
    <mergeCell ref="L224:M224"/>
    <mergeCell ref="A225:B225"/>
    <mergeCell ref="L225:M225"/>
    <mergeCell ref="A226:B226"/>
    <mergeCell ref="L226:M226"/>
    <mergeCell ref="A230:B230"/>
    <mergeCell ref="L230:M230"/>
    <mergeCell ref="A276:B276"/>
    <mergeCell ref="L276:M276"/>
    <mergeCell ref="A277:B277"/>
    <mergeCell ref="L277:M277"/>
    <mergeCell ref="A278:B278"/>
    <mergeCell ref="L278:M278"/>
    <mergeCell ref="A271:H271"/>
    <mergeCell ref="A272:B272"/>
    <mergeCell ref="C272:F275"/>
    <mergeCell ref="L272:M272"/>
    <mergeCell ref="A273:B273"/>
    <mergeCell ref="L273:M273"/>
    <mergeCell ref="A274:B274"/>
    <mergeCell ref="D62:H62"/>
    <mergeCell ref="D63:H63"/>
    <mergeCell ref="A61:C63"/>
    <mergeCell ref="A71:B71"/>
    <mergeCell ref="C71:H71"/>
    <mergeCell ref="A73:B73"/>
    <mergeCell ref="C73:H73"/>
    <mergeCell ref="A270:B270"/>
    <mergeCell ref="L270:M270"/>
    <mergeCell ref="C270:F270"/>
    <mergeCell ref="L146:M146"/>
    <mergeCell ref="L145:M145"/>
    <mergeCell ref="L144:M144"/>
    <mergeCell ref="L143:M143"/>
    <mergeCell ref="E134:F134"/>
    <mergeCell ref="A217:H217"/>
    <mergeCell ref="A264:B264"/>
    <mergeCell ref="G213:H216"/>
    <mergeCell ref="G218:H221"/>
    <mergeCell ref="A227:B227"/>
    <mergeCell ref="L227:M227"/>
    <mergeCell ref="A228:B228"/>
    <mergeCell ref="L228:M228"/>
    <mergeCell ref="A229:B229"/>
    <mergeCell ref="A75:B75"/>
    <mergeCell ref="E75:F84"/>
    <mergeCell ref="G75:H84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180:B180"/>
    <mergeCell ref="L180:M180"/>
    <mergeCell ref="C177:F178"/>
    <mergeCell ref="A168:B168"/>
    <mergeCell ref="C168:F171"/>
    <mergeCell ref="L168:M168"/>
    <mergeCell ref="A169:B169"/>
    <mergeCell ref="L169:M169"/>
    <mergeCell ref="A170:B170"/>
    <mergeCell ref="L170:M170"/>
    <mergeCell ref="A171:B171"/>
    <mergeCell ref="L171:M171"/>
    <mergeCell ref="L207:M207"/>
    <mergeCell ref="C201:F201"/>
    <mergeCell ref="A190:H190"/>
    <mergeCell ref="A191:B191"/>
    <mergeCell ref="G191:H198"/>
    <mergeCell ref="L191:M191"/>
    <mergeCell ref="A192:B192"/>
    <mergeCell ref="L192:M192"/>
    <mergeCell ref="A193:B193"/>
    <mergeCell ref="L193:M193"/>
    <mergeCell ref="A194:B194"/>
    <mergeCell ref="L194:M194"/>
    <mergeCell ref="A195:B195"/>
    <mergeCell ref="L195:M195"/>
    <mergeCell ref="A196:B196"/>
    <mergeCell ref="L196:M196"/>
    <mergeCell ref="A197:B197"/>
    <mergeCell ref="L197:M197"/>
    <mergeCell ref="A198:B198"/>
    <mergeCell ref="L198:M198"/>
    <mergeCell ref="A202:B202"/>
    <mergeCell ref="L202:M202"/>
    <mergeCell ref="A203:B203"/>
    <mergeCell ref="L203:M203"/>
    <mergeCell ref="A204:B204"/>
    <mergeCell ref="L204:M204"/>
    <mergeCell ref="L205:M205"/>
    <mergeCell ref="A206:B206"/>
    <mergeCell ref="L206:M206"/>
    <mergeCell ref="C179:F180"/>
    <mergeCell ref="C159:F162"/>
    <mergeCell ref="A163:H163"/>
    <mergeCell ref="A164:B164"/>
    <mergeCell ref="C164:F164"/>
    <mergeCell ref="G164:H171"/>
    <mergeCell ref="L200:M200"/>
    <mergeCell ref="A201:B201"/>
    <mergeCell ref="L201:M201"/>
    <mergeCell ref="L182:M182"/>
    <mergeCell ref="A183:B183"/>
    <mergeCell ref="L183:M183"/>
    <mergeCell ref="A184:B184"/>
    <mergeCell ref="L184:M184"/>
    <mergeCell ref="A185:B185"/>
    <mergeCell ref="L185:M185"/>
    <mergeCell ref="A186:B186"/>
    <mergeCell ref="L186:M186"/>
    <mergeCell ref="L187:M187"/>
    <mergeCell ref="A188:B188"/>
    <mergeCell ref="L188:M188"/>
    <mergeCell ref="A189:B189"/>
    <mergeCell ref="L189:M189"/>
    <mergeCell ref="A172:H172"/>
    <mergeCell ref="A49:H49"/>
    <mergeCell ref="A52:H52"/>
    <mergeCell ref="A53:B53"/>
    <mergeCell ref="C53:E53"/>
    <mergeCell ref="G53:H53"/>
    <mergeCell ref="A173:B173"/>
    <mergeCell ref="G173:H180"/>
    <mergeCell ref="L173:M173"/>
    <mergeCell ref="A174:B174"/>
    <mergeCell ref="L174:M174"/>
    <mergeCell ref="A175:B175"/>
    <mergeCell ref="L175:M175"/>
    <mergeCell ref="A176:B176"/>
    <mergeCell ref="L176:M176"/>
    <mergeCell ref="A177:B177"/>
    <mergeCell ref="L177:M177"/>
    <mergeCell ref="A178:B178"/>
    <mergeCell ref="L178:M178"/>
    <mergeCell ref="L179:M179"/>
    <mergeCell ref="B329:H329"/>
    <mergeCell ref="B326:H326"/>
    <mergeCell ref="C186:F189"/>
    <mergeCell ref="A133:B133"/>
    <mergeCell ref="C133:D133"/>
    <mergeCell ref="E133:F133"/>
    <mergeCell ref="G133:H133"/>
    <mergeCell ref="B327:H327"/>
    <mergeCell ref="A51:B51"/>
    <mergeCell ref="C51:E51"/>
    <mergeCell ref="G51:H51"/>
    <mergeCell ref="A199:H199"/>
    <mergeCell ref="A200:B200"/>
    <mergeCell ref="G200:H207"/>
    <mergeCell ref="A205:B205"/>
    <mergeCell ref="A181:H181"/>
    <mergeCell ref="A182:B182"/>
    <mergeCell ref="G182:H189"/>
    <mergeCell ref="A187:B187"/>
    <mergeCell ref="A207:B207"/>
    <mergeCell ref="A179:B179"/>
    <mergeCell ref="A74:B74"/>
    <mergeCell ref="E74:F74"/>
    <mergeCell ref="G74:H74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98" max="16383" man="1"/>
    <brk id="341" max="16383" man="1"/>
    <brk id="385" max="16383" man="1"/>
    <brk id="42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20" t="s">
        <v>109</v>
      </c>
      <c r="C3" s="220"/>
      <c r="D3" s="220"/>
      <c r="E3" s="220"/>
      <c r="F3" s="220"/>
      <c r="G3" s="220"/>
      <c r="H3" s="220"/>
    </row>
    <row r="4" spans="1:9" x14ac:dyDescent="0.25">
      <c r="A4" s="2"/>
      <c r="B4" s="3" t="s">
        <v>110</v>
      </c>
      <c r="C4" s="3" t="s">
        <v>111</v>
      </c>
      <c r="D4" s="3" t="s">
        <v>69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J24"/>
  <sheetViews>
    <sheetView topLeftCell="A17" zoomScale="130" zoomScaleNormal="130" workbookViewId="0">
      <selection activeCell="J25" sqref="J25"/>
    </sheetView>
  </sheetViews>
  <sheetFormatPr defaultRowHeight="15" x14ac:dyDescent="0.25"/>
  <sheetData>
    <row r="24" spans="10:10" x14ac:dyDescent="0.25">
      <c r="J24">
        <f>39*0.08</f>
        <v>3.12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2025-08-18T09:46:47Z</cp:lastPrinted>
  <dcterms:created xsi:type="dcterms:W3CDTF">2019-07-16T09:29:46Z</dcterms:created>
  <dcterms:modified xsi:type="dcterms:W3CDTF">2025-08-18T09:46:48Z</dcterms:modified>
</cp:coreProperties>
</file>