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635" windowHeight="762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Sachin</author>
    <author>SACHIN</author>
  </authors>
  <commentList>
    <comment ref="E12" authorId="0">
      <text>
        <r>
          <rPr>
            <b/>
            <sz val="9"/>
            <rFont val="Tahoma"/>
            <charset val="134"/>
          </rPr>
          <t>Sachin:</t>
        </r>
        <r>
          <rPr>
            <sz val="9"/>
            <rFont val="Tahoma"/>
            <charset val="134"/>
          </rPr>
          <t xml:space="preserve">
Building No. 
Tower No.
Wing 
Bunglow No., etc</t>
        </r>
      </text>
    </comment>
    <comment ref="E13" authorId="0">
      <text>
        <r>
          <rPr>
            <b/>
            <sz val="9"/>
            <rFont val="Tahoma"/>
            <charset val="134"/>
          </rPr>
          <t>Sachin:</t>
        </r>
        <r>
          <rPr>
            <sz val="9"/>
            <rFont val="Tahoma"/>
            <charset val="134"/>
          </rPr>
          <t xml:space="preserve">
If exisiting Building is provided write it or else
NA</t>
        </r>
      </text>
    </comment>
    <comment ref="C55" authorId="1">
      <text>
        <r>
          <rPr>
            <b/>
            <sz val="9"/>
            <rFont val="Tahoma"/>
            <charset val="134"/>
          </rPr>
          <t>SACHIN:</t>
        </r>
        <r>
          <rPr>
            <sz val="9"/>
            <rFont val="Tahoma"/>
            <charset val="134"/>
          </rPr>
          <t xml:space="preserve">
Floor with height</t>
        </r>
      </text>
    </comment>
    <comment ref="C57" authorId="1">
      <text>
        <r>
          <rPr>
            <b/>
            <sz val="9"/>
            <rFont val="Tahoma"/>
            <charset val="134"/>
          </rPr>
          <t>SACHIN:</t>
        </r>
        <r>
          <rPr>
            <sz val="9"/>
            <rFont val="Tahoma"/>
            <charset val="134"/>
          </rPr>
          <t xml:space="preserve">
Survey Nos.</t>
        </r>
      </text>
    </comment>
    <comment ref="C59" authorId="1">
      <text>
        <r>
          <rPr>
            <b/>
            <sz val="9"/>
            <rFont val="Tahoma"/>
            <charset val="134"/>
          </rPr>
          <t>SACHIN:</t>
        </r>
        <r>
          <rPr>
            <sz val="9"/>
            <rFont val="Tahoma"/>
            <charset val="134"/>
          </rPr>
          <t xml:space="preserve">
Height from AMSL</t>
        </r>
      </text>
    </comment>
    <comment ref="D62" authorId="0">
      <text>
        <r>
          <rPr>
            <b/>
            <sz val="9"/>
            <rFont val="Tahoma"/>
            <charset val="134"/>
          </rPr>
          <t>Sachin:</t>
        </r>
        <r>
          <rPr>
            <sz val="9"/>
            <rFont val="Tahoma"/>
            <charset val="134"/>
          </rPr>
          <t xml:space="preserve">
If multiple building in project or complex just mention builtup of required building</t>
        </r>
      </text>
    </comment>
    <comment ref="F122" authorId="1">
      <text>
        <r>
          <rPr>
            <b/>
            <sz val="9"/>
            <rFont val="Tahoma"/>
            <charset val="134"/>
          </rPr>
          <t>SACHIN:</t>
        </r>
        <r>
          <rPr>
            <sz val="9"/>
            <rFont val="Tahoma"/>
            <charset val="134"/>
          </rPr>
          <t xml:space="preserve">
Other charges should be given on basis of location amenties builder type n should not exceed above 12 lakhs or 8% of flat value</t>
        </r>
      </text>
    </comment>
    <comment ref="H152" authorId="1">
      <text>
        <r>
          <rPr>
            <b/>
            <sz val="9"/>
            <rFont val="Tahoma"/>
            <charset val="134"/>
          </rPr>
          <t>SACHIN:</t>
        </r>
        <r>
          <rPr>
            <sz val="9"/>
            <rFont val="Tahoma"/>
            <charset val="134"/>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text>
        <r>
          <rPr>
            <b/>
            <sz val="9"/>
            <rFont val="Tahoma"/>
            <charset val="134"/>
          </rPr>
          <t>SACHIN:</t>
        </r>
        <r>
          <rPr>
            <sz val="9"/>
            <rFont val="Tahoma"/>
            <charset val="134"/>
          </rPr>
          <t xml:space="preserve">
If banker changes the rate</t>
        </r>
      </text>
    </comment>
    <comment ref="C10" authorId="0">
      <text>
        <r>
          <rPr>
            <b/>
            <sz val="9"/>
            <rFont val="Tahoma"/>
            <charset val="134"/>
          </rPr>
          <t>SACHIN:</t>
        </r>
        <r>
          <rPr>
            <sz val="9"/>
            <rFont val="Tahoma"/>
            <charset val="134"/>
          </rPr>
          <t xml:space="preserve">
If we change the rate</t>
        </r>
      </text>
    </comment>
  </commentList>
</comments>
</file>

<file path=xl/sharedStrings.xml><?xml version="1.0" encoding="utf-8"?>
<sst xmlns="http://schemas.openxmlformats.org/spreadsheetml/2006/main" count="722" uniqueCount="391">
  <si>
    <t>Office No. 1031, Wing J, Akshar Business Park, Plot No. 03 Sector 25, Near APMC Market, Vashi, Navi Mumbai, Maharashtra 400703 TEL: 022-46090378/79/80                                                                       
E mail : vsjcapf@gmail.com. Web site : www.vsjadon.com</t>
  </si>
  <si>
    <t xml:space="preserve">Valuation Report </t>
  </si>
  <si>
    <t>Date:</t>
  </si>
  <si>
    <t>Bank</t>
  </si>
  <si>
    <t>Axis Bank</t>
  </si>
  <si>
    <t>PNB Housing Finance Limited</t>
  </si>
  <si>
    <t>Cent Bank</t>
  </si>
  <si>
    <t>Indiabulls Housing Finance Ltd</t>
  </si>
  <si>
    <t>ABFHL</t>
  </si>
  <si>
    <t>Bank Name:</t>
  </si>
  <si>
    <t>Branch</t>
  </si>
  <si>
    <t>Axis Goregaon</t>
  </si>
  <si>
    <t>PNB Thane</t>
  </si>
  <si>
    <t>Cent Kalyan</t>
  </si>
  <si>
    <t>IBHF Kalyan</t>
  </si>
  <si>
    <t>CPC Name:</t>
  </si>
  <si>
    <t>Axis Thane</t>
  </si>
  <si>
    <t>PNB Borivali</t>
  </si>
  <si>
    <t>Cent Belapur</t>
  </si>
  <si>
    <t>IBHF Badlapur</t>
  </si>
  <si>
    <t>Date Of Property Visit</t>
  </si>
  <si>
    <t>11/08/2025.</t>
  </si>
  <si>
    <t>Axis Sanpada</t>
  </si>
  <si>
    <t>IBHF Vashi</t>
  </si>
  <si>
    <t>Name of the builder group</t>
  </si>
  <si>
    <t>Laukik Lifestyles</t>
  </si>
  <si>
    <t>Axis Badlapur</t>
  </si>
  <si>
    <t>Name of the builder company</t>
  </si>
  <si>
    <t>IBHF Thane</t>
  </si>
  <si>
    <t>Name of the Project</t>
  </si>
  <si>
    <t>Balaji Classica ­ Athena And Iris</t>
  </si>
  <si>
    <t>IBHF Andheri</t>
  </si>
  <si>
    <t>Provided Contact Details (Name &amp; Contact No.)</t>
  </si>
  <si>
    <t>Mr.Bijendra Singh Chavan 8454047413</t>
  </si>
  <si>
    <t>Site Person - Contact Details (Name &amp; Contact No.)</t>
  </si>
  <si>
    <t>Name / No of the Building</t>
  </si>
  <si>
    <t>Building No. 1(Athena) &amp; Building No. 2(Iris)</t>
  </si>
  <si>
    <t>Name / No of the Existing Building</t>
  </si>
  <si>
    <t>NA</t>
  </si>
  <si>
    <t>Thane</t>
  </si>
  <si>
    <t>Palghar</t>
  </si>
  <si>
    <t>Mumbai</t>
  </si>
  <si>
    <t>Raigad</t>
  </si>
  <si>
    <t>Pune</t>
  </si>
  <si>
    <t>Documents Provided</t>
  </si>
  <si>
    <t>Approved Plans, CC &amp; EC</t>
  </si>
  <si>
    <t>Mokhada</t>
  </si>
  <si>
    <t>Andheri</t>
  </si>
  <si>
    <t>Alibag</t>
  </si>
  <si>
    <t>Pune City</t>
  </si>
  <si>
    <t>RERA No.</t>
  </si>
  <si>
    <t>P51700055289</t>
  </si>
  <si>
    <t>Shahpur</t>
  </si>
  <si>
    <t>Talasari</t>
  </si>
  <si>
    <t>Borivali</t>
  </si>
  <si>
    <t>Panvel</t>
  </si>
  <si>
    <t>Haveli</t>
  </si>
  <si>
    <t xml:space="preserve">Project location details       </t>
  </si>
  <si>
    <t>Kalyan</t>
  </si>
  <si>
    <t>Vasai</t>
  </si>
  <si>
    <t>Kurla</t>
  </si>
  <si>
    <t>Uran</t>
  </si>
  <si>
    <t>Khed</t>
  </si>
  <si>
    <t>Survey No</t>
  </si>
  <si>
    <t>124/1, 32/2, 33/1, 33/2</t>
  </si>
  <si>
    <t>Bhiwandi</t>
  </si>
  <si>
    <t>Vikramgad</t>
  </si>
  <si>
    <t>Karjat</t>
  </si>
  <si>
    <t>Baramati</t>
  </si>
  <si>
    <t>Locality</t>
  </si>
  <si>
    <t>Betwade</t>
  </si>
  <si>
    <t>Ulhasnagar</t>
  </si>
  <si>
    <t>Khalapur</t>
  </si>
  <si>
    <t>Junnar</t>
  </si>
  <si>
    <t>Road</t>
  </si>
  <si>
    <t>Diva Manpada Road</t>
  </si>
  <si>
    <t>Locality/Village</t>
  </si>
  <si>
    <t>Usarghar</t>
  </si>
  <si>
    <t>Ambernath</t>
  </si>
  <si>
    <t>Dahanu</t>
  </si>
  <si>
    <t>Pen</t>
  </si>
  <si>
    <t>Shirur</t>
  </si>
  <si>
    <t>City</t>
  </si>
  <si>
    <t>Datiwali East</t>
  </si>
  <si>
    <t>District</t>
  </si>
  <si>
    <t>Murbad</t>
  </si>
  <si>
    <t>Wada</t>
  </si>
  <si>
    <t>Sudhagad</t>
  </si>
  <si>
    <t>Indapur</t>
  </si>
  <si>
    <t>Taluka</t>
  </si>
  <si>
    <t>Pin Code</t>
  </si>
  <si>
    <t>Mahad</t>
  </si>
  <si>
    <t>Daund</t>
  </si>
  <si>
    <t>Nearby Landmark</t>
  </si>
  <si>
    <t>Runwal MyCity, Parshuram Munde HP Petrol Pump</t>
  </si>
  <si>
    <t xml:space="preserve">Distance from city centre: </t>
  </si>
  <si>
    <t>1.5KM from Datiwali Railway Station</t>
  </si>
  <si>
    <t>Roha</t>
  </si>
  <si>
    <t>Mawal</t>
  </si>
  <si>
    <t>Accessibility to the Project from the City: (Proximity to civic amenities like school, hospital, market, etc.)</t>
  </si>
  <si>
    <t>all available at  1 to 2 km.</t>
  </si>
  <si>
    <t>Mangaon</t>
  </si>
  <si>
    <t>Ambegaon</t>
  </si>
  <si>
    <t>Poladpur</t>
  </si>
  <si>
    <t>Purandhar</t>
  </si>
  <si>
    <t>Does property have Electricity / Water / Drainage Connection</t>
  </si>
  <si>
    <t>Yes</t>
  </si>
  <si>
    <t>Mahasala</t>
  </si>
  <si>
    <t>Bhor</t>
  </si>
  <si>
    <t>Class of locality</t>
  </si>
  <si>
    <t>Shriwardhan</t>
  </si>
  <si>
    <t>Mulshi</t>
  </si>
  <si>
    <t>Nature of land with topographical condtion</t>
  </si>
  <si>
    <t>Plane</t>
  </si>
  <si>
    <t>Murud</t>
  </si>
  <si>
    <t>Velhe</t>
  </si>
  <si>
    <t xml:space="preserve">Nature of the locality </t>
  </si>
  <si>
    <t>Quality of infrastructure in vicinity</t>
  </si>
  <si>
    <t>Good</t>
  </si>
  <si>
    <t>Type of Structure</t>
  </si>
  <si>
    <t>RCC Frame Structure</t>
  </si>
  <si>
    <t xml:space="preserve">Approved usage of the Property:                                                                                                                                             </t>
  </si>
  <si>
    <t>Restrictive Covenants in regard to Land Use</t>
  </si>
  <si>
    <t>No</t>
  </si>
  <si>
    <t>Boundries</t>
  </si>
  <si>
    <t>As per Layout</t>
  </si>
  <si>
    <t>At site</t>
  </si>
  <si>
    <t>East</t>
  </si>
  <si>
    <t>S. 124/1/Building No. 3</t>
  </si>
  <si>
    <t>House</t>
  </si>
  <si>
    <t>West</t>
  </si>
  <si>
    <t>Other Plot</t>
  </si>
  <si>
    <t>Open Plot</t>
  </si>
  <si>
    <t>North</t>
  </si>
  <si>
    <t>South</t>
  </si>
  <si>
    <t>Club House/ Building No. 4 &amp; 5</t>
  </si>
  <si>
    <t>Does the boundaries at site match, as mentioned in the Documentation: NA</t>
  </si>
  <si>
    <t>Latitude, Longitude</t>
  </si>
  <si>
    <t>19.185473,73.070854</t>
  </si>
  <si>
    <t>Location Link</t>
  </si>
  <si>
    <t>https://maps.app.goo.gl/jtoQE5pFybAASdhV9</t>
  </si>
  <si>
    <t>Area Statement Details :</t>
  </si>
  <si>
    <t>Total land area of the project in Sq. Mt.</t>
  </si>
  <si>
    <t>Permissible FSI</t>
  </si>
  <si>
    <t>Permissible TDR/Paid FSI</t>
  </si>
  <si>
    <t>Total FSI availaible for the project</t>
  </si>
  <si>
    <t>Total Approved Builtup area of the project (Sq.Mt)</t>
  </si>
  <si>
    <t>Total number of Buildings</t>
  </si>
  <si>
    <t>02 Buildings</t>
  </si>
  <si>
    <t xml:space="preserve">Approval Detail : Plan approval </t>
  </si>
  <si>
    <t>Name of Municipal Corporation/Authority</t>
  </si>
  <si>
    <t>Kalyan Dombivli Municipal Corporation</t>
  </si>
  <si>
    <t>Authorites</t>
  </si>
  <si>
    <t xml:space="preserve">Thane </t>
  </si>
  <si>
    <t xml:space="preserve">Layout Approval No     </t>
  </si>
  <si>
    <t>KDMC/TPD/BP/27Village/2023-24/27/380</t>
  </si>
  <si>
    <t>Dated</t>
  </si>
  <si>
    <t>05/03/2024.</t>
  </si>
  <si>
    <t>Slum Rehabilitation Authority (SRA)</t>
  </si>
  <si>
    <t>Navi Mumbai Municipal Corporation (NMMC)</t>
  </si>
  <si>
    <t>Panvel Municipal Corporation</t>
  </si>
  <si>
    <t>Vasai-Virar City Municipal Corporation. (VVCMC)</t>
  </si>
  <si>
    <t xml:space="preserve">Approved Floor plan No.  </t>
  </si>
  <si>
    <t>Municipal Corporation of Greater Mumbai (MCGM)</t>
  </si>
  <si>
    <t>Thane Muncipal Cooperation (TMC)</t>
  </si>
  <si>
    <t>City and Industrial Development Corporation (CIDCO)</t>
  </si>
  <si>
    <t>Collector Of Palghar</t>
  </si>
  <si>
    <t xml:space="preserve">Commencement-CC No
Valid Up to: </t>
  </si>
  <si>
    <t>Maharashtra Housing and Area Development Authority(MHADA)</t>
  </si>
  <si>
    <t>Kalyan Dombivli Municipal Corporation (KMDC)</t>
  </si>
  <si>
    <t>Maharashtra State Road Development Corporation Limited (MSRDC)</t>
  </si>
  <si>
    <t>Town Planner, Palghar</t>
  </si>
  <si>
    <t>Building No.1 = Stilt/Gr.(Pt) + 1st to 23rd Floors
Building No.2 = Stilt/Gr.(Pt) + 1st to 23rd Floors</t>
  </si>
  <si>
    <t>Mumbai Metropolitan Region Development Authority (MMRDA)</t>
  </si>
  <si>
    <t>Ambernath Municipal Council (AMC)</t>
  </si>
  <si>
    <t>Navi Mumbai Airport Influence Notified Area (NAINA)</t>
  </si>
  <si>
    <t xml:space="preserve">Fire Noc No
Valid Up to: </t>
  </si>
  <si>
    <t>Kulgoan Badlapur Municipal Council</t>
  </si>
  <si>
    <t>Pen Municipal Council</t>
  </si>
  <si>
    <t xml:space="preserve">Environmental Clearance Certificate (EC) No
Valid Up for: </t>
  </si>
  <si>
    <t>SIA/MH/INFRA2/450471/2023</t>
  </si>
  <si>
    <t>08/02/2024.</t>
  </si>
  <si>
    <t>Town Planning Thane</t>
  </si>
  <si>
    <t>Raigad Zilha Parishad</t>
  </si>
  <si>
    <t>S. No. 124/1, 32/2, 33/1, 33/2
Plot Area = 24430 sqm.
Net Plot Area = 19994.83 sqm.
Built up Area = 107307.74 sqm.
Building No.1 &amp; 2 = Stilt + 1st to 23rd Floor (Height = 69.95 m)</t>
  </si>
  <si>
    <t>Ulhasnagar Municipal Corporation</t>
  </si>
  <si>
    <t>Roha Municipal Council</t>
  </si>
  <si>
    <t xml:space="preserve">Airport Noc No
Valid Up to: </t>
  </si>
  <si>
    <t>Nagar Rachana Ani Mulya Nirdharan Vibhag Thane</t>
  </si>
  <si>
    <t>Collector Of Raigad</t>
  </si>
  <si>
    <t>Bhiwandi Nizampur City Municipal Corporation</t>
  </si>
  <si>
    <t xml:space="preserve">O. Certificate No.: </t>
  </si>
  <si>
    <t>NA
Approved upto : NA</t>
  </si>
  <si>
    <t>Maharashtra Industrial Development Corporation (MIDC)</t>
  </si>
  <si>
    <t>Building wise Construction details</t>
  </si>
  <si>
    <t>Mira-Bhayandar Municipal Corporation</t>
  </si>
  <si>
    <t>Approved area of building (Sq.Mt)
Building No. 1 &amp; 2</t>
  </si>
  <si>
    <t>Approved no of units</t>
  </si>
  <si>
    <t>Flats - 594</t>
  </si>
  <si>
    <t>Approved no of Floors</t>
  </si>
  <si>
    <t>Proposed no of Floors</t>
  </si>
  <si>
    <t>Building No.1 = Stilt/Gr.(Pt) + 1st to 23rd Floors</t>
  </si>
  <si>
    <t>Building No.2 = Stilt/Gr.(Pt) + 1st to 23rd Floors</t>
  </si>
  <si>
    <t>Expected Completion</t>
  </si>
  <si>
    <t>As per RERA - 30/06/2028</t>
  </si>
  <si>
    <t>Projected life of the structure</t>
  </si>
  <si>
    <t xml:space="preserve">Quality of construction: </t>
  </si>
  <si>
    <r>
      <rPr>
        <sz val="12"/>
        <color theme="1"/>
        <rFont val="Times New Roman"/>
        <charset val="134"/>
      </rPr>
      <t xml:space="preserve">Proposed Amenities :                                                                                                                                                                                                                         </t>
    </r>
    <r>
      <rPr>
        <b/>
        <sz val="12"/>
        <color theme="1"/>
        <rFont val="Times New Roman"/>
        <charset val="134"/>
      </rPr>
      <t xml:space="preserve">                                               </t>
    </r>
  </si>
  <si>
    <t>Swimming Pool, 3 Level Grand Clubhouse, Gymnasium, Multipurpose Court, Amphitheatre, Kid’s Play Area, Jogging Track &amp; Pet Park .</t>
  </si>
  <si>
    <t>https://www.balajiclassicadombivli.com/</t>
  </si>
  <si>
    <t xml:space="preserve">Violations Observed if any : </t>
  </si>
  <si>
    <t xml:space="preserve">Material laying at Site: </t>
  </si>
  <si>
    <t xml:space="preserve">Wheather the construction is as per approved Building plan : </t>
  </si>
  <si>
    <t>Construction details:</t>
  </si>
  <si>
    <t>Basement</t>
  </si>
  <si>
    <t>Ground</t>
  </si>
  <si>
    <t>Podium</t>
  </si>
  <si>
    <t>Floors</t>
  </si>
  <si>
    <t xml:space="preserve">Stage of construction: </t>
  </si>
  <si>
    <t>Type of Work</t>
  </si>
  <si>
    <t>Slab/Floor</t>
  </si>
  <si>
    <t>Complition %</t>
  </si>
  <si>
    <t>Progress %</t>
  </si>
  <si>
    <t>Disbursement %</t>
  </si>
  <si>
    <t>Piling Work in process</t>
  </si>
  <si>
    <t>Excavation</t>
  </si>
  <si>
    <t>Excavation in process</t>
  </si>
  <si>
    <t>Plinth</t>
  </si>
  <si>
    <t>Excavation Completed</t>
  </si>
  <si>
    <t>RCC (Including podiums)</t>
  </si>
  <si>
    <t>Footing in Process</t>
  </si>
  <si>
    <t>Brickwork</t>
  </si>
  <si>
    <t>Brickwork &amp; Internal Plaster</t>
  </si>
  <si>
    <t>Footing Completed</t>
  </si>
  <si>
    <t>Internal Plaster</t>
  </si>
  <si>
    <t>Basement 1</t>
  </si>
  <si>
    <t>Ext. Plaster &amp; Plumbing</t>
  </si>
  <si>
    <t>External Plaster &amp; Plumbing</t>
  </si>
  <si>
    <t>Basement 2</t>
  </si>
  <si>
    <t>Flooring &amp; Fitting</t>
  </si>
  <si>
    <t>Basement 3</t>
  </si>
  <si>
    <t>Painting &amp; Wooden</t>
  </si>
  <si>
    <t>Basement 4</t>
  </si>
  <si>
    <t>Building Common Amenities</t>
  </si>
  <si>
    <t>Plinth in process</t>
  </si>
  <si>
    <t>Possession</t>
  </si>
  <si>
    <t>Plinth completed</t>
  </si>
  <si>
    <t xml:space="preserve">Recommended Rates of the Property : </t>
  </si>
  <si>
    <t>On Saleable Area</t>
  </si>
  <si>
    <t>Recommended rate of the Flat Per Sq. Ft.</t>
  </si>
  <si>
    <t>Rate 50+   by Sanjay verbal   on 14/02/2025</t>
  </si>
  <si>
    <t>Recommended rate of the Shop Per Sq. Ft.</t>
  </si>
  <si>
    <t>Recommended rate of the Office Per Sq. Ft.</t>
  </si>
  <si>
    <t>Floor Rise Rate from    Floor</t>
  </si>
  <si>
    <t>Development Charges</t>
  </si>
  <si>
    <t>Club Charges</t>
  </si>
  <si>
    <t>Gas Connection Charges</t>
  </si>
  <si>
    <t>Water, Electricity, Drainages, Sewerage Connection</t>
  </si>
  <si>
    <t>Society Formation Charges</t>
  </si>
  <si>
    <t>Advance Maintenance Charges</t>
  </si>
  <si>
    <t xml:space="preserve">Recommended rate of Parking </t>
  </si>
  <si>
    <t>Distressed valuation of the Property</t>
  </si>
  <si>
    <t>Commercial Area Details :</t>
  </si>
  <si>
    <t>Building &amp; Wing</t>
  </si>
  <si>
    <t>No. of Units</t>
  </si>
  <si>
    <t>Total Carpet Area</t>
  </si>
  <si>
    <t>Total Saleable Area</t>
  </si>
  <si>
    <t>Total</t>
  </si>
  <si>
    <t>Residential Area Details :</t>
  </si>
  <si>
    <t>Building No.1(Athena)</t>
  </si>
  <si>
    <t>Building No.2(Iris)</t>
  </si>
  <si>
    <t>Grand Total</t>
  </si>
  <si>
    <t>Building details Floor Wise</t>
  </si>
  <si>
    <t xml:space="preserve">Details of Residential &amp; Commercials in Building   </t>
  </si>
  <si>
    <r>
      <rPr>
        <b/>
        <sz val="12"/>
        <color indexed="8"/>
        <rFont val="Times New Roman"/>
        <charset val="134"/>
      </rPr>
      <t xml:space="preserve">Shop No.
</t>
    </r>
    <r>
      <rPr>
        <b/>
        <sz val="11"/>
        <color rgb="FF000000"/>
        <rFont val="Times New Roman"/>
        <charset val="134"/>
      </rPr>
      <t>(Approved Plan)</t>
    </r>
  </si>
  <si>
    <t>Shop No. (Sale Plan)</t>
  </si>
  <si>
    <t>Description</t>
  </si>
  <si>
    <t>Carpet area</t>
  </si>
  <si>
    <t>Attached Loft area</t>
  </si>
  <si>
    <t>Gross Carpet area</t>
  </si>
  <si>
    <t>Attached Terrace area</t>
  </si>
  <si>
    <t>Saleable area Loading :</t>
  </si>
  <si>
    <t>Ground Floor</t>
  </si>
  <si>
    <r>
      <rPr>
        <b/>
        <sz val="12"/>
        <color theme="1"/>
        <rFont val="Times New Roman"/>
        <charset val="134"/>
      </rPr>
      <t xml:space="preserve">Flat No.
</t>
    </r>
    <r>
      <rPr>
        <b/>
        <sz val="11"/>
        <color theme="1"/>
        <rFont val="Times New Roman"/>
        <charset val="134"/>
      </rPr>
      <t>(Approved Plan)</t>
    </r>
  </si>
  <si>
    <t>Flat No. (Sale Plan)</t>
  </si>
  <si>
    <t>Enclose/   Open Balcony Area</t>
  </si>
  <si>
    <t>Ground Floor For Entrance Lobby, Meter Room &amp; Parking</t>
  </si>
  <si>
    <t>1st to 7th, 9th to 12th, 14th to 17th, 19th to 22nd Floor For Residential</t>
  </si>
  <si>
    <t>1BHK</t>
  </si>
  <si>
    <t>2BHK</t>
  </si>
  <si>
    <t>8th, 13th, 18th &amp; 23rd Floor Part Refuge</t>
  </si>
  <si>
    <t>Refuge Area</t>
  </si>
  <si>
    <t>3rd, 5th, 7th, 9th, 11th, 13th, 15th Floor</t>
  </si>
  <si>
    <t>1st to 23rd Floor</t>
  </si>
  <si>
    <t>2nd &amp; 5th Floor</t>
  </si>
  <si>
    <t xml:space="preserve">Remarks:  </t>
  </si>
  <si>
    <t>*</t>
  </si>
  <si>
    <t>Construction work is in process at the time of Visit.</t>
  </si>
  <si>
    <t>We considered Carpet area as per Approved Plan.</t>
  </si>
  <si>
    <t>We considered Gross carpet area = Net carpet + Enclose &amp; Open Balcony.</t>
  </si>
  <si>
    <t>We have considered proposed No. of Floor for Stage Calculation.</t>
  </si>
  <si>
    <t>We have considered rate by verifying it from market inquire.</t>
  </si>
  <si>
    <t>Recommended rate should be considered as all inclusive rate if other charges are not mentioned. (Excluding GST &amp; other government Taxes)</t>
  </si>
  <si>
    <t>Car parking is subjected to authentic documentation.</t>
  </si>
  <si>
    <t xml:space="preserve">As the project is redevelopement project but rehab statement or rehab flats is not mentioned approved layout plan &amp; floor plan.
</t>
  </si>
  <si>
    <t xml:space="preserve">Please check for Environment Clearance Certificate.
</t>
  </si>
  <si>
    <t>We have done APF Valuation for Building No.1(Athena) &amp; Building No.2(Iris) as they are registered on RERA site.</t>
  </si>
  <si>
    <t>Recommended Rates of the Property have been revised on 14/01/2025 &amp; 17/06/2025.</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</si>
  <si>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</si>
  <si>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</si>
  <si>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</si>
  <si>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</si>
  <si>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</si>
  <si>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</si>
  <si>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</si>
  <si>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Inspected By :</t>
  </si>
  <si>
    <t>Gangaram Lambore</t>
  </si>
  <si>
    <t>Report By :</t>
  </si>
  <si>
    <t>Shruti Tathare</t>
  </si>
  <si>
    <t>Authorized Signatory
Name &amp; Seal of the agency</t>
  </si>
  <si>
    <t xml:space="preserve">PHOTOGRAPHS OF PROPERTY : 
</t>
  </si>
  <si>
    <t>Layout :</t>
  </si>
  <si>
    <t>Google Map :</t>
  </si>
  <si>
    <t>Market Research Data</t>
  </si>
  <si>
    <t>Source</t>
  </si>
  <si>
    <t>Distance from proposed property</t>
  </si>
  <si>
    <t>Flat</t>
  </si>
  <si>
    <t>Net Carpet</t>
  </si>
  <si>
    <t>Saleable Area</t>
  </si>
  <si>
    <t>Rate on Saleable</t>
  </si>
  <si>
    <t>Market Value</t>
  </si>
  <si>
    <t>Magic Brick</t>
  </si>
  <si>
    <t>99 Acres</t>
  </si>
  <si>
    <t>Average</t>
  </si>
  <si>
    <t xml:space="preserve">Valuation Adopted </t>
  </si>
  <si>
    <t>Approved Plans, CC, Sale Plans, Builder Saleable Area, Cost Sheet, Airport Noc, Railway Noc, OC</t>
  </si>
  <si>
    <t>Approved Plans, CC</t>
  </si>
  <si>
    <t>Approved Plans, CC, Sale Plans</t>
  </si>
  <si>
    <t>Approved Plans, CC, Sale Plans, Builder Saleable Area</t>
  </si>
  <si>
    <t>Approved Plans, CC, Sale Plans, Builder Saleable Area, Cost Sheet,</t>
  </si>
  <si>
    <t>Approved Plans, CC, Builder Saleable Area,</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</si>
  <si>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</si>
  <si>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</si>
  <si>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</si>
  <si>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</si>
  <si>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</si>
  <si>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</si>
  <si>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</si>
  <si>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rPr>
        <sz val="11"/>
        <color rgb="FF000000"/>
        <rFont val="Calibri"/>
        <charset val="134"/>
      </rPr>
      <t xml:space="preserve">Recommended Rates / Other charges of the Property have been revised on </t>
    </r>
    <r>
      <rPr>
        <b/>
        <sz val="11"/>
        <color rgb="FF000000"/>
        <rFont val="Calibri"/>
        <charset val="134"/>
      </rPr>
      <t>23/10/2023</t>
    </r>
    <r>
      <rPr>
        <sz val="11"/>
        <color rgb="FF000000"/>
        <rFont val="Calibri"/>
        <charset val="134"/>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</si>
  <si>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</si>
  <si>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</si>
  <si>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</si>
  <si>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</si>
  <si>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</si>
  <si>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</si>
  <si>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</si>
  <si>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</si>
  <si>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</si>
  <si>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CC on 08/05/2015 still building is still under construction.</t>
  </si>
  <si>
    <t>Since the project has received first CC on 17/01/2020, But construction work of Wing A is not yet started. Please provide revised approved CC for Wing A.</t>
  </si>
  <si>
    <r>
      <rPr>
        <sz val="11"/>
        <color rgb="FF000000"/>
        <rFont val="Calibri"/>
        <charset val="134"/>
      </rPr>
      <t xml:space="preserve">A sale or rehab statement is not provided along with approved floor plans. But as per a letter provided by the Bank Official on </t>
    </r>
    <r>
      <rPr>
        <b/>
        <sz val="11"/>
        <color rgb="FF000000"/>
        <rFont val="Calibri"/>
        <charset val="134"/>
      </rPr>
      <t>whatsapp</t>
    </r>
    <r>
      <rPr>
        <sz val="11"/>
        <color rgb="FF000000"/>
        <rFont val="Calibri"/>
        <charset val="134"/>
      </rPr>
      <t xml:space="preserve"> A wing is a rehab wing, and B wing is a sale wing. The same letter is attached below.</t>
    </r>
  </si>
  <si>
    <r>
      <rPr>
        <sz val="11"/>
        <color rgb="FF000000"/>
        <rFont val="Calibri"/>
        <charset val="134"/>
      </rPr>
      <t xml:space="preserve">A sale or rehab statement is not provided along with approved floor plans. But as per a letter provided by the Bank Official on </t>
    </r>
    <r>
      <rPr>
        <b/>
        <sz val="11"/>
        <color rgb="FF000000"/>
        <rFont val="Calibri"/>
        <charset val="134"/>
      </rPr>
      <t>whatsapp</t>
    </r>
    <r>
      <rPr>
        <sz val="11"/>
        <color rgb="FF000000"/>
        <rFont val="Calibri"/>
        <charset val="134"/>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</si>
  <si>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</si>
  <si>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</si>
  <si>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</si>
  <si>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 xml:space="preserve">Floor No </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</si>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</sst>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0_-;\-* #,##0_-;_-* &quot;-&quot;_-;_-@_-"/>
    <numFmt numFmtId="42" formatCode="_-&quot;£&quot;* #,##0_-;\-&quot;£&quot;* #,##0_-;_-&quot;£&quot;* &quot;-&quot;_-;_-@_-"/>
    <numFmt numFmtId="44" formatCode="_-&quot;£&quot;* #,##0.00_-;\-&quot;£&quot;* #,##0.00_-;_-&quot;£&quot;* &quot;-&quot;??_-;_-@_-"/>
    <numFmt numFmtId="176" formatCode="_ * #,##0.00_ ;_ * \-#,##0.00_ ;_ * &quot;-&quot;??_ ;_ @_ "/>
    <numFmt numFmtId="177" formatCode="_(* #,##0.00_);_(* \(#,##0.00\);_(* &quot;-&quot;??_);_(@_)"/>
    <numFmt numFmtId="178" formatCode="_(* #,##0_);_(* \(#,##0\);_(* &quot;-&quot;??_);_(@_)"/>
    <numFmt numFmtId="179" formatCode="0.0"/>
    <numFmt numFmtId="180" formatCode="_ * #,##0_ ;_ * \-#,##0_ ;_ * &quot;-&quot;??_ ;_ @_ "/>
  </numFmts>
  <fonts count="48">
    <font>
      <sz val="11"/>
      <color rgb="FF000000"/>
      <name val="Calibri"/>
      <charset val="134"/>
    </font>
    <font>
      <b/>
      <sz val="11"/>
      <color theme="1"/>
      <name val="Calibri"/>
      <charset val="134"/>
      <scheme val="minor"/>
    </font>
    <font>
      <sz val="11"/>
      <color indexed="8"/>
      <name val="Calibri"/>
      <charset val="134"/>
    </font>
    <font>
      <sz val="11"/>
      <color theme="1"/>
      <name val="Calibri"/>
      <charset val="134"/>
      <scheme val="minor"/>
    </font>
    <font>
      <sz val="11"/>
      <color rgb="FFFF0000"/>
      <name val="Calibri"/>
      <charset val="134"/>
      <scheme val="minor"/>
    </font>
    <font>
      <sz val="11"/>
      <color rgb="FFFF0000"/>
      <name val="Calibri"/>
      <charset val="134"/>
    </font>
    <font>
      <sz val="12"/>
      <color rgb="FFFF0000"/>
      <name val="Times New Roman"/>
      <charset val="134"/>
    </font>
    <font>
      <sz val="12"/>
      <name val="Times New Roman"/>
      <charset val="134"/>
    </font>
    <font>
      <sz val="11"/>
      <color theme="1"/>
      <name val="Times New Roman"/>
      <charset val="134"/>
    </font>
    <font>
      <sz val="12"/>
      <color indexed="8"/>
      <name val="Times New Roman"/>
      <charset val="134"/>
    </font>
    <font>
      <sz val="12"/>
      <color theme="1"/>
      <name val="Times New Roman"/>
      <charset val="134"/>
    </font>
    <font>
      <b/>
      <sz val="11.5"/>
      <color indexed="8"/>
      <name val="Times New Roman"/>
      <charset val="134"/>
    </font>
    <font>
      <b/>
      <sz val="12"/>
      <color indexed="8"/>
      <name val="Times New Roman"/>
      <charset val="134"/>
    </font>
    <font>
      <b/>
      <sz val="12"/>
      <name val="Times New Roman"/>
      <charset val="134"/>
    </font>
    <font>
      <u/>
      <sz val="11"/>
      <color theme="10"/>
      <name val="Calibri"/>
      <charset val="134"/>
    </font>
    <font>
      <b/>
      <sz val="12"/>
      <color theme="1"/>
      <name val="Times New Roman"/>
      <charset val="134"/>
    </font>
    <font>
      <sz val="10"/>
      <color theme="1"/>
      <name val="Times New Roman"/>
      <charset val="134"/>
    </font>
    <font>
      <sz val="11"/>
      <name val="Calibri"/>
      <charset val="134"/>
    </font>
    <font>
      <sz val="11"/>
      <color theme="0"/>
      <name val="Calibri"/>
      <charset val="134"/>
    </font>
    <font>
      <sz val="11"/>
      <color rgb="FF000000"/>
      <name val="Times New Roman"/>
      <charset val="134"/>
    </font>
    <font>
      <b/>
      <sz val="12"/>
      <color rgb="FFFF0000"/>
      <name val="Times New Roman"/>
      <charset val="134"/>
    </font>
    <font>
      <b/>
      <sz val="11"/>
      <color indexed="8"/>
      <name val="Times New Roman"/>
      <charset val="134"/>
    </font>
    <font>
      <b/>
      <sz val="11"/>
      <color theme="1"/>
      <name val="Times New Roman"/>
      <charset val="134"/>
    </font>
    <font>
      <sz val="11"/>
      <name val="Times New Roman"/>
      <charset val="134"/>
    </font>
    <font>
      <sz val="11"/>
      <color theme="1"/>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0"/>
      <name val="Arial"/>
      <charset val="134"/>
    </font>
    <font>
      <b/>
      <sz val="11"/>
      <color rgb="FF000000"/>
      <name val="Calibri"/>
      <charset val="134"/>
    </font>
    <font>
      <b/>
      <sz val="11"/>
      <color rgb="FF000000"/>
      <name val="Times New Roman"/>
      <charset val="134"/>
    </font>
    <font>
      <sz val="9"/>
      <name val="Tahoma"/>
      <charset val="134"/>
    </font>
    <font>
      <b/>
      <sz val="9"/>
      <name val="Tahoma"/>
      <charset val="134"/>
    </font>
  </fonts>
  <fills count="37">
    <fill>
      <patternFill patternType="none"/>
    </fill>
    <fill>
      <patternFill patternType="gray125"/>
    </fill>
    <fill>
      <patternFill patternType="solid">
        <fgColor rgb="FFFFFF00"/>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9">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diagonal/>
    </border>
    <border>
      <left/>
      <right style="thin">
        <color auto="1"/>
      </right>
      <top/>
      <bottom/>
      <diagonal/>
    </border>
    <border>
      <left/>
      <right style="medium">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medium">
        <color auto="1"/>
      </bottom>
      <diagonal/>
    </border>
    <border>
      <left style="thin">
        <color auto="1"/>
      </left>
      <right style="thin">
        <color auto="1"/>
      </right>
      <top style="medium">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xf numFmtId="176" fontId="0" fillId="0" borderId="0" applyFont="0" applyFill="0" applyBorder="0" applyAlignment="0" applyProtection="0"/>
    <xf numFmtId="44" fontId="24" fillId="0" borderId="0" applyFont="0" applyFill="0" applyBorder="0" applyAlignment="0" applyProtection="0">
      <alignment vertical="center"/>
    </xf>
    <xf numFmtId="9" fontId="0" fillId="0" borderId="0" applyFont="0" applyFill="0" applyBorder="0" applyAlignment="0" applyProtection="0"/>
    <xf numFmtId="41" fontId="24" fillId="0" borderId="0" applyFont="0" applyFill="0" applyBorder="0" applyAlignment="0" applyProtection="0">
      <alignment vertical="center"/>
    </xf>
    <xf numFmtId="42" fontId="24" fillId="0" borderId="0" applyFont="0" applyFill="0" applyBorder="0" applyAlignment="0" applyProtection="0">
      <alignment vertical="center"/>
    </xf>
    <xf numFmtId="0" fontId="14" fillId="0" borderId="0" applyNumberFormat="0" applyFill="0" applyBorder="0" applyAlignment="0" applyProtection="0"/>
    <xf numFmtId="0" fontId="25" fillId="0" borderId="0" applyNumberFormat="0" applyFill="0" applyBorder="0" applyAlignment="0" applyProtection="0">
      <alignment vertical="center"/>
    </xf>
    <xf numFmtId="0" fontId="24" fillId="6" borderId="31" applyNumberFormat="0" applyFont="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32" applyNumberFormat="0" applyFill="0" applyAlignment="0" applyProtection="0">
      <alignment vertical="center"/>
    </xf>
    <xf numFmtId="0" fontId="30" fillId="0" borderId="32" applyNumberFormat="0" applyFill="0" applyAlignment="0" applyProtection="0">
      <alignment vertical="center"/>
    </xf>
    <xf numFmtId="0" fontId="31" fillId="0" borderId="33" applyNumberFormat="0" applyFill="0" applyAlignment="0" applyProtection="0">
      <alignment vertical="center"/>
    </xf>
    <xf numFmtId="0" fontId="31" fillId="0" borderId="0" applyNumberFormat="0" applyFill="0" applyBorder="0" applyAlignment="0" applyProtection="0">
      <alignment vertical="center"/>
    </xf>
    <xf numFmtId="0" fontId="32" fillId="7" borderId="34" applyNumberFormat="0" applyAlignment="0" applyProtection="0">
      <alignment vertical="center"/>
    </xf>
    <xf numFmtId="0" fontId="33" fillId="8" borderId="35" applyNumberFormat="0" applyAlignment="0" applyProtection="0">
      <alignment vertical="center"/>
    </xf>
    <xf numFmtId="0" fontId="34" fillId="8" borderId="34" applyNumberFormat="0" applyAlignment="0" applyProtection="0">
      <alignment vertical="center"/>
    </xf>
    <xf numFmtId="0" fontId="35" fillId="9" borderId="36" applyNumberFormat="0" applyAlignment="0" applyProtection="0">
      <alignment vertical="center"/>
    </xf>
    <xf numFmtId="0" fontId="36" fillId="0" borderId="37" applyNumberFormat="0" applyFill="0" applyAlignment="0" applyProtection="0">
      <alignment vertical="center"/>
    </xf>
    <xf numFmtId="0" fontId="37" fillId="0" borderId="38" applyNumberFormat="0" applyFill="0" applyAlignment="0" applyProtection="0">
      <alignment vertical="center"/>
    </xf>
    <xf numFmtId="0" fontId="38" fillId="10" borderId="0" applyNumberFormat="0" applyBorder="0" applyAlignment="0" applyProtection="0">
      <alignment vertical="center"/>
    </xf>
    <xf numFmtId="0" fontId="39" fillId="11" borderId="0" applyNumberFormat="0" applyBorder="0" applyAlignment="0" applyProtection="0">
      <alignment vertical="center"/>
    </xf>
    <xf numFmtId="0" fontId="40" fillId="12" borderId="0" applyNumberFormat="0" applyBorder="0" applyAlignment="0" applyProtection="0">
      <alignment vertical="center"/>
    </xf>
    <xf numFmtId="0" fontId="41"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1" fillId="16" borderId="0" applyNumberFormat="0" applyBorder="0" applyAlignment="0" applyProtection="0">
      <alignment vertical="center"/>
    </xf>
    <xf numFmtId="0" fontId="41" fillId="17" borderId="0" applyNumberFormat="0" applyBorder="0" applyAlignment="0" applyProtection="0">
      <alignment vertical="center"/>
    </xf>
    <xf numFmtId="0" fontId="42" fillId="18" borderId="0" applyNumberFormat="0" applyBorder="0" applyAlignment="0" applyProtection="0">
      <alignment vertical="center"/>
    </xf>
    <xf numFmtId="0" fontId="42" fillId="19" borderId="0" applyNumberFormat="0" applyBorder="0" applyAlignment="0" applyProtection="0">
      <alignment vertical="center"/>
    </xf>
    <xf numFmtId="0" fontId="41" fillId="20" borderId="0" applyNumberFormat="0" applyBorder="0" applyAlignment="0" applyProtection="0">
      <alignment vertical="center"/>
    </xf>
    <xf numFmtId="0" fontId="41" fillId="21" borderId="0" applyNumberFormat="0" applyBorder="0" applyAlignment="0" applyProtection="0">
      <alignment vertical="center"/>
    </xf>
    <xf numFmtId="0" fontId="42" fillId="22" borderId="0" applyNumberFormat="0" applyBorder="0" applyAlignment="0" applyProtection="0">
      <alignment vertical="center"/>
    </xf>
    <xf numFmtId="0" fontId="42" fillId="23"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42" fillId="26" borderId="0" applyNumberFormat="0" applyBorder="0" applyAlignment="0" applyProtection="0">
      <alignment vertical="center"/>
    </xf>
    <xf numFmtId="0" fontId="42" fillId="27" borderId="0" applyNumberFormat="0" applyBorder="0" applyAlignment="0" applyProtection="0">
      <alignment vertical="center"/>
    </xf>
    <xf numFmtId="0" fontId="41" fillId="28" borderId="0" applyNumberFormat="0" applyBorder="0" applyAlignment="0" applyProtection="0">
      <alignment vertical="center"/>
    </xf>
    <xf numFmtId="0" fontId="41" fillId="29" borderId="0" applyNumberFormat="0" applyBorder="0" applyAlignment="0" applyProtection="0">
      <alignment vertical="center"/>
    </xf>
    <xf numFmtId="0" fontId="42" fillId="30" borderId="0" applyNumberFormat="0" applyBorder="0" applyAlignment="0" applyProtection="0">
      <alignment vertical="center"/>
    </xf>
    <xf numFmtId="0" fontId="42" fillId="31" borderId="0" applyNumberFormat="0" applyBorder="0" applyAlignment="0" applyProtection="0">
      <alignment vertical="center"/>
    </xf>
    <xf numFmtId="0" fontId="41" fillId="32" borderId="0" applyNumberFormat="0" applyBorder="0" applyAlignment="0" applyProtection="0">
      <alignment vertical="center"/>
    </xf>
    <xf numFmtId="0" fontId="41" fillId="33" borderId="0" applyNumberFormat="0" applyBorder="0" applyAlignment="0" applyProtection="0">
      <alignment vertical="center"/>
    </xf>
    <xf numFmtId="0" fontId="42" fillId="34" borderId="0" applyNumberFormat="0" applyBorder="0" applyAlignment="0" applyProtection="0">
      <alignment vertical="center"/>
    </xf>
    <xf numFmtId="0" fontId="42" fillId="35" borderId="0" applyNumberFormat="0" applyBorder="0" applyAlignment="0" applyProtection="0">
      <alignment vertical="center"/>
    </xf>
    <xf numFmtId="0" fontId="41" fillId="36" borderId="0" applyNumberFormat="0" applyBorder="0" applyAlignment="0" applyProtection="0">
      <alignment vertical="center"/>
    </xf>
    <xf numFmtId="177" fontId="2" fillId="0" borderId="0" applyFont="0" applyFill="0" applyBorder="0" applyAlignment="0" applyProtection="0"/>
    <xf numFmtId="0" fontId="2" fillId="0" borderId="0"/>
    <xf numFmtId="0" fontId="2" fillId="0" borderId="0"/>
    <xf numFmtId="0" fontId="3" fillId="0" borderId="0"/>
    <xf numFmtId="0" fontId="3" fillId="0" borderId="0"/>
    <xf numFmtId="0" fontId="43" fillId="0" borderId="0"/>
    <xf numFmtId="0" fontId="3" fillId="0" borderId="0"/>
  </cellStyleXfs>
  <cellXfs count="217">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2" borderId="1" xfId="0" applyFill="1" applyBorder="1" applyAlignment="1">
      <alignment horizontal="center" vertical="center" wrapText="1"/>
    </xf>
    <xf numFmtId="0" fontId="0" fillId="0" borderId="2" xfId="0" applyBorder="1" applyAlignment="1">
      <alignment horizontal="center" vertical="center"/>
    </xf>
    <xf numFmtId="0" fontId="1" fillId="0" borderId="1" xfId="0" applyFont="1" applyBorder="1" applyAlignment="1">
      <alignment horizontal="center" vertical="center"/>
    </xf>
    <xf numFmtId="0" fontId="1" fillId="3" borderId="1" xfId="0" applyFont="1" applyFill="1" applyBorder="1" applyAlignment="1">
      <alignment horizontal="center" vertical="center"/>
    </xf>
    <xf numFmtId="0" fontId="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horizontal="center" vertical="center"/>
    </xf>
    <xf numFmtId="0" fontId="1" fillId="5" borderId="1" xfId="0" applyFont="1" applyFill="1" applyBorder="1" applyAlignment="1">
      <alignment horizontal="center" vertical="center"/>
    </xf>
    <xf numFmtId="0" fontId="0" fillId="4" borderId="1" xfId="0" applyFill="1" applyBorder="1" applyAlignment="1">
      <alignment horizontal="center" vertical="center"/>
    </xf>
    <xf numFmtId="0" fontId="0" fillId="5" borderId="1" xfId="0" applyFill="1" applyBorder="1" applyAlignment="1">
      <alignment horizontal="center" vertical="center"/>
    </xf>
    <xf numFmtId="0" fontId="0" fillId="0" borderId="0" xfId="0" applyAlignment="1">
      <alignment horizontal="left" vertical="top"/>
    </xf>
    <xf numFmtId="0" fontId="0" fillId="0" borderId="1" xfId="0" applyBorder="1"/>
    <xf numFmtId="0" fontId="0" fillId="0" borderId="1" xfId="0" applyBorder="1" applyAlignment="1">
      <alignment horizontal="left" vertical="top" wrapText="1"/>
    </xf>
    <xf numFmtId="0" fontId="0" fillId="0" borderId="1" xfId="0" applyBorder="1" applyAlignment="1">
      <alignment wrapText="1"/>
    </xf>
    <xf numFmtId="0" fontId="0" fillId="0" borderId="3" xfId="0" applyBorder="1"/>
    <xf numFmtId="0" fontId="0" fillId="0" borderId="1" xfId="0" applyBorder="1" applyAlignment="1">
      <alignment vertical="top" wrapText="1"/>
    </xf>
    <xf numFmtId="0" fontId="0" fillId="0" borderId="4" xfId="0" applyBorder="1"/>
    <xf numFmtId="0" fontId="0" fillId="0" borderId="1" xfId="0" applyBorder="1" applyAlignment="1">
      <alignment horizontal="left" vertical="top"/>
    </xf>
    <xf numFmtId="0" fontId="0" fillId="0" borderId="4" xfId="0" applyBorder="1" applyAlignment="1">
      <alignment horizontal="left" vertical="top"/>
    </xf>
    <xf numFmtId="0" fontId="0" fillId="0" borderId="0" xfId="0" applyAlignment="1">
      <alignment horizontal="center"/>
    </xf>
    <xf numFmtId="0" fontId="2" fillId="0" borderId="0" xfId="51"/>
    <xf numFmtId="0" fontId="3" fillId="0" borderId="0" xfId="55"/>
    <xf numFmtId="0" fontId="1" fillId="0" borderId="1" xfId="55" applyFont="1" applyBorder="1" applyAlignment="1">
      <alignment horizontal="left"/>
    </xf>
    <xf numFmtId="0" fontId="1" fillId="0" borderId="1" xfId="55" applyFont="1" applyBorder="1" applyAlignment="1">
      <alignment horizontal="center" vertical="top" wrapText="1"/>
    </xf>
    <xf numFmtId="0" fontId="3" fillId="0" borderId="1" xfId="55" applyBorder="1" applyAlignment="1">
      <alignment horizontal="center" vertical="center"/>
    </xf>
    <xf numFmtId="0" fontId="3" fillId="0" borderId="1" xfId="55" applyBorder="1" applyAlignment="1">
      <alignment horizontal="left" vertical="center"/>
    </xf>
    <xf numFmtId="1" fontId="3" fillId="0" borderId="1" xfId="55" applyNumberFormat="1" applyBorder="1" applyAlignment="1">
      <alignment horizontal="center" vertical="center"/>
    </xf>
    <xf numFmtId="178" fontId="3" fillId="0" borderId="1" xfId="49" applyNumberFormat="1" applyFont="1" applyBorder="1" applyAlignment="1">
      <alignment horizontal="right" vertical="center"/>
    </xf>
    <xf numFmtId="0" fontId="3" fillId="0" borderId="1" xfId="55" applyBorder="1" applyAlignment="1">
      <alignment horizontal="left" vertical="center" wrapText="1"/>
    </xf>
    <xf numFmtId="0" fontId="1" fillId="0" borderId="1" xfId="55" applyFont="1" applyBorder="1" applyAlignment="1">
      <alignment horizontal="center" vertical="center"/>
    </xf>
    <xf numFmtId="1" fontId="4" fillId="0" borderId="1" xfId="55" applyNumberFormat="1" applyFont="1" applyBorder="1" applyAlignment="1">
      <alignment horizontal="center" vertical="center"/>
    </xf>
    <xf numFmtId="0" fontId="2" fillId="0" borderId="1" xfId="51" applyBorder="1" applyAlignment="1">
      <alignment horizontal="center" vertical="center"/>
    </xf>
    <xf numFmtId="0" fontId="5" fillId="0" borderId="0" xfId="51" applyFont="1"/>
    <xf numFmtId="0" fontId="6" fillId="0" borderId="0" xfId="53" applyFont="1"/>
    <xf numFmtId="0" fontId="7" fillId="0" borderId="0" xfId="53" applyFont="1"/>
    <xf numFmtId="0" fontId="8" fillId="0" borderId="0" xfId="53" applyFont="1"/>
    <xf numFmtId="0" fontId="9" fillId="0" borderId="0" xfId="50" applyFont="1"/>
    <xf numFmtId="0" fontId="10" fillId="0" borderId="0" xfId="0" applyFont="1" applyAlignment="1">
      <alignment horizontal="center" vertical="center"/>
    </xf>
    <xf numFmtId="0" fontId="10" fillId="0" borderId="0" xfId="53" applyFont="1" applyAlignment="1">
      <alignment horizontal="center" vertical="center"/>
    </xf>
    <xf numFmtId="0" fontId="10" fillId="0" borderId="0" xfId="53" applyFont="1" applyProtection="1">
      <protection locked="0"/>
    </xf>
    <xf numFmtId="0" fontId="10" fillId="0" borderId="0" xfId="53" applyFont="1"/>
    <xf numFmtId="0" fontId="11" fillId="0" borderId="1" xfId="53" applyFont="1" applyBorder="1" applyAlignment="1" applyProtection="1">
      <alignment horizontal="center" vertical="top" wrapText="1"/>
      <protection locked="0"/>
    </xf>
    <xf numFmtId="0" fontId="12" fillId="0" borderId="1" xfId="53" applyFont="1" applyBorder="1" applyAlignment="1" applyProtection="1">
      <alignment horizontal="center" vertical="top"/>
      <protection locked="0"/>
    </xf>
    <xf numFmtId="0" fontId="7" fillId="0" borderId="1" xfId="53" applyFont="1" applyBorder="1" applyAlignment="1" applyProtection="1">
      <alignment horizontal="left" vertical="top"/>
      <protection locked="0"/>
    </xf>
    <xf numFmtId="0" fontId="10" fillId="0" borderId="1" xfId="53" applyFont="1" applyBorder="1" applyAlignment="1" applyProtection="1">
      <alignment horizontal="left" vertical="top"/>
      <protection locked="0"/>
    </xf>
    <xf numFmtId="58" fontId="7" fillId="0" borderId="1" xfId="53" applyNumberFormat="1" applyFont="1" applyBorder="1" applyAlignment="1" applyProtection="1">
      <alignment horizontal="left" vertical="top"/>
      <protection locked="0"/>
    </xf>
    <xf numFmtId="0" fontId="13" fillId="0" borderId="1" xfId="53" applyFont="1" applyBorder="1" applyAlignment="1" applyProtection="1">
      <alignment horizontal="left" vertical="top"/>
      <protection locked="0"/>
    </xf>
    <xf numFmtId="0" fontId="9" fillId="0" borderId="1" xfId="53" applyFont="1" applyBorder="1" applyAlignment="1" applyProtection="1">
      <alignment horizontal="left" vertical="top"/>
      <protection locked="0"/>
    </xf>
    <xf numFmtId="0" fontId="10" fillId="0" borderId="1" xfId="53" applyFont="1" applyBorder="1" applyAlignment="1" applyProtection="1">
      <alignment horizontal="left" vertical="top" wrapText="1"/>
      <protection locked="0"/>
    </xf>
    <xf numFmtId="0" fontId="9" fillId="0" borderId="1" xfId="53" applyFont="1" applyBorder="1" applyAlignment="1" applyProtection="1">
      <alignment horizontal="left" vertical="top" wrapText="1"/>
      <protection locked="0"/>
    </xf>
    <xf numFmtId="0" fontId="10" fillId="0" borderId="1" xfId="53" applyFont="1" applyBorder="1" applyAlignment="1" applyProtection="1">
      <alignment horizontal="left"/>
      <protection locked="0"/>
    </xf>
    <xf numFmtId="0" fontId="7" fillId="0" borderId="1" xfId="53" applyFont="1" applyBorder="1" applyAlignment="1" applyProtection="1">
      <alignment horizontal="left" vertical="top" wrapText="1"/>
      <protection locked="0"/>
    </xf>
    <xf numFmtId="0" fontId="13" fillId="0" borderId="1" xfId="53" applyFont="1" applyBorder="1" applyAlignment="1" applyProtection="1">
      <alignment horizontal="center"/>
      <protection locked="0"/>
    </xf>
    <xf numFmtId="0" fontId="13" fillId="0" borderId="1" xfId="53" applyFont="1" applyBorder="1" applyAlignment="1" applyProtection="1">
      <alignment horizontal="center" vertical="top"/>
      <protection locked="0"/>
    </xf>
    <xf numFmtId="0" fontId="7" fillId="0" borderId="1" xfId="53" applyFont="1" applyBorder="1" applyAlignment="1" applyProtection="1">
      <alignment horizontal="center"/>
      <protection locked="0"/>
    </xf>
    <xf numFmtId="0" fontId="7" fillId="0" borderId="1" xfId="53" applyFont="1" applyBorder="1" applyAlignment="1" applyProtection="1">
      <alignment horizontal="center" vertical="top"/>
      <protection locked="0"/>
    </xf>
    <xf numFmtId="0" fontId="12" fillId="0" borderId="1" xfId="53" applyFont="1" applyBorder="1" applyAlignment="1" applyProtection="1">
      <alignment horizontal="left" vertical="top"/>
      <protection locked="0"/>
    </xf>
    <xf numFmtId="0" fontId="14" fillId="0" borderId="1" xfId="6" applyFill="1" applyBorder="1" applyAlignment="1" applyProtection="1">
      <alignment horizontal="left" vertical="top" wrapText="1"/>
      <protection locked="0"/>
    </xf>
    <xf numFmtId="2" fontId="9" fillId="0" borderId="1" xfId="53" applyNumberFormat="1" applyFont="1" applyBorder="1" applyAlignment="1" applyProtection="1">
      <alignment horizontal="left" vertical="top" wrapText="1"/>
      <protection locked="0"/>
    </xf>
    <xf numFmtId="179" fontId="9" fillId="0" borderId="1" xfId="53" applyNumberFormat="1" applyFont="1" applyBorder="1" applyAlignment="1" applyProtection="1">
      <alignment horizontal="left" vertical="top"/>
      <protection locked="0"/>
    </xf>
    <xf numFmtId="2" fontId="9" fillId="0" borderId="1" xfId="53" applyNumberFormat="1" applyFont="1" applyBorder="1" applyAlignment="1" applyProtection="1">
      <alignment horizontal="left" vertical="top"/>
      <protection locked="0"/>
    </xf>
    <xf numFmtId="0" fontId="9" fillId="0" borderId="4" xfId="53" applyFont="1" applyBorder="1" applyAlignment="1" applyProtection="1">
      <alignment horizontal="left" vertical="top" wrapText="1"/>
      <protection locked="0"/>
    </xf>
    <xf numFmtId="0" fontId="9" fillId="0" borderId="5" xfId="53" applyFont="1" applyBorder="1" applyAlignment="1" applyProtection="1">
      <alignment horizontal="left" vertical="top" wrapText="1"/>
      <protection locked="0"/>
    </xf>
    <xf numFmtId="0" fontId="15" fillId="0" borderId="4" xfId="53" applyFont="1" applyBorder="1" applyAlignment="1" applyProtection="1">
      <alignment horizontal="left" vertical="top"/>
      <protection locked="0"/>
    </xf>
    <xf numFmtId="0" fontId="15" fillId="0" borderId="6" xfId="53" applyFont="1" applyBorder="1" applyAlignment="1" applyProtection="1">
      <alignment horizontal="left" vertical="top"/>
      <protection locked="0"/>
    </xf>
    <xf numFmtId="0" fontId="15" fillId="0" borderId="5" xfId="53" applyFont="1" applyBorder="1" applyAlignment="1" applyProtection="1">
      <alignment horizontal="left" vertical="top"/>
      <protection locked="0"/>
    </xf>
    <xf numFmtId="0" fontId="9" fillId="0" borderId="6" xfId="53" applyFont="1" applyBorder="1" applyAlignment="1" applyProtection="1">
      <alignment horizontal="left" vertical="top" wrapText="1"/>
      <protection locked="0"/>
    </xf>
    <xf numFmtId="0" fontId="9" fillId="0" borderId="1" xfId="53" applyFont="1" applyBorder="1" applyAlignment="1" applyProtection="1">
      <alignment vertical="top" wrapText="1"/>
      <protection locked="0"/>
    </xf>
    <xf numFmtId="58" fontId="9" fillId="0" borderId="4" xfId="53" applyNumberFormat="1" applyFont="1" applyBorder="1" applyAlignment="1" applyProtection="1">
      <alignment horizontal="left" vertical="top" wrapText="1"/>
      <protection locked="0"/>
    </xf>
    <xf numFmtId="0" fontId="9" fillId="0" borderId="7" xfId="53" applyFont="1" applyBorder="1" applyAlignment="1" applyProtection="1">
      <alignment horizontal="left" vertical="top" wrapText="1"/>
      <protection locked="0"/>
    </xf>
    <xf numFmtId="0" fontId="9" fillId="0" borderId="8" xfId="53" applyFont="1" applyBorder="1" applyAlignment="1" applyProtection="1">
      <alignment horizontal="left" vertical="top" wrapText="1"/>
      <protection locked="0"/>
    </xf>
    <xf numFmtId="0" fontId="9" fillId="0" borderId="9" xfId="53" applyFont="1" applyBorder="1" applyAlignment="1" applyProtection="1">
      <alignment horizontal="left" vertical="top" wrapText="1"/>
      <protection locked="0"/>
    </xf>
    <xf numFmtId="0" fontId="9" fillId="0" borderId="10" xfId="53" applyFont="1" applyBorder="1" applyAlignment="1" applyProtection="1">
      <alignment horizontal="left" vertical="top" wrapText="1"/>
      <protection locked="0"/>
    </xf>
    <xf numFmtId="0" fontId="6" fillId="0" borderId="7" xfId="53" applyFont="1" applyBorder="1" applyAlignment="1" applyProtection="1">
      <alignment horizontal="left" vertical="top" wrapText="1"/>
      <protection locked="0"/>
    </xf>
    <xf numFmtId="0" fontId="6" fillId="0" borderId="8" xfId="53" applyFont="1" applyBorder="1" applyAlignment="1" applyProtection="1">
      <alignment horizontal="left" vertical="top" wrapText="1"/>
      <protection locked="0"/>
    </xf>
    <xf numFmtId="0" fontId="6" fillId="0" borderId="9" xfId="53" applyFont="1" applyBorder="1" applyAlignment="1" applyProtection="1">
      <alignment horizontal="left" vertical="top" wrapText="1"/>
      <protection locked="0"/>
    </xf>
    <xf numFmtId="0" fontId="6" fillId="0" borderId="10" xfId="53" applyFont="1" applyBorder="1" applyAlignment="1" applyProtection="1">
      <alignment horizontal="left" vertical="top" wrapText="1"/>
      <protection locked="0"/>
    </xf>
    <xf numFmtId="0" fontId="9" fillId="0" borderId="4" xfId="53" applyFont="1" applyBorder="1" applyAlignment="1" applyProtection="1">
      <alignment vertical="top" wrapText="1"/>
      <protection locked="0"/>
    </xf>
    <xf numFmtId="0" fontId="9" fillId="0" borderId="6" xfId="53" applyFont="1" applyBorder="1" applyAlignment="1" applyProtection="1">
      <alignment vertical="top" wrapText="1"/>
      <protection locked="0"/>
    </xf>
    <xf numFmtId="0" fontId="9" fillId="0" borderId="5" xfId="53" applyFont="1" applyBorder="1" applyAlignment="1" applyProtection="1">
      <alignment vertical="top" wrapText="1"/>
      <protection locked="0"/>
    </xf>
    <xf numFmtId="0" fontId="10" fillId="0" borderId="7" xfId="53" applyFont="1" applyBorder="1" applyAlignment="1" applyProtection="1">
      <alignment horizontal="left" vertical="top" wrapText="1"/>
      <protection locked="0"/>
    </xf>
    <xf numFmtId="0" fontId="10" fillId="0" borderId="8" xfId="53" applyFont="1" applyBorder="1" applyAlignment="1" applyProtection="1">
      <alignment horizontal="left" vertical="top" wrapText="1"/>
      <protection locked="0"/>
    </xf>
    <xf numFmtId="0" fontId="10" fillId="0" borderId="9" xfId="53" applyFont="1" applyBorder="1" applyAlignment="1" applyProtection="1">
      <alignment horizontal="left" vertical="top" wrapText="1"/>
      <protection locked="0"/>
    </xf>
    <xf numFmtId="0" fontId="10" fillId="0" borderId="10" xfId="53" applyFont="1" applyBorder="1" applyAlignment="1" applyProtection="1">
      <alignment horizontal="left" vertical="top" wrapText="1"/>
      <protection locked="0"/>
    </xf>
    <xf numFmtId="0" fontId="12" fillId="0" borderId="4" xfId="53" applyFont="1" applyBorder="1" applyAlignment="1" applyProtection="1">
      <alignment horizontal="left" vertical="top" wrapText="1"/>
      <protection locked="0"/>
    </xf>
    <xf numFmtId="0" fontId="12" fillId="0" borderId="5" xfId="53" applyFont="1" applyBorder="1" applyAlignment="1" applyProtection="1">
      <alignment horizontal="left" vertical="top" wrapText="1"/>
      <protection locked="0"/>
    </xf>
    <xf numFmtId="0" fontId="12" fillId="0" borderId="6" xfId="53" applyFont="1" applyBorder="1" applyAlignment="1" applyProtection="1">
      <alignment horizontal="left" vertical="top" wrapText="1"/>
      <protection locked="0"/>
    </xf>
    <xf numFmtId="0" fontId="12" fillId="0" borderId="1" xfId="53" applyFont="1" applyBorder="1" applyAlignment="1" applyProtection="1">
      <alignment vertical="top"/>
      <protection locked="0"/>
    </xf>
    <xf numFmtId="0" fontId="12" fillId="0" borderId="4" xfId="53" applyFont="1" applyBorder="1" applyAlignment="1" applyProtection="1">
      <alignment horizontal="left" vertical="top"/>
      <protection locked="0"/>
    </xf>
    <xf numFmtId="0" fontId="12" fillId="0" borderId="5" xfId="53" applyFont="1" applyBorder="1" applyAlignment="1" applyProtection="1">
      <alignment horizontal="left" vertical="top"/>
      <protection locked="0"/>
    </xf>
    <xf numFmtId="0" fontId="7" fillId="0" borderId="7" xfId="53" applyFont="1" applyBorder="1" applyAlignment="1" applyProtection="1">
      <alignment horizontal="left" vertical="top" wrapText="1"/>
      <protection locked="0"/>
    </xf>
    <xf numFmtId="0" fontId="7" fillId="0" borderId="11" xfId="53" applyFont="1" applyBorder="1" applyAlignment="1" applyProtection="1">
      <alignment horizontal="left" vertical="top" wrapText="1"/>
      <protection locked="0"/>
    </xf>
    <xf numFmtId="0" fontId="7" fillId="0" borderId="8" xfId="53" applyFont="1" applyBorder="1" applyAlignment="1" applyProtection="1">
      <alignment horizontal="left" vertical="top" wrapText="1"/>
      <protection locked="0"/>
    </xf>
    <xf numFmtId="0" fontId="10" fillId="0" borderId="3" xfId="53" applyFont="1" applyBorder="1" applyAlignment="1">
      <alignment horizontal="center"/>
    </xf>
    <xf numFmtId="0" fontId="10" fillId="0" borderId="0" xfId="53" applyFont="1" applyAlignment="1">
      <alignment horizontal="center"/>
    </xf>
    <xf numFmtId="1" fontId="10" fillId="0" borderId="0" xfId="53" applyNumberFormat="1" applyFont="1"/>
    <xf numFmtId="0" fontId="7" fillId="0" borderId="3" xfId="53" applyFont="1" applyBorder="1" applyAlignment="1" applyProtection="1">
      <alignment horizontal="left" vertical="top" wrapText="1"/>
      <protection locked="0"/>
    </xf>
    <xf numFmtId="0" fontId="7" fillId="0" borderId="0" xfId="53" applyFont="1" applyAlignment="1" applyProtection="1">
      <alignment horizontal="left" vertical="top" wrapText="1"/>
      <protection locked="0"/>
    </xf>
    <xf numFmtId="0" fontId="7" fillId="0" borderId="9" xfId="53" applyFont="1" applyBorder="1" applyAlignment="1" applyProtection="1">
      <alignment horizontal="left" vertical="top" wrapText="1"/>
      <protection locked="0"/>
    </xf>
    <xf numFmtId="0" fontId="7" fillId="0" borderId="2" xfId="53" applyFont="1" applyBorder="1" applyAlignment="1" applyProtection="1">
      <alignment horizontal="left" vertical="top" wrapText="1"/>
      <protection locked="0"/>
    </xf>
    <xf numFmtId="0" fontId="6" fillId="0" borderId="9" xfId="53" applyFont="1" applyBorder="1" applyAlignment="1" applyProtection="1">
      <alignment horizontal="left" vertical="top"/>
      <protection locked="0"/>
    </xf>
    <xf numFmtId="0" fontId="6" fillId="0" borderId="2" xfId="53" applyFont="1" applyBorder="1" applyAlignment="1" applyProtection="1">
      <alignment horizontal="left" vertical="top"/>
      <protection locked="0"/>
    </xf>
    <xf numFmtId="0" fontId="6" fillId="0" borderId="10" xfId="53" applyFont="1" applyBorder="1" applyAlignment="1" applyProtection="1">
      <alignment horizontal="left" vertical="top"/>
      <protection locked="0"/>
    </xf>
    <xf numFmtId="0" fontId="9" fillId="0" borderId="12" xfId="53" applyFont="1" applyBorder="1" applyAlignment="1" applyProtection="1">
      <alignment horizontal="left" vertical="top" wrapText="1"/>
      <protection locked="0"/>
    </xf>
    <xf numFmtId="1" fontId="9" fillId="0" borderId="1" xfId="53" applyNumberFormat="1" applyFont="1" applyBorder="1" applyAlignment="1" applyProtection="1">
      <alignment horizontal="left" vertical="top" wrapText="1"/>
      <protection locked="0"/>
    </xf>
    <xf numFmtId="0" fontId="15" fillId="0" borderId="1" xfId="53" applyFont="1" applyBorder="1" applyAlignment="1" applyProtection="1">
      <alignment horizontal="left" vertical="top" wrapText="1"/>
      <protection locked="0"/>
    </xf>
    <xf numFmtId="0" fontId="10" fillId="0" borderId="13" xfId="53" applyFont="1" applyBorder="1" applyAlignment="1" applyProtection="1">
      <alignment horizontal="center" vertical="top"/>
      <protection locked="0"/>
    </xf>
    <xf numFmtId="0" fontId="10" fillId="0" borderId="1" xfId="53" applyFont="1" applyBorder="1" applyAlignment="1" applyProtection="1">
      <alignment horizontal="center" vertical="top"/>
      <protection locked="0"/>
    </xf>
    <xf numFmtId="0" fontId="10" fillId="0" borderId="14" xfId="53" applyFont="1" applyBorder="1" applyAlignment="1" applyProtection="1">
      <alignment horizontal="center" vertical="top"/>
      <protection locked="0"/>
    </xf>
    <xf numFmtId="0" fontId="15" fillId="0" borderId="13" xfId="53" applyFont="1" applyBorder="1" applyAlignment="1" applyProtection="1">
      <alignment horizontal="left" vertical="top"/>
      <protection locked="0"/>
    </xf>
    <xf numFmtId="0" fontId="15" fillId="0" borderId="1" xfId="53" applyFont="1" applyBorder="1" applyAlignment="1" applyProtection="1">
      <alignment horizontal="left" vertical="top"/>
      <protection locked="0"/>
    </xf>
    <xf numFmtId="0" fontId="15" fillId="0" borderId="14" xfId="53" applyFont="1" applyBorder="1" applyAlignment="1" applyProtection="1">
      <alignment horizontal="left" vertical="top" wrapText="1"/>
      <protection locked="0"/>
    </xf>
    <xf numFmtId="0" fontId="10" fillId="0" borderId="13" xfId="53" applyFont="1" applyBorder="1" applyAlignment="1" applyProtection="1">
      <alignment horizontal="center" vertical="top" wrapText="1"/>
      <protection locked="0"/>
    </xf>
    <xf numFmtId="0" fontId="10" fillId="0" borderId="1" xfId="53" applyFont="1" applyBorder="1" applyAlignment="1" applyProtection="1">
      <alignment horizontal="center" vertical="top" wrapText="1"/>
      <protection locked="0"/>
    </xf>
    <xf numFmtId="0" fontId="10" fillId="0" borderId="14" xfId="53" applyFont="1" applyBorder="1" applyAlignment="1" applyProtection="1">
      <alignment horizontal="center" vertical="top" wrapText="1"/>
      <protection locked="0"/>
    </xf>
    <xf numFmtId="9" fontId="10" fillId="0" borderId="1" xfId="3" applyFont="1" applyFill="1" applyBorder="1" applyAlignment="1" applyProtection="1">
      <alignment horizontal="center" vertical="top" wrapText="1"/>
      <protection locked="0"/>
    </xf>
    <xf numFmtId="9" fontId="10" fillId="0" borderId="7" xfId="3" applyFont="1" applyFill="1" applyBorder="1" applyAlignment="1" applyProtection="1">
      <alignment horizontal="center" vertical="center" wrapText="1"/>
      <protection locked="0"/>
    </xf>
    <xf numFmtId="9" fontId="10" fillId="0" borderId="8" xfId="3" applyFont="1" applyFill="1" applyBorder="1" applyAlignment="1" applyProtection="1">
      <alignment horizontal="center" vertical="center" wrapText="1"/>
      <protection locked="0"/>
    </xf>
    <xf numFmtId="9" fontId="10" fillId="0" borderId="15" xfId="3" applyFont="1" applyFill="1" applyBorder="1" applyAlignment="1" applyProtection="1">
      <alignment horizontal="center" vertical="center" wrapText="1"/>
      <protection locked="0"/>
    </xf>
    <xf numFmtId="1" fontId="10" fillId="0" borderId="1" xfId="53" applyNumberFormat="1" applyFont="1" applyBorder="1" applyAlignment="1" applyProtection="1">
      <alignment horizontal="center" vertical="top" wrapText="1"/>
      <protection locked="0"/>
    </xf>
    <xf numFmtId="9" fontId="10" fillId="0" borderId="3" xfId="3" applyFont="1" applyFill="1" applyBorder="1" applyAlignment="1" applyProtection="1">
      <alignment horizontal="center" vertical="center" wrapText="1"/>
      <protection locked="0"/>
    </xf>
    <xf numFmtId="9" fontId="10" fillId="0" borderId="16" xfId="3" applyFont="1" applyFill="1" applyBorder="1" applyAlignment="1" applyProtection="1">
      <alignment horizontal="center" vertical="center" wrapText="1"/>
      <protection locked="0"/>
    </xf>
    <xf numFmtId="9" fontId="10" fillId="0" borderId="17" xfId="3" applyFont="1" applyFill="1" applyBorder="1" applyAlignment="1" applyProtection="1">
      <alignment horizontal="center" vertical="center" wrapText="1"/>
      <protection locked="0"/>
    </xf>
    <xf numFmtId="0" fontId="10" fillId="0" borderId="18" xfId="53" applyFont="1" applyBorder="1" applyAlignment="1" applyProtection="1">
      <alignment horizontal="center" vertical="top" wrapText="1"/>
      <protection locked="0"/>
    </xf>
    <xf numFmtId="0" fontId="10" fillId="0" borderId="19" xfId="53" applyFont="1" applyBorder="1" applyAlignment="1" applyProtection="1">
      <alignment horizontal="center" vertical="top" wrapText="1"/>
      <protection locked="0"/>
    </xf>
    <xf numFmtId="9" fontId="10" fillId="0" borderId="19" xfId="3" applyFont="1" applyFill="1" applyBorder="1" applyAlignment="1" applyProtection="1">
      <alignment horizontal="center" vertical="top" wrapText="1"/>
      <protection locked="0"/>
    </xf>
    <xf numFmtId="9" fontId="10" fillId="0" borderId="20" xfId="3" applyFont="1" applyFill="1" applyBorder="1" applyAlignment="1" applyProtection="1">
      <alignment horizontal="center" vertical="center" wrapText="1"/>
      <protection locked="0"/>
    </xf>
    <xf numFmtId="9" fontId="10" fillId="0" borderId="21" xfId="3" applyFont="1" applyFill="1" applyBorder="1" applyAlignment="1" applyProtection="1">
      <alignment horizontal="center" vertical="center" wrapText="1"/>
      <protection locked="0"/>
    </xf>
    <xf numFmtId="9" fontId="10" fillId="0" borderId="22" xfId="3" applyFont="1" applyFill="1" applyBorder="1" applyAlignment="1" applyProtection="1">
      <alignment horizontal="center" vertical="center" wrapText="1"/>
      <protection locked="0"/>
    </xf>
    <xf numFmtId="0" fontId="15" fillId="0" borderId="23" xfId="53" applyFont="1" applyBorder="1" applyAlignment="1" applyProtection="1">
      <alignment horizontal="left" vertical="top" wrapText="1"/>
      <protection locked="0"/>
    </xf>
    <xf numFmtId="0" fontId="15" fillId="0" borderId="24" xfId="53" applyFont="1" applyBorder="1" applyAlignment="1" applyProtection="1">
      <alignment horizontal="left" vertical="top" wrapText="1"/>
      <protection locked="0"/>
    </xf>
    <xf numFmtId="0" fontId="15" fillId="0" borderId="25" xfId="53" applyFont="1" applyBorder="1" applyAlignment="1" applyProtection="1">
      <alignment horizontal="left" vertical="top" wrapText="1"/>
      <protection locked="0"/>
    </xf>
    <xf numFmtId="0" fontId="15" fillId="0" borderId="26" xfId="53" applyFont="1" applyBorder="1" applyAlignment="1" applyProtection="1">
      <alignment horizontal="left" vertical="top" wrapText="1"/>
      <protection locked="0"/>
    </xf>
    <xf numFmtId="0" fontId="15" fillId="0" borderId="27" xfId="53" applyFont="1" applyBorder="1" applyAlignment="1" applyProtection="1">
      <alignment horizontal="left" vertical="top" wrapText="1"/>
      <protection locked="0"/>
    </xf>
    <xf numFmtId="0" fontId="12" fillId="0" borderId="23" xfId="53" applyFont="1" applyBorder="1" applyAlignment="1" applyProtection="1">
      <alignment horizontal="left" vertical="top" wrapText="1"/>
      <protection locked="0"/>
    </xf>
    <xf numFmtId="0" fontId="12" fillId="0" borderId="24" xfId="53" applyFont="1" applyBorder="1" applyAlignment="1" applyProtection="1">
      <alignment horizontal="left" vertical="top" wrapText="1"/>
      <protection locked="0"/>
    </xf>
    <xf numFmtId="0" fontId="12" fillId="0" borderId="25" xfId="53" applyFont="1" applyBorder="1" applyAlignment="1" applyProtection="1">
      <alignment horizontal="left" vertical="top" wrapText="1"/>
      <protection locked="0"/>
    </xf>
    <xf numFmtId="0" fontId="12" fillId="0" borderId="26" xfId="53" applyFont="1" applyBorder="1" applyAlignment="1" applyProtection="1">
      <alignment horizontal="left" vertical="top" wrapText="1"/>
      <protection locked="0"/>
    </xf>
    <xf numFmtId="0" fontId="12" fillId="0" borderId="27" xfId="53" applyFont="1" applyBorder="1" applyAlignment="1" applyProtection="1">
      <alignment horizontal="left" vertical="top" wrapText="1"/>
      <protection locked="0"/>
    </xf>
    <xf numFmtId="0" fontId="7" fillId="0" borderId="13" xfId="53" applyFont="1" applyBorder="1" applyAlignment="1" applyProtection="1">
      <alignment horizontal="center" vertical="top"/>
      <protection locked="0"/>
    </xf>
    <xf numFmtId="0" fontId="6" fillId="0" borderId="1" xfId="53" applyFont="1" applyBorder="1" applyAlignment="1" applyProtection="1">
      <alignment horizontal="center" vertical="top"/>
      <protection locked="0"/>
    </xf>
    <xf numFmtId="0" fontId="9" fillId="0" borderId="1" xfId="53" applyFont="1" applyBorder="1" applyAlignment="1" applyProtection="1">
      <alignment horizontal="center" vertical="top"/>
      <protection locked="0"/>
    </xf>
    <xf numFmtId="0" fontId="7" fillId="0" borderId="14" xfId="53" applyFont="1" applyBorder="1" applyAlignment="1" applyProtection="1">
      <alignment horizontal="center" vertical="top"/>
      <protection locked="0"/>
    </xf>
    <xf numFmtId="0" fontId="13" fillId="0" borderId="13" xfId="53" applyFont="1" applyBorder="1" applyAlignment="1" applyProtection="1">
      <alignment horizontal="left" vertical="top"/>
      <protection locked="0"/>
    </xf>
    <xf numFmtId="0" fontId="13" fillId="0" borderId="1" xfId="53" applyFont="1" applyBorder="1" applyAlignment="1" applyProtection="1">
      <alignment horizontal="left" vertical="top" wrapText="1"/>
      <protection locked="0"/>
    </xf>
    <xf numFmtId="0" fontId="13" fillId="0" borderId="14" xfId="53" applyFont="1" applyBorder="1" applyAlignment="1" applyProtection="1">
      <alignment horizontal="left" vertical="top" wrapText="1"/>
      <protection locked="0"/>
    </xf>
    <xf numFmtId="0" fontId="12" fillId="0" borderId="12" xfId="53" applyFont="1" applyBorder="1" applyAlignment="1" applyProtection="1">
      <alignment horizontal="left" vertical="top"/>
      <protection locked="0"/>
    </xf>
    <xf numFmtId="0" fontId="12" fillId="0" borderId="12" xfId="53" applyFont="1" applyBorder="1" applyAlignment="1" applyProtection="1">
      <alignment horizontal="center" vertical="top"/>
      <protection locked="0"/>
    </xf>
    <xf numFmtId="180" fontId="7" fillId="0" borderId="1" xfId="1" applyNumberFormat="1" applyFont="1" applyFill="1" applyBorder="1" applyAlignment="1" applyProtection="1">
      <alignment horizontal="left" vertical="top"/>
      <protection locked="0"/>
    </xf>
    <xf numFmtId="180" fontId="10" fillId="0" borderId="1" xfId="1" applyNumberFormat="1" applyFont="1" applyFill="1" applyBorder="1" applyAlignment="1" applyProtection="1">
      <alignment horizontal="left" vertical="top"/>
      <protection locked="0"/>
    </xf>
    <xf numFmtId="58" fontId="10" fillId="0" borderId="0" xfId="53" applyNumberFormat="1" applyFont="1"/>
    <xf numFmtId="0" fontId="10" fillId="0" borderId="0" xfId="53" applyFont="1" applyProtection="1">
      <protection hidden="1"/>
    </xf>
    <xf numFmtId="0" fontId="14" fillId="0" borderId="0" xfId="6"/>
    <xf numFmtId="0" fontId="16" fillId="0" borderId="0" xfId="53" applyFont="1"/>
    <xf numFmtId="0" fontId="17" fillId="2" borderId="24" xfId="0" applyFont="1" applyFill="1" applyBorder="1"/>
    <xf numFmtId="0" fontId="18" fillId="0" borderId="28" xfId="0" applyFont="1" applyBorder="1"/>
    <xf numFmtId="0" fontId="18" fillId="0" borderId="1" xfId="0" applyFont="1" applyBorder="1"/>
    <xf numFmtId="0" fontId="18" fillId="0" borderId="14" xfId="0" applyFont="1" applyBorder="1"/>
    <xf numFmtId="0" fontId="19" fillId="0" borderId="0" xfId="0" applyFont="1" applyProtection="1">
      <protection hidden="1"/>
    </xf>
    <xf numFmtId="0" fontId="10" fillId="0" borderId="17" xfId="53" applyFont="1" applyBorder="1"/>
    <xf numFmtId="0" fontId="19" fillId="0" borderId="17" xfId="0" applyFont="1" applyBorder="1" applyProtection="1">
      <protection hidden="1"/>
    </xf>
    <xf numFmtId="1" fontId="0" fillId="0" borderId="17" xfId="0" applyNumberFormat="1" applyBorder="1"/>
    <xf numFmtId="1" fontId="0" fillId="0" borderId="17" xfId="0" applyNumberFormat="1" applyBorder="1" applyAlignment="1">
      <alignment horizontal="right"/>
    </xf>
    <xf numFmtId="0" fontId="19" fillId="0" borderId="29" xfId="0" applyFont="1" applyBorder="1" applyProtection="1">
      <protection hidden="1"/>
    </xf>
    <xf numFmtId="1" fontId="0" fillId="0" borderId="22" xfId="0" applyNumberFormat="1" applyBorder="1"/>
    <xf numFmtId="0" fontId="17" fillId="2" borderId="30" xfId="0" applyFont="1" applyFill="1" applyBorder="1"/>
    <xf numFmtId="1" fontId="12" fillId="0" borderId="1"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top" wrapText="1"/>
      <protection locked="0"/>
    </xf>
    <xf numFmtId="0" fontId="15" fillId="0" borderId="1" xfId="0" applyFont="1" applyBorder="1" applyAlignment="1" applyProtection="1">
      <alignment horizontal="center" vertical="center"/>
      <protection locked="0"/>
    </xf>
    <xf numFmtId="0" fontId="15" fillId="0" borderId="1" xfId="0"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1" fontId="15" fillId="0" borderId="1" xfId="0" applyNumberFormat="1" applyFont="1" applyBorder="1" applyAlignment="1" applyProtection="1">
      <alignment horizontal="center" vertical="center"/>
      <protection locked="0"/>
    </xf>
    <xf numFmtId="1" fontId="15" fillId="0" borderId="1" xfId="0" applyNumberFormat="1" applyFont="1" applyBorder="1" applyAlignment="1" applyProtection="1">
      <alignment horizontal="center" vertical="top" wrapText="1"/>
      <protection locked="0"/>
    </xf>
    <xf numFmtId="0" fontId="20" fillId="0" borderId="1" xfId="53" applyFont="1" applyBorder="1" applyAlignment="1" applyProtection="1">
      <alignment horizontal="center" vertical="top"/>
      <protection locked="0"/>
    </xf>
    <xf numFmtId="1" fontId="12" fillId="0" borderId="1" xfId="53" applyNumberFormat="1" applyFont="1" applyBorder="1" applyAlignment="1" applyProtection="1">
      <alignment horizontal="center" vertical="top" wrapText="1"/>
      <protection locked="0"/>
    </xf>
    <xf numFmtId="1" fontId="20" fillId="0" borderId="1" xfId="53" applyNumberFormat="1" applyFont="1" applyBorder="1" applyAlignment="1" applyProtection="1">
      <alignment horizontal="center" vertical="top" wrapText="1"/>
      <protection locked="0"/>
    </xf>
    <xf numFmtId="1" fontId="21" fillId="0" borderId="1" xfId="53" applyNumberFormat="1" applyFont="1" applyBorder="1" applyAlignment="1" applyProtection="1">
      <alignment horizontal="center" vertical="top" wrapText="1"/>
      <protection locked="0"/>
    </xf>
    <xf numFmtId="9" fontId="20" fillId="0" borderId="1" xfId="3" applyFont="1" applyFill="1" applyBorder="1" applyAlignment="1" applyProtection="1">
      <alignment horizontal="center" vertical="top" wrapText="1"/>
      <protection locked="0"/>
    </xf>
    <xf numFmtId="1" fontId="12" fillId="0" borderId="1" xfId="53" applyNumberFormat="1" applyFont="1" applyBorder="1" applyAlignment="1" applyProtection="1">
      <alignment horizontal="center" vertical="center" wrapText="1"/>
      <protection locked="0"/>
    </xf>
    <xf numFmtId="1" fontId="9" fillId="0" borderId="1" xfId="53" applyNumberFormat="1" applyFont="1" applyBorder="1" applyAlignment="1" applyProtection="1">
      <alignment horizontal="center" vertical="center" wrapText="1"/>
      <protection locked="0"/>
    </xf>
    <xf numFmtId="1" fontId="15" fillId="0" borderId="1" xfId="53" applyNumberFormat="1" applyFont="1" applyBorder="1" applyAlignment="1" applyProtection="1">
      <alignment horizontal="center" vertical="top" wrapText="1"/>
      <protection locked="0"/>
    </xf>
    <xf numFmtId="1" fontId="22" fillId="0" borderId="1" xfId="53" applyNumberFormat="1" applyFont="1" applyBorder="1" applyAlignment="1" applyProtection="1">
      <alignment horizontal="center" vertical="top" wrapText="1"/>
      <protection locked="0"/>
    </xf>
    <xf numFmtId="9" fontId="15" fillId="0" borderId="1" xfId="3" applyFont="1" applyFill="1" applyBorder="1" applyAlignment="1" applyProtection="1">
      <alignment horizontal="center" vertical="top" wrapText="1"/>
      <protection locked="0"/>
    </xf>
    <xf numFmtId="1" fontId="12" fillId="0" borderId="4" xfId="53" applyNumberFormat="1" applyFont="1" applyBorder="1" applyAlignment="1" applyProtection="1">
      <alignment horizontal="center" vertical="center" wrapText="1"/>
      <protection locked="0"/>
    </xf>
    <xf numFmtId="1" fontId="12" fillId="0" borderId="6" xfId="53" applyNumberFormat="1" applyFont="1" applyBorder="1" applyAlignment="1" applyProtection="1">
      <alignment horizontal="center" vertical="center" wrapText="1"/>
      <protection locked="0"/>
    </xf>
    <xf numFmtId="1" fontId="12" fillId="0" borderId="5" xfId="53" applyNumberFormat="1" applyFont="1" applyBorder="1" applyAlignment="1" applyProtection="1">
      <alignment horizontal="center" vertical="center" wrapText="1"/>
      <protection locked="0"/>
    </xf>
    <xf numFmtId="1" fontId="9" fillId="0" borderId="4" xfId="53" applyNumberFormat="1" applyFont="1" applyBorder="1" applyAlignment="1" applyProtection="1">
      <alignment horizontal="center" vertical="center" wrapText="1"/>
      <protection locked="0"/>
    </xf>
    <xf numFmtId="1" fontId="9" fillId="0" borderId="5" xfId="53" applyNumberFormat="1" applyFont="1" applyBorder="1" applyAlignment="1" applyProtection="1">
      <alignment horizontal="center" vertical="center" wrapText="1"/>
      <protection locked="0"/>
    </xf>
    <xf numFmtId="1" fontId="9" fillId="0" borderId="6" xfId="53" applyNumberFormat="1" applyFont="1" applyBorder="1" applyAlignment="1" applyProtection="1">
      <alignment horizontal="center" vertical="center" wrapText="1"/>
      <protection locked="0"/>
    </xf>
    <xf numFmtId="1" fontId="10" fillId="0" borderId="0" xfId="53" applyNumberFormat="1" applyFont="1" applyAlignment="1">
      <alignment horizontal="center" vertical="center"/>
    </xf>
    <xf numFmtId="1" fontId="12" fillId="0" borderId="1" xfId="0" applyNumberFormat="1" applyFont="1" applyBorder="1" applyAlignment="1" applyProtection="1">
      <alignment horizontal="left" vertical="top" wrapText="1"/>
      <protection locked="0"/>
    </xf>
    <xf numFmtId="1" fontId="15" fillId="0" borderId="4" xfId="0" applyNumberFormat="1" applyFont="1" applyBorder="1" applyAlignment="1" applyProtection="1">
      <alignment vertical="top" wrapText="1"/>
      <protection locked="0"/>
    </xf>
    <xf numFmtId="1" fontId="15" fillId="0" borderId="6" xfId="0" applyNumberFormat="1" applyFont="1" applyBorder="1" applyAlignment="1" applyProtection="1">
      <alignment vertical="top" wrapText="1"/>
      <protection locked="0"/>
    </xf>
    <xf numFmtId="1" fontId="15" fillId="0" borderId="5" xfId="0" applyNumberFormat="1" applyFont="1" applyBorder="1" applyAlignment="1" applyProtection="1">
      <alignment vertical="top" wrapText="1"/>
      <protection locked="0"/>
    </xf>
    <xf numFmtId="1" fontId="13" fillId="0" borderId="4" xfId="0" applyNumberFormat="1" applyFont="1" applyBorder="1" applyAlignment="1" applyProtection="1">
      <alignment vertical="top" wrapText="1"/>
      <protection locked="0"/>
    </xf>
    <xf numFmtId="1" fontId="13" fillId="0" borderId="6" xfId="0" applyNumberFormat="1" applyFont="1" applyBorder="1" applyAlignment="1" applyProtection="1">
      <alignment vertical="top" wrapText="1"/>
      <protection locked="0"/>
    </xf>
    <xf numFmtId="1" fontId="13" fillId="0" borderId="5" xfId="0" applyNumberFormat="1" applyFont="1" applyBorder="1" applyAlignment="1" applyProtection="1">
      <alignment vertical="top" wrapText="1"/>
      <protection locked="0"/>
    </xf>
    <xf numFmtId="1" fontId="12" fillId="0" borderId="4" xfId="0" applyNumberFormat="1" applyFont="1" applyBorder="1" applyAlignment="1" applyProtection="1">
      <alignment vertical="top" wrapText="1"/>
      <protection locked="0"/>
    </xf>
    <xf numFmtId="1" fontId="12" fillId="0" borderId="6" xfId="0" applyNumberFormat="1" applyFont="1" applyBorder="1" applyAlignment="1" applyProtection="1">
      <alignment vertical="top" wrapText="1"/>
      <protection locked="0"/>
    </xf>
    <xf numFmtId="1" fontId="12" fillId="0" borderId="5" xfId="0" applyNumberFormat="1" applyFont="1" applyBorder="1" applyAlignment="1" applyProtection="1">
      <alignment vertical="top" wrapText="1"/>
      <protection locked="0"/>
    </xf>
    <xf numFmtId="1" fontId="20" fillId="0" borderId="4" xfId="0" applyNumberFormat="1" applyFont="1" applyBorder="1" applyAlignment="1" applyProtection="1">
      <alignment vertical="top" wrapText="1"/>
      <protection locked="0"/>
    </xf>
    <xf numFmtId="1" fontId="20" fillId="0" borderId="6" xfId="0" applyNumberFormat="1" applyFont="1" applyBorder="1" applyAlignment="1" applyProtection="1">
      <alignment vertical="top" wrapText="1"/>
      <protection locked="0"/>
    </xf>
    <xf numFmtId="1" fontId="20" fillId="0" borderId="5" xfId="0" applyNumberFormat="1" applyFont="1" applyBorder="1" applyAlignment="1" applyProtection="1">
      <alignment vertical="top" wrapText="1"/>
      <protection locked="0"/>
    </xf>
    <xf numFmtId="0" fontId="9" fillId="0" borderId="1" xfId="53" applyFont="1" applyBorder="1" applyAlignment="1" applyProtection="1">
      <alignment vertical="top"/>
      <protection locked="0"/>
    </xf>
    <xf numFmtId="0" fontId="23" fillId="0" borderId="1" xfId="53" applyFont="1" applyBorder="1" applyAlignment="1" applyProtection="1">
      <alignment horizontal="center" vertical="top" wrapText="1"/>
      <protection locked="0"/>
    </xf>
    <xf numFmtId="0" fontId="8" fillId="0" borderId="1" xfId="53" applyFont="1" applyBorder="1" applyAlignment="1" applyProtection="1">
      <alignment horizontal="center" vertical="top" wrapText="1"/>
      <protection locked="0"/>
    </xf>
    <xf numFmtId="0" fontId="13" fillId="0" borderId="1" xfId="53" applyFont="1" applyBorder="1" applyAlignment="1" applyProtection="1">
      <alignment horizontal="center" vertical="top" wrapText="1"/>
      <protection locked="0"/>
    </xf>
    <xf numFmtId="0" fontId="12" fillId="0" borderId="0" xfId="53" applyFont="1" applyAlignment="1" applyProtection="1">
      <alignment vertical="top"/>
      <protection locked="0"/>
    </xf>
    <xf numFmtId="0" fontId="12" fillId="0" borderId="0" xfId="53" applyFont="1" applyAlignment="1" applyProtection="1">
      <alignment vertical="top" wrapText="1"/>
      <protection locked="0"/>
    </xf>
    <xf numFmtId="0" fontId="15" fillId="0" borderId="0" xfId="53" applyFont="1" applyProtection="1">
      <protection locked="0"/>
    </xf>
  </cellXfs>
  <cellStyles count="56">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Comma 2" xfId="49"/>
    <cellStyle name="Excel Built-in Normal" xfId="50"/>
    <cellStyle name="Excel Built-in Normal 2" xfId="51"/>
    <cellStyle name="Normal 2" xfId="52"/>
    <cellStyle name="Normal 3" xfId="53"/>
    <cellStyle name="Normal 3 3" xfId="54"/>
    <cellStyle name="Normal 4" xfId="55"/>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285750</xdr:colOff>
      <xdr:row>67</xdr:row>
      <xdr:rowOff>161925</xdr:rowOff>
    </xdr:from>
    <xdr:to>
      <xdr:col>14</xdr:col>
      <xdr:colOff>504150</xdr:colOff>
      <xdr:row>70</xdr:row>
      <xdr:rowOff>171108</xdr:rowOff>
    </xdr:to>
    <xdr:pic>
      <xdr:nvPicPr>
        <xdr:cNvPr id="2" name="Picture 1"/>
        <xdr:cNvPicPr>
          <a:picLocks noChangeAspect="1"/>
        </xdr:cNvPicPr>
      </xdr:nvPicPr>
      <xdr:blipFill>
        <a:blip r:embed="rId1" cstate="screen"/>
        <a:stretch>
          <a:fillRect/>
        </a:stretch>
      </xdr:blipFill>
      <xdr:spPr>
        <a:xfrm>
          <a:off x="6600825" y="15697200"/>
          <a:ext cx="5399405" cy="608965"/>
        </a:xfrm>
        <a:prstGeom prst="rect">
          <a:avLst/>
        </a:prstGeom>
        <a:ln>
          <a:solidFill>
            <a:schemeClr val="tx1"/>
          </a:solidFill>
        </a:ln>
      </xdr:spPr>
    </xdr:pic>
    <xdr:clientData/>
  </xdr:twoCellAnchor>
  <xdr:twoCellAnchor editAs="oneCell">
    <xdr:from>
      <xdr:col>10</xdr:col>
      <xdr:colOff>95250</xdr:colOff>
      <xdr:row>48</xdr:row>
      <xdr:rowOff>0</xdr:rowOff>
    </xdr:from>
    <xdr:to>
      <xdr:col>15</xdr:col>
      <xdr:colOff>348075</xdr:colOff>
      <xdr:row>51</xdr:row>
      <xdr:rowOff>187540</xdr:rowOff>
    </xdr:to>
    <xdr:pic>
      <xdr:nvPicPr>
        <xdr:cNvPr id="3" name="Picture 2"/>
        <xdr:cNvPicPr>
          <a:picLocks noChangeAspect="1"/>
        </xdr:cNvPicPr>
      </xdr:nvPicPr>
      <xdr:blipFill>
        <a:blip r:embed="rId2" cstate="email"/>
        <a:stretch>
          <a:fillRect/>
        </a:stretch>
      </xdr:blipFill>
      <xdr:spPr>
        <a:xfrm>
          <a:off x="8334375" y="10629900"/>
          <a:ext cx="4319905" cy="1444625"/>
        </a:xfrm>
        <a:prstGeom prst="rect">
          <a:avLst/>
        </a:prstGeom>
        <a:ln>
          <a:solidFill>
            <a:schemeClr val="tx1"/>
          </a:solidFill>
        </a:ln>
      </xdr:spPr>
    </xdr:pic>
    <xdr:clientData/>
  </xdr:twoCellAnchor>
  <xdr:twoCellAnchor editAs="oneCell">
    <xdr:from>
      <xdr:col>9</xdr:col>
      <xdr:colOff>95250</xdr:colOff>
      <xdr:row>45</xdr:row>
      <xdr:rowOff>104775</xdr:rowOff>
    </xdr:from>
    <xdr:to>
      <xdr:col>14</xdr:col>
      <xdr:colOff>755700</xdr:colOff>
      <xdr:row>46</xdr:row>
      <xdr:rowOff>200952</xdr:rowOff>
    </xdr:to>
    <xdr:pic>
      <xdr:nvPicPr>
        <xdr:cNvPr id="4" name="Picture 3"/>
        <xdr:cNvPicPr>
          <a:picLocks noChangeAspect="1"/>
        </xdr:cNvPicPr>
      </xdr:nvPicPr>
      <xdr:blipFill>
        <a:blip r:embed="rId3" cstate="email"/>
        <a:stretch>
          <a:fillRect/>
        </a:stretch>
      </xdr:blipFill>
      <xdr:spPr>
        <a:xfrm>
          <a:off x="7572375" y="10134600"/>
          <a:ext cx="4679950" cy="295910"/>
        </a:xfrm>
        <a:prstGeom prst="rect">
          <a:avLst/>
        </a:prstGeom>
        <a:ln>
          <a:solidFill>
            <a:schemeClr val="tx1"/>
          </a:solidFill>
        </a:ln>
      </xdr:spPr>
    </xdr:pic>
    <xdr:clientData/>
  </xdr:twoCellAnchor>
  <xdr:twoCellAnchor editAs="oneCell">
    <xdr:from>
      <xdr:col>15</xdr:col>
      <xdr:colOff>238125</xdr:colOff>
      <xdr:row>61</xdr:row>
      <xdr:rowOff>85725</xdr:rowOff>
    </xdr:from>
    <xdr:to>
      <xdr:col>23</xdr:col>
      <xdr:colOff>10800</xdr:colOff>
      <xdr:row>63</xdr:row>
      <xdr:rowOff>83923</xdr:rowOff>
    </xdr:to>
    <xdr:pic>
      <xdr:nvPicPr>
        <xdr:cNvPr id="5" name="Picture 4"/>
        <xdr:cNvPicPr>
          <a:picLocks noChangeAspect="1"/>
        </xdr:cNvPicPr>
      </xdr:nvPicPr>
      <xdr:blipFill>
        <a:blip r:embed="rId4" cstate="email"/>
        <a:stretch>
          <a:fillRect/>
        </a:stretch>
      </xdr:blipFill>
      <xdr:spPr>
        <a:xfrm>
          <a:off x="12544425" y="14230350"/>
          <a:ext cx="5039995" cy="598170"/>
        </a:xfrm>
        <a:prstGeom prst="rect">
          <a:avLst/>
        </a:prstGeom>
        <a:ln>
          <a:solidFill>
            <a:schemeClr val="tx1"/>
          </a:solidFill>
        </a:ln>
      </xdr:spPr>
    </xdr:pic>
    <xdr:clientData/>
  </xdr:twoCellAnchor>
  <xdr:twoCellAnchor editAs="oneCell">
    <xdr:from>
      <xdr:col>8</xdr:col>
      <xdr:colOff>838200</xdr:colOff>
      <xdr:row>56</xdr:row>
      <xdr:rowOff>104775</xdr:rowOff>
    </xdr:from>
    <xdr:to>
      <xdr:col>11</xdr:col>
      <xdr:colOff>485490</xdr:colOff>
      <xdr:row>56</xdr:row>
      <xdr:rowOff>590489</xdr:rowOff>
    </xdr:to>
    <xdr:pic>
      <xdr:nvPicPr>
        <xdr:cNvPr id="6" name="Picture 5"/>
        <xdr:cNvPicPr>
          <a:picLocks noChangeAspect="1"/>
        </xdr:cNvPicPr>
      </xdr:nvPicPr>
      <xdr:blipFill>
        <a:blip r:embed="rId5"/>
        <a:stretch>
          <a:fillRect/>
        </a:stretch>
      </xdr:blipFill>
      <xdr:spPr>
        <a:xfrm>
          <a:off x="7153275" y="13011150"/>
          <a:ext cx="2275840" cy="485140"/>
        </a:xfrm>
        <a:prstGeom prst="rect">
          <a:avLst/>
        </a:prstGeom>
        <a:ln>
          <a:solidFill>
            <a:schemeClr val="tx1"/>
          </a:solidFill>
        </a:ln>
      </xdr:spPr>
    </xdr:pic>
    <xdr:clientData/>
  </xdr:twoCellAnchor>
  <xdr:twoCellAnchor editAs="oneCell">
    <xdr:from>
      <xdr:col>8</xdr:col>
      <xdr:colOff>419100</xdr:colOff>
      <xdr:row>52</xdr:row>
      <xdr:rowOff>238125</xdr:rowOff>
    </xdr:from>
    <xdr:to>
      <xdr:col>12</xdr:col>
      <xdr:colOff>666275</xdr:colOff>
      <xdr:row>55</xdr:row>
      <xdr:rowOff>152358</xdr:rowOff>
    </xdr:to>
    <xdr:pic>
      <xdr:nvPicPr>
        <xdr:cNvPr id="7" name="Picture 6"/>
        <xdr:cNvPicPr>
          <a:picLocks noChangeAspect="1"/>
        </xdr:cNvPicPr>
      </xdr:nvPicPr>
      <xdr:blipFill>
        <a:blip r:embed="rId6"/>
        <a:stretch>
          <a:fillRect/>
        </a:stretch>
      </xdr:blipFill>
      <xdr:spPr>
        <a:xfrm>
          <a:off x="6734175" y="12534900"/>
          <a:ext cx="3799840" cy="332740"/>
        </a:xfrm>
        <a:prstGeom prst="rect">
          <a:avLst/>
        </a:prstGeom>
        <a:ln>
          <a:solidFill>
            <a:schemeClr val="tx1"/>
          </a:solidFill>
        </a:ln>
      </xdr:spPr>
    </xdr:pic>
    <xdr:clientData/>
  </xdr:twoCellAnchor>
  <xdr:twoCellAnchor editAs="oneCell">
    <xdr:from>
      <xdr:col>1</xdr:col>
      <xdr:colOff>735536</xdr:colOff>
      <xdr:row>306</xdr:row>
      <xdr:rowOff>0</xdr:rowOff>
    </xdr:from>
    <xdr:to>
      <xdr:col>5</xdr:col>
      <xdr:colOff>706961</xdr:colOff>
      <xdr:row>322</xdr:row>
      <xdr:rowOff>38100</xdr:rowOff>
    </xdr:to>
    <xdr:pic>
      <xdr:nvPicPr>
        <xdr:cNvPr id="8" name="Picture 7"/>
        <xdr:cNvPicPr>
          <a:picLocks noChangeAspect="1"/>
        </xdr:cNvPicPr>
      </xdr:nvPicPr>
      <xdr:blipFill>
        <a:blip r:embed="rId7"/>
        <a:stretch>
          <a:fillRect/>
        </a:stretch>
      </xdr:blipFill>
      <xdr:spPr>
        <a:xfrm>
          <a:off x="1497330" y="52875815"/>
          <a:ext cx="3314700" cy="3238500"/>
        </a:xfrm>
        <a:prstGeom prst="rect">
          <a:avLst/>
        </a:prstGeom>
        <a:ln>
          <a:solidFill>
            <a:schemeClr val="tx1"/>
          </a:solidFill>
        </a:ln>
      </xdr:spPr>
    </xdr:pic>
    <xdr:clientData/>
  </xdr:twoCellAnchor>
  <xdr:twoCellAnchor>
    <xdr:from>
      <xdr:col>1</xdr:col>
      <xdr:colOff>0</xdr:colOff>
      <xdr:row>323</xdr:row>
      <xdr:rowOff>70178</xdr:rowOff>
    </xdr:from>
    <xdr:to>
      <xdr:col>7</xdr:col>
      <xdr:colOff>220350</xdr:colOff>
      <xdr:row>337</xdr:row>
      <xdr:rowOff>192432</xdr:rowOff>
    </xdr:to>
    <xdr:grpSp>
      <xdr:nvGrpSpPr>
        <xdr:cNvPr id="9" name="Group 8"/>
        <xdr:cNvGrpSpPr/>
      </xdr:nvGrpSpPr>
      <xdr:grpSpPr>
        <a:xfrm>
          <a:off x="762000" y="56346090"/>
          <a:ext cx="5039995" cy="2922905"/>
          <a:chOff x="915345" y="4065558"/>
          <a:chExt cx="5040000" cy="2922604"/>
        </a:xfrm>
      </xdr:grpSpPr>
      <xdr:pic>
        <xdr:nvPicPr>
          <xdr:cNvPr id="10" name="Picture 9"/>
          <xdr:cNvPicPr>
            <a:picLocks noChangeAspect="1"/>
          </xdr:cNvPicPr>
        </xdr:nvPicPr>
        <xdr:blipFill>
          <a:blip r:embed="rId8" cstate="email"/>
          <a:srcRect/>
          <a:stretch>
            <a:fillRect/>
          </a:stretch>
        </xdr:blipFill>
        <xdr:spPr>
          <a:xfrm>
            <a:off x="915345" y="4065558"/>
            <a:ext cx="5040000" cy="2922604"/>
          </a:xfrm>
          <a:prstGeom prst="rect">
            <a:avLst/>
          </a:prstGeom>
          <a:ln>
            <a:solidFill>
              <a:schemeClr val="tx1"/>
            </a:solidFill>
          </a:ln>
        </xdr:spPr>
      </xdr:pic>
      <xdr:sp>
        <xdr:nvSpPr>
          <xdr:cNvPr id="11" name="Rectangle 10"/>
          <xdr:cNvSpPr/>
        </xdr:nvSpPr>
        <xdr:spPr>
          <a:xfrm rot="21182593">
            <a:off x="1713963" y="4752575"/>
            <a:ext cx="1745814" cy="4402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xdr:nvSpPr>
          <xdr:cNvPr id="12" name="Rectangle 11"/>
          <xdr:cNvSpPr/>
        </xdr:nvSpPr>
        <xdr:spPr>
          <a:xfrm rot="5027857">
            <a:off x="2147896" y="5404127"/>
            <a:ext cx="853398" cy="45676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xdr:nvSpPr>
          <xdr:cNvPr id="13" name="Rectangle 12"/>
          <xdr:cNvSpPr/>
        </xdr:nvSpPr>
        <xdr:spPr>
          <a:xfrm rot="21182593">
            <a:off x="3454036" y="4569734"/>
            <a:ext cx="1745814" cy="4147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xdr:nvSpPr>
          <xdr:cNvPr id="14" name="Rectangle 13"/>
          <xdr:cNvSpPr/>
        </xdr:nvSpPr>
        <xdr:spPr>
          <a:xfrm rot="21182593">
            <a:off x="3891316" y="4993361"/>
            <a:ext cx="627701" cy="3308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xdr:nvSpPr>
          <xdr:cNvPr id="15" name="TextBox 11"/>
          <xdr:cNvSpPr txBox="1"/>
        </xdr:nvSpPr>
        <xdr:spPr>
          <a:xfrm rot="21255584">
            <a:off x="1660242" y="4527981"/>
            <a:ext cx="1484702"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solidFill>
                  <a:srgbClr val="FF0000"/>
                </a:solidFill>
              </a:rPr>
              <a:t>Building No.1(Athena)</a:t>
            </a:r>
            <a:endParaRPr lang="en-IN" sz="1100" b="1">
              <a:solidFill>
                <a:srgbClr val="FF0000"/>
              </a:solidFill>
            </a:endParaRPr>
          </a:p>
        </xdr:txBody>
      </xdr:sp>
      <xdr:sp>
        <xdr:nvSpPr>
          <xdr:cNvPr id="16" name="Rectangle 15"/>
          <xdr:cNvSpPr/>
        </xdr:nvSpPr>
        <xdr:spPr>
          <a:xfrm rot="21241626">
            <a:off x="3638473" y="4358926"/>
            <a:ext cx="1237839" cy="26161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solidFill>
                  <a:srgbClr val="FF0000"/>
                </a:solidFill>
              </a:rPr>
              <a:t>Building No.2(Iris)</a:t>
            </a:r>
            <a:endParaRPr lang="en-IN" sz="1100" b="1">
              <a:solidFill>
                <a:srgbClr val="FF0000"/>
              </a:solidFill>
            </a:endParaRPr>
          </a:p>
        </xdr:txBody>
      </xdr:sp>
    </xdr:grpSp>
    <xdr:clientData/>
  </xdr:twoCellAnchor>
  <xdr:twoCellAnchor editAs="oneCell">
    <xdr:from>
      <xdr:col>0</xdr:col>
      <xdr:colOff>552450</xdr:colOff>
      <xdr:row>346</xdr:row>
      <xdr:rowOff>9525</xdr:rowOff>
    </xdr:from>
    <xdr:to>
      <xdr:col>7</xdr:col>
      <xdr:colOff>10800</xdr:colOff>
      <xdr:row>354</xdr:row>
      <xdr:rowOff>110726</xdr:rowOff>
    </xdr:to>
    <xdr:pic>
      <xdr:nvPicPr>
        <xdr:cNvPr id="17" name="Picture 16"/>
        <xdr:cNvPicPr>
          <a:picLocks noChangeAspect="1"/>
        </xdr:cNvPicPr>
      </xdr:nvPicPr>
      <xdr:blipFill>
        <a:blip r:embed="rId9" cstate="screen"/>
        <a:srcRect/>
        <a:stretch>
          <a:fillRect/>
        </a:stretch>
      </xdr:blipFill>
      <xdr:spPr>
        <a:xfrm>
          <a:off x="552450" y="60886340"/>
          <a:ext cx="5039995" cy="1701165"/>
        </a:xfrm>
        <a:prstGeom prst="rect">
          <a:avLst/>
        </a:prstGeom>
        <a:ln>
          <a:solidFill>
            <a:schemeClr val="tx1"/>
          </a:solidFill>
        </a:ln>
      </xdr:spPr>
    </xdr:pic>
    <xdr:clientData/>
  </xdr:twoCellAnchor>
  <xdr:twoCellAnchor>
    <xdr:from>
      <xdr:col>1</xdr:col>
      <xdr:colOff>209550</xdr:colOff>
      <xdr:row>355</xdr:row>
      <xdr:rowOff>168985</xdr:rowOff>
    </xdr:from>
    <xdr:to>
      <xdr:col>6</xdr:col>
      <xdr:colOff>443325</xdr:colOff>
      <xdr:row>370</xdr:row>
      <xdr:rowOff>48610</xdr:rowOff>
    </xdr:to>
    <xdr:grpSp>
      <xdr:nvGrpSpPr>
        <xdr:cNvPr id="18" name="Group 17"/>
        <xdr:cNvGrpSpPr/>
      </xdr:nvGrpSpPr>
      <xdr:grpSpPr>
        <a:xfrm>
          <a:off x="971550" y="62845950"/>
          <a:ext cx="4319905" cy="2879725"/>
          <a:chOff x="1630015" y="3098800"/>
          <a:chExt cx="3340100" cy="2489200"/>
        </a:xfrm>
      </xdr:grpSpPr>
      <xdr:pic>
        <xdr:nvPicPr>
          <xdr:cNvPr id="19" name="Picture 18"/>
          <xdr:cNvPicPr>
            <a:picLocks noChangeAspect="1"/>
          </xdr:cNvPicPr>
        </xdr:nvPicPr>
        <xdr:blipFill>
          <a:blip r:embed="rId10" cstate="screen"/>
          <a:srcRect/>
          <a:stretch>
            <a:fillRect/>
          </a:stretch>
        </xdr:blipFill>
        <xdr:spPr>
          <a:xfrm>
            <a:off x="1630015" y="3098800"/>
            <a:ext cx="3340100" cy="2489200"/>
          </a:xfrm>
          <a:prstGeom prst="rect">
            <a:avLst/>
          </a:prstGeom>
          <a:ln>
            <a:solidFill>
              <a:schemeClr val="tx1"/>
            </a:solidFill>
          </a:ln>
        </xdr:spPr>
      </xdr:pic>
      <xdr:sp>
        <xdr:nvSpPr>
          <xdr:cNvPr id="20" name="Freeform 19"/>
          <xdr:cNvSpPr/>
        </xdr:nvSpPr>
        <xdr:spPr>
          <a:xfrm>
            <a:off x="1727200" y="3409950"/>
            <a:ext cx="2457450" cy="2076450"/>
          </a:xfrm>
          <a:custGeom>
            <a:avLst/>
            <a:gdLst>
              <a:gd name="connsiteX0" fmla="*/ 120650 w 2457450"/>
              <a:gd name="connsiteY0" fmla="*/ 0 h 2076450"/>
              <a:gd name="connsiteX1" fmla="*/ 0 w 2457450"/>
              <a:gd name="connsiteY1" fmla="*/ 241300 h 2076450"/>
              <a:gd name="connsiteX2" fmla="*/ 196850 w 2457450"/>
              <a:gd name="connsiteY2" fmla="*/ 323850 h 2076450"/>
              <a:gd name="connsiteX3" fmla="*/ 165100 w 2457450"/>
              <a:gd name="connsiteY3" fmla="*/ 450850 h 2076450"/>
              <a:gd name="connsiteX4" fmla="*/ 793750 w 2457450"/>
              <a:gd name="connsiteY4" fmla="*/ 635000 h 2076450"/>
              <a:gd name="connsiteX5" fmla="*/ 1041400 w 2457450"/>
              <a:gd name="connsiteY5" fmla="*/ 2076450 h 2076450"/>
              <a:gd name="connsiteX6" fmla="*/ 1530350 w 2457450"/>
              <a:gd name="connsiteY6" fmla="*/ 1739900 h 2076450"/>
              <a:gd name="connsiteX7" fmla="*/ 1955800 w 2457450"/>
              <a:gd name="connsiteY7" fmla="*/ 1943100 h 2076450"/>
              <a:gd name="connsiteX8" fmla="*/ 2457450 w 2457450"/>
              <a:gd name="connsiteY8" fmla="*/ 1752600 h 2076450"/>
              <a:gd name="connsiteX9" fmla="*/ 2413000 w 2457450"/>
              <a:gd name="connsiteY9" fmla="*/ 920750 h 2076450"/>
              <a:gd name="connsiteX10" fmla="*/ 2082800 w 2457450"/>
              <a:gd name="connsiteY10" fmla="*/ 730250 h 2076450"/>
              <a:gd name="connsiteX11" fmla="*/ 1930400 w 2457450"/>
              <a:gd name="connsiteY11" fmla="*/ 596900 h 2076450"/>
              <a:gd name="connsiteX12" fmla="*/ 876300 w 2457450"/>
              <a:gd name="connsiteY12" fmla="*/ 196850 h 2076450"/>
              <a:gd name="connsiteX13" fmla="*/ 120650 w 2457450"/>
              <a:gd name="connsiteY13" fmla="*/ 0 h 2076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2457450" h="2076450">
                <a:moveTo>
                  <a:pt x="120650" y="0"/>
                </a:moveTo>
                <a:lnTo>
                  <a:pt x="0" y="241300"/>
                </a:lnTo>
                <a:lnTo>
                  <a:pt x="196850" y="323850"/>
                </a:lnTo>
                <a:lnTo>
                  <a:pt x="165100" y="450850"/>
                </a:lnTo>
                <a:lnTo>
                  <a:pt x="793750" y="635000"/>
                </a:lnTo>
                <a:lnTo>
                  <a:pt x="1041400" y="2076450"/>
                </a:lnTo>
                <a:lnTo>
                  <a:pt x="1530350" y="1739900"/>
                </a:lnTo>
                <a:lnTo>
                  <a:pt x="1955800" y="1943100"/>
                </a:lnTo>
                <a:lnTo>
                  <a:pt x="2457450" y="1752600"/>
                </a:lnTo>
                <a:lnTo>
                  <a:pt x="2413000" y="920750"/>
                </a:lnTo>
                <a:lnTo>
                  <a:pt x="2082800" y="730250"/>
                </a:lnTo>
                <a:lnTo>
                  <a:pt x="1930400" y="596900"/>
                </a:lnTo>
                <a:lnTo>
                  <a:pt x="876300" y="196850"/>
                </a:lnTo>
                <a:lnTo>
                  <a:pt x="120650" y="0"/>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8</xdr:col>
      <xdr:colOff>1200150</xdr:colOff>
      <xdr:row>262</xdr:row>
      <xdr:rowOff>98096</xdr:rowOff>
    </xdr:from>
    <xdr:to>
      <xdr:col>10</xdr:col>
      <xdr:colOff>734764</xdr:colOff>
      <xdr:row>263</xdr:row>
      <xdr:rowOff>158877</xdr:rowOff>
    </xdr:to>
    <xdr:sp>
      <xdr:nvSpPr>
        <xdr:cNvPr id="35" name="TextBox 11"/>
        <xdr:cNvSpPr txBox="1"/>
      </xdr:nvSpPr>
      <xdr:spPr>
        <a:xfrm>
          <a:off x="7477125" y="44182030"/>
          <a:ext cx="1466850" cy="26098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solidFill>
                <a:srgbClr val="FF0000"/>
              </a:solidFill>
            </a:rPr>
            <a:t>Building No.1(Athena)</a:t>
          </a:r>
          <a:endParaRPr lang="en-IN" sz="1100" b="1">
            <a:solidFill>
              <a:srgbClr val="FF0000"/>
            </a:solidFill>
          </a:endParaRPr>
        </a:p>
      </xdr:txBody>
    </xdr:sp>
    <xdr:clientData/>
  </xdr:twoCellAnchor>
  <xdr:twoCellAnchor>
    <xdr:from>
      <xdr:col>0</xdr:col>
      <xdr:colOff>228600</xdr:colOff>
      <xdr:row>263</xdr:row>
      <xdr:rowOff>28575</xdr:rowOff>
    </xdr:from>
    <xdr:to>
      <xdr:col>7</xdr:col>
      <xdr:colOff>511345</xdr:colOff>
      <xdr:row>304</xdr:row>
      <xdr:rowOff>102599</xdr:rowOff>
    </xdr:to>
    <xdr:grpSp>
      <xdr:nvGrpSpPr>
        <xdr:cNvPr id="24" name="Group 23"/>
        <xdr:cNvGrpSpPr/>
      </xdr:nvGrpSpPr>
      <xdr:grpSpPr>
        <a:xfrm>
          <a:off x="228600" y="44312840"/>
          <a:ext cx="5864225" cy="8265160"/>
          <a:chOff x="114300" y="43624500"/>
          <a:chExt cx="5864395" cy="8265524"/>
        </a:xfrm>
      </xdr:grpSpPr>
      <xdr:pic>
        <xdr:nvPicPr>
          <xdr:cNvPr id="38" name="Picture 37" descr="https://vsjcllp.vsjadon.com/upload/insp-243228-1525.jpg"/>
          <xdr:cNvPicPr>
            <a:picLocks noChangeAspect="1" noChangeArrowheads="1"/>
          </xdr:cNvPicPr>
        </xdr:nvPicPr>
        <xdr:blipFill>
          <a:blip r:embed="rId11" cstate="print"/>
          <a:srcRect/>
          <a:stretch>
            <a:fillRect/>
          </a:stretch>
        </xdr:blipFill>
        <xdr:spPr>
          <a:xfrm>
            <a:off x="3990975" y="47539274"/>
            <a:ext cx="1743075" cy="232652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43228-843.jpg"/>
          <xdr:cNvPicPr>
            <a:picLocks noChangeAspect="1" noChangeArrowheads="1"/>
          </xdr:cNvPicPr>
        </xdr:nvPicPr>
        <xdr:blipFill>
          <a:blip r:embed="rId12" cstate="print"/>
          <a:srcRect/>
          <a:stretch>
            <a:fillRect/>
          </a:stretch>
        </xdr:blipFill>
        <xdr:spPr>
          <a:xfrm>
            <a:off x="333375" y="47539274"/>
            <a:ext cx="1743075" cy="232652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43228-845.jpg"/>
          <xdr:cNvPicPr>
            <a:picLocks noChangeAspect="1" noChangeArrowheads="1"/>
          </xdr:cNvPicPr>
        </xdr:nvPicPr>
        <xdr:blipFill>
          <a:blip r:embed="rId13" cstate="print"/>
          <a:srcRect/>
          <a:stretch>
            <a:fillRect/>
          </a:stretch>
        </xdr:blipFill>
        <xdr:spPr>
          <a:xfrm>
            <a:off x="3600450" y="49960800"/>
            <a:ext cx="1438275" cy="191969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43228-844.jpg"/>
          <xdr:cNvPicPr>
            <a:picLocks noChangeAspect="1" noChangeArrowheads="1"/>
          </xdr:cNvPicPr>
        </xdr:nvPicPr>
        <xdr:blipFill>
          <a:blip r:embed="rId14" cstate="print"/>
          <a:srcRect/>
          <a:stretch>
            <a:fillRect/>
          </a:stretch>
        </xdr:blipFill>
        <xdr:spPr>
          <a:xfrm>
            <a:off x="114300" y="43624500"/>
            <a:ext cx="2883070" cy="38481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43228-847.jpg"/>
          <xdr:cNvPicPr>
            <a:picLocks noChangeAspect="1" noChangeArrowheads="1"/>
          </xdr:cNvPicPr>
        </xdr:nvPicPr>
        <xdr:blipFill>
          <a:blip r:embed="rId15" cstate="print"/>
          <a:srcRect/>
          <a:stretch>
            <a:fillRect/>
          </a:stretch>
        </xdr:blipFill>
        <xdr:spPr>
          <a:xfrm>
            <a:off x="2171700" y="47539274"/>
            <a:ext cx="1743075" cy="232652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8" name="Picture 47" descr="https://vsjcllp.vsjadon.com/upload/insp-243228-861.jpg"/>
          <xdr:cNvPicPr>
            <a:picLocks noChangeAspect="1" noChangeArrowheads="1"/>
          </xdr:cNvPicPr>
        </xdr:nvPicPr>
        <xdr:blipFill>
          <a:blip r:embed="rId16" cstate="print"/>
          <a:srcRect/>
          <a:stretch>
            <a:fillRect/>
          </a:stretch>
        </xdr:blipFill>
        <xdr:spPr>
          <a:xfrm>
            <a:off x="3095625" y="43624500"/>
            <a:ext cx="2883070" cy="38481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9" name="Picture 48" descr="https://vsjcllp.vsjadon.com/upload/insp-243228-862.jpg"/>
          <xdr:cNvPicPr>
            <a:picLocks noChangeAspect="1" noChangeArrowheads="1"/>
          </xdr:cNvPicPr>
        </xdr:nvPicPr>
        <xdr:blipFill>
          <a:blip r:embed="rId17" cstate="print"/>
          <a:srcRect/>
          <a:stretch>
            <a:fillRect/>
          </a:stretch>
        </xdr:blipFill>
        <xdr:spPr>
          <a:xfrm>
            <a:off x="971550" y="49970325"/>
            <a:ext cx="2549474" cy="191969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rcRect l="36269"/>
        <a:stretch>
          <a:fillRect/>
        </a:stretch>
      </xdr:blipFill>
      <xdr:spPr>
        <a:xfrm>
          <a:off x="9903460" y="358140"/>
          <a:ext cx="3246755" cy="4318635"/>
        </a:xfrm>
        <a:prstGeom prst="rect">
          <a:avLst/>
        </a:prstGeom>
      </xdr:spPr>
    </xdr:pic>
    <xdr:clientData/>
  </xdr:twoCellAnchor>
  <xdr:twoCellAnchor editAs="oneCell">
    <xdr:from>
      <xdr:col>1</xdr:col>
      <xdr:colOff>1</xdr:colOff>
      <xdr:row>14</xdr:row>
      <xdr:rowOff>0</xdr:rowOff>
    </xdr:from>
    <xdr:to>
      <xdr:col>6</xdr:col>
      <xdr:colOff>4567</xdr:colOff>
      <xdr:row>32</xdr:row>
      <xdr:rowOff>171000</xdr:rowOff>
    </xdr:to>
    <xdr:pic>
      <xdr:nvPicPr>
        <xdr:cNvPr id="3" name="Picture 2"/>
        <xdr:cNvPicPr>
          <a:picLocks noChangeAspect="1"/>
        </xdr:cNvPicPr>
      </xdr:nvPicPr>
      <xdr:blipFill>
        <a:blip r:embed="rId2"/>
        <a:stretch>
          <a:fillRect/>
        </a:stretch>
      </xdr:blipFill>
      <xdr:spPr>
        <a:xfrm>
          <a:off x="581025" y="2676525"/>
          <a:ext cx="6405245" cy="3599815"/>
        </a:xfrm>
        <a:prstGeom prst="rect">
          <a:avLst/>
        </a:prstGeom>
      </xdr:spPr>
    </xdr:pic>
    <xdr:clientData/>
  </xdr:twoCellAnchor>
  <xdr:twoCellAnchor editAs="oneCell">
    <xdr:from>
      <xdr:col>6</xdr:col>
      <xdr:colOff>257736</xdr:colOff>
      <xdr:row>14</xdr:row>
      <xdr:rowOff>0</xdr:rowOff>
    </xdr:from>
    <xdr:to>
      <xdr:col>15</xdr:col>
      <xdr:colOff>150244</xdr:colOff>
      <xdr:row>32</xdr:row>
      <xdr:rowOff>171000</xdr:rowOff>
    </xdr:to>
    <xdr:pic>
      <xdr:nvPicPr>
        <xdr:cNvPr id="4" name="Picture 3"/>
        <xdr:cNvPicPr>
          <a:picLocks noChangeAspect="1"/>
        </xdr:cNvPicPr>
      </xdr:nvPicPr>
      <xdr:blipFill>
        <a:blip r:embed="rId3"/>
        <a:stretch>
          <a:fillRect/>
        </a:stretch>
      </xdr:blipFill>
      <xdr:spPr>
        <a:xfrm>
          <a:off x="7239000" y="2676525"/>
          <a:ext cx="6388735" cy="35998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6" Type="http://schemas.openxmlformats.org/officeDocument/2006/relationships/hyperlink" Target="https://www.balajiclassicadombivli.com/" TargetMode="External"/><Relationship Id="rId5" Type="http://schemas.openxmlformats.org/officeDocument/2006/relationships/hyperlink" Target="https://maps.app.goo.gl/jtoQE5pFybAASdhV9" TargetMode="External"/><Relationship Id="rId4" Type="http://schemas.openxmlformats.org/officeDocument/2006/relationships/vmlDrawing" Target="../drawings/vmlDrawing2.vml"/><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Z345"/>
  <sheetViews>
    <sheetView tabSelected="1" view="pageBreakPreview" zoomScalePageLayoutView="85" zoomScaleNormal="100" workbookViewId="0">
      <selection activeCell="I12" sqref="I12"/>
    </sheetView>
  </sheetViews>
  <sheetFormatPr defaultColWidth="9.14285714285714" defaultRowHeight="15.75"/>
  <cols>
    <col min="1" max="1" width="11.4285714285714" style="42" customWidth="1"/>
    <col min="2" max="2" width="12" style="42" customWidth="1"/>
    <col min="3" max="3" width="12.7142857142857" style="42" customWidth="1"/>
    <col min="4" max="4" width="13.7142857142857" style="42" customWidth="1"/>
    <col min="5" max="5" width="11.7142857142857" style="42" customWidth="1"/>
    <col min="6" max="6" width="11.1428571428571" style="42" customWidth="1"/>
    <col min="7" max="8" width="11" style="42" customWidth="1"/>
    <col min="9" max="9" width="17.4285714285714" style="43" customWidth="1"/>
    <col min="10" max="10" width="11.4285714285714" style="43" customWidth="1"/>
    <col min="11" max="11" width="10.5714285714286" style="43" customWidth="1"/>
    <col min="12" max="12" width="13.8571428571429" style="43" customWidth="1"/>
    <col min="13" max="13" width="11.8571428571429" style="43" customWidth="1"/>
    <col min="14" max="14" width="12.5714285714286" style="43" customWidth="1"/>
    <col min="15" max="15" width="12.1428571428571" style="43" customWidth="1"/>
    <col min="16" max="16" width="11.7142857142857" style="43" customWidth="1"/>
    <col min="17" max="18" width="9.14285714285714" style="43"/>
    <col min="19" max="19" width="10.8571428571429" style="43" customWidth="1"/>
    <col min="20" max="20" width="10.7142857142857" style="43" customWidth="1"/>
    <col min="21" max="247" width="9.14285714285714" style="43"/>
    <col min="248" max="248" width="8.71428571428571" style="43" customWidth="1"/>
    <col min="249" max="249" width="9.85714285714286" style="43" customWidth="1"/>
    <col min="250" max="250" width="14.4285714285714" style="43" customWidth="1"/>
    <col min="251" max="251" width="7.28571428571429" style="43" customWidth="1"/>
    <col min="252" max="252" width="5.57142857142857" style="43" customWidth="1"/>
    <col min="253" max="253" width="9" style="43" customWidth="1"/>
    <col min="254" max="255" width="9.85714285714286" style="43" customWidth="1"/>
    <col min="256" max="256" width="11.1428571428571" style="43" customWidth="1"/>
    <col min="257" max="257" width="2.85714285714286" style="43" customWidth="1"/>
    <col min="258" max="258" width="3.57142857142857" style="43" customWidth="1"/>
    <col min="259" max="503" width="9.14285714285714" style="43"/>
    <col min="504" max="504" width="8.71428571428571" style="43" customWidth="1"/>
    <col min="505" max="505" width="9.85714285714286" style="43" customWidth="1"/>
    <col min="506" max="506" width="14.4285714285714" style="43" customWidth="1"/>
    <col min="507" max="507" width="7.28571428571429" style="43" customWidth="1"/>
    <col min="508" max="508" width="5.57142857142857" style="43" customWidth="1"/>
    <col min="509" max="509" width="9" style="43" customWidth="1"/>
    <col min="510" max="511" width="9.85714285714286" style="43" customWidth="1"/>
    <col min="512" max="512" width="11.1428571428571" style="43" customWidth="1"/>
    <col min="513" max="513" width="2.85714285714286" style="43" customWidth="1"/>
    <col min="514" max="514" width="3.57142857142857" style="43" customWidth="1"/>
    <col min="515" max="759" width="9.14285714285714" style="43"/>
    <col min="760" max="760" width="8.71428571428571" style="43" customWidth="1"/>
    <col min="761" max="761" width="9.85714285714286" style="43" customWidth="1"/>
    <col min="762" max="762" width="14.4285714285714" style="43" customWidth="1"/>
    <col min="763" max="763" width="7.28571428571429" style="43" customWidth="1"/>
    <col min="764" max="764" width="5.57142857142857" style="43" customWidth="1"/>
    <col min="765" max="765" width="9" style="43" customWidth="1"/>
    <col min="766" max="767" width="9.85714285714286" style="43" customWidth="1"/>
    <col min="768" max="768" width="11.1428571428571" style="43" customWidth="1"/>
    <col min="769" max="769" width="2.85714285714286" style="43" customWidth="1"/>
    <col min="770" max="770" width="3.57142857142857" style="43" customWidth="1"/>
    <col min="771" max="1015" width="9.14285714285714" style="43"/>
    <col min="1016" max="1016" width="8.71428571428571" style="43" customWidth="1"/>
    <col min="1017" max="1017" width="9.85714285714286" style="43" customWidth="1"/>
    <col min="1018" max="1018" width="14.4285714285714" style="43" customWidth="1"/>
    <col min="1019" max="1019" width="7.28571428571429" style="43" customWidth="1"/>
    <col min="1020" max="1020" width="5.57142857142857" style="43" customWidth="1"/>
    <col min="1021" max="1021" width="9" style="43" customWidth="1"/>
    <col min="1022" max="1023" width="9.85714285714286" style="43" customWidth="1"/>
    <col min="1024" max="1024" width="11.1428571428571" style="43" customWidth="1"/>
    <col min="1025" max="1025" width="2.85714285714286" style="43" customWidth="1"/>
    <col min="1026" max="1026" width="3.57142857142857" style="43" customWidth="1"/>
    <col min="1027" max="1271" width="9.14285714285714" style="43"/>
    <col min="1272" max="1272" width="8.71428571428571" style="43" customWidth="1"/>
    <col min="1273" max="1273" width="9.85714285714286" style="43" customWidth="1"/>
    <col min="1274" max="1274" width="14.4285714285714" style="43" customWidth="1"/>
    <col min="1275" max="1275" width="7.28571428571429" style="43" customWidth="1"/>
    <col min="1276" max="1276" width="5.57142857142857" style="43" customWidth="1"/>
    <col min="1277" max="1277" width="9" style="43" customWidth="1"/>
    <col min="1278" max="1279" width="9.85714285714286" style="43" customWidth="1"/>
    <col min="1280" max="1280" width="11.1428571428571" style="43" customWidth="1"/>
    <col min="1281" max="1281" width="2.85714285714286" style="43" customWidth="1"/>
    <col min="1282" max="1282" width="3.57142857142857" style="43" customWidth="1"/>
    <col min="1283" max="1527" width="9.14285714285714" style="43"/>
    <col min="1528" max="1528" width="8.71428571428571" style="43" customWidth="1"/>
    <col min="1529" max="1529" width="9.85714285714286" style="43" customWidth="1"/>
    <col min="1530" max="1530" width="14.4285714285714" style="43" customWidth="1"/>
    <col min="1531" max="1531" width="7.28571428571429" style="43" customWidth="1"/>
    <col min="1532" max="1532" width="5.57142857142857" style="43" customWidth="1"/>
    <col min="1533" max="1533" width="9" style="43" customWidth="1"/>
    <col min="1534" max="1535" width="9.85714285714286" style="43" customWidth="1"/>
    <col min="1536" max="1536" width="11.1428571428571" style="43" customWidth="1"/>
    <col min="1537" max="1537" width="2.85714285714286" style="43" customWidth="1"/>
    <col min="1538" max="1538" width="3.57142857142857" style="43" customWidth="1"/>
    <col min="1539" max="1783" width="9.14285714285714" style="43"/>
    <col min="1784" max="1784" width="8.71428571428571" style="43" customWidth="1"/>
    <col min="1785" max="1785" width="9.85714285714286" style="43" customWidth="1"/>
    <col min="1786" max="1786" width="14.4285714285714" style="43" customWidth="1"/>
    <col min="1787" max="1787" width="7.28571428571429" style="43" customWidth="1"/>
    <col min="1788" max="1788" width="5.57142857142857" style="43" customWidth="1"/>
    <col min="1789" max="1789" width="9" style="43" customWidth="1"/>
    <col min="1790" max="1791" width="9.85714285714286" style="43" customWidth="1"/>
    <col min="1792" max="1792" width="11.1428571428571" style="43" customWidth="1"/>
    <col min="1793" max="1793" width="2.85714285714286" style="43" customWidth="1"/>
    <col min="1794" max="1794" width="3.57142857142857" style="43" customWidth="1"/>
    <col min="1795" max="2039" width="9.14285714285714" style="43"/>
    <col min="2040" max="2040" width="8.71428571428571" style="43" customWidth="1"/>
    <col min="2041" max="2041" width="9.85714285714286" style="43" customWidth="1"/>
    <col min="2042" max="2042" width="14.4285714285714" style="43" customWidth="1"/>
    <col min="2043" max="2043" width="7.28571428571429" style="43" customWidth="1"/>
    <col min="2044" max="2044" width="5.57142857142857" style="43" customWidth="1"/>
    <col min="2045" max="2045" width="9" style="43" customWidth="1"/>
    <col min="2046" max="2047" width="9.85714285714286" style="43" customWidth="1"/>
    <col min="2048" max="2048" width="11.1428571428571" style="43" customWidth="1"/>
    <col min="2049" max="2049" width="2.85714285714286" style="43" customWidth="1"/>
    <col min="2050" max="2050" width="3.57142857142857" style="43" customWidth="1"/>
    <col min="2051" max="2295" width="9.14285714285714" style="43"/>
    <col min="2296" max="2296" width="8.71428571428571" style="43" customWidth="1"/>
    <col min="2297" max="2297" width="9.85714285714286" style="43" customWidth="1"/>
    <col min="2298" max="2298" width="14.4285714285714" style="43" customWidth="1"/>
    <col min="2299" max="2299" width="7.28571428571429" style="43" customWidth="1"/>
    <col min="2300" max="2300" width="5.57142857142857" style="43" customWidth="1"/>
    <col min="2301" max="2301" width="9" style="43" customWidth="1"/>
    <col min="2302" max="2303" width="9.85714285714286" style="43" customWidth="1"/>
    <col min="2304" max="2304" width="11.1428571428571" style="43" customWidth="1"/>
    <col min="2305" max="2305" width="2.85714285714286" style="43" customWidth="1"/>
    <col min="2306" max="2306" width="3.57142857142857" style="43" customWidth="1"/>
    <col min="2307" max="2551" width="9.14285714285714" style="43"/>
    <col min="2552" max="2552" width="8.71428571428571" style="43" customWidth="1"/>
    <col min="2553" max="2553" width="9.85714285714286" style="43" customWidth="1"/>
    <col min="2554" max="2554" width="14.4285714285714" style="43" customWidth="1"/>
    <col min="2555" max="2555" width="7.28571428571429" style="43" customWidth="1"/>
    <col min="2556" max="2556" width="5.57142857142857" style="43" customWidth="1"/>
    <col min="2557" max="2557" width="9" style="43" customWidth="1"/>
    <col min="2558" max="2559" width="9.85714285714286" style="43" customWidth="1"/>
    <col min="2560" max="2560" width="11.1428571428571" style="43" customWidth="1"/>
    <col min="2561" max="2561" width="2.85714285714286" style="43" customWidth="1"/>
    <col min="2562" max="2562" width="3.57142857142857" style="43" customWidth="1"/>
    <col min="2563" max="2807" width="9.14285714285714" style="43"/>
    <col min="2808" max="2808" width="8.71428571428571" style="43" customWidth="1"/>
    <col min="2809" max="2809" width="9.85714285714286" style="43" customWidth="1"/>
    <col min="2810" max="2810" width="14.4285714285714" style="43" customWidth="1"/>
    <col min="2811" max="2811" width="7.28571428571429" style="43" customWidth="1"/>
    <col min="2812" max="2812" width="5.57142857142857" style="43" customWidth="1"/>
    <col min="2813" max="2813" width="9" style="43" customWidth="1"/>
    <col min="2814" max="2815" width="9.85714285714286" style="43" customWidth="1"/>
    <col min="2816" max="2816" width="11.1428571428571" style="43" customWidth="1"/>
    <col min="2817" max="2817" width="2.85714285714286" style="43" customWidth="1"/>
    <col min="2818" max="2818" width="3.57142857142857" style="43" customWidth="1"/>
    <col min="2819" max="3063" width="9.14285714285714" style="43"/>
    <col min="3064" max="3064" width="8.71428571428571" style="43" customWidth="1"/>
    <col min="3065" max="3065" width="9.85714285714286" style="43" customWidth="1"/>
    <col min="3066" max="3066" width="14.4285714285714" style="43" customWidth="1"/>
    <col min="3067" max="3067" width="7.28571428571429" style="43" customWidth="1"/>
    <col min="3068" max="3068" width="5.57142857142857" style="43" customWidth="1"/>
    <col min="3069" max="3069" width="9" style="43" customWidth="1"/>
    <col min="3070" max="3071" width="9.85714285714286" style="43" customWidth="1"/>
    <col min="3072" max="3072" width="11.1428571428571" style="43" customWidth="1"/>
    <col min="3073" max="3073" width="2.85714285714286" style="43" customWidth="1"/>
    <col min="3074" max="3074" width="3.57142857142857" style="43" customWidth="1"/>
    <col min="3075" max="3319" width="9.14285714285714" style="43"/>
    <col min="3320" max="3320" width="8.71428571428571" style="43" customWidth="1"/>
    <col min="3321" max="3321" width="9.85714285714286" style="43" customWidth="1"/>
    <col min="3322" max="3322" width="14.4285714285714" style="43" customWidth="1"/>
    <col min="3323" max="3323" width="7.28571428571429" style="43" customWidth="1"/>
    <col min="3324" max="3324" width="5.57142857142857" style="43" customWidth="1"/>
    <col min="3325" max="3325" width="9" style="43" customWidth="1"/>
    <col min="3326" max="3327" width="9.85714285714286" style="43" customWidth="1"/>
    <col min="3328" max="3328" width="11.1428571428571" style="43" customWidth="1"/>
    <col min="3329" max="3329" width="2.85714285714286" style="43" customWidth="1"/>
    <col min="3330" max="3330" width="3.57142857142857" style="43" customWidth="1"/>
    <col min="3331" max="3575" width="9.14285714285714" style="43"/>
    <col min="3576" max="3576" width="8.71428571428571" style="43" customWidth="1"/>
    <col min="3577" max="3577" width="9.85714285714286" style="43" customWidth="1"/>
    <col min="3578" max="3578" width="14.4285714285714" style="43" customWidth="1"/>
    <col min="3579" max="3579" width="7.28571428571429" style="43" customWidth="1"/>
    <col min="3580" max="3580" width="5.57142857142857" style="43" customWidth="1"/>
    <col min="3581" max="3581" width="9" style="43" customWidth="1"/>
    <col min="3582" max="3583" width="9.85714285714286" style="43" customWidth="1"/>
    <col min="3584" max="3584" width="11.1428571428571" style="43" customWidth="1"/>
    <col min="3585" max="3585" width="2.85714285714286" style="43" customWidth="1"/>
    <col min="3586" max="3586" width="3.57142857142857" style="43" customWidth="1"/>
    <col min="3587" max="3831" width="9.14285714285714" style="43"/>
    <col min="3832" max="3832" width="8.71428571428571" style="43" customWidth="1"/>
    <col min="3833" max="3833" width="9.85714285714286" style="43" customWidth="1"/>
    <col min="3834" max="3834" width="14.4285714285714" style="43" customWidth="1"/>
    <col min="3835" max="3835" width="7.28571428571429" style="43" customWidth="1"/>
    <col min="3836" max="3836" width="5.57142857142857" style="43" customWidth="1"/>
    <col min="3837" max="3837" width="9" style="43" customWidth="1"/>
    <col min="3838" max="3839" width="9.85714285714286" style="43" customWidth="1"/>
    <col min="3840" max="3840" width="11.1428571428571" style="43" customWidth="1"/>
    <col min="3841" max="3841" width="2.85714285714286" style="43" customWidth="1"/>
    <col min="3842" max="3842" width="3.57142857142857" style="43" customWidth="1"/>
    <col min="3843" max="4087" width="9.14285714285714" style="43"/>
    <col min="4088" max="4088" width="8.71428571428571" style="43" customWidth="1"/>
    <col min="4089" max="4089" width="9.85714285714286" style="43" customWidth="1"/>
    <col min="4090" max="4090" width="14.4285714285714" style="43" customWidth="1"/>
    <col min="4091" max="4091" width="7.28571428571429" style="43" customWidth="1"/>
    <col min="4092" max="4092" width="5.57142857142857" style="43" customWidth="1"/>
    <col min="4093" max="4093" width="9" style="43" customWidth="1"/>
    <col min="4094" max="4095" width="9.85714285714286" style="43" customWidth="1"/>
    <col min="4096" max="4096" width="11.1428571428571" style="43" customWidth="1"/>
    <col min="4097" max="4097" width="2.85714285714286" style="43" customWidth="1"/>
    <col min="4098" max="4098" width="3.57142857142857" style="43" customWidth="1"/>
    <col min="4099" max="4343" width="9.14285714285714" style="43"/>
    <col min="4344" max="4344" width="8.71428571428571" style="43" customWidth="1"/>
    <col min="4345" max="4345" width="9.85714285714286" style="43" customWidth="1"/>
    <col min="4346" max="4346" width="14.4285714285714" style="43" customWidth="1"/>
    <col min="4347" max="4347" width="7.28571428571429" style="43" customWidth="1"/>
    <col min="4348" max="4348" width="5.57142857142857" style="43" customWidth="1"/>
    <col min="4349" max="4349" width="9" style="43" customWidth="1"/>
    <col min="4350" max="4351" width="9.85714285714286" style="43" customWidth="1"/>
    <col min="4352" max="4352" width="11.1428571428571" style="43" customWidth="1"/>
    <col min="4353" max="4353" width="2.85714285714286" style="43" customWidth="1"/>
    <col min="4354" max="4354" width="3.57142857142857" style="43" customWidth="1"/>
    <col min="4355" max="4599" width="9.14285714285714" style="43"/>
    <col min="4600" max="4600" width="8.71428571428571" style="43" customWidth="1"/>
    <col min="4601" max="4601" width="9.85714285714286" style="43" customWidth="1"/>
    <col min="4602" max="4602" width="14.4285714285714" style="43" customWidth="1"/>
    <col min="4603" max="4603" width="7.28571428571429" style="43" customWidth="1"/>
    <col min="4604" max="4604" width="5.57142857142857" style="43" customWidth="1"/>
    <col min="4605" max="4605" width="9" style="43" customWidth="1"/>
    <col min="4606" max="4607" width="9.85714285714286" style="43" customWidth="1"/>
    <col min="4608" max="4608" width="11.1428571428571" style="43" customWidth="1"/>
    <col min="4609" max="4609" width="2.85714285714286" style="43" customWidth="1"/>
    <col min="4610" max="4610" width="3.57142857142857" style="43" customWidth="1"/>
    <col min="4611" max="4855" width="9.14285714285714" style="43"/>
    <col min="4856" max="4856" width="8.71428571428571" style="43" customWidth="1"/>
    <col min="4857" max="4857" width="9.85714285714286" style="43" customWidth="1"/>
    <col min="4858" max="4858" width="14.4285714285714" style="43" customWidth="1"/>
    <col min="4859" max="4859" width="7.28571428571429" style="43" customWidth="1"/>
    <col min="4860" max="4860" width="5.57142857142857" style="43" customWidth="1"/>
    <col min="4861" max="4861" width="9" style="43" customWidth="1"/>
    <col min="4862" max="4863" width="9.85714285714286" style="43" customWidth="1"/>
    <col min="4864" max="4864" width="11.1428571428571" style="43" customWidth="1"/>
    <col min="4865" max="4865" width="2.85714285714286" style="43" customWidth="1"/>
    <col min="4866" max="4866" width="3.57142857142857" style="43" customWidth="1"/>
    <col min="4867" max="5111" width="9.14285714285714" style="43"/>
    <col min="5112" max="5112" width="8.71428571428571" style="43" customWidth="1"/>
    <col min="5113" max="5113" width="9.85714285714286" style="43" customWidth="1"/>
    <col min="5114" max="5114" width="14.4285714285714" style="43" customWidth="1"/>
    <col min="5115" max="5115" width="7.28571428571429" style="43" customWidth="1"/>
    <col min="5116" max="5116" width="5.57142857142857" style="43" customWidth="1"/>
    <col min="5117" max="5117" width="9" style="43" customWidth="1"/>
    <col min="5118" max="5119" width="9.85714285714286" style="43" customWidth="1"/>
    <col min="5120" max="5120" width="11.1428571428571" style="43" customWidth="1"/>
    <col min="5121" max="5121" width="2.85714285714286" style="43" customWidth="1"/>
    <col min="5122" max="5122" width="3.57142857142857" style="43" customWidth="1"/>
    <col min="5123" max="5367" width="9.14285714285714" style="43"/>
    <col min="5368" max="5368" width="8.71428571428571" style="43" customWidth="1"/>
    <col min="5369" max="5369" width="9.85714285714286" style="43" customWidth="1"/>
    <col min="5370" max="5370" width="14.4285714285714" style="43" customWidth="1"/>
    <col min="5371" max="5371" width="7.28571428571429" style="43" customWidth="1"/>
    <col min="5372" max="5372" width="5.57142857142857" style="43" customWidth="1"/>
    <col min="5373" max="5373" width="9" style="43" customWidth="1"/>
    <col min="5374" max="5375" width="9.85714285714286" style="43" customWidth="1"/>
    <col min="5376" max="5376" width="11.1428571428571" style="43" customWidth="1"/>
    <col min="5377" max="5377" width="2.85714285714286" style="43" customWidth="1"/>
    <col min="5378" max="5378" width="3.57142857142857" style="43" customWidth="1"/>
    <col min="5379" max="5623" width="9.14285714285714" style="43"/>
    <col min="5624" max="5624" width="8.71428571428571" style="43" customWidth="1"/>
    <col min="5625" max="5625" width="9.85714285714286" style="43" customWidth="1"/>
    <col min="5626" max="5626" width="14.4285714285714" style="43" customWidth="1"/>
    <col min="5627" max="5627" width="7.28571428571429" style="43" customWidth="1"/>
    <col min="5628" max="5628" width="5.57142857142857" style="43" customWidth="1"/>
    <col min="5629" max="5629" width="9" style="43" customWidth="1"/>
    <col min="5630" max="5631" width="9.85714285714286" style="43" customWidth="1"/>
    <col min="5632" max="5632" width="11.1428571428571" style="43" customWidth="1"/>
    <col min="5633" max="5633" width="2.85714285714286" style="43" customWidth="1"/>
    <col min="5634" max="5634" width="3.57142857142857" style="43" customWidth="1"/>
    <col min="5635" max="5879" width="9.14285714285714" style="43"/>
    <col min="5880" max="5880" width="8.71428571428571" style="43" customWidth="1"/>
    <col min="5881" max="5881" width="9.85714285714286" style="43" customWidth="1"/>
    <col min="5882" max="5882" width="14.4285714285714" style="43" customWidth="1"/>
    <col min="5883" max="5883" width="7.28571428571429" style="43" customWidth="1"/>
    <col min="5884" max="5884" width="5.57142857142857" style="43" customWidth="1"/>
    <col min="5885" max="5885" width="9" style="43" customWidth="1"/>
    <col min="5886" max="5887" width="9.85714285714286" style="43" customWidth="1"/>
    <col min="5888" max="5888" width="11.1428571428571" style="43" customWidth="1"/>
    <col min="5889" max="5889" width="2.85714285714286" style="43" customWidth="1"/>
    <col min="5890" max="5890" width="3.57142857142857" style="43" customWidth="1"/>
    <col min="5891" max="6135" width="9.14285714285714" style="43"/>
    <col min="6136" max="6136" width="8.71428571428571" style="43" customWidth="1"/>
    <col min="6137" max="6137" width="9.85714285714286" style="43" customWidth="1"/>
    <col min="6138" max="6138" width="14.4285714285714" style="43" customWidth="1"/>
    <col min="6139" max="6139" width="7.28571428571429" style="43" customWidth="1"/>
    <col min="6140" max="6140" width="5.57142857142857" style="43" customWidth="1"/>
    <col min="6141" max="6141" width="9" style="43" customWidth="1"/>
    <col min="6142" max="6143" width="9.85714285714286" style="43" customWidth="1"/>
    <col min="6144" max="6144" width="11.1428571428571" style="43" customWidth="1"/>
    <col min="6145" max="6145" width="2.85714285714286" style="43" customWidth="1"/>
    <col min="6146" max="6146" width="3.57142857142857" style="43" customWidth="1"/>
    <col min="6147" max="6391" width="9.14285714285714" style="43"/>
    <col min="6392" max="6392" width="8.71428571428571" style="43" customWidth="1"/>
    <col min="6393" max="6393" width="9.85714285714286" style="43" customWidth="1"/>
    <col min="6394" max="6394" width="14.4285714285714" style="43" customWidth="1"/>
    <col min="6395" max="6395" width="7.28571428571429" style="43" customWidth="1"/>
    <col min="6396" max="6396" width="5.57142857142857" style="43" customWidth="1"/>
    <col min="6397" max="6397" width="9" style="43" customWidth="1"/>
    <col min="6398" max="6399" width="9.85714285714286" style="43" customWidth="1"/>
    <col min="6400" max="6400" width="11.1428571428571" style="43" customWidth="1"/>
    <col min="6401" max="6401" width="2.85714285714286" style="43" customWidth="1"/>
    <col min="6402" max="6402" width="3.57142857142857" style="43" customWidth="1"/>
    <col min="6403" max="6647" width="9.14285714285714" style="43"/>
    <col min="6648" max="6648" width="8.71428571428571" style="43" customWidth="1"/>
    <col min="6649" max="6649" width="9.85714285714286" style="43" customWidth="1"/>
    <col min="6650" max="6650" width="14.4285714285714" style="43" customWidth="1"/>
    <col min="6651" max="6651" width="7.28571428571429" style="43" customWidth="1"/>
    <col min="6652" max="6652" width="5.57142857142857" style="43" customWidth="1"/>
    <col min="6653" max="6653" width="9" style="43" customWidth="1"/>
    <col min="6654" max="6655" width="9.85714285714286" style="43" customWidth="1"/>
    <col min="6656" max="6656" width="11.1428571428571" style="43" customWidth="1"/>
    <col min="6657" max="6657" width="2.85714285714286" style="43" customWidth="1"/>
    <col min="6658" max="6658" width="3.57142857142857" style="43" customWidth="1"/>
    <col min="6659" max="6903" width="9.14285714285714" style="43"/>
    <col min="6904" max="6904" width="8.71428571428571" style="43" customWidth="1"/>
    <col min="6905" max="6905" width="9.85714285714286" style="43" customWidth="1"/>
    <col min="6906" max="6906" width="14.4285714285714" style="43" customWidth="1"/>
    <col min="6907" max="6907" width="7.28571428571429" style="43" customWidth="1"/>
    <col min="6908" max="6908" width="5.57142857142857" style="43" customWidth="1"/>
    <col min="6909" max="6909" width="9" style="43" customWidth="1"/>
    <col min="6910" max="6911" width="9.85714285714286" style="43" customWidth="1"/>
    <col min="6912" max="6912" width="11.1428571428571" style="43" customWidth="1"/>
    <col min="6913" max="6913" width="2.85714285714286" style="43" customWidth="1"/>
    <col min="6914" max="6914" width="3.57142857142857" style="43" customWidth="1"/>
    <col min="6915" max="7159" width="9.14285714285714" style="43"/>
    <col min="7160" max="7160" width="8.71428571428571" style="43" customWidth="1"/>
    <col min="7161" max="7161" width="9.85714285714286" style="43" customWidth="1"/>
    <col min="7162" max="7162" width="14.4285714285714" style="43" customWidth="1"/>
    <col min="7163" max="7163" width="7.28571428571429" style="43" customWidth="1"/>
    <col min="7164" max="7164" width="5.57142857142857" style="43" customWidth="1"/>
    <col min="7165" max="7165" width="9" style="43" customWidth="1"/>
    <col min="7166" max="7167" width="9.85714285714286" style="43" customWidth="1"/>
    <col min="7168" max="7168" width="11.1428571428571" style="43" customWidth="1"/>
    <col min="7169" max="7169" width="2.85714285714286" style="43" customWidth="1"/>
    <col min="7170" max="7170" width="3.57142857142857" style="43" customWidth="1"/>
    <col min="7171" max="7415" width="9.14285714285714" style="43"/>
    <col min="7416" max="7416" width="8.71428571428571" style="43" customWidth="1"/>
    <col min="7417" max="7417" width="9.85714285714286" style="43" customWidth="1"/>
    <col min="7418" max="7418" width="14.4285714285714" style="43" customWidth="1"/>
    <col min="7419" max="7419" width="7.28571428571429" style="43" customWidth="1"/>
    <col min="7420" max="7420" width="5.57142857142857" style="43" customWidth="1"/>
    <col min="7421" max="7421" width="9" style="43" customWidth="1"/>
    <col min="7422" max="7423" width="9.85714285714286" style="43" customWidth="1"/>
    <col min="7424" max="7424" width="11.1428571428571" style="43" customWidth="1"/>
    <col min="7425" max="7425" width="2.85714285714286" style="43" customWidth="1"/>
    <col min="7426" max="7426" width="3.57142857142857" style="43" customWidth="1"/>
    <col min="7427" max="7671" width="9.14285714285714" style="43"/>
    <col min="7672" max="7672" width="8.71428571428571" style="43" customWidth="1"/>
    <col min="7673" max="7673" width="9.85714285714286" style="43" customWidth="1"/>
    <col min="7674" max="7674" width="14.4285714285714" style="43" customWidth="1"/>
    <col min="7675" max="7675" width="7.28571428571429" style="43" customWidth="1"/>
    <col min="7676" max="7676" width="5.57142857142857" style="43" customWidth="1"/>
    <col min="7677" max="7677" width="9" style="43" customWidth="1"/>
    <col min="7678" max="7679" width="9.85714285714286" style="43" customWidth="1"/>
    <col min="7680" max="7680" width="11.1428571428571" style="43" customWidth="1"/>
    <col min="7681" max="7681" width="2.85714285714286" style="43" customWidth="1"/>
    <col min="7682" max="7682" width="3.57142857142857" style="43" customWidth="1"/>
    <col min="7683" max="7927" width="9.14285714285714" style="43"/>
    <col min="7928" max="7928" width="8.71428571428571" style="43" customWidth="1"/>
    <col min="7929" max="7929" width="9.85714285714286" style="43" customWidth="1"/>
    <col min="7930" max="7930" width="14.4285714285714" style="43" customWidth="1"/>
    <col min="7931" max="7931" width="7.28571428571429" style="43" customWidth="1"/>
    <col min="7932" max="7932" width="5.57142857142857" style="43" customWidth="1"/>
    <col min="7933" max="7933" width="9" style="43" customWidth="1"/>
    <col min="7934" max="7935" width="9.85714285714286" style="43" customWidth="1"/>
    <col min="7936" max="7936" width="11.1428571428571" style="43" customWidth="1"/>
    <col min="7937" max="7937" width="2.85714285714286" style="43" customWidth="1"/>
    <col min="7938" max="7938" width="3.57142857142857" style="43" customWidth="1"/>
    <col min="7939" max="8183" width="9.14285714285714" style="43"/>
    <col min="8184" max="8184" width="8.71428571428571" style="43" customWidth="1"/>
    <col min="8185" max="8185" width="9.85714285714286" style="43" customWidth="1"/>
    <col min="8186" max="8186" width="14.4285714285714" style="43" customWidth="1"/>
    <col min="8187" max="8187" width="7.28571428571429" style="43" customWidth="1"/>
    <col min="8188" max="8188" width="5.57142857142857" style="43" customWidth="1"/>
    <col min="8189" max="8189" width="9" style="43" customWidth="1"/>
    <col min="8190" max="8191" width="9.85714285714286" style="43" customWidth="1"/>
    <col min="8192" max="8192" width="11.1428571428571" style="43" customWidth="1"/>
    <col min="8193" max="8193" width="2.85714285714286" style="43" customWidth="1"/>
    <col min="8194" max="8194" width="3.57142857142857" style="43" customWidth="1"/>
    <col min="8195" max="8439" width="9.14285714285714" style="43"/>
    <col min="8440" max="8440" width="8.71428571428571" style="43" customWidth="1"/>
    <col min="8441" max="8441" width="9.85714285714286" style="43" customWidth="1"/>
    <col min="8442" max="8442" width="14.4285714285714" style="43" customWidth="1"/>
    <col min="8443" max="8443" width="7.28571428571429" style="43" customWidth="1"/>
    <col min="8444" max="8444" width="5.57142857142857" style="43" customWidth="1"/>
    <col min="8445" max="8445" width="9" style="43" customWidth="1"/>
    <col min="8446" max="8447" width="9.85714285714286" style="43" customWidth="1"/>
    <col min="8448" max="8448" width="11.1428571428571" style="43" customWidth="1"/>
    <col min="8449" max="8449" width="2.85714285714286" style="43" customWidth="1"/>
    <col min="8450" max="8450" width="3.57142857142857" style="43" customWidth="1"/>
    <col min="8451" max="8695" width="9.14285714285714" style="43"/>
    <col min="8696" max="8696" width="8.71428571428571" style="43" customWidth="1"/>
    <col min="8697" max="8697" width="9.85714285714286" style="43" customWidth="1"/>
    <col min="8698" max="8698" width="14.4285714285714" style="43" customWidth="1"/>
    <col min="8699" max="8699" width="7.28571428571429" style="43" customWidth="1"/>
    <col min="8700" max="8700" width="5.57142857142857" style="43" customWidth="1"/>
    <col min="8701" max="8701" width="9" style="43" customWidth="1"/>
    <col min="8702" max="8703" width="9.85714285714286" style="43" customWidth="1"/>
    <col min="8704" max="8704" width="11.1428571428571" style="43" customWidth="1"/>
    <col min="8705" max="8705" width="2.85714285714286" style="43" customWidth="1"/>
    <col min="8706" max="8706" width="3.57142857142857" style="43" customWidth="1"/>
    <col min="8707" max="8951" width="9.14285714285714" style="43"/>
    <col min="8952" max="8952" width="8.71428571428571" style="43" customWidth="1"/>
    <col min="8953" max="8953" width="9.85714285714286" style="43" customWidth="1"/>
    <col min="8954" max="8954" width="14.4285714285714" style="43" customWidth="1"/>
    <col min="8955" max="8955" width="7.28571428571429" style="43" customWidth="1"/>
    <col min="8956" max="8956" width="5.57142857142857" style="43" customWidth="1"/>
    <col min="8957" max="8957" width="9" style="43" customWidth="1"/>
    <col min="8958" max="8959" width="9.85714285714286" style="43" customWidth="1"/>
    <col min="8960" max="8960" width="11.1428571428571" style="43" customWidth="1"/>
    <col min="8961" max="8961" width="2.85714285714286" style="43" customWidth="1"/>
    <col min="8962" max="8962" width="3.57142857142857" style="43" customWidth="1"/>
    <col min="8963" max="9207" width="9.14285714285714" style="43"/>
    <col min="9208" max="9208" width="8.71428571428571" style="43" customWidth="1"/>
    <col min="9209" max="9209" width="9.85714285714286" style="43" customWidth="1"/>
    <col min="9210" max="9210" width="14.4285714285714" style="43" customWidth="1"/>
    <col min="9211" max="9211" width="7.28571428571429" style="43" customWidth="1"/>
    <col min="9212" max="9212" width="5.57142857142857" style="43" customWidth="1"/>
    <col min="9213" max="9213" width="9" style="43" customWidth="1"/>
    <col min="9214" max="9215" width="9.85714285714286" style="43" customWidth="1"/>
    <col min="9216" max="9216" width="11.1428571428571" style="43" customWidth="1"/>
    <col min="9217" max="9217" width="2.85714285714286" style="43" customWidth="1"/>
    <col min="9218" max="9218" width="3.57142857142857" style="43" customWidth="1"/>
    <col min="9219" max="9463" width="9.14285714285714" style="43"/>
    <col min="9464" max="9464" width="8.71428571428571" style="43" customWidth="1"/>
    <col min="9465" max="9465" width="9.85714285714286" style="43" customWidth="1"/>
    <col min="9466" max="9466" width="14.4285714285714" style="43" customWidth="1"/>
    <col min="9467" max="9467" width="7.28571428571429" style="43" customWidth="1"/>
    <col min="9468" max="9468" width="5.57142857142857" style="43" customWidth="1"/>
    <col min="9469" max="9469" width="9" style="43" customWidth="1"/>
    <col min="9470" max="9471" width="9.85714285714286" style="43" customWidth="1"/>
    <col min="9472" max="9472" width="11.1428571428571" style="43" customWidth="1"/>
    <col min="9473" max="9473" width="2.85714285714286" style="43" customWidth="1"/>
    <col min="9474" max="9474" width="3.57142857142857" style="43" customWidth="1"/>
    <col min="9475" max="9719" width="9.14285714285714" style="43"/>
    <col min="9720" max="9720" width="8.71428571428571" style="43" customWidth="1"/>
    <col min="9721" max="9721" width="9.85714285714286" style="43" customWidth="1"/>
    <col min="9722" max="9722" width="14.4285714285714" style="43" customWidth="1"/>
    <col min="9723" max="9723" width="7.28571428571429" style="43" customWidth="1"/>
    <col min="9724" max="9724" width="5.57142857142857" style="43" customWidth="1"/>
    <col min="9725" max="9725" width="9" style="43" customWidth="1"/>
    <col min="9726" max="9727" width="9.85714285714286" style="43" customWidth="1"/>
    <col min="9728" max="9728" width="11.1428571428571" style="43" customWidth="1"/>
    <col min="9729" max="9729" width="2.85714285714286" style="43" customWidth="1"/>
    <col min="9730" max="9730" width="3.57142857142857" style="43" customWidth="1"/>
    <col min="9731" max="9975" width="9.14285714285714" style="43"/>
    <col min="9976" max="9976" width="8.71428571428571" style="43" customWidth="1"/>
    <col min="9977" max="9977" width="9.85714285714286" style="43" customWidth="1"/>
    <col min="9978" max="9978" width="14.4285714285714" style="43" customWidth="1"/>
    <col min="9979" max="9979" width="7.28571428571429" style="43" customWidth="1"/>
    <col min="9980" max="9980" width="5.57142857142857" style="43" customWidth="1"/>
    <col min="9981" max="9981" width="9" style="43" customWidth="1"/>
    <col min="9982" max="9983" width="9.85714285714286" style="43" customWidth="1"/>
    <col min="9984" max="9984" width="11.1428571428571" style="43" customWidth="1"/>
    <col min="9985" max="9985" width="2.85714285714286" style="43" customWidth="1"/>
    <col min="9986" max="9986" width="3.57142857142857" style="43" customWidth="1"/>
    <col min="9987" max="10231" width="9.14285714285714" style="43"/>
    <col min="10232" max="10232" width="8.71428571428571" style="43" customWidth="1"/>
    <col min="10233" max="10233" width="9.85714285714286" style="43" customWidth="1"/>
    <col min="10234" max="10234" width="14.4285714285714" style="43" customWidth="1"/>
    <col min="10235" max="10235" width="7.28571428571429" style="43" customWidth="1"/>
    <col min="10236" max="10236" width="5.57142857142857" style="43" customWidth="1"/>
    <col min="10237" max="10237" width="9" style="43" customWidth="1"/>
    <col min="10238" max="10239" width="9.85714285714286" style="43" customWidth="1"/>
    <col min="10240" max="10240" width="11.1428571428571" style="43" customWidth="1"/>
    <col min="10241" max="10241" width="2.85714285714286" style="43" customWidth="1"/>
    <col min="10242" max="10242" width="3.57142857142857" style="43" customWidth="1"/>
    <col min="10243" max="10487" width="9.14285714285714" style="43"/>
    <col min="10488" max="10488" width="8.71428571428571" style="43" customWidth="1"/>
    <col min="10489" max="10489" width="9.85714285714286" style="43" customWidth="1"/>
    <col min="10490" max="10490" width="14.4285714285714" style="43" customWidth="1"/>
    <col min="10491" max="10491" width="7.28571428571429" style="43" customWidth="1"/>
    <col min="10492" max="10492" width="5.57142857142857" style="43" customWidth="1"/>
    <col min="10493" max="10493" width="9" style="43" customWidth="1"/>
    <col min="10494" max="10495" width="9.85714285714286" style="43" customWidth="1"/>
    <col min="10496" max="10496" width="11.1428571428571" style="43" customWidth="1"/>
    <col min="10497" max="10497" width="2.85714285714286" style="43" customWidth="1"/>
    <col min="10498" max="10498" width="3.57142857142857" style="43" customWidth="1"/>
    <col min="10499" max="10743" width="9.14285714285714" style="43"/>
    <col min="10744" max="10744" width="8.71428571428571" style="43" customWidth="1"/>
    <col min="10745" max="10745" width="9.85714285714286" style="43" customWidth="1"/>
    <col min="10746" max="10746" width="14.4285714285714" style="43" customWidth="1"/>
    <col min="10747" max="10747" width="7.28571428571429" style="43" customWidth="1"/>
    <col min="10748" max="10748" width="5.57142857142857" style="43" customWidth="1"/>
    <col min="10749" max="10749" width="9" style="43" customWidth="1"/>
    <col min="10750" max="10751" width="9.85714285714286" style="43" customWidth="1"/>
    <col min="10752" max="10752" width="11.1428571428571" style="43" customWidth="1"/>
    <col min="10753" max="10753" width="2.85714285714286" style="43" customWidth="1"/>
    <col min="10754" max="10754" width="3.57142857142857" style="43" customWidth="1"/>
    <col min="10755" max="10999" width="9.14285714285714" style="43"/>
    <col min="11000" max="11000" width="8.71428571428571" style="43" customWidth="1"/>
    <col min="11001" max="11001" width="9.85714285714286" style="43" customWidth="1"/>
    <col min="11002" max="11002" width="14.4285714285714" style="43" customWidth="1"/>
    <col min="11003" max="11003" width="7.28571428571429" style="43" customWidth="1"/>
    <col min="11004" max="11004" width="5.57142857142857" style="43" customWidth="1"/>
    <col min="11005" max="11005" width="9" style="43" customWidth="1"/>
    <col min="11006" max="11007" width="9.85714285714286" style="43" customWidth="1"/>
    <col min="11008" max="11008" width="11.1428571428571" style="43" customWidth="1"/>
    <col min="11009" max="11009" width="2.85714285714286" style="43" customWidth="1"/>
    <col min="11010" max="11010" width="3.57142857142857" style="43" customWidth="1"/>
    <col min="11011" max="11255" width="9.14285714285714" style="43"/>
    <col min="11256" max="11256" width="8.71428571428571" style="43" customWidth="1"/>
    <col min="11257" max="11257" width="9.85714285714286" style="43" customWidth="1"/>
    <col min="11258" max="11258" width="14.4285714285714" style="43" customWidth="1"/>
    <col min="11259" max="11259" width="7.28571428571429" style="43" customWidth="1"/>
    <col min="11260" max="11260" width="5.57142857142857" style="43" customWidth="1"/>
    <col min="11261" max="11261" width="9" style="43" customWidth="1"/>
    <col min="11262" max="11263" width="9.85714285714286" style="43" customWidth="1"/>
    <col min="11264" max="11264" width="11.1428571428571" style="43" customWidth="1"/>
    <col min="11265" max="11265" width="2.85714285714286" style="43" customWidth="1"/>
    <col min="11266" max="11266" width="3.57142857142857" style="43" customWidth="1"/>
    <col min="11267" max="11511" width="9.14285714285714" style="43"/>
    <col min="11512" max="11512" width="8.71428571428571" style="43" customWidth="1"/>
    <col min="11513" max="11513" width="9.85714285714286" style="43" customWidth="1"/>
    <col min="11514" max="11514" width="14.4285714285714" style="43" customWidth="1"/>
    <col min="11515" max="11515" width="7.28571428571429" style="43" customWidth="1"/>
    <col min="11516" max="11516" width="5.57142857142857" style="43" customWidth="1"/>
    <col min="11517" max="11517" width="9" style="43" customWidth="1"/>
    <col min="11518" max="11519" width="9.85714285714286" style="43" customWidth="1"/>
    <col min="11520" max="11520" width="11.1428571428571" style="43" customWidth="1"/>
    <col min="11521" max="11521" width="2.85714285714286" style="43" customWidth="1"/>
    <col min="11522" max="11522" width="3.57142857142857" style="43" customWidth="1"/>
    <col min="11523" max="11767" width="9.14285714285714" style="43"/>
    <col min="11768" max="11768" width="8.71428571428571" style="43" customWidth="1"/>
    <col min="11769" max="11769" width="9.85714285714286" style="43" customWidth="1"/>
    <col min="11770" max="11770" width="14.4285714285714" style="43" customWidth="1"/>
    <col min="11771" max="11771" width="7.28571428571429" style="43" customWidth="1"/>
    <col min="11772" max="11772" width="5.57142857142857" style="43" customWidth="1"/>
    <col min="11773" max="11773" width="9" style="43" customWidth="1"/>
    <col min="11774" max="11775" width="9.85714285714286" style="43" customWidth="1"/>
    <col min="11776" max="11776" width="11.1428571428571" style="43" customWidth="1"/>
    <col min="11777" max="11777" width="2.85714285714286" style="43" customWidth="1"/>
    <col min="11778" max="11778" width="3.57142857142857" style="43" customWidth="1"/>
    <col min="11779" max="12023" width="9.14285714285714" style="43"/>
    <col min="12024" max="12024" width="8.71428571428571" style="43" customWidth="1"/>
    <col min="12025" max="12025" width="9.85714285714286" style="43" customWidth="1"/>
    <col min="12026" max="12026" width="14.4285714285714" style="43" customWidth="1"/>
    <col min="12027" max="12027" width="7.28571428571429" style="43" customWidth="1"/>
    <col min="12028" max="12028" width="5.57142857142857" style="43" customWidth="1"/>
    <col min="12029" max="12029" width="9" style="43" customWidth="1"/>
    <col min="12030" max="12031" width="9.85714285714286" style="43" customWidth="1"/>
    <col min="12032" max="12032" width="11.1428571428571" style="43" customWidth="1"/>
    <col min="12033" max="12033" width="2.85714285714286" style="43" customWidth="1"/>
    <col min="12034" max="12034" width="3.57142857142857" style="43" customWidth="1"/>
    <col min="12035" max="12279" width="9.14285714285714" style="43"/>
    <col min="12280" max="12280" width="8.71428571428571" style="43" customWidth="1"/>
    <col min="12281" max="12281" width="9.85714285714286" style="43" customWidth="1"/>
    <col min="12282" max="12282" width="14.4285714285714" style="43" customWidth="1"/>
    <col min="12283" max="12283" width="7.28571428571429" style="43" customWidth="1"/>
    <col min="12284" max="12284" width="5.57142857142857" style="43" customWidth="1"/>
    <col min="12285" max="12285" width="9" style="43" customWidth="1"/>
    <col min="12286" max="12287" width="9.85714285714286" style="43" customWidth="1"/>
    <col min="12288" max="12288" width="11.1428571428571" style="43" customWidth="1"/>
    <col min="12289" max="12289" width="2.85714285714286" style="43" customWidth="1"/>
    <col min="12290" max="12290" width="3.57142857142857" style="43" customWidth="1"/>
    <col min="12291" max="12535" width="9.14285714285714" style="43"/>
    <col min="12536" max="12536" width="8.71428571428571" style="43" customWidth="1"/>
    <col min="12537" max="12537" width="9.85714285714286" style="43" customWidth="1"/>
    <col min="12538" max="12538" width="14.4285714285714" style="43" customWidth="1"/>
    <col min="12539" max="12539" width="7.28571428571429" style="43" customWidth="1"/>
    <col min="12540" max="12540" width="5.57142857142857" style="43" customWidth="1"/>
    <col min="12541" max="12541" width="9" style="43" customWidth="1"/>
    <col min="12542" max="12543" width="9.85714285714286" style="43" customWidth="1"/>
    <col min="12544" max="12544" width="11.1428571428571" style="43" customWidth="1"/>
    <col min="12545" max="12545" width="2.85714285714286" style="43" customWidth="1"/>
    <col min="12546" max="12546" width="3.57142857142857" style="43" customWidth="1"/>
    <col min="12547" max="12791" width="9.14285714285714" style="43"/>
    <col min="12792" max="12792" width="8.71428571428571" style="43" customWidth="1"/>
    <col min="12793" max="12793" width="9.85714285714286" style="43" customWidth="1"/>
    <col min="12794" max="12794" width="14.4285714285714" style="43" customWidth="1"/>
    <col min="12795" max="12795" width="7.28571428571429" style="43" customWidth="1"/>
    <col min="12796" max="12796" width="5.57142857142857" style="43" customWidth="1"/>
    <col min="12797" max="12797" width="9" style="43" customWidth="1"/>
    <col min="12798" max="12799" width="9.85714285714286" style="43" customWidth="1"/>
    <col min="12800" max="12800" width="11.1428571428571" style="43" customWidth="1"/>
    <col min="12801" max="12801" width="2.85714285714286" style="43" customWidth="1"/>
    <col min="12802" max="12802" width="3.57142857142857" style="43" customWidth="1"/>
    <col min="12803" max="13047" width="9.14285714285714" style="43"/>
    <col min="13048" max="13048" width="8.71428571428571" style="43" customWidth="1"/>
    <col min="13049" max="13049" width="9.85714285714286" style="43" customWidth="1"/>
    <col min="13050" max="13050" width="14.4285714285714" style="43" customWidth="1"/>
    <col min="13051" max="13051" width="7.28571428571429" style="43" customWidth="1"/>
    <col min="13052" max="13052" width="5.57142857142857" style="43" customWidth="1"/>
    <col min="13053" max="13053" width="9" style="43" customWidth="1"/>
    <col min="13054" max="13055" width="9.85714285714286" style="43" customWidth="1"/>
    <col min="13056" max="13056" width="11.1428571428571" style="43" customWidth="1"/>
    <col min="13057" max="13057" width="2.85714285714286" style="43" customWidth="1"/>
    <col min="13058" max="13058" width="3.57142857142857" style="43" customWidth="1"/>
    <col min="13059" max="13303" width="9.14285714285714" style="43"/>
    <col min="13304" max="13304" width="8.71428571428571" style="43" customWidth="1"/>
    <col min="13305" max="13305" width="9.85714285714286" style="43" customWidth="1"/>
    <col min="13306" max="13306" width="14.4285714285714" style="43" customWidth="1"/>
    <col min="13307" max="13307" width="7.28571428571429" style="43" customWidth="1"/>
    <col min="13308" max="13308" width="5.57142857142857" style="43" customWidth="1"/>
    <col min="13309" max="13309" width="9" style="43" customWidth="1"/>
    <col min="13310" max="13311" width="9.85714285714286" style="43" customWidth="1"/>
    <col min="13312" max="13312" width="11.1428571428571" style="43" customWidth="1"/>
    <col min="13313" max="13313" width="2.85714285714286" style="43" customWidth="1"/>
    <col min="13314" max="13314" width="3.57142857142857" style="43" customWidth="1"/>
    <col min="13315" max="13559" width="9.14285714285714" style="43"/>
    <col min="13560" max="13560" width="8.71428571428571" style="43" customWidth="1"/>
    <col min="13561" max="13561" width="9.85714285714286" style="43" customWidth="1"/>
    <col min="13562" max="13562" width="14.4285714285714" style="43" customWidth="1"/>
    <col min="13563" max="13563" width="7.28571428571429" style="43" customWidth="1"/>
    <col min="13564" max="13564" width="5.57142857142857" style="43" customWidth="1"/>
    <col min="13565" max="13565" width="9" style="43" customWidth="1"/>
    <col min="13566" max="13567" width="9.85714285714286" style="43" customWidth="1"/>
    <col min="13568" max="13568" width="11.1428571428571" style="43" customWidth="1"/>
    <col min="13569" max="13569" width="2.85714285714286" style="43" customWidth="1"/>
    <col min="13570" max="13570" width="3.57142857142857" style="43" customWidth="1"/>
    <col min="13571" max="13815" width="9.14285714285714" style="43"/>
    <col min="13816" max="13816" width="8.71428571428571" style="43" customWidth="1"/>
    <col min="13817" max="13817" width="9.85714285714286" style="43" customWidth="1"/>
    <col min="13818" max="13818" width="14.4285714285714" style="43" customWidth="1"/>
    <col min="13819" max="13819" width="7.28571428571429" style="43" customWidth="1"/>
    <col min="13820" max="13820" width="5.57142857142857" style="43" customWidth="1"/>
    <col min="13821" max="13821" width="9" style="43" customWidth="1"/>
    <col min="13822" max="13823" width="9.85714285714286" style="43" customWidth="1"/>
    <col min="13824" max="13824" width="11.1428571428571" style="43" customWidth="1"/>
    <col min="13825" max="13825" width="2.85714285714286" style="43" customWidth="1"/>
    <col min="13826" max="13826" width="3.57142857142857" style="43" customWidth="1"/>
    <col min="13827" max="14071" width="9.14285714285714" style="43"/>
    <col min="14072" max="14072" width="8.71428571428571" style="43" customWidth="1"/>
    <col min="14073" max="14073" width="9.85714285714286" style="43" customWidth="1"/>
    <col min="14074" max="14074" width="14.4285714285714" style="43" customWidth="1"/>
    <col min="14075" max="14075" width="7.28571428571429" style="43" customWidth="1"/>
    <col min="14076" max="14076" width="5.57142857142857" style="43" customWidth="1"/>
    <col min="14077" max="14077" width="9" style="43" customWidth="1"/>
    <col min="14078" max="14079" width="9.85714285714286" style="43" customWidth="1"/>
    <col min="14080" max="14080" width="11.1428571428571" style="43" customWidth="1"/>
    <col min="14081" max="14081" width="2.85714285714286" style="43" customWidth="1"/>
    <col min="14082" max="14082" width="3.57142857142857" style="43" customWidth="1"/>
    <col min="14083" max="14327" width="9.14285714285714" style="43"/>
    <col min="14328" max="14328" width="8.71428571428571" style="43" customWidth="1"/>
    <col min="14329" max="14329" width="9.85714285714286" style="43" customWidth="1"/>
    <col min="14330" max="14330" width="14.4285714285714" style="43" customWidth="1"/>
    <col min="14331" max="14331" width="7.28571428571429" style="43" customWidth="1"/>
    <col min="14332" max="14332" width="5.57142857142857" style="43" customWidth="1"/>
    <col min="14333" max="14333" width="9" style="43" customWidth="1"/>
    <col min="14334" max="14335" width="9.85714285714286" style="43" customWidth="1"/>
    <col min="14336" max="14336" width="11.1428571428571" style="43" customWidth="1"/>
    <col min="14337" max="14337" width="2.85714285714286" style="43" customWidth="1"/>
    <col min="14338" max="14338" width="3.57142857142857" style="43" customWidth="1"/>
    <col min="14339" max="14583" width="9.14285714285714" style="43"/>
    <col min="14584" max="14584" width="8.71428571428571" style="43" customWidth="1"/>
    <col min="14585" max="14585" width="9.85714285714286" style="43" customWidth="1"/>
    <col min="14586" max="14586" width="14.4285714285714" style="43" customWidth="1"/>
    <col min="14587" max="14587" width="7.28571428571429" style="43" customWidth="1"/>
    <col min="14588" max="14588" width="5.57142857142857" style="43" customWidth="1"/>
    <col min="14589" max="14589" width="9" style="43" customWidth="1"/>
    <col min="14590" max="14591" width="9.85714285714286" style="43" customWidth="1"/>
    <col min="14592" max="14592" width="11.1428571428571" style="43" customWidth="1"/>
    <col min="14593" max="14593" width="2.85714285714286" style="43" customWidth="1"/>
    <col min="14594" max="14594" width="3.57142857142857" style="43" customWidth="1"/>
    <col min="14595" max="14839" width="9.14285714285714" style="43"/>
    <col min="14840" max="14840" width="8.71428571428571" style="43" customWidth="1"/>
    <col min="14841" max="14841" width="9.85714285714286" style="43" customWidth="1"/>
    <col min="14842" max="14842" width="14.4285714285714" style="43" customWidth="1"/>
    <col min="14843" max="14843" width="7.28571428571429" style="43" customWidth="1"/>
    <col min="14844" max="14844" width="5.57142857142857" style="43" customWidth="1"/>
    <col min="14845" max="14845" width="9" style="43" customWidth="1"/>
    <col min="14846" max="14847" width="9.85714285714286" style="43" customWidth="1"/>
    <col min="14848" max="14848" width="11.1428571428571" style="43" customWidth="1"/>
    <col min="14849" max="14849" width="2.85714285714286" style="43" customWidth="1"/>
    <col min="14850" max="14850" width="3.57142857142857" style="43" customWidth="1"/>
    <col min="14851" max="15095" width="9.14285714285714" style="43"/>
    <col min="15096" max="15096" width="8.71428571428571" style="43" customWidth="1"/>
    <col min="15097" max="15097" width="9.85714285714286" style="43" customWidth="1"/>
    <col min="15098" max="15098" width="14.4285714285714" style="43" customWidth="1"/>
    <col min="15099" max="15099" width="7.28571428571429" style="43" customWidth="1"/>
    <col min="15100" max="15100" width="5.57142857142857" style="43" customWidth="1"/>
    <col min="15101" max="15101" width="9" style="43" customWidth="1"/>
    <col min="15102" max="15103" width="9.85714285714286" style="43" customWidth="1"/>
    <col min="15104" max="15104" width="11.1428571428571" style="43" customWidth="1"/>
    <col min="15105" max="15105" width="2.85714285714286" style="43" customWidth="1"/>
    <col min="15106" max="15106" width="3.57142857142857" style="43" customWidth="1"/>
    <col min="15107" max="15351" width="9.14285714285714" style="43"/>
    <col min="15352" max="15352" width="8.71428571428571" style="43" customWidth="1"/>
    <col min="15353" max="15353" width="9.85714285714286" style="43" customWidth="1"/>
    <col min="15354" max="15354" width="14.4285714285714" style="43" customWidth="1"/>
    <col min="15355" max="15355" width="7.28571428571429" style="43" customWidth="1"/>
    <col min="15356" max="15356" width="5.57142857142857" style="43" customWidth="1"/>
    <col min="15357" max="15357" width="9" style="43" customWidth="1"/>
    <col min="15358" max="15359" width="9.85714285714286" style="43" customWidth="1"/>
    <col min="15360" max="15360" width="11.1428571428571" style="43" customWidth="1"/>
    <col min="15361" max="15361" width="2.85714285714286" style="43" customWidth="1"/>
    <col min="15362" max="15362" width="3.57142857142857" style="43" customWidth="1"/>
    <col min="15363" max="15607" width="9.14285714285714" style="43"/>
    <col min="15608" max="15608" width="8.71428571428571" style="43" customWidth="1"/>
    <col min="15609" max="15609" width="9.85714285714286" style="43" customWidth="1"/>
    <col min="15610" max="15610" width="14.4285714285714" style="43" customWidth="1"/>
    <col min="15611" max="15611" width="7.28571428571429" style="43" customWidth="1"/>
    <col min="15612" max="15612" width="5.57142857142857" style="43" customWidth="1"/>
    <col min="15613" max="15613" width="9" style="43" customWidth="1"/>
    <col min="15614" max="15615" width="9.85714285714286" style="43" customWidth="1"/>
    <col min="15616" max="15616" width="11.1428571428571" style="43" customWidth="1"/>
    <col min="15617" max="15617" width="2.85714285714286" style="43" customWidth="1"/>
    <col min="15618" max="15618" width="3.57142857142857" style="43" customWidth="1"/>
    <col min="15619" max="15863" width="9.14285714285714" style="43"/>
    <col min="15864" max="15864" width="8.71428571428571" style="43" customWidth="1"/>
    <col min="15865" max="15865" width="9.85714285714286" style="43" customWidth="1"/>
    <col min="15866" max="15866" width="14.4285714285714" style="43" customWidth="1"/>
    <col min="15867" max="15867" width="7.28571428571429" style="43" customWidth="1"/>
    <col min="15868" max="15868" width="5.57142857142857" style="43" customWidth="1"/>
    <col min="15869" max="15869" width="9" style="43" customWidth="1"/>
    <col min="15870" max="15871" width="9.85714285714286" style="43" customWidth="1"/>
    <col min="15872" max="15872" width="11.1428571428571" style="43" customWidth="1"/>
    <col min="15873" max="15873" width="2.85714285714286" style="43" customWidth="1"/>
    <col min="15874" max="15874" width="3.57142857142857" style="43" customWidth="1"/>
    <col min="15875" max="16119" width="9.14285714285714" style="43"/>
    <col min="16120" max="16120" width="8.71428571428571" style="43" customWidth="1"/>
    <col min="16121" max="16121" width="9.85714285714286" style="43" customWidth="1"/>
    <col min="16122" max="16122" width="14.4285714285714" style="43" customWidth="1"/>
    <col min="16123" max="16123" width="7.28571428571429" style="43" customWidth="1"/>
    <col min="16124" max="16124" width="5.57142857142857" style="43" customWidth="1"/>
    <col min="16125" max="16125" width="9" style="43" customWidth="1"/>
    <col min="16126" max="16127" width="9.85714285714286" style="43" customWidth="1"/>
    <col min="16128" max="16128" width="11.1428571428571" style="43" customWidth="1"/>
    <col min="16129" max="16129" width="2.85714285714286" style="43" customWidth="1"/>
    <col min="16130" max="16130" width="3.57142857142857" style="43" customWidth="1"/>
    <col min="16131" max="16384" width="9.14285714285714" style="43"/>
  </cols>
  <sheetData>
    <row r="1" ht="46.5" customHeight="1" spans="1:8">
      <c r="A1" s="44" t="s">
        <v>0</v>
      </c>
      <c r="B1" s="44"/>
      <c r="C1" s="44"/>
      <c r="D1" s="44"/>
      <c r="E1" s="44"/>
      <c r="F1" s="44"/>
      <c r="G1" s="44"/>
      <c r="H1" s="44"/>
    </row>
    <row r="2" ht="16.5" customHeight="1" spans="1:8">
      <c r="A2" s="45" t="s">
        <v>1</v>
      </c>
      <c r="B2" s="45"/>
      <c r="C2" s="45"/>
      <c r="D2" s="45"/>
      <c r="E2" s="45"/>
      <c r="F2" s="45"/>
      <c r="G2" s="45"/>
      <c r="H2" s="45"/>
    </row>
    <row r="3" spans="1:16">
      <c r="A3" s="46" t="s">
        <v>2</v>
      </c>
      <c r="B3" s="46"/>
      <c r="C3" s="46"/>
      <c r="D3" s="46"/>
      <c r="E3" s="46" t="str">
        <f ca="1">TEXT(TODAY(),"DD/MM/YYYY")</f>
        <v>30/08/2025</v>
      </c>
      <c r="F3" s="46"/>
      <c r="G3" s="46"/>
      <c r="H3" s="46"/>
      <c r="K3" s="22" t="s">
        <v>3</v>
      </c>
      <c r="L3" s="8" t="s">
        <v>4</v>
      </c>
      <c r="M3" s="8" t="s">
        <v>5</v>
      </c>
      <c r="N3" s="8" t="s">
        <v>6</v>
      </c>
      <c r="O3" s="8" t="s">
        <v>7</v>
      </c>
      <c r="P3" s="8" t="s">
        <v>8</v>
      </c>
    </row>
    <row r="4" ht="15" customHeight="1" spans="1:16">
      <c r="A4" s="46" t="s">
        <v>9</v>
      </c>
      <c r="B4" s="46"/>
      <c r="C4" s="46"/>
      <c r="D4" s="46"/>
      <c r="E4" s="47" t="s">
        <v>4</v>
      </c>
      <c r="F4" s="47"/>
      <c r="G4" s="47"/>
      <c r="H4" s="47"/>
      <c r="K4" s="1" t="s">
        <v>10</v>
      </c>
      <c r="L4" s="8" t="s">
        <v>11</v>
      </c>
      <c r="M4" s="8" t="s">
        <v>12</v>
      </c>
      <c r="N4" s="8" t="s">
        <v>13</v>
      </c>
      <c r="O4" s="8" t="s">
        <v>14</v>
      </c>
      <c r="P4" s="8"/>
    </row>
    <row r="5" ht="15" customHeight="1" spans="1:16">
      <c r="A5" s="46" t="s">
        <v>15</v>
      </c>
      <c r="B5" s="46"/>
      <c r="C5" s="46"/>
      <c r="D5" s="46"/>
      <c r="E5" s="47" t="s">
        <v>16</v>
      </c>
      <c r="F5" s="47"/>
      <c r="G5" s="47"/>
      <c r="H5" s="47"/>
      <c r="K5" s="1"/>
      <c r="L5" s="8" t="s">
        <v>16</v>
      </c>
      <c r="M5" s="8" t="s">
        <v>17</v>
      </c>
      <c r="N5" s="8" t="s">
        <v>18</v>
      </c>
      <c r="O5" s="8" t="s">
        <v>19</v>
      </c>
      <c r="P5" s="8"/>
    </row>
    <row r="6" spans="1:16">
      <c r="A6" s="46" t="s">
        <v>20</v>
      </c>
      <c r="B6" s="46"/>
      <c r="C6" s="46"/>
      <c r="D6" s="46"/>
      <c r="E6" s="48" t="s">
        <v>21</v>
      </c>
      <c r="F6" s="46"/>
      <c r="G6" s="46"/>
      <c r="H6" s="46"/>
      <c r="K6" s="1"/>
      <c r="L6" s="8" t="s">
        <v>22</v>
      </c>
      <c r="M6" s="8"/>
      <c r="N6" s="8"/>
      <c r="O6" s="8" t="s">
        <v>23</v>
      </c>
      <c r="P6" s="8"/>
    </row>
    <row r="7" ht="16.5" customHeight="1" spans="1:16">
      <c r="A7" s="46" t="s">
        <v>24</v>
      </c>
      <c r="B7" s="46"/>
      <c r="C7" s="46"/>
      <c r="D7" s="46"/>
      <c r="E7" s="46" t="s">
        <v>25</v>
      </c>
      <c r="F7" s="46"/>
      <c r="G7" s="46"/>
      <c r="H7" s="46"/>
      <c r="K7" s="1"/>
      <c r="L7" s="8" t="s">
        <v>26</v>
      </c>
      <c r="M7" s="8"/>
      <c r="N7" s="8"/>
      <c r="O7" s="8" t="s">
        <v>23</v>
      </c>
      <c r="P7" s="8"/>
    </row>
    <row r="8" ht="15" customHeight="1" spans="1:16">
      <c r="A8" s="46" t="s">
        <v>27</v>
      </c>
      <c r="B8" s="46"/>
      <c r="C8" s="46"/>
      <c r="D8" s="46"/>
      <c r="E8" s="46" t="str">
        <f>E7</f>
        <v>Laukik Lifestyles</v>
      </c>
      <c r="F8" s="46"/>
      <c r="G8" s="46"/>
      <c r="H8" s="46"/>
      <c r="K8" s="1"/>
      <c r="L8" s="8"/>
      <c r="M8" s="8"/>
      <c r="N8" s="8"/>
      <c r="O8" s="8" t="s">
        <v>28</v>
      </c>
      <c r="P8" s="8"/>
    </row>
    <row r="9" spans="1:16">
      <c r="A9" s="46" t="s">
        <v>29</v>
      </c>
      <c r="B9" s="46"/>
      <c r="C9" s="46"/>
      <c r="D9" s="46"/>
      <c r="E9" s="49" t="s">
        <v>30</v>
      </c>
      <c r="F9" s="49"/>
      <c r="G9" s="49"/>
      <c r="H9" s="49"/>
      <c r="K9" s="1"/>
      <c r="L9" s="8"/>
      <c r="M9" s="8"/>
      <c r="N9" s="8"/>
      <c r="O9" s="8" t="s">
        <v>31</v>
      </c>
      <c r="P9" s="8"/>
    </row>
    <row r="10" spans="1:16">
      <c r="A10" s="46" t="s">
        <v>32</v>
      </c>
      <c r="B10" s="46"/>
      <c r="C10" s="46"/>
      <c r="D10" s="46"/>
      <c r="E10" s="46" t="s">
        <v>33</v>
      </c>
      <c r="F10" s="46"/>
      <c r="G10" s="46"/>
      <c r="H10" s="46"/>
      <c r="K10" s="1"/>
      <c r="L10" s="8"/>
      <c r="M10" s="8"/>
      <c r="N10" s="8"/>
      <c r="O10" s="8"/>
      <c r="P10" s="8"/>
    </row>
    <row r="11" spans="1:8">
      <c r="A11" s="46" t="s">
        <v>34</v>
      </c>
      <c r="B11" s="46"/>
      <c r="C11" s="46"/>
      <c r="D11" s="46"/>
      <c r="E11" s="46" t="s">
        <v>33</v>
      </c>
      <c r="F11" s="46"/>
      <c r="G11" s="46"/>
      <c r="H11" s="46"/>
    </row>
    <row r="12" spans="1:8">
      <c r="A12" s="46" t="s">
        <v>35</v>
      </c>
      <c r="B12" s="46"/>
      <c r="C12" s="46"/>
      <c r="D12" s="46"/>
      <c r="E12" s="46" t="s">
        <v>36</v>
      </c>
      <c r="F12" s="46"/>
      <c r="G12" s="46"/>
      <c r="H12" s="46"/>
    </row>
    <row r="13" spans="1:26">
      <c r="A13" s="46" t="s">
        <v>37</v>
      </c>
      <c r="B13" s="46"/>
      <c r="C13" s="46"/>
      <c r="D13" s="46"/>
      <c r="E13" s="46" t="s">
        <v>38</v>
      </c>
      <c r="F13" s="46"/>
      <c r="G13" s="46"/>
      <c r="H13" s="46"/>
      <c r="S13" s="8" t="s">
        <v>39</v>
      </c>
      <c r="T13" s="8" t="s">
        <v>40</v>
      </c>
      <c r="U13" s="8" t="s">
        <v>41</v>
      </c>
      <c r="V13" s="8" t="s">
        <v>42</v>
      </c>
      <c r="W13" s="8" t="s">
        <v>43</v>
      </c>
      <c r="X13"/>
      <c r="Y13" t="s">
        <v>42</v>
      </c>
      <c r="Z13" t="e">
        <f ca="1">OFFSET($S$13,1,MATCH($G20,$S$13:$W$13,0)-1,15,1)</f>
        <v>#VALUE!</v>
      </c>
    </row>
    <row r="14" ht="17.25" customHeight="1" spans="1:26">
      <c r="A14" s="50" t="s">
        <v>44</v>
      </c>
      <c r="B14" s="50"/>
      <c r="C14" s="50"/>
      <c r="D14" s="50"/>
      <c r="E14" s="51" t="s">
        <v>45</v>
      </c>
      <c r="F14" s="51"/>
      <c r="G14" s="51"/>
      <c r="H14" s="51"/>
      <c r="S14" s="8" t="s">
        <v>39</v>
      </c>
      <c r="T14" s="8" t="s">
        <v>46</v>
      </c>
      <c r="U14" s="8" t="s">
        <v>47</v>
      </c>
      <c r="V14" s="8" t="s">
        <v>48</v>
      </c>
      <c r="W14" s="8" t="s">
        <v>49</v>
      </c>
      <c r="X14"/>
      <c r="Y14"/>
      <c r="Z14"/>
    </row>
    <row r="15" spans="1:26">
      <c r="A15" s="50" t="s">
        <v>50</v>
      </c>
      <c r="B15" s="50"/>
      <c r="C15" s="50"/>
      <c r="D15" s="50"/>
      <c r="E15" s="51" t="s">
        <v>51</v>
      </c>
      <c r="F15" s="47"/>
      <c r="G15" s="47"/>
      <c r="H15" s="47"/>
      <c r="I15" s="96" t="e">
        <f ca="1">OFFSET($D$5,1,MATCH($J13,$D$5:$H$5,0)-1,15,1)</f>
        <v>#N/A</v>
      </c>
      <c r="J15" s="97"/>
      <c r="K15" s="97"/>
      <c r="L15" s="97"/>
      <c r="M15" s="97"/>
      <c r="N15" s="97"/>
      <c r="O15" s="97"/>
      <c r="P15" s="97"/>
      <c r="S15" s="8" t="s">
        <v>52</v>
      </c>
      <c r="T15" s="8" t="s">
        <v>53</v>
      </c>
      <c r="U15" s="8" t="s">
        <v>54</v>
      </c>
      <c r="V15" s="8" t="s">
        <v>55</v>
      </c>
      <c r="W15" s="8" t="s">
        <v>56</v>
      </c>
      <c r="X15"/>
      <c r="Y15"/>
      <c r="Z15"/>
    </row>
    <row r="16" ht="48.75" customHeight="1" spans="1:26">
      <c r="A16" s="52" t="s">
        <v>57</v>
      </c>
      <c r="B16" s="52"/>
      <c r="C16" s="52" t="str">
        <f>CONCATENATE((IF(OR(E9="",E9="NA"),"",E9)),", ",(IF(OR(A17="",A17="NA"),"",A17)),".",(IF(OR(C17="",C17="NA"),"",C17)),", near ",(IF(OR(C22="",C22="NA"),"",C22)),", ",(IF(OR(C19="",C19="NA"),"",C19)),", ",(IF(OR(C18="",C18="NA"),"",C18)),", ",(IF(OR(G19="",G19="NA"),"",G19)),", ",(IF(OR(C20="",C20="NA"),"",C20)),", ",(IF(OR(C21="",C21="NA"),"",C21)),", ",(IF(OR(G20="",G20="NA"),"",G20))," - ",(IF(OR(G21="",G21="NA"),"",G21)),".")</f>
        <v>Balaji Classica ­ Athena And Iris, Survey No.124/1, 32/2, 33/1, 33/2, near Runwal MyCity, Parshuram Munde HP Petrol Pump, Diva Manpada Road, Betwade, Usarghar, Datiwali East, Kalyan, Thane - 400612.</v>
      </c>
      <c r="D16" s="52"/>
      <c r="E16" s="52"/>
      <c r="F16" s="52"/>
      <c r="G16" s="52"/>
      <c r="H16" s="52"/>
      <c r="S16" s="8" t="s">
        <v>58</v>
      </c>
      <c r="T16" s="8" t="s">
        <v>59</v>
      </c>
      <c r="U16" s="8" t="s">
        <v>60</v>
      </c>
      <c r="V16" s="8" t="s">
        <v>61</v>
      </c>
      <c r="W16" s="8" t="s">
        <v>62</v>
      </c>
      <c r="X16"/>
      <c r="Y16"/>
      <c r="Z16"/>
    </row>
    <row r="17" spans="1:26">
      <c r="A17" s="51" t="s">
        <v>63</v>
      </c>
      <c r="B17" s="51"/>
      <c r="C17" s="51" t="s">
        <v>64</v>
      </c>
      <c r="D17" s="51"/>
      <c r="E17" s="51"/>
      <c r="F17" s="51"/>
      <c r="G17" s="51"/>
      <c r="H17" s="51"/>
      <c r="S17" s="8" t="s">
        <v>65</v>
      </c>
      <c r="T17" s="8" t="s">
        <v>66</v>
      </c>
      <c r="U17" s="8" t="s">
        <v>41</v>
      </c>
      <c r="V17" s="8" t="s">
        <v>67</v>
      </c>
      <c r="W17" s="8" t="s">
        <v>68</v>
      </c>
      <c r="X17"/>
      <c r="Y17"/>
      <c r="Z17"/>
    </row>
    <row r="18" customHeight="1" spans="1:26">
      <c r="A18" s="51" t="s">
        <v>69</v>
      </c>
      <c r="B18" s="51"/>
      <c r="C18" s="51" t="s">
        <v>70</v>
      </c>
      <c r="D18" s="51"/>
      <c r="E18" s="51"/>
      <c r="F18" s="51"/>
      <c r="G18" s="51"/>
      <c r="H18" s="51"/>
      <c r="S18" s="8" t="s">
        <v>71</v>
      </c>
      <c r="T18" s="8" t="s">
        <v>40</v>
      </c>
      <c r="U18" s="8"/>
      <c r="V18" s="8" t="s">
        <v>72</v>
      </c>
      <c r="W18" s="8" t="s">
        <v>73</v>
      </c>
      <c r="X18"/>
      <c r="Y18"/>
      <c r="Z18"/>
    </row>
    <row r="19" customHeight="1" spans="1:26">
      <c r="A19" s="51" t="s">
        <v>74</v>
      </c>
      <c r="B19" s="51"/>
      <c r="C19" s="47" t="s">
        <v>75</v>
      </c>
      <c r="D19" s="47"/>
      <c r="E19" s="51" t="s">
        <v>76</v>
      </c>
      <c r="F19" s="51"/>
      <c r="G19" s="51" t="s">
        <v>77</v>
      </c>
      <c r="H19" s="51"/>
      <c r="S19" s="8" t="s">
        <v>78</v>
      </c>
      <c r="T19" s="8" t="s">
        <v>79</v>
      </c>
      <c r="U19" s="8"/>
      <c r="V19" s="8" t="s">
        <v>80</v>
      </c>
      <c r="W19" s="8" t="s">
        <v>81</v>
      </c>
      <c r="X19"/>
      <c r="Y19"/>
      <c r="Z19"/>
    </row>
    <row r="20" spans="1:26">
      <c r="A20" s="47" t="s">
        <v>82</v>
      </c>
      <c r="B20" s="47"/>
      <c r="C20" s="51" t="s">
        <v>83</v>
      </c>
      <c r="D20" s="51"/>
      <c r="E20" s="51" t="s">
        <v>84</v>
      </c>
      <c r="F20" s="51"/>
      <c r="G20" s="53" t="s">
        <v>39</v>
      </c>
      <c r="H20" s="53"/>
      <c r="S20" s="8" t="s">
        <v>85</v>
      </c>
      <c r="T20" s="8" t="s">
        <v>86</v>
      </c>
      <c r="U20" s="8"/>
      <c r="V20" s="8" t="s">
        <v>87</v>
      </c>
      <c r="W20" s="8" t="s">
        <v>88</v>
      </c>
      <c r="X20"/>
      <c r="Y20"/>
      <c r="Z20"/>
    </row>
    <row r="21" spans="1:26">
      <c r="A21" s="47" t="s">
        <v>89</v>
      </c>
      <c r="B21" s="47"/>
      <c r="C21" s="51" t="s">
        <v>58</v>
      </c>
      <c r="D21" s="51"/>
      <c r="E21" s="51" t="s">
        <v>90</v>
      </c>
      <c r="F21" s="51"/>
      <c r="G21" s="51">
        <v>400612</v>
      </c>
      <c r="H21" s="51"/>
      <c r="S21" s="8"/>
      <c r="T21" s="8"/>
      <c r="U21" s="8"/>
      <c r="V21" s="8" t="s">
        <v>91</v>
      </c>
      <c r="W21" s="8" t="s">
        <v>92</v>
      </c>
      <c r="X21"/>
      <c r="Y21"/>
      <c r="Z21"/>
    </row>
    <row r="22" ht="32.25" customHeight="1" spans="1:26">
      <c r="A22" s="47" t="s">
        <v>93</v>
      </c>
      <c r="B22" s="47"/>
      <c r="C22" s="51" t="s">
        <v>94</v>
      </c>
      <c r="D22" s="51"/>
      <c r="E22" s="51" t="s">
        <v>95</v>
      </c>
      <c r="F22" s="51"/>
      <c r="G22" s="51" t="s">
        <v>96</v>
      </c>
      <c r="H22" s="51"/>
      <c r="S22" s="8"/>
      <c r="T22" s="8"/>
      <c r="U22" s="8"/>
      <c r="V22" s="8" t="s">
        <v>97</v>
      </c>
      <c r="W22" s="8" t="s">
        <v>98</v>
      </c>
      <c r="X22"/>
      <c r="Y22"/>
      <c r="Z22"/>
    </row>
    <row r="23" ht="15" customHeight="1" spans="1:26">
      <c r="A23" s="52" t="s">
        <v>99</v>
      </c>
      <c r="B23" s="52"/>
      <c r="C23" s="52"/>
      <c r="D23" s="52"/>
      <c r="E23" s="46" t="s">
        <v>100</v>
      </c>
      <c r="F23" s="46"/>
      <c r="G23" s="46"/>
      <c r="H23" s="46"/>
      <c r="S23" s="8"/>
      <c r="T23" s="8"/>
      <c r="U23" s="8"/>
      <c r="V23" s="8" t="s">
        <v>101</v>
      </c>
      <c r="W23" s="8" t="s">
        <v>102</v>
      </c>
      <c r="X23"/>
      <c r="Y23"/>
      <c r="Z23"/>
    </row>
    <row r="24" ht="18.75" customHeight="1" spans="1:26">
      <c r="A24" s="52"/>
      <c r="B24" s="52"/>
      <c r="C24" s="52"/>
      <c r="D24" s="52"/>
      <c r="E24" s="46"/>
      <c r="F24" s="46"/>
      <c r="G24" s="46"/>
      <c r="H24" s="46"/>
      <c r="S24" s="8"/>
      <c r="T24" s="8"/>
      <c r="U24" s="8"/>
      <c r="V24" s="8" t="s">
        <v>103</v>
      </c>
      <c r="W24" s="8" t="s">
        <v>104</v>
      </c>
      <c r="X24"/>
      <c r="Y24"/>
      <c r="Z24"/>
    </row>
    <row r="25" ht="15" customHeight="1" spans="1:26">
      <c r="A25" s="52" t="s">
        <v>105</v>
      </c>
      <c r="B25" s="52"/>
      <c r="C25" s="52"/>
      <c r="D25" s="52"/>
      <c r="E25" s="54" t="s">
        <v>106</v>
      </c>
      <c r="F25" s="54"/>
      <c r="G25" s="54"/>
      <c r="H25" s="54"/>
      <c r="S25" s="8"/>
      <c r="T25" s="8"/>
      <c r="U25" s="8"/>
      <c r="V25" s="8" t="s">
        <v>107</v>
      </c>
      <c r="W25" s="8" t="s">
        <v>108</v>
      </c>
      <c r="X25"/>
      <c r="Y25"/>
      <c r="Z25"/>
    </row>
    <row r="26" ht="15" customHeight="1" spans="1:26">
      <c r="A26" s="50" t="s">
        <v>109</v>
      </c>
      <c r="B26" s="50"/>
      <c r="C26" s="50"/>
      <c r="D26" s="50"/>
      <c r="E26" s="54" t="str">
        <f>IF(AND(G20="Mumbai"),"Upper Class","Middle Class")</f>
        <v>Middle Class</v>
      </c>
      <c r="F26" s="54"/>
      <c r="G26" s="54"/>
      <c r="H26" s="54"/>
      <c r="S26" s="8"/>
      <c r="T26" s="8"/>
      <c r="U26" s="8"/>
      <c r="V26" s="8" t="s">
        <v>110</v>
      </c>
      <c r="W26" s="8" t="s">
        <v>111</v>
      </c>
      <c r="X26"/>
      <c r="Y26"/>
      <c r="Z26"/>
    </row>
    <row r="27" spans="1:26">
      <c r="A27" s="50" t="s">
        <v>112</v>
      </c>
      <c r="B27" s="50"/>
      <c r="C27" s="50"/>
      <c r="D27" s="50"/>
      <c r="E27" s="54" t="s">
        <v>113</v>
      </c>
      <c r="F27" s="54"/>
      <c r="G27" s="54"/>
      <c r="H27" s="54"/>
      <c r="S27" s="8"/>
      <c r="T27" s="8"/>
      <c r="U27" s="8"/>
      <c r="V27" s="8" t="s">
        <v>114</v>
      </c>
      <c r="W27" s="8" t="s">
        <v>115</v>
      </c>
      <c r="X27"/>
      <c r="Y27"/>
      <c r="Z27"/>
    </row>
    <row r="28" customHeight="1" spans="1:8">
      <c r="A28" s="50" t="s">
        <v>116</v>
      </c>
      <c r="B28" s="50"/>
      <c r="C28" s="50"/>
      <c r="D28" s="50"/>
      <c r="E28" s="54" t="str">
        <f>IF(AND(G20="Mumbai"),"Developed","Developing")</f>
        <v>Developing</v>
      </c>
      <c r="F28" s="54"/>
      <c r="G28" s="54"/>
      <c r="H28" s="54"/>
    </row>
    <row r="29" spans="1:8">
      <c r="A29" s="50" t="s">
        <v>117</v>
      </c>
      <c r="B29" s="50"/>
      <c r="C29" s="50"/>
      <c r="D29" s="50"/>
      <c r="E29" s="54" t="s">
        <v>118</v>
      </c>
      <c r="F29" s="54"/>
      <c r="G29" s="54"/>
      <c r="H29" s="54"/>
    </row>
    <row r="30" customHeight="1" spans="1:8">
      <c r="A30" s="50" t="s">
        <v>119</v>
      </c>
      <c r="B30" s="50"/>
      <c r="C30" s="50"/>
      <c r="D30" s="50"/>
      <c r="E30" s="54" t="s">
        <v>120</v>
      </c>
      <c r="F30" s="54"/>
      <c r="G30" s="54"/>
      <c r="H30" s="54"/>
    </row>
    <row r="31" ht="15" customHeight="1" spans="1:8">
      <c r="A31" s="50" t="s">
        <v>121</v>
      </c>
      <c r="B31" s="50"/>
      <c r="C31" s="50"/>
      <c r="D31" s="50"/>
      <c r="E31" s="54"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54"/>
      <c r="G31" s="54"/>
      <c r="H31" s="54"/>
    </row>
    <row r="32" customHeight="1" spans="1:8">
      <c r="A32" s="50" t="s">
        <v>122</v>
      </c>
      <c r="B32" s="50"/>
      <c r="C32" s="50"/>
      <c r="D32" s="50"/>
      <c r="E32" s="54" t="s">
        <v>123</v>
      </c>
      <c r="F32" s="54"/>
      <c r="G32" s="54"/>
      <c r="H32" s="54"/>
    </row>
    <row r="33" s="36" customFormat="1" spans="1:19">
      <c r="A33" s="55" t="s">
        <v>124</v>
      </c>
      <c r="B33" s="55"/>
      <c r="C33" s="56" t="s">
        <v>125</v>
      </c>
      <c r="D33" s="56"/>
      <c r="E33" s="56"/>
      <c r="F33" s="56" t="s">
        <v>126</v>
      </c>
      <c r="G33" s="56"/>
      <c r="H33" s="56"/>
      <c r="S33" s="36" t="e">
        <f ca="1">OFFSET($S$13,1,MATCH($G20,$S$13:$W$13,0)-1,15,1)</f>
        <v>#VALUE!</v>
      </c>
    </row>
    <row r="34" s="36" customFormat="1" spans="1:8">
      <c r="A34" s="57" t="s">
        <v>127</v>
      </c>
      <c r="B34" s="57" t="s">
        <v>38</v>
      </c>
      <c r="C34" s="58" t="s">
        <v>128</v>
      </c>
      <c r="D34" s="58"/>
      <c r="E34" s="58"/>
      <c r="F34" s="58" t="s">
        <v>129</v>
      </c>
      <c r="G34" s="58"/>
      <c r="H34" s="58"/>
    </row>
    <row r="35" spans="1:8">
      <c r="A35" s="57" t="s">
        <v>130</v>
      </c>
      <c r="B35" s="57" t="s">
        <v>38</v>
      </c>
      <c r="C35" s="58" t="s">
        <v>131</v>
      </c>
      <c r="D35" s="58"/>
      <c r="E35" s="58"/>
      <c r="F35" s="58" t="s">
        <v>132</v>
      </c>
      <c r="G35" s="58"/>
      <c r="H35" s="58"/>
    </row>
    <row r="36" s="36" customFormat="1" spans="1:8">
      <c r="A36" s="57" t="s">
        <v>133</v>
      </c>
      <c r="B36" s="57" t="s">
        <v>38</v>
      </c>
      <c r="C36" s="58" t="s">
        <v>131</v>
      </c>
      <c r="D36" s="58"/>
      <c r="E36" s="58"/>
      <c r="F36" s="58" t="s">
        <v>75</v>
      </c>
      <c r="G36" s="58"/>
      <c r="H36" s="58"/>
    </row>
    <row r="37" spans="1:8">
      <c r="A37" s="57" t="s">
        <v>134</v>
      </c>
      <c r="B37" s="57" t="s">
        <v>38</v>
      </c>
      <c r="C37" s="58" t="s">
        <v>135</v>
      </c>
      <c r="D37" s="58"/>
      <c r="E37" s="58"/>
      <c r="F37" s="58" t="s">
        <v>132</v>
      </c>
      <c r="G37" s="58"/>
      <c r="H37" s="58"/>
    </row>
    <row r="38" spans="1:8">
      <c r="A38" s="50" t="s">
        <v>136</v>
      </c>
      <c r="B38" s="50"/>
      <c r="C38" s="50"/>
      <c r="D38" s="50"/>
      <c r="E38" s="50"/>
      <c r="F38" s="50"/>
      <c r="G38" s="50"/>
      <c r="H38" s="50"/>
    </row>
    <row r="39" customHeight="1" spans="1:8">
      <c r="A39" s="50" t="s">
        <v>137</v>
      </c>
      <c r="B39" s="50"/>
      <c r="C39" s="59" t="s">
        <v>138</v>
      </c>
      <c r="D39" s="59"/>
      <c r="E39" s="59"/>
      <c r="F39" s="59"/>
      <c r="G39" s="59"/>
      <c r="H39" s="59"/>
    </row>
    <row r="40" spans="1:8">
      <c r="A40" s="50" t="s">
        <v>139</v>
      </c>
      <c r="B40" s="50"/>
      <c r="C40" s="60" t="s">
        <v>140</v>
      </c>
      <c r="D40" s="54"/>
      <c r="E40" s="54"/>
      <c r="F40" s="54"/>
      <c r="G40" s="54"/>
      <c r="H40" s="54"/>
    </row>
    <row r="41" spans="1:8">
      <c r="A41" s="59" t="s">
        <v>141</v>
      </c>
      <c r="B41" s="59"/>
      <c r="C41" s="59"/>
      <c r="D41" s="59"/>
      <c r="E41" s="59"/>
      <c r="F41" s="59"/>
      <c r="G41" s="59"/>
      <c r="H41" s="59"/>
    </row>
    <row r="42" spans="1:8">
      <c r="A42" s="50" t="s">
        <v>142</v>
      </c>
      <c r="B42" s="50"/>
      <c r="C42" s="50"/>
      <c r="D42" s="50"/>
      <c r="E42" s="61">
        <v>19994</v>
      </c>
      <c r="F42" s="61"/>
      <c r="G42" s="61"/>
      <c r="H42" s="61"/>
    </row>
    <row r="43" spans="1:8">
      <c r="A43" s="50" t="s">
        <v>143</v>
      </c>
      <c r="B43" s="50"/>
      <c r="C43" s="50"/>
      <c r="D43" s="50"/>
      <c r="E43" s="62">
        <f>21993.4/E42</f>
        <v>1.1</v>
      </c>
      <c r="F43" s="62"/>
      <c r="G43" s="62"/>
      <c r="H43" s="62"/>
    </row>
    <row r="44" spans="1:8">
      <c r="A44" s="50" t="s">
        <v>144</v>
      </c>
      <c r="B44" s="50"/>
      <c r="C44" s="50"/>
      <c r="D44" s="50"/>
      <c r="E44" s="62">
        <f>E46/E42-E43</f>
        <v>0.722653796138842</v>
      </c>
      <c r="F44" s="62"/>
      <c r="G44" s="62"/>
      <c r="H44" s="62"/>
    </row>
    <row r="45" spans="1:8">
      <c r="A45" s="50" t="s">
        <v>145</v>
      </c>
      <c r="B45" s="50"/>
      <c r="C45" s="50"/>
      <c r="D45" s="50"/>
      <c r="E45" s="62">
        <f>E43+E44</f>
        <v>1.82265379613884</v>
      </c>
      <c r="F45" s="62"/>
      <c r="G45" s="62"/>
      <c r="H45" s="62"/>
    </row>
    <row r="46" spans="1:8">
      <c r="A46" s="50" t="s">
        <v>146</v>
      </c>
      <c r="B46" s="50"/>
      <c r="C46" s="50"/>
      <c r="D46" s="50"/>
      <c r="E46" s="63">
        <v>36442.14</v>
      </c>
      <c r="F46" s="63"/>
      <c r="G46" s="63"/>
      <c r="H46" s="63"/>
    </row>
    <row r="47" spans="1:8">
      <c r="A47" s="46" t="s">
        <v>147</v>
      </c>
      <c r="B47" s="46"/>
      <c r="C47" s="46"/>
      <c r="D47" s="46"/>
      <c r="E47" s="47" t="s">
        <v>148</v>
      </c>
      <c r="F47" s="47"/>
      <c r="G47" s="47"/>
      <c r="H47" s="47"/>
    </row>
    <row r="48" spans="1:8">
      <c r="A48" s="59" t="s">
        <v>149</v>
      </c>
      <c r="B48" s="59"/>
      <c r="C48" s="59"/>
      <c r="D48" s="59"/>
      <c r="E48" s="59"/>
      <c r="F48" s="59"/>
      <c r="G48" s="59"/>
      <c r="H48" s="59"/>
    </row>
    <row r="49" ht="33.75" customHeight="1" spans="1:22">
      <c r="A49" s="64" t="s">
        <v>150</v>
      </c>
      <c r="B49" s="65"/>
      <c r="C49" s="66" t="s">
        <v>151</v>
      </c>
      <c r="D49" s="67"/>
      <c r="E49" s="67"/>
      <c r="F49" s="67"/>
      <c r="G49" s="67"/>
      <c r="H49" s="68"/>
      <c r="R49" t="s">
        <v>152</v>
      </c>
      <c r="S49" t="s">
        <v>41</v>
      </c>
      <c r="T49" t="s">
        <v>153</v>
      </c>
      <c r="U49" t="s">
        <v>42</v>
      </c>
      <c r="V49" t="s">
        <v>40</v>
      </c>
    </row>
    <row r="50" ht="34.5" customHeight="1" spans="1:22">
      <c r="A50" s="64" t="s">
        <v>154</v>
      </c>
      <c r="B50" s="65"/>
      <c r="C50" s="64" t="s">
        <v>155</v>
      </c>
      <c r="D50" s="69"/>
      <c r="E50" s="65"/>
      <c r="F50" s="70" t="s">
        <v>156</v>
      </c>
      <c r="G50" s="71" t="s">
        <v>157</v>
      </c>
      <c r="H50" s="65"/>
      <c r="R50"/>
      <c r="S50" t="s">
        <v>158</v>
      </c>
      <c r="T50" t="s">
        <v>159</v>
      </c>
      <c r="U50" t="s">
        <v>160</v>
      </c>
      <c r="V50" t="s">
        <v>161</v>
      </c>
    </row>
    <row r="51" ht="30.75" customHeight="1" spans="1:22">
      <c r="A51" s="64" t="s">
        <v>162</v>
      </c>
      <c r="B51" s="65"/>
      <c r="C51" s="64" t="str">
        <f>C50</f>
        <v>KDMC/TPD/BP/27Village/2023-24/27/380</v>
      </c>
      <c r="D51" s="69"/>
      <c r="E51" s="65"/>
      <c r="F51" s="70" t="s">
        <v>156</v>
      </c>
      <c r="G51" s="71" t="s">
        <v>157</v>
      </c>
      <c r="H51" s="65"/>
      <c r="R51"/>
      <c r="S51" t="s">
        <v>163</v>
      </c>
      <c r="T51" t="s">
        <v>164</v>
      </c>
      <c r="U51" t="s">
        <v>165</v>
      </c>
      <c r="V51" t="s">
        <v>166</v>
      </c>
    </row>
    <row r="52" s="37" customFormat="1" ht="32.25" customHeight="1" spans="1:22">
      <c r="A52" s="72" t="s">
        <v>167</v>
      </c>
      <c r="B52" s="73"/>
      <c r="C52" s="64" t="str">
        <f>C51</f>
        <v>KDMC/TPD/BP/27Village/2023-24/27/380</v>
      </c>
      <c r="D52" s="69"/>
      <c r="E52" s="65"/>
      <c r="F52" s="70" t="s">
        <v>156</v>
      </c>
      <c r="G52" s="71" t="s">
        <v>157</v>
      </c>
      <c r="H52" s="65"/>
      <c r="R52"/>
      <c r="S52" t="s">
        <v>168</v>
      </c>
      <c r="T52" t="s">
        <v>169</v>
      </c>
      <c r="U52" t="s">
        <v>170</v>
      </c>
      <c r="V52" t="s">
        <v>171</v>
      </c>
    </row>
    <row r="53" s="37" customFormat="1" ht="33" customHeight="1" spans="1:21">
      <c r="A53" s="74"/>
      <c r="B53" s="75"/>
      <c r="C53" s="64" t="s">
        <v>172</v>
      </c>
      <c r="D53" s="69"/>
      <c r="E53" s="69"/>
      <c r="F53" s="69"/>
      <c r="G53" s="69"/>
      <c r="H53" s="65"/>
      <c r="R53"/>
      <c r="S53" t="s">
        <v>173</v>
      </c>
      <c r="T53" t="s">
        <v>174</v>
      </c>
      <c r="U53" t="s">
        <v>175</v>
      </c>
    </row>
    <row r="54" s="37" customFormat="1" hidden="1" spans="1:22">
      <c r="A54" s="76" t="s">
        <v>176</v>
      </c>
      <c r="B54" s="77"/>
      <c r="C54" s="64" t="str">
        <f>C53</f>
        <v>Building No.1 = Stilt/Gr.(Pt) + 1st to 23rd Floors
Building No.2 = Stilt/Gr.(Pt) + 1st to 23rd Floors</v>
      </c>
      <c r="D54" s="69"/>
      <c r="E54" s="65"/>
      <c r="F54" s="70" t="s">
        <v>156</v>
      </c>
      <c r="G54" s="64"/>
      <c r="H54" s="65"/>
      <c r="R54"/>
      <c r="S54" t="s">
        <v>168</v>
      </c>
      <c r="T54" t="s">
        <v>169</v>
      </c>
      <c r="U54" t="s">
        <v>170</v>
      </c>
      <c r="V54" t="s">
        <v>171</v>
      </c>
    </row>
    <row r="55" s="37" customFormat="1" ht="32.25" hidden="1" customHeight="1" spans="1:24">
      <c r="A55" s="78"/>
      <c r="B55" s="79"/>
      <c r="C55" s="80"/>
      <c r="D55" s="81"/>
      <c r="E55" s="81"/>
      <c r="F55" s="81"/>
      <c r="G55" s="81"/>
      <c r="H55" s="82"/>
      <c r="R55"/>
      <c r="S55" t="s">
        <v>170</v>
      </c>
      <c r="T55" t="s">
        <v>177</v>
      </c>
      <c r="U55" t="s">
        <v>178</v>
      </c>
      <c r="V55" s="43"/>
      <c r="W55" s="43"/>
      <c r="X55" s="43"/>
    </row>
    <row r="56" s="37" customFormat="1" ht="15" customHeight="1" spans="1:24">
      <c r="A56" s="83" t="s">
        <v>179</v>
      </c>
      <c r="B56" s="84"/>
      <c r="C56" s="64" t="s">
        <v>180</v>
      </c>
      <c r="D56" s="69"/>
      <c r="E56" s="65"/>
      <c r="F56" s="70" t="s">
        <v>156</v>
      </c>
      <c r="G56" s="71" t="s">
        <v>181</v>
      </c>
      <c r="H56" s="65"/>
      <c r="R56"/>
      <c r="S56" s="43"/>
      <c r="T56" t="s">
        <v>182</v>
      </c>
      <c r="U56" t="s">
        <v>183</v>
      </c>
      <c r="V56" s="43"/>
      <c r="W56" s="43"/>
      <c r="X56" s="43"/>
    </row>
    <row r="57" s="37" customFormat="1" ht="81.75" customHeight="1" spans="1:24">
      <c r="A57" s="85"/>
      <c r="B57" s="86"/>
      <c r="C57" s="64" t="s">
        <v>184</v>
      </c>
      <c r="D57" s="69"/>
      <c r="E57" s="69"/>
      <c r="F57" s="69"/>
      <c r="G57" s="69"/>
      <c r="H57" s="65"/>
      <c r="R57"/>
      <c r="S57" s="43"/>
      <c r="T57" t="s">
        <v>185</v>
      </c>
      <c r="U57" t="s">
        <v>186</v>
      </c>
      <c r="V57" s="43"/>
      <c r="W57" s="43"/>
      <c r="X57" s="43"/>
    </row>
    <row r="58" s="37" customFormat="1" hidden="1" customHeight="1" spans="1:24">
      <c r="A58" s="76" t="s">
        <v>187</v>
      </c>
      <c r="B58" s="77"/>
      <c r="C58" s="64" t="str">
        <f>C57</f>
        <v>S. No. 124/1, 32/2, 33/1, 33/2
Plot Area = 24430 sqm.
Net Plot Area = 19994.83 sqm.
Built up Area = 107307.74 sqm.
Building No.1 &amp; 2 = Stilt + 1st to 23rd Floor (Height = 69.95 m)</v>
      </c>
      <c r="D58" s="69"/>
      <c r="E58" s="65"/>
      <c r="F58" s="70" t="s">
        <v>156</v>
      </c>
      <c r="G58" s="64">
        <f>G57</f>
        <v>0</v>
      </c>
      <c r="H58" s="65"/>
      <c r="R58"/>
      <c r="S58" s="43"/>
      <c r="T58" t="s">
        <v>188</v>
      </c>
      <c r="U58" s="43" t="s">
        <v>189</v>
      </c>
      <c r="V58" s="43"/>
      <c r="W58" s="43"/>
      <c r="X58" s="43"/>
    </row>
    <row r="59" s="37" customFormat="1" ht="33.75" hidden="1" customHeight="1" spans="1:24">
      <c r="A59" s="78"/>
      <c r="B59" s="79"/>
      <c r="C59" s="64"/>
      <c r="D59" s="69"/>
      <c r="E59" s="69"/>
      <c r="F59" s="69"/>
      <c r="G59" s="69"/>
      <c r="H59" s="65"/>
      <c r="R59"/>
      <c r="S59" s="43"/>
      <c r="T59" t="s">
        <v>190</v>
      </c>
      <c r="U59" s="43"/>
      <c r="V59" s="43"/>
      <c r="W59" s="43"/>
      <c r="X59" s="43"/>
    </row>
    <row r="60" hidden="1" spans="1:20">
      <c r="A60" s="87" t="s">
        <v>191</v>
      </c>
      <c r="B60" s="88"/>
      <c r="C60" s="87" t="s">
        <v>192</v>
      </c>
      <c r="D60" s="89"/>
      <c r="E60" s="88"/>
      <c r="F60" s="90" t="s">
        <v>156</v>
      </c>
      <c r="G60" s="91" t="s">
        <v>38</v>
      </c>
      <c r="H60" s="92"/>
      <c r="R60"/>
      <c r="T60" t="s">
        <v>193</v>
      </c>
    </row>
    <row r="61" spans="1:20">
      <c r="A61" s="90" t="s">
        <v>194</v>
      </c>
      <c r="B61" s="90"/>
      <c r="C61" s="90"/>
      <c r="D61" s="90"/>
      <c r="E61" s="90"/>
      <c r="F61" s="90"/>
      <c r="G61" s="90"/>
      <c r="H61" s="90"/>
      <c r="T61" t="s">
        <v>195</v>
      </c>
    </row>
    <row r="62" ht="31.5" customHeight="1" spans="1:18">
      <c r="A62" s="52" t="s">
        <v>196</v>
      </c>
      <c r="B62" s="52"/>
      <c r="C62" s="52"/>
      <c r="D62" s="50">
        <f>18690.76+16381.89</f>
        <v>35072.65</v>
      </c>
      <c r="E62" s="50"/>
      <c r="F62" s="50"/>
      <c r="G62" s="50"/>
      <c r="H62" s="50"/>
      <c r="I62" s="43">
        <f>18690.76+16381.89</f>
        <v>35072.65</v>
      </c>
      <c r="R62"/>
    </row>
    <row r="63" spans="1:18">
      <c r="A63" s="54" t="s">
        <v>197</v>
      </c>
      <c r="B63" s="46"/>
      <c r="C63" s="46"/>
      <c r="D63" s="47" t="s">
        <v>198</v>
      </c>
      <c r="E63" s="47"/>
      <c r="F63" s="47"/>
      <c r="G63" s="47"/>
      <c r="H63" s="47"/>
      <c r="I63" s="98"/>
      <c r="R63"/>
    </row>
    <row r="64" ht="30.75" customHeight="1" spans="1:18">
      <c r="A64" s="93" t="s">
        <v>199</v>
      </c>
      <c r="B64" s="94"/>
      <c r="C64" s="95"/>
      <c r="D64" s="51" t="s">
        <v>172</v>
      </c>
      <c r="E64" s="47"/>
      <c r="F64" s="47"/>
      <c r="G64" s="47"/>
      <c r="H64" s="47"/>
      <c r="R64"/>
    </row>
    <row r="65" customHeight="1" spans="1:18">
      <c r="A65" s="93" t="s">
        <v>200</v>
      </c>
      <c r="B65" s="94"/>
      <c r="C65" s="94"/>
      <c r="D65" s="47" t="s">
        <v>201</v>
      </c>
      <c r="E65" s="47"/>
      <c r="F65" s="47"/>
      <c r="G65" s="47"/>
      <c r="H65" s="47"/>
      <c r="R65"/>
    </row>
    <row r="66" customHeight="1" spans="1:18">
      <c r="A66" s="99"/>
      <c r="B66" s="100"/>
      <c r="C66" s="100"/>
      <c r="D66" s="47" t="s">
        <v>202</v>
      </c>
      <c r="E66" s="47"/>
      <c r="F66" s="47"/>
      <c r="G66" s="47"/>
      <c r="H66" s="47"/>
      <c r="R66"/>
    </row>
    <row r="67" hidden="1" customHeight="1" spans="1:19">
      <c r="A67" s="101"/>
      <c r="B67" s="102"/>
      <c r="C67" s="102"/>
      <c r="D67" s="103"/>
      <c r="E67" s="104"/>
      <c r="F67" s="104"/>
      <c r="G67" s="104"/>
      <c r="H67" s="105"/>
      <c r="S67"/>
    </row>
    <row r="68" customHeight="1" spans="1:19">
      <c r="A68" s="50" t="s">
        <v>203</v>
      </c>
      <c r="B68" s="50"/>
      <c r="C68" s="50"/>
      <c r="D68" s="106" t="s">
        <v>204</v>
      </c>
      <c r="E68" s="106"/>
      <c r="F68" s="106"/>
      <c r="G68" s="106"/>
      <c r="H68" s="106"/>
      <c r="J68" s="153"/>
      <c r="K68" s="98"/>
      <c r="N68" s="98"/>
      <c r="S68"/>
    </row>
    <row r="69" customHeight="1" spans="1:19">
      <c r="A69" s="50" t="s">
        <v>205</v>
      </c>
      <c r="B69" s="50"/>
      <c r="C69" s="50"/>
      <c r="D69" s="107" t="str">
        <f ca="1">(IF(G60="NA","60 Years After Completion",IF(G60&lt;&gt;"NA",""&amp;60-ROUNDDOWN((E3-G60)/360,0)&amp;" Years"," ")))</f>
        <v>60 Years After Completion</v>
      </c>
      <c r="E69" s="107"/>
      <c r="F69" s="107"/>
      <c r="G69" s="107"/>
      <c r="H69" s="107"/>
      <c r="N69" s="98"/>
      <c r="S69"/>
    </row>
    <row r="70" customHeight="1" spans="1:19">
      <c r="A70" s="50" t="s">
        <v>206</v>
      </c>
      <c r="B70" s="50"/>
      <c r="C70" s="50"/>
      <c r="D70" s="52" t="s">
        <v>118</v>
      </c>
      <c r="E70" s="52"/>
      <c r="F70" s="52"/>
      <c r="G70" s="52"/>
      <c r="H70" s="52"/>
      <c r="J70" s="154"/>
      <c r="K70" s="154"/>
      <c r="S70"/>
    </row>
    <row r="71" ht="48.75" customHeight="1" spans="1:19">
      <c r="A71" s="47" t="s">
        <v>207</v>
      </c>
      <c r="B71" s="47"/>
      <c r="C71" s="47"/>
      <c r="D71" s="51" t="s">
        <v>208</v>
      </c>
      <c r="E71" s="51"/>
      <c r="F71" s="51"/>
      <c r="G71" s="51"/>
      <c r="H71" s="51"/>
      <c r="I71" s="155" t="s">
        <v>209</v>
      </c>
      <c r="S71"/>
    </row>
    <row r="72" spans="1:14">
      <c r="A72" s="52" t="s">
        <v>210</v>
      </c>
      <c r="B72" s="52"/>
      <c r="C72" s="52"/>
      <c r="D72" s="52" t="s">
        <v>38</v>
      </c>
      <c r="E72" s="52"/>
      <c r="F72" s="52"/>
      <c r="G72" s="52"/>
      <c r="H72" s="52"/>
      <c r="I72" s="156"/>
      <c r="J72" s="156"/>
      <c r="K72" s="156"/>
      <c r="L72" s="156"/>
      <c r="M72" s="156"/>
      <c r="N72" s="156"/>
    </row>
    <row r="73" customHeight="1" spans="1:19">
      <c r="A73" s="50" t="s">
        <v>211</v>
      </c>
      <c r="B73" s="50"/>
      <c r="C73" s="50"/>
      <c r="D73" s="54" t="str">
        <f ca="1">(IF(G79&gt;95%,"Nothing",IF(G79&gt;0%,"Cement, Aggregate, Steel, etc",IF(G79=0%,"Work not yet Started"))))</f>
        <v>Cement, Aggregate, Steel, etc</v>
      </c>
      <c r="E73" s="54"/>
      <c r="F73" s="54"/>
      <c r="G73" s="54"/>
      <c r="H73" s="54"/>
      <c r="J73" s="154"/>
      <c r="S73"/>
    </row>
    <row r="74" ht="33.75" customHeight="1" spans="1:19">
      <c r="A74" s="52" t="s">
        <v>212</v>
      </c>
      <c r="B74" s="52"/>
      <c r="C74" s="52"/>
      <c r="D74" s="54" t="str">
        <f ca="1">(IF(D73="Nothing","Yes",IF(D73="Cement, Aggregate, Steel, etc","Under Construction",IF(D73="Work not yet Started","Work not yet Started"))))</f>
        <v>Under Construction</v>
      </c>
      <c r="E74" s="54"/>
      <c r="F74" s="54" t="str">
        <f ca="1">(IF(D73="Nothing","Yes",IF(D73="Cement, Aggregate, Steel, etc","Under Construction",IF(D73="Work not yet Started","Work not yet Started"))))</f>
        <v>Under Construction</v>
      </c>
      <c r="G74" s="54"/>
      <c r="H74" s="54"/>
      <c r="S74"/>
    </row>
    <row r="75" customHeight="1" spans="1:19">
      <c r="A75" s="108" t="s">
        <v>213</v>
      </c>
      <c r="B75" s="108"/>
      <c r="C75" s="108" t="str">
        <f>D65</f>
        <v>Building No.1 = Stilt/Gr.(Pt) + 1st to 23rd Floors</v>
      </c>
      <c r="D75" s="108"/>
      <c r="E75" s="108"/>
      <c r="F75" s="108"/>
      <c r="G75" s="108"/>
      <c r="H75" s="108"/>
      <c r="I75" s="157" t="str">
        <f ca="1">IF(D88=100%,"All work Completed. Possession granted to the Building.",IF(D87=100%,"All work Completed, Waiting for OC",I76&amp;""&amp;I77&amp;""&amp;J76&amp;""&amp;J75&amp;" "&amp;J77))</f>
        <v>Excavation, Plinth Completed, RCC upto 10 Slab, Brickwork upto 3 Floor Completed</v>
      </c>
      <c r="J75" s="158"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RCC upto 10 Slab, Brickwork upto 3 Floor</v>
      </c>
      <c r="S75"/>
    </row>
    <row r="76" spans="1:19">
      <c r="A76" s="109" t="s">
        <v>214</v>
      </c>
      <c r="B76" s="110">
        <f>IF(AND(ISNUMBER(SEARCH("1B",C75))),1,IF(AND(ISNUMBER(SEARCH("2B",C75))),2,IF(AND(ISNUMBER(SEARCH("3B",C75))),3,IF(AND(ISNUMBER(SEARCH("4B",C75))),4,IF(ISNUMBER(SEARCH("5B",C75)),5,0)))))</f>
        <v>0</v>
      </c>
      <c r="C76" s="110" t="s">
        <v>215</v>
      </c>
      <c r="D76" s="110">
        <v>1</v>
      </c>
      <c r="E76" s="110" t="s">
        <v>216</v>
      </c>
      <c r="F76" s="110">
        <v>0</v>
      </c>
      <c r="G76" s="110" t="s">
        <v>217</v>
      </c>
      <c r="H76" s="111">
        <f ca="1">--TRIM(RIGHT(SUBSTITUTE(LEFT(C75,_xlfn.AGGREGATE(16,6,FIND({0,1,2,3,4,5,6,7,8,9},C75,ROW(INDIRECT("1:"&amp;LEN(C75)))),1))," ",REPT(" ",LEN(C75))),LEN(C75)))</f>
        <v>23</v>
      </c>
      <c r="I76" s="159" t="str">
        <f ca="1">IF(D79=100%,"Excavation","")&amp;IF(D80=100%,", Plinth","")&amp;IF(D81=100%,", RCC Slab","")&amp;IF(D82=100%,", Brickwork","")&amp;IF(D83=100%,", Internal Plaster","")&amp;IF(D84=100%,", External Plaster","")&amp;IF(D85=100%,", Flooring","")&amp;IF(D86=100%,", Painting","")&amp;IF(D87=100%,", Building common Amenities","")</f>
        <v>Excavation, Plinth</v>
      </c>
      <c r="J76" s="160"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ht="33.75" customHeight="1" spans="1:19">
      <c r="A77" s="112" t="s">
        <v>218</v>
      </c>
      <c r="B77" s="113"/>
      <c r="C77" s="108" t="str">
        <f ca="1">I75</f>
        <v>Excavation, Plinth Completed, RCC upto 10 Slab, Brickwork upto 3 Floor Completed</v>
      </c>
      <c r="D77" s="108"/>
      <c r="E77" s="108"/>
      <c r="F77" s="108"/>
      <c r="G77" s="108"/>
      <c r="H77" s="114"/>
      <c r="I77" s="159" t="str">
        <f ca="1">IF(I76&lt;&gt;""," Completed","")</f>
        <v> Completed</v>
      </c>
      <c r="J77" s="160" t="str">
        <f ca="1">IF(J75&lt;&gt;"","Completed","")</f>
        <v>Completed</v>
      </c>
      <c r="S77"/>
    </row>
    <row r="78" customHeight="1" spans="1:19">
      <c r="A78" s="115" t="s">
        <v>219</v>
      </c>
      <c r="B78" s="116"/>
      <c r="C78" s="116" t="s">
        <v>220</v>
      </c>
      <c r="D78" s="116" t="s">
        <v>221</v>
      </c>
      <c r="E78" s="116" t="s">
        <v>222</v>
      </c>
      <c r="F78" s="116"/>
      <c r="G78" s="116" t="s">
        <v>223</v>
      </c>
      <c r="H78" s="117"/>
      <c r="I78" s="161" t="s">
        <v>224</v>
      </c>
      <c r="J78" s="162">
        <f ca="1">H76*25%</f>
        <v>5.75</v>
      </c>
      <c r="S78"/>
    </row>
    <row r="79" spans="1:10">
      <c r="A79" s="115" t="s">
        <v>225</v>
      </c>
      <c r="B79" s="116"/>
      <c r="C79" s="116">
        <f ca="1">J80</f>
        <v>23</v>
      </c>
      <c r="D79" s="118">
        <f ca="1">((100/H76)*C79)/100</f>
        <v>1</v>
      </c>
      <c r="E79" s="119">
        <f ca="1">(((C80/H76*10)+(40/(D76+F76+H76)*C81)+(7.5/(H76)*C82)+(7.5/(H76)*C83)+(10/H76*C84)+(10/H76*C85)+(5/H76*C86)+(5/H76*C87)+(5/H76*C88))/100)</f>
        <v>0.276449275362319</v>
      </c>
      <c r="F79" s="120"/>
      <c r="G79" s="119">
        <f ca="1">((((C79/H76)*20)+((C80/H76)*25)+(30/(H76+F76+D76)*C81)+(5/H76*C82)+(5/H76*C83)+(5/H76*C84)+(5/H76*C85)+(0/H76*C86)+(0/H76*C87)+(5/H76*C88))/100)</f>
        <v>0.581521739130435</v>
      </c>
      <c r="H79" s="121"/>
      <c r="I79" s="161" t="s">
        <v>226</v>
      </c>
      <c r="J79" s="163">
        <f ca="1">H76*50%</f>
        <v>11.5</v>
      </c>
    </row>
    <row r="80" spans="1:19">
      <c r="A80" s="115" t="s">
        <v>227</v>
      </c>
      <c r="B80" s="116"/>
      <c r="C80" s="122">
        <f ca="1">J88</f>
        <v>23</v>
      </c>
      <c r="D80" s="118">
        <f ca="1">((100/H76)*C80)/100</f>
        <v>1</v>
      </c>
      <c r="E80" s="123"/>
      <c r="F80" s="124"/>
      <c r="G80" s="123"/>
      <c r="H80" s="125"/>
      <c r="I80" s="161" t="s">
        <v>228</v>
      </c>
      <c r="J80" s="163">
        <f ca="1">H76</f>
        <v>23</v>
      </c>
      <c r="S80"/>
    </row>
    <row r="81" customHeight="1" spans="1:19">
      <c r="A81" s="115" t="s">
        <v>229</v>
      </c>
      <c r="B81" s="116"/>
      <c r="C81" s="116">
        <v>10</v>
      </c>
      <c r="D81" s="118">
        <f ca="1">((100/(D76+F76+H76))*C81)/100</f>
        <v>0.416666666666667</v>
      </c>
      <c r="E81" s="123"/>
      <c r="F81" s="124"/>
      <c r="G81" s="123"/>
      <c r="H81" s="125"/>
      <c r="I81" s="161" t="s">
        <v>230</v>
      </c>
      <c r="J81" s="164">
        <f ca="1">(IF(B76&gt;1,(H76/(B76+2)),H76/4))</f>
        <v>5.75</v>
      </c>
      <c r="S81"/>
    </row>
    <row r="82" customHeight="1" spans="1:10">
      <c r="A82" s="115" t="s">
        <v>231</v>
      </c>
      <c r="B82" s="116" t="s">
        <v>232</v>
      </c>
      <c r="C82" s="116">
        <v>3</v>
      </c>
      <c r="D82" s="118">
        <f ca="1">((100/H76)*C82)/100</f>
        <v>0.130434782608696</v>
      </c>
      <c r="E82" s="123"/>
      <c r="F82" s="124"/>
      <c r="G82" s="123"/>
      <c r="H82" s="125"/>
      <c r="I82" s="161" t="s">
        <v>233</v>
      </c>
      <c r="J82" s="164">
        <f ca="1">(IF(B76&gt;1,(H76/(B76+2)+J81),H76/4+J81))</f>
        <v>11.5</v>
      </c>
    </row>
    <row r="83" customHeight="1" spans="1:10">
      <c r="A83" s="115" t="s">
        <v>234</v>
      </c>
      <c r="B83" s="116" t="s">
        <v>232</v>
      </c>
      <c r="C83" s="116">
        <v>0</v>
      </c>
      <c r="D83" s="118">
        <f ca="1">((100/H76)*C83)/100</f>
        <v>0</v>
      </c>
      <c r="E83" s="123"/>
      <c r="F83" s="124"/>
      <c r="G83" s="123"/>
      <c r="H83" s="125"/>
      <c r="I83" s="161" t="s">
        <v>235</v>
      </c>
      <c r="J83" s="164">
        <f ca="1">(IF(B76&gt;1,(H76/(B76+2)+J82),0))</f>
        <v>0</v>
      </c>
    </row>
    <row r="84" ht="15" customHeight="1" spans="1:10">
      <c r="A84" s="115" t="s">
        <v>236</v>
      </c>
      <c r="B84" s="116" t="s">
        <v>237</v>
      </c>
      <c r="C84" s="116">
        <v>0</v>
      </c>
      <c r="D84" s="118">
        <f ca="1">((100/(H76))*C84)/100</f>
        <v>0</v>
      </c>
      <c r="E84" s="123"/>
      <c r="F84" s="124"/>
      <c r="G84" s="123"/>
      <c r="H84" s="125"/>
      <c r="I84" s="161" t="s">
        <v>238</v>
      </c>
      <c r="J84" s="164">
        <f ca="1">(IF(B76&gt;2,(H76/(B76+2)+J83),0))</f>
        <v>0</v>
      </c>
    </row>
    <row r="85" customHeight="1" spans="1:10">
      <c r="A85" s="115" t="s">
        <v>239</v>
      </c>
      <c r="B85" s="116" t="s">
        <v>239</v>
      </c>
      <c r="C85" s="116">
        <v>0</v>
      </c>
      <c r="D85" s="118">
        <f ca="1">((100/H76)*C85)/100</f>
        <v>0</v>
      </c>
      <c r="E85" s="123"/>
      <c r="F85" s="124"/>
      <c r="G85" s="123"/>
      <c r="H85" s="125"/>
      <c r="I85" s="161" t="s">
        <v>240</v>
      </c>
      <c r="J85" s="165">
        <f ca="1">(IF(B76&gt;3,(H76/(B76+2)+J84),0))</f>
        <v>0</v>
      </c>
    </row>
    <row r="86" customHeight="1" spans="1:10">
      <c r="A86" s="115" t="s">
        <v>241</v>
      </c>
      <c r="B86" s="116"/>
      <c r="C86" s="116">
        <v>0</v>
      </c>
      <c r="D86" s="118">
        <f ca="1">((100/H76)*C86)/100</f>
        <v>0</v>
      </c>
      <c r="E86" s="123"/>
      <c r="F86" s="124"/>
      <c r="G86" s="123"/>
      <c r="H86" s="125"/>
      <c r="I86" s="161" t="s">
        <v>242</v>
      </c>
      <c r="J86" s="164">
        <f ca="1">(IF(B76&gt;4,(H76/(B76+2)+J85),0))</f>
        <v>0</v>
      </c>
    </row>
    <row r="87" customHeight="1" spans="1:10">
      <c r="A87" s="115" t="s">
        <v>243</v>
      </c>
      <c r="B87" s="116" t="s">
        <v>243</v>
      </c>
      <c r="C87" s="116">
        <v>0</v>
      </c>
      <c r="D87" s="118">
        <f ca="1">((100/(H76))*C87)/100</f>
        <v>0</v>
      </c>
      <c r="E87" s="123"/>
      <c r="F87" s="124"/>
      <c r="G87" s="123"/>
      <c r="H87" s="125"/>
      <c r="I87" s="161" t="s">
        <v>244</v>
      </c>
      <c r="J87" s="164">
        <f ca="1">(IF(B76=1,(H76/(B76+3)+J82),IF(B76=0,(H76/4+J82),IF(B76&gt;1,0))))</f>
        <v>17.25</v>
      </c>
    </row>
    <row r="88" ht="16.5" spans="1:10">
      <c r="A88" s="126" t="s">
        <v>245</v>
      </c>
      <c r="B88" s="127"/>
      <c r="C88" s="127">
        <v>0</v>
      </c>
      <c r="D88" s="128">
        <f ca="1">((100/(H76))*C88)/100</f>
        <v>0</v>
      </c>
      <c r="E88" s="129"/>
      <c r="F88" s="130"/>
      <c r="G88" s="129"/>
      <c r="H88" s="131"/>
      <c r="I88" s="166" t="s">
        <v>246</v>
      </c>
      <c r="J88" s="167">
        <f ca="1">(IF(B76&gt;1.5,(H76/(B76+2)+J82+MAX(0,J83-J82)+MAX(0,J84-J83)+MAX(0,J85-J84)+MAX(0,J86-J85)+MAX(0,J87-J86)),IF(B76=1,(H76/(B76+3)+J87),IF(B76=0,H76/4+J87))))</f>
        <v>23</v>
      </c>
    </row>
    <row r="89" customHeight="1" spans="1:10">
      <c r="A89" s="132" t="s">
        <v>213</v>
      </c>
      <c r="B89" s="133"/>
      <c r="C89" s="134" t="str">
        <f>D66</f>
        <v>Building No.2 = Stilt/Gr.(Pt) + 1st to 23rd Floors</v>
      </c>
      <c r="D89" s="135"/>
      <c r="E89" s="135"/>
      <c r="F89" s="135"/>
      <c r="G89" s="135"/>
      <c r="H89" s="136"/>
      <c r="I89" s="168" t="str">
        <f ca="1">IF(D102=100%,"All work Completed. Possession granted to the Building.",IF(D101=100%,"All work Completed, Waiting for OC",I90&amp;""&amp;I91&amp;""&amp;J90&amp;""&amp;J89&amp;" "&amp;J91))</f>
        <v>Excavation, Plinth Completed, RCC upto 9 Slab, Brickwork upto 4 Floor Completed</v>
      </c>
      <c r="J89" s="158"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RCC upto 9 Slab, Brickwork upto 4 Floor</v>
      </c>
    </row>
    <row r="90" spans="1:10">
      <c r="A90" s="109" t="s">
        <v>214</v>
      </c>
      <c r="B90" s="110">
        <f>IF(AND(ISNUMBER(SEARCH("1B",C89))),1,IF(AND(ISNUMBER(SEARCH("2B",C89))),2,IF(AND(ISNUMBER(SEARCH("3B",C89))),3,IF(AND(ISNUMBER(SEARCH("4B",C89))),4,IF(ISNUMBER(SEARCH("5B",C89)),5,0)))))</f>
        <v>0</v>
      </c>
      <c r="C90" s="110" t="s">
        <v>215</v>
      </c>
      <c r="D90" s="110">
        <v>1</v>
      </c>
      <c r="E90" s="110" t="s">
        <v>216</v>
      </c>
      <c r="F90" s="110">
        <v>0</v>
      </c>
      <c r="G90" s="110" t="s">
        <v>217</v>
      </c>
      <c r="H90" s="111">
        <f ca="1">--TRIM(RIGHT(SUBSTITUTE(LEFT(C89,_xlfn.AGGREGATE(16,6,FIND({0,1,2,3,4,5,6,7,8,9},C89,ROW(INDIRECT("1:"&amp;LEN(C89)))),1))," ",REPT(" ",LEN(C89))),LEN(C89)))</f>
        <v>23</v>
      </c>
      <c r="I90" s="159" t="str">
        <f ca="1">IF(D93=100%,"Excavation","")&amp;IF(D94=100%,", Plinth","")&amp;IF(D95=100%,", RCC Slab","")&amp;IF(D96=100%,", Brickwork","")&amp;IF(D97=100%,", Internal Plaster","")&amp;IF(D98=100%,", External Plaster","")&amp;IF(D99=100%,", Flooring","")&amp;IF(D100=100%,", Painting","")&amp;IF(D101=100%,", Building common Amenities","")</f>
        <v>Excavation, Plinth</v>
      </c>
      <c r="J90" s="160"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row>
    <row r="91" ht="33" customHeight="1" spans="1:10">
      <c r="A91" s="112" t="s">
        <v>218</v>
      </c>
      <c r="B91" s="113"/>
      <c r="C91" s="108" t="str">
        <f ca="1">(IF($G$60="NA",I89,"All work Completed. OC Received."))</f>
        <v>Excavation, Plinth Completed, RCC upto 9 Slab, Brickwork upto 4 Floor Completed</v>
      </c>
      <c r="D91" s="108"/>
      <c r="E91" s="108"/>
      <c r="F91" s="108"/>
      <c r="G91" s="108"/>
      <c r="H91" s="114"/>
      <c r="I91" s="159" t="str">
        <f ca="1">IF(I90&lt;&gt;""," Completed","")</f>
        <v> Completed</v>
      </c>
      <c r="J91" s="160" t="str">
        <f ca="1">IF(J89&lt;&gt;"","Completed","")</f>
        <v>Completed</v>
      </c>
    </row>
    <row r="92" customHeight="1" spans="1:10">
      <c r="A92" s="115" t="s">
        <v>219</v>
      </c>
      <c r="B92" s="116"/>
      <c r="C92" s="116" t="s">
        <v>220</v>
      </c>
      <c r="D92" s="116" t="s">
        <v>221</v>
      </c>
      <c r="E92" s="116" t="s">
        <v>222</v>
      </c>
      <c r="F92" s="116"/>
      <c r="G92" s="116" t="s">
        <v>223</v>
      </c>
      <c r="H92" s="117"/>
      <c r="I92" s="161" t="s">
        <v>224</v>
      </c>
      <c r="J92" s="162">
        <f ca="1">H90*25%</f>
        <v>5.75</v>
      </c>
    </row>
    <row r="93" spans="1:10">
      <c r="A93" s="115" t="s">
        <v>225</v>
      </c>
      <c r="B93" s="116"/>
      <c r="C93" s="116">
        <f ca="1">J94</f>
        <v>23</v>
      </c>
      <c r="D93" s="118">
        <f ca="1">((100/H90)*C93)/100</f>
        <v>1</v>
      </c>
      <c r="E93" s="119">
        <f ca="1">(((C94/H90*10)+(40/(D90+F90+H90)*C95)+(7.5/(H90)*C96)+(7.5/(H90)*C97)+(10/H90*C98)+(10/H90*C99)+(5/H90*C100)+(5/H90*C101)+(5/H90*C102))/100)</f>
        <v>0.26304347826087</v>
      </c>
      <c r="F93" s="120"/>
      <c r="G93" s="119">
        <f ca="1">((((C93/H90)*20)+((C94/H90)*25)+(30/(H90+F90+D90)*C95)+(5/H90*C96)+(5/H90*C97)+(5/H90*C98)+(5/H90*C99)+(0/H90*C100)+(0/H90*C101)+(5/H90*C102))/100)</f>
        <v>0.571195652173913</v>
      </c>
      <c r="H93" s="121"/>
      <c r="I93" s="161" t="s">
        <v>226</v>
      </c>
      <c r="J93" s="163">
        <f ca="1">H90*50%</f>
        <v>11.5</v>
      </c>
    </row>
    <row r="94" spans="1:10">
      <c r="A94" s="115" t="s">
        <v>227</v>
      </c>
      <c r="B94" s="116"/>
      <c r="C94" s="122">
        <f ca="1">J102</f>
        <v>23</v>
      </c>
      <c r="D94" s="118">
        <f ca="1">((100/H90)*C94)/100</f>
        <v>1</v>
      </c>
      <c r="E94" s="123"/>
      <c r="F94" s="124"/>
      <c r="G94" s="123"/>
      <c r="H94" s="125"/>
      <c r="I94" s="161" t="s">
        <v>228</v>
      </c>
      <c r="J94" s="163">
        <f ca="1">H90</f>
        <v>23</v>
      </c>
    </row>
    <row r="95" customHeight="1" spans="1:10">
      <c r="A95" s="115" t="s">
        <v>229</v>
      </c>
      <c r="B95" s="116"/>
      <c r="C95" s="116">
        <v>9</v>
      </c>
      <c r="D95" s="118">
        <f ca="1">((100/(D90+F90+H90))*C95)/100</f>
        <v>0.375</v>
      </c>
      <c r="E95" s="123"/>
      <c r="F95" s="124"/>
      <c r="G95" s="123"/>
      <c r="H95" s="125"/>
      <c r="I95" s="161" t="s">
        <v>230</v>
      </c>
      <c r="J95" s="164">
        <f ca="1">(IF(B90&gt;1,(H90/(B90+2)),H90/4))</f>
        <v>5.75</v>
      </c>
    </row>
    <row r="96" customHeight="1" spans="1:10">
      <c r="A96" s="115" t="s">
        <v>231</v>
      </c>
      <c r="B96" s="116" t="s">
        <v>232</v>
      </c>
      <c r="C96" s="116">
        <v>4</v>
      </c>
      <c r="D96" s="118">
        <f ca="1">((100/H90)*C96)/100</f>
        <v>0.173913043478261</v>
      </c>
      <c r="E96" s="123"/>
      <c r="F96" s="124"/>
      <c r="G96" s="123"/>
      <c r="H96" s="125"/>
      <c r="I96" s="161" t="s">
        <v>233</v>
      </c>
      <c r="J96" s="164">
        <f ca="1">(IF(B90&gt;1,(H90/(B90+2)+J95),H90/4+J95))</f>
        <v>11.5</v>
      </c>
    </row>
    <row r="97" customHeight="1" spans="1:10">
      <c r="A97" s="115" t="s">
        <v>234</v>
      </c>
      <c r="B97" s="116" t="s">
        <v>232</v>
      </c>
      <c r="C97" s="116">
        <v>0</v>
      </c>
      <c r="D97" s="118">
        <f ca="1">((100/H90)*C97)/100</f>
        <v>0</v>
      </c>
      <c r="E97" s="123"/>
      <c r="F97" s="124"/>
      <c r="G97" s="123"/>
      <c r="H97" s="125"/>
      <c r="I97" s="161" t="s">
        <v>235</v>
      </c>
      <c r="J97" s="164">
        <f ca="1">(IF(B90&gt;1,(H90/(B90+2)+J96),0))</f>
        <v>0</v>
      </c>
    </row>
    <row r="98" ht="15" customHeight="1" spans="1:10">
      <c r="A98" s="115" t="s">
        <v>236</v>
      </c>
      <c r="B98" s="116" t="s">
        <v>237</v>
      </c>
      <c r="C98" s="116">
        <v>0</v>
      </c>
      <c r="D98" s="118">
        <f ca="1">((100/(H90))*C98)/100</f>
        <v>0</v>
      </c>
      <c r="E98" s="123"/>
      <c r="F98" s="124"/>
      <c r="G98" s="123"/>
      <c r="H98" s="125"/>
      <c r="I98" s="161" t="s">
        <v>238</v>
      </c>
      <c r="J98" s="164">
        <f ca="1">(IF(B90&gt;2,(H90/(B90+2)+J97),0))</f>
        <v>0</v>
      </c>
    </row>
    <row r="99" customHeight="1" spans="1:10">
      <c r="A99" s="115" t="s">
        <v>239</v>
      </c>
      <c r="B99" s="116" t="s">
        <v>239</v>
      </c>
      <c r="C99" s="116">
        <v>0</v>
      </c>
      <c r="D99" s="118">
        <f ca="1">((100/H90)*C99)/100</f>
        <v>0</v>
      </c>
      <c r="E99" s="123"/>
      <c r="F99" s="124"/>
      <c r="G99" s="123"/>
      <c r="H99" s="125"/>
      <c r="I99" s="161" t="s">
        <v>240</v>
      </c>
      <c r="J99" s="165">
        <f ca="1">(IF(B90&gt;3,(H90/(B90+2)+J98),0))</f>
        <v>0</v>
      </c>
    </row>
    <row r="100" customHeight="1" spans="1:10">
      <c r="A100" s="115" t="s">
        <v>241</v>
      </c>
      <c r="B100" s="116"/>
      <c r="C100" s="116">
        <v>0</v>
      </c>
      <c r="D100" s="118">
        <f ca="1">((100/H90)*C100)/100</f>
        <v>0</v>
      </c>
      <c r="E100" s="123"/>
      <c r="F100" s="124"/>
      <c r="G100" s="123"/>
      <c r="H100" s="125"/>
      <c r="I100" s="161" t="s">
        <v>242</v>
      </c>
      <c r="J100" s="164">
        <f ca="1">(IF(B90&gt;4,(H90/(B90+2)+J99),0))</f>
        <v>0</v>
      </c>
    </row>
    <row r="101" customHeight="1" spans="1:10">
      <c r="A101" s="115" t="s">
        <v>243</v>
      </c>
      <c r="B101" s="116" t="s">
        <v>243</v>
      </c>
      <c r="C101" s="116">
        <v>0</v>
      </c>
      <c r="D101" s="118">
        <f ca="1">((100/(H90))*C101)/100</f>
        <v>0</v>
      </c>
      <c r="E101" s="123"/>
      <c r="F101" s="124"/>
      <c r="G101" s="123"/>
      <c r="H101" s="125"/>
      <c r="I101" s="161" t="s">
        <v>244</v>
      </c>
      <c r="J101" s="164">
        <f ca="1">(IF(B90=1,(H90/(B90+3)+J96),IF(B90=0,(H90/4+J96),IF(B90&gt;1,0))))</f>
        <v>17.25</v>
      </c>
    </row>
    <row r="102" ht="16.5" spans="1:10">
      <c r="A102" s="126" t="s">
        <v>245</v>
      </c>
      <c r="B102" s="127"/>
      <c r="C102" s="127">
        <v>0</v>
      </c>
      <c r="D102" s="128">
        <f ca="1">((100/(H90))*C102)/100</f>
        <v>0</v>
      </c>
      <c r="E102" s="129"/>
      <c r="F102" s="130"/>
      <c r="G102" s="129"/>
      <c r="H102" s="131"/>
      <c r="I102" s="166" t="s">
        <v>246</v>
      </c>
      <c r="J102" s="167">
        <f ca="1">(IF(B90&gt;1.5,(H90/(B90+2)+J96+MAX(0,J97-J96)+MAX(0,J98-J97)+MAX(0,J99-J98)+MAX(0,J100-J99)+MAX(0,J101-J100)),IF(B90=1,(H90/(B90+3)+J101),IF(B90=0,H90/4+J101))))</f>
        <v>23</v>
      </c>
    </row>
    <row r="103" hidden="1" customHeight="1" spans="1:10">
      <c r="A103" s="137" t="s">
        <v>213</v>
      </c>
      <c r="B103" s="138"/>
      <c r="C103" s="139">
        <f>D67</f>
        <v>0</v>
      </c>
      <c r="D103" s="140"/>
      <c r="E103" s="140"/>
      <c r="F103" s="140"/>
      <c r="G103" s="140"/>
      <c r="H103" s="141"/>
      <c r="I103" s="168" t="e">
        <f ca="1">IF(D116=100%,"All work Completed. Possession granted to the Building.",IF(D115=100%,"All work Completed, Waiting for OC",I104&amp;""&amp;I105&amp;""&amp;J104&amp;""&amp;J103&amp;" "&amp;J105))</f>
        <v>#DIV/0!</v>
      </c>
      <c r="J103" s="158"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row>
    <row r="104" hidden="1" spans="1:10">
      <c r="A104" s="142" t="s">
        <v>214</v>
      </c>
      <c r="B104" s="58">
        <f>IF(AND(ISNUMBER(SEARCH("1B",C103))),1,IF(AND(ISNUMBER(SEARCH("2B",C103))),2,IF(AND(ISNUMBER(SEARCH("3B",C103))),3,IF(AND(ISNUMBER(SEARCH("4B",C103))),4,IF(ISNUMBER(SEARCH("5B",C103)),5,0)))))</f>
        <v>0</v>
      </c>
      <c r="C104" s="58" t="s">
        <v>215</v>
      </c>
      <c r="D104" s="58">
        <v>1</v>
      </c>
      <c r="E104" s="58" t="s">
        <v>216</v>
      </c>
      <c r="F104" s="143">
        <v>0</v>
      </c>
      <c r="G104" s="144" t="s">
        <v>217</v>
      </c>
      <c r="H104" s="145">
        <f ca="1">--TRIM(RIGHT(SUBSTITUTE(LEFT(C103,_xlfn.AGGREGATE(16,6,FIND({0,1,2,3,4,5,6,7,8,9},C103,ROW(INDIRECT("1:"&amp;LEN(C103)))),1))," ",REPT(" ",LEN(C103))),LEN(C103)))</f>
        <v>0</v>
      </c>
      <c r="I104" s="159" t="e">
        <f ca="1">IF(D107=100%,"Excavation","")&amp;IF(D108=100%,", Plinth","")&amp;IF(D109=100%,", RCC Slab","")&amp;IF(D110=100%,", Brickwork","")&amp;IF(D111=100%,", Internal Plaster","")&amp;IF(D112=100%,", External Plaster","")&amp;IF(D113=100%,", Flooring","")&amp;IF(D114=100%,", Painting","")&amp;IF(D115=100%,", Building common Amenities","")</f>
        <v>#DIV/0!</v>
      </c>
      <c r="J104" s="160"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Work not yet Started.</v>
      </c>
    </row>
    <row r="105" hidden="1" spans="1:10">
      <c r="A105" s="146" t="s">
        <v>218</v>
      </c>
      <c r="B105" s="49"/>
      <c r="C105" s="147" t="e">
        <f ca="1">(IF($G$60="NA",I103,"All work Completed. OC Received."))</f>
        <v>#DIV/0!</v>
      </c>
      <c r="D105" s="147"/>
      <c r="E105" s="147"/>
      <c r="F105" s="147"/>
      <c r="G105" s="147"/>
      <c r="H105" s="148"/>
      <c r="I105" s="159" t="e">
        <f ca="1">IF(I104&lt;&gt;""," Completed","")</f>
        <v>#DIV/0!</v>
      </c>
      <c r="J105" s="160" t="str">
        <f ca="1">IF(J103&lt;&gt;"","Completed","")</f>
        <v/>
      </c>
    </row>
    <row r="106" hidden="1" customHeight="1" spans="1:10">
      <c r="A106" s="115" t="s">
        <v>219</v>
      </c>
      <c r="B106" s="116"/>
      <c r="C106" s="116" t="s">
        <v>220</v>
      </c>
      <c r="D106" s="116" t="s">
        <v>221</v>
      </c>
      <c r="E106" s="116" t="s">
        <v>222</v>
      </c>
      <c r="F106" s="116"/>
      <c r="G106" s="116" t="s">
        <v>223</v>
      </c>
      <c r="H106" s="117"/>
      <c r="I106" s="161" t="s">
        <v>224</v>
      </c>
      <c r="J106" s="162">
        <f ca="1">H104*25%</f>
        <v>0</v>
      </c>
    </row>
    <row r="107" hidden="1" spans="1:10">
      <c r="A107" s="115" t="s">
        <v>225</v>
      </c>
      <c r="B107" s="116"/>
      <c r="C107" s="116">
        <f ca="1">J108</f>
        <v>0</v>
      </c>
      <c r="D107" s="118" t="e">
        <f ca="1">((100/H104)*C107)/100</f>
        <v>#DIV/0!</v>
      </c>
      <c r="E107" s="119" t="e">
        <f ca="1">(((C108/H104*10)+(40/(D104+F104+H104)*C109)+(7.5/(H104)*C110)+(7.5/(H104)*C111)+(10/H104*C112)+(10/H104*C113)+(5/H104*C114)+(5/H104*C115)+(5/H104*C116))/100)</f>
        <v>#DIV/0!</v>
      </c>
      <c r="F107" s="120"/>
      <c r="G107" s="119" t="e">
        <f ca="1">((((C107/H104)*20)+((C108/H104)*25)+(30/(H104+F104+D104)*C109)+(5/H104*C110)+(5/H104*C111)+(5/H104*C112)+(5/H104*C113)+(0/H104*C114)+(0/H104*C115)+(5/H104*C116))/100)</f>
        <v>#DIV/0!</v>
      </c>
      <c r="H107" s="121"/>
      <c r="I107" s="161" t="s">
        <v>226</v>
      </c>
      <c r="J107" s="163">
        <f ca="1">H104*50%</f>
        <v>0</v>
      </c>
    </row>
    <row r="108" hidden="1" spans="1:10">
      <c r="A108" s="115" t="s">
        <v>227</v>
      </c>
      <c r="B108" s="116"/>
      <c r="C108" s="116">
        <f ca="1">J116</f>
        <v>0</v>
      </c>
      <c r="D108" s="118" t="e">
        <f ca="1">((100/H104)*C108)/100</f>
        <v>#DIV/0!</v>
      </c>
      <c r="E108" s="123"/>
      <c r="F108" s="124"/>
      <c r="G108" s="123"/>
      <c r="H108" s="125"/>
      <c r="I108" s="161" t="s">
        <v>228</v>
      </c>
      <c r="J108" s="163">
        <f ca="1">H104</f>
        <v>0</v>
      </c>
    </row>
    <row r="109" hidden="1" customHeight="1" spans="1:10">
      <c r="A109" s="115" t="s">
        <v>229</v>
      </c>
      <c r="B109" s="116"/>
      <c r="C109" s="116">
        <f ca="1">D104+H104</f>
        <v>1</v>
      </c>
      <c r="D109" s="118">
        <f ca="1">((100/(D104+F104+H104))*C109)/100</f>
        <v>1</v>
      </c>
      <c r="E109" s="123"/>
      <c r="F109" s="124"/>
      <c r="G109" s="123"/>
      <c r="H109" s="125"/>
      <c r="I109" s="161" t="s">
        <v>230</v>
      </c>
      <c r="J109" s="164">
        <f ca="1">(IF(B104&gt;1,(H104/(B104+2)),H104/4))</f>
        <v>0</v>
      </c>
    </row>
    <row r="110" hidden="1" customHeight="1" spans="1:10">
      <c r="A110" s="115" t="s">
        <v>231</v>
      </c>
      <c r="B110" s="116" t="s">
        <v>232</v>
      </c>
      <c r="C110" s="116">
        <v>0</v>
      </c>
      <c r="D110" s="118" t="e">
        <f ca="1">((100/H104)*C110)/100</f>
        <v>#DIV/0!</v>
      </c>
      <c r="E110" s="123"/>
      <c r="F110" s="124"/>
      <c r="G110" s="123"/>
      <c r="H110" s="125"/>
      <c r="I110" s="161" t="s">
        <v>233</v>
      </c>
      <c r="J110" s="164">
        <f ca="1">(IF(B104&gt;1,(H104/(B104+2)+J109),H104/4+J109))</f>
        <v>0</v>
      </c>
    </row>
    <row r="111" hidden="1" customHeight="1" spans="1:10">
      <c r="A111" s="115" t="s">
        <v>234</v>
      </c>
      <c r="B111" s="116" t="s">
        <v>232</v>
      </c>
      <c r="C111" s="116">
        <v>0</v>
      </c>
      <c r="D111" s="118" t="e">
        <f ca="1">((100/H104)*C111)/100</f>
        <v>#DIV/0!</v>
      </c>
      <c r="E111" s="123"/>
      <c r="F111" s="124"/>
      <c r="G111" s="123"/>
      <c r="H111" s="125"/>
      <c r="I111" s="161" t="s">
        <v>235</v>
      </c>
      <c r="J111" s="164">
        <f ca="1">(IF(B104&gt;1,(H104/(B104+2)+J110),0))</f>
        <v>0</v>
      </c>
    </row>
    <row r="112" ht="15" hidden="1" customHeight="1" spans="1:10">
      <c r="A112" s="115" t="s">
        <v>236</v>
      </c>
      <c r="B112" s="116" t="s">
        <v>237</v>
      </c>
      <c r="C112" s="116">
        <v>0</v>
      </c>
      <c r="D112" s="118" t="e">
        <f ca="1">((100/(H104))*C112)/100</f>
        <v>#DIV/0!</v>
      </c>
      <c r="E112" s="123"/>
      <c r="F112" s="124"/>
      <c r="G112" s="123"/>
      <c r="H112" s="125"/>
      <c r="I112" s="161" t="s">
        <v>238</v>
      </c>
      <c r="J112" s="164">
        <f ca="1">(IF(B104&gt;2,(H104/(B104+2)+J111),0))</f>
        <v>0</v>
      </c>
    </row>
    <row r="113" hidden="1" customHeight="1" spans="1:10">
      <c r="A113" s="115" t="s">
        <v>239</v>
      </c>
      <c r="B113" s="116" t="s">
        <v>239</v>
      </c>
      <c r="C113" s="116">
        <v>0</v>
      </c>
      <c r="D113" s="118" t="e">
        <f ca="1">((100/H104)*C113)/100</f>
        <v>#DIV/0!</v>
      </c>
      <c r="E113" s="123"/>
      <c r="F113" s="124"/>
      <c r="G113" s="123"/>
      <c r="H113" s="125"/>
      <c r="I113" s="161" t="s">
        <v>240</v>
      </c>
      <c r="J113" s="165">
        <f ca="1">(IF(B104&gt;3,(H104/(B104+2)+J112),0))</f>
        <v>0</v>
      </c>
    </row>
    <row r="114" hidden="1" customHeight="1" spans="1:10">
      <c r="A114" s="115" t="s">
        <v>241</v>
      </c>
      <c r="B114" s="116"/>
      <c r="C114" s="116">
        <v>0</v>
      </c>
      <c r="D114" s="118" t="e">
        <f ca="1">((100/H104)*C114)/100</f>
        <v>#DIV/0!</v>
      </c>
      <c r="E114" s="123"/>
      <c r="F114" s="124"/>
      <c r="G114" s="123"/>
      <c r="H114" s="125"/>
      <c r="I114" s="161" t="s">
        <v>242</v>
      </c>
      <c r="J114" s="164">
        <f ca="1">(IF(B104&gt;4,(H104/(B104+2)+J113),0))</f>
        <v>0</v>
      </c>
    </row>
    <row r="115" hidden="1" customHeight="1" spans="1:10">
      <c r="A115" s="115" t="s">
        <v>243</v>
      </c>
      <c r="B115" s="116" t="s">
        <v>243</v>
      </c>
      <c r="C115" s="116">
        <v>0</v>
      </c>
      <c r="D115" s="118" t="e">
        <f ca="1">((100/(H104))*C115)/100</f>
        <v>#DIV/0!</v>
      </c>
      <c r="E115" s="123"/>
      <c r="F115" s="124"/>
      <c r="G115" s="123"/>
      <c r="H115" s="125"/>
      <c r="I115" s="161" t="s">
        <v>244</v>
      </c>
      <c r="J115" s="164">
        <f ca="1">(IF(B104=1,(H104/(B104+3)+J110),IF(B104=0,(H104/4+J110),IF(B104&gt;1,0))))</f>
        <v>0</v>
      </c>
    </row>
    <row r="116" ht="16.5" hidden="1" spans="1:10">
      <c r="A116" s="126" t="s">
        <v>245</v>
      </c>
      <c r="B116" s="127"/>
      <c r="C116" s="127">
        <v>0</v>
      </c>
      <c r="D116" s="128" t="e">
        <f ca="1">((100/(H104))*C116)/100</f>
        <v>#DIV/0!</v>
      </c>
      <c r="E116" s="129"/>
      <c r="F116" s="130"/>
      <c r="G116" s="129"/>
      <c r="H116" s="131"/>
      <c r="I116" s="166" t="s">
        <v>246</v>
      </c>
      <c r="J116" s="167">
        <f ca="1">(IF(B104&gt;1.5,(H104/(B104+2)+J110+MAX(0,J111-J110)+MAX(0,J112-J111)+MAX(0,J113-J112)+MAX(0,J114-J113)+MAX(0,J115-J114)),IF(B104=1,(H104/(B104+3)+J115),IF(B104=0,H104/4+J115))))</f>
        <v>0</v>
      </c>
    </row>
    <row r="117" spans="1:22">
      <c r="A117" s="149" t="s">
        <v>247</v>
      </c>
      <c r="B117" s="149"/>
      <c r="C117" s="149"/>
      <c r="D117" s="149"/>
      <c r="E117" s="149"/>
      <c r="F117" s="150" t="s">
        <v>248</v>
      </c>
      <c r="G117" s="150"/>
      <c r="H117" s="150"/>
      <c r="R117" t="s">
        <v>152</v>
      </c>
      <c r="S117" t="s">
        <v>41</v>
      </c>
      <c r="T117" t="s">
        <v>153</v>
      </c>
      <c r="U117" t="s">
        <v>42</v>
      </c>
      <c r="V117" t="s">
        <v>40</v>
      </c>
    </row>
    <row r="118" spans="1:22">
      <c r="A118" s="50" t="s">
        <v>249</v>
      </c>
      <c r="B118" s="50"/>
      <c r="C118" s="50"/>
      <c r="D118" s="50"/>
      <c r="E118" s="50"/>
      <c r="F118" s="151">
        <v>6200</v>
      </c>
      <c r="G118" s="151"/>
      <c r="H118" s="151"/>
      <c r="I118" s="43" t="s">
        <v>250</v>
      </c>
      <c r="R118"/>
      <c r="S118">
        <v>800000</v>
      </c>
      <c r="T118">
        <v>150000</v>
      </c>
      <c r="U118">
        <v>100000</v>
      </c>
      <c r="V118">
        <v>100000</v>
      </c>
    </row>
    <row r="119" hidden="1" spans="1:22">
      <c r="A119" s="50" t="s">
        <v>251</v>
      </c>
      <c r="B119" s="50"/>
      <c r="C119" s="50"/>
      <c r="D119" s="50"/>
      <c r="E119" s="50"/>
      <c r="F119" s="151"/>
      <c r="G119" s="151"/>
      <c r="H119" s="151"/>
      <c r="R119"/>
      <c r="S119">
        <v>900000</v>
      </c>
      <c r="T119">
        <v>200000</v>
      </c>
      <c r="U119">
        <v>150000</v>
      </c>
      <c r="V119">
        <v>150000</v>
      </c>
    </row>
    <row r="120" hidden="1" spans="1:22">
      <c r="A120" s="50" t="s">
        <v>252</v>
      </c>
      <c r="B120" s="50"/>
      <c r="C120" s="50"/>
      <c r="D120" s="50"/>
      <c r="E120" s="50"/>
      <c r="F120" s="151"/>
      <c r="G120" s="151"/>
      <c r="H120" s="151"/>
      <c r="R120"/>
      <c r="S120">
        <v>1000000</v>
      </c>
      <c r="T120">
        <v>250000</v>
      </c>
      <c r="U120">
        <v>200000</v>
      </c>
      <c r="V120">
        <v>200000</v>
      </c>
    </row>
    <row r="121" s="38" customFormat="1" hidden="1" spans="1:22">
      <c r="A121" s="50" t="s">
        <v>253</v>
      </c>
      <c r="B121" s="50"/>
      <c r="C121" s="50"/>
      <c r="D121" s="50"/>
      <c r="E121" s="50"/>
      <c r="F121" s="151"/>
      <c r="G121" s="151"/>
      <c r="H121" s="151"/>
      <c r="R121"/>
      <c r="S121">
        <v>1100000</v>
      </c>
      <c r="T121">
        <v>300000</v>
      </c>
      <c r="U121">
        <v>250000</v>
      </c>
      <c r="V121" s="37">
        <v>250000</v>
      </c>
    </row>
    <row r="122" s="38" customFormat="1" spans="1:22">
      <c r="A122" s="50" t="s">
        <v>254</v>
      </c>
      <c r="B122" s="50"/>
      <c r="C122" s="50"/>
      <c r="D122" s="50"/>
      <c r="E122" s="50"/>
      <c r="F122" s="151">
        <v>150000</v>
      </c>
      <c r="G122" s="151"/>
      <c r="H122" s="151"/>
      <c r="R122"/>
      <c r="S122">
        <v>1200000</v>
      </c>
      <c r="T122">
        <v>350000</v>
      </c>
      <c r="U122">
        <v>300000</v>
      </c>
      <c r="V122">
        <v>300000</v>
      </c>
    </row>
    <row r="123" s="38" customFormat="1" spans="1:22">
      <c r="A123" s="50" t="s">
        <v>255</v>
      </c>
      <c r="B123" s="50"/>
      <c r="C123" s="50"/>
      <c r="D123" s="50"/>
      <c r="E123" s="50"/>
      <c r="F123" s="151">
        <v>100000</v>
      </c>
      <c r="G123" s="151"/>
      <c r="H123" s="151"/>
      <c r="R123"/>
      <c r="S123">
        <v>1300000</v>
      </c>
      <c r="T123">
        <v>400000</v>
      </c>
      <c r="U123">
        <v>350000</v>
      </c>
      <c r="V123" s="37">
        <v>400000</v>
      </c>
    </row>
    <row r="124" s="38" customFormat="1" hidden="1" spans="1:22">
      <c r="A124" s="50" t="s">
        <v>256</v>
      </c>
      <c r="B124" s="50"/>
      <c r="C124" s="50"/>
      <c r="D124" s="50"/>
      <c r="E124" s="50"/>
      <c r="F124" s="151"/>
      <c r="G124" s="151"/>
      <c r="H124" s="151"/>
      <c r="R124"/>
      <c r="S124">
        <v>1400000</v>
      </c>
      <c r="T124">
        <v>500000</v>
      </c>
      <c r="U124">
        <v>400000</v>
      </c>
      <c r="V124"/>
    </row>
    <row r="125" s="38" customFormat="1" hidden="1" spans="1:22">
      <c r="A125" s="50" t="s">
        <v>257</v>
      </c>
      <c r="B125" s="50"/>
      <c r="C125" s="50"/>
      <c r="D125" s="50"/>
      <c r="E125" s="50"/>
      <c r="F125" s="151"/>
      <c r="G125" s="151"/>
      <c r="H125" s="151"/>
      <c r="R125"/>
      <c r="S125">
        <v>1500000</v>
      </c>
      <c r="T125">
        <v>600000</v>
      </c>
      <c r="U125">
        <v>500000</v>
      </c>
      <c r="V125" s="37"/>
    </row>
    <row r="126" s="38" customFormat="1" spans="1:22">
      <c r="A126" s="50" t="s">
        <v>258</v>
      </c>
      <c r="B126" s="50"/>
      <c r="C126" s="50"/>
      <c r="D126" s="50"/>
      <c r="E126" s="50"/>
      <c r="F126" s="151">
        <v>50000</v>
      </c>
      <c r="G126" s="151"/>
      <c r="H126" s="151"/>
      <c r="R126"/>
      <c r="S126">
        <v>1600000</v>
      </c>
      <c r="T126">
        <v>700000</v>
      </c>
      <c r="U126">
        <v>600000</v>
      </c>
      <c r="V126"/>
    </row>
    <row r="127" s="38" customFormat="1" hidden="1" spans="1:22">
      <c r="A127" s="50" t="s">
        <v>259</v>
      </c>
      <c r="B127" s="50"/>
      <c r="C127" s="50"/>
      <c r="D127" s="50"/>
      <c r="E127" s="50"/>
      <c r="F127" s="151"/>
      <c r="G127" s="151"/>
      <c r="H127" s="151"/>
      <c r="R127"/>
      <c r="S127">
        <v>1700000</v>
      </c>
      <c r="T127">
        <v>800000</v>
      </c>
      <c r="U127"/>
      <c r="V127" s="37"/>
    </row>
    <row r="128" spans="1:21">
      <c r="A128" s="50" t="s">
        <v>260</v>
      </c>
      <c r="B128" s="50"/>
      <c r="C128" s="50"/>
      <c r="D128" s="50"/>
      <c r="E128" s="50"/>
      <c r="F128" s="152">
        <v>300000</v>
      </c>
      <c r="G128" s="152"/>
      <c r="H128" s="152"/>
      <c r="R128"/>
      <c r="S128">
        <v>1800000</v>
      </c>
      <c r="T128">
        <v>900000</v>
      </c>
      <c r="U128"/>
    </row>
    <row r="129" s="39" customFormat="1" spans="1:22">
      <c r="A129" s="59" t="s">
        <v>261</v>
      </c>
      <c r="B129" s="59"/>
      <c r="C129" s="59"/>
      <c r="D129" s="59"/>
      <c r="E129" s="59"/>
      <c r="F129" s="151">
        <f>F118*0.8</f>
        <v>4960</v>
      </c>
      <c r="G129" s="151"/>
      <c r="H129" s="151"/>
      <c r="R129" s="43"/>
      <c r="S129" s="43"/>
      <c r="T129">
        <v>1000000</v>
      </c>
      <c r="U129"/>
      <c r="V129" s="43"/>
    </row>
    <row r="130" s="40" customFormat="1" hidden="1" customHeight="1" spans="1:22">
      <c r="A130" s="169" t="s">
        <v>262</v>
      </c>
      <c r="B130" s="169"/>
      <c r="C130" s="169"/>
      <c r="D130" s="169"/>
      <c r="E130" s="169"/>
      <c r="F130" s="169"/>
      <c r="G130" s="169"/>
      <c r="H130" s="169"/>
      <c r="R130"/>
      <c r="S130" s="43"/>
      <c r="T130"/>
      <c r="U130"/>
      <c r="V130" s="43"/>
    </row>
    <row r="131" s="40" customFormat="1" hidden="1" customHeight="1" spans="1:22">
      <c r="A131" s="170" t="s">
        <v>263</v>
      </c>
      <c r="B131" s="170"/>
      <c r="C131" s="171" t="s">
        <v>264</v>
      </c>
      <c r="D131" s="171"/>
      <c r="E131" s="172" t="s">
        <v>265</v>
      </c>
      <c r="F131" s="172"/>
      <c r="G131" s="170" t="s">
        <v>266</v>
      </c>
      <c r="H131" s="170"/>
      <c r="R131"/>
      <c r="S131" s="43"/>
      <c r="T131"/>
      <c r="U131" s="43"/>
      <c r="V131" s="43"/>
    </row>
    <row r="132" s="40" customFormat="1" hidden="1" spans="1:22">
      <c r="A132" s="173"/>
      <c r="B132" s="173"/>
      <c r="C132" s="174"/>
      <c r="D132" s="174"/>
      <c r="E132" s="175"/>
      <c r="F132" s="175"/>
      <c r="G132" s="176"/>
      <c r="H132" s="176"/>
      <c r="R132"/>
      <c r="S132" s="43"/>
      <c r="T132"/>
      <c r="U132" s="43"/>
      <c r="V132" s="43"/>
    </row>
    <row r="133" s="40" customFormat="1" hidden="1" spans="1:22">
      <c r="A133" s="173"/>
      <c r="B133" s="173"/>
      <c r="C133" s="174"/>
      <c r="D133" s="174"/>
      <c r="E133" s="175"/>
      <c r="F133" s="175"/>
      <c r="G133" s="176"/>
      <c r="H133" s="176"/>
      <c r="R133"/>
      <c r="S133" s="43"/>
      <c r="T133"/>
      <c r="U133" s="43"/>
      <c r="V133" s="43"/>
    </row>
    <row r="134" s="40" customFormat="1" hidden="1" spans="1:22">
      <c r="A134" s="169" t="s">
        <v>267</v>
      </c>
      <c r="B134" s="169"/>
      <c r="C134" s="171"/>
      <c r="D134" s="171"/>
      <c r="E134" s="172"/>
      <c r="F134" s="172"/>
      <c r="G134" s="170"/>
      <c r="H134" s="170"/>
      <c r="R134"/>
      <c r="S134" s="43"/>
      <c r="T134"/>
      <c r="U134" s="43"/>
      <c r="V134" s="43"/>
    </row>
    <row r="135" s="40" customFormat="1" spans="1:20">
      <c r="A135" s="169" t="s">
        <v>268</v>
      </c>
      <c r="B135" s="169"/>
      <c r="C135" s="169"/>
      <c r="D135" s="169"/>
      <c r="E135" s="169"/>
      <c r="F135" s="169"/>
      <c r="G135" s="169"/>
      <c r="H135" s="169"/>
      <c r="T135"/>
    </row>
    <row r="136" s="40" customFormat="1" customHeight="1" spans="1:20">
      <c r="A136" s="170" t="s">
        <v>263</v>
      </c>
      <c r="B136" s="170"/>
      <c r="C136" s="171" t="s">
        <v>264</v>
      </c>
      <c r="D136" s="171"/>
      <c r="E136" s="172" t="s">
        <v>265</v>
      </c>
      <c r="F136" s="172"/>
      <c r="G136" s="170" t="s">
        <v>266</v>
      </c>
      <c r="H136" s="170"/>
      <c r="T136"/>
    </row>
    <row r="137" s="40" customFormat="1" spans="1:20">
      <c r="A137" s="173" t="s">
        <v>269</v>
      </c>
      <c r="B137" s="173"/>
      <c r="C137" s="177">
        <f>COUNT(D156:D169)*19+COUNT(D172:D184)*4</f>
        <v>318</v>
      </c>
      <c r="D137" s="177"/>
      <c r="E137" s="177">
        <f t="shared" ref="E137" si="0">SUM(F156:F169)*19+SUM(F172:F184)*4</f>
        <v>145357.10982</v>
      </c>
      <c r="F137" s="177"/>
      <c r="G137" s="177">
        <f t="shared" ref="G137" si="1">SUM(H156:H169)*19+SUM(H172:H184)*4</f>
        <v>218035.66473</v>
      </c>
      <c r="H137" s="177"/>
      <c r="I137" s="40">
        <f>14*23-4</f>
        <v>318</v>
      </c>
      <c r="T137"/>
    </row>
    <row r="138" s="40" customFormat="1" spans="1:20">
      <c r="A138" s="173" t="s">
        <v>270</v>
      </c>
      <c r="B138" s="173"/>
      <c r="C138" s="177">
        <f>COUNT(D188:D199)*23</f>
        <v>276</v>
      </c>
      <c r="D138" s="177"/>
      <c r="E138" s="177">
        <f t="shared" ref="E138" si="2">SUM(F188:F199)*23</f>
        <v>126894.514032</v>
      </c>
      <c r="F138" s="177"/>
      <c r="G138" s="177">
        <f t="shared" ref="G138" si="3">SUM(H188:H199)*23</f>
        <v>190341.771048</v>
      </c>
      <c r="H138" s="177"/>
      <c r="I138" s="40">
        <f>23*12</f>
        <v>276</v>
      </c>
      <c r="T138"/>
    </row>
    <row r="139" s="40" customFormat="1" spans="1:20">
      <c r="A139" s="169" t="s">
        <v>267</v>
      </c>
      <c r="B139" s="169"/>
      <c r="C139" s="178">
        <f>SUM(C137:C138)</f>
        <v>594</v>
      </c>
      <c r="D139" s="171"/>
      <c r="E139" s="178">
        <f>SUM(E137:E138)</f>
        <v>272251.623852</v>
      </c>
      <c r="F139" s="171"/>
      <c r="G139" s="178">
        <f>SUM(G137:G138)</f>
        <v>408377.435778</v>
      </c>
      <c r="H139" s="171"/>
      <c r="T139"/>
    </row>
    <row r="140" s="40" customFormat="1" hidden="1" spans="1:20">
      <c r="A140" s="169" t="s">
        <v>271</v>
      </c>
      <c r="B140" s="169"/>
      <c r="C140" s="171">
        <f>C134+C139</f>
        <v>594</v>
      </c>
      <c r="D140" s="171"/>
      <c r="E140" s="179">
        <f>E134+E139</f>
        <v>272251.623852</v>
      </c>
      <c r="F140" s="179"/>
      <c r="G140" s="170">
        <f>G134+G139</f>
        <v>408377.435778</v>
      </c>
      <c r="H140" s="170"/>
      <c r="T140"/>
    </row>
    <row r="141" s="39" customFormat="1" spans="1:20">
      <c r="A141" s="45" t="s">
        <v>272</v>
      </c>
      <c r="B141" s="45"/>
      <c r="C141" s="45"/>
      <c r="D141" s="45"/>
      <c r="E141" s="45"/>
      <c r="F141" s="45"/>
      <c r="G141" s="45"/>
      <c r="H141" s="45"/>
      <c r="T141" s="40"/>
    </row>
    <row r="142" hidden="1" spans="1:20">
      <c r="A142" s="180" t="s">
        <v>273</v>
      </c>
      <c r="B142" s="180"/>
      <c r="C142" s="180"/>
      <c r="D142" s="180"/>
      <c r="E142" s="180"/>
      <c r="F142" s="180"/>
      <c r="G142" s="180"/>
      <c r="H142" s="180"/>
      <c r="T142" s="40"/>
    </row>
    <row r="143" ht="47.25" hidden="1" customHeight="1" spans="1:20">
      <c r="A143" s="181" t="s">
        <v>274</v>
      </c>
      <c r="B143" s="181" t="s">
        <v>275</v>
      </c>
      <c r="C143" s="181" t="s">
        <v>276</v>
      </c>
      <c r="D143" s="182" t="s">
        <v>277</v>
      </c>
      <c r="E143" s="183" t="s">
        <v>278</v>
      </c>
      <c r="F143" s="181" t="s">
        <v>279</v>
      </c>
      <c r="G143" s="183" t="s">
        <v>280</v>
      </c>
      <c r="H143" s="182" t="s">
        <v>281</v>
      </c>
      <c r="T143" s="40"/>
    </row>
    <row r="144" s="41" customFormat="1" hidden="1" spans="1:20">
      <c r="A144" s="181"/>
      <c r="B144" s="181"/>
      <c r="C144" s="181"/>
      <c r="D144" s="182"/>
      <c r="E144" s="183"/>
      <c r="F144" s="181"/>
      <c r="G144" s="183"/>
      <c r="H144" s="184">
        <v>0.45</v>
      </c>
      <c r="T144" s="40"/>
    </row>
    <row r="145" s="41" customFormat="1" hidden="1" spans="1:20">
      <c r="A145" s="185" t="s">
        <v>282</v>
      </c>
      <c r="B145" s="185"/>
      <c r="C145" s="185"/>
      <c r="D145" s="185"/>
      <c r="E145" s="185"/>
      <c r="F145" s="185"/>
      <c r="G145" s="185"/>
      <c r="H145" s="185"/>
      <c r="J145" s="196"/>
      <c r="T145" s="40"/>
    </row>
    <row r="146" s="41" customFormat="1" hidden="1" customHeight="1" spans="1:20">
      <c r="A146" s="186">
        <v>1</v>
      </c>
      <c r="B146" s="186"/>
      <c r="C146" s="186"/>
      <c r="D146" s="186">
        <v>0</v>
      </c>
      <c r="E146" s="186">
        <v>0</v>
      </c>
      <c r="F146" s="186">
        <f>D146+(IF(E146&lt;201,E146,IF(E146&lt;301,E146/2,E146/3)))</f>
        <v>0</v>
      </c>
      <c r="G146" s="186">
        <v>0</v>
      </c>
      <c r="H146" s="186">
        <f>(F146+(IF(G146&lt;101,G146,IF(G146&lt;201,G146/2,IF(G146&lt;=301,G146/3,G146/4)))))*(($H$144)+1)</f>
        <v>0</v>
      </c>
      <c r="I146" s="196"/>
      <c r="N146" s="196"/>
      <c r="T146" s="40"/>
    </row>
    <row r="147" s="41" customFormat="1" hidden="1" customHeight="1" spans="1:20">
      <c r="A147" s="186">
        <f>A146+1</f>
        <v>2</v>
      </c>
      <c r="B147" s="186"/>
      <c r="C147" s="186"/>
      <c r="D147" s="186"/>
      <c r="E147" s="186">
        <v>0</v>
      </c>
      <c r="F147" s="186">
        <f t="shared" ref="F147:F149" si="4">D147+(IF(E147&lt;201,E147,IF(E147&lt;301,E147/2,E147/3)))</f>
        <v>0</v>
      </c>
      <c r="G147" s="186">
        <v>0</v>
      </c>
      <c r="H147" s="186">
        <f t="shared" ref="H147:H149" si="5">(F147+(IF(G147&lt;101,G147,IF(G147&lt;201,G147/2,IF(G147&lt;=301,G147/3,G147/4)))))*(($H$144)+1)</f>
        <v>0</v>
      </c>
      <c r="I147" s="196"/>
      <c r="N147" s="196"/>
      <c r="T147" s="39"/>
    </row>
    <row r="148" s="41" customFormat="1" hidden="1" customHeight="1" spans="1:20">
      <c r="A148" s="186">
        <f>A147+1</f>
        <v>3</v>
      </c>
      <c r="B148" s="186"/>
      <c r="C148" s="186"/>
      <c r="D148" s="186"/>
      <c r="E148" s="186">
        <v>0</v>
      </c>
      <c r="F148" s="186">
        <f t="shared" si="4"/>
        <v>0</v>
      </c>
      <c r="G148" s="186">
        <v>0</v>
      </c>
      <c r="H148" s="186">
        <f t="shared" si="5"/>
        <v>0</v>
      </c>
      <c r="I148" s="196"/>
      <c r="N148" s="196"/>
      <c r="T148" s="43"/>
    </row>
    <row r="149" s="41" customFormat="1" hidden="1" customHeight="1" spans="1:20">
      <c r="A149" s="186">
        <f>A148+1</f>
        <v>4</v>
      </c>
      <c r="B149" s="186"/>
      <c r="C149" s="186"/>
      <c r="D149" s="186"/>
      <c r="E149" s="186">
        <v>0</v>
      </c>
      <c r="F149" s="186">
        <f t="shared" si="4"/>
        <v>0</v>
      </c>
      <c r="G149" s="186">
        <v>0</v>
      </c>
      <c r="H149" s="186">
        <f t="shared" si="5"/>
        <v>0</v>
      </c>
      <c r="I149" s="196"/>
      <c r="N149" s="196"/>
      <c r="T149" s="43"/>
    </row>
    <row r="150" s="41" customFormat="1" hidden="1" spans="1:14">
      <c r="A150" s="186"/>
      <c r="B150" s="186"/>
      <c r="C150" s="186"/>
      <c r="D150" s="186"/>
      <c r="E150" s="186"/>
      <c r="F150" s="186"/>
      <c r="G150" s="186"/>
      <c r="H150" s="186"/>
      <c r="I150" s="196"/>
      <c r="N150" s="196"/>
    </row>
    <row r="151" ht="47.25" customHeight="1" spans="1:20">
      <c r="A151" s="187" t="s">
        <v>283</v>
      </c>
      <c r="B151" s="187" t="s">
        <v>284</v>
      </c>
      <c r="C151" s="187" t="s">
        <v>276</v>
      </c>
      <c r="D151" s="187" t="s">
        <v>277</v>
      </c>
      <c r="E151" s="187" t="s">
        <v>285</v>
      </c>
      <c r="F151" s="187" t="s">
        <v>279</v>
      </c>
      <c r="G151" s="188" t="s">
        <v>280</v>
      </c>
      <c r="H151" s="187" t="s">
        <v>281</v>
      </c>
      <c r="I151" s="196"/>
      <c r="T151" s="41"/>
    </row>
    <row r="152" s="41" customFormat="1" spans="1:9">
      <c r="A152" s="187"/>
      <c r="B152" s="187"/>
      <c r="C152" s="187"/>
      <c r="D152" s="187"/>
      <c r="E152" s="187"/>
      <c r="F152" s="187"/>
      <c r="G152" s="188"/>
      <c r="H152" s="189">
        <v>0.5</v>
      </c>
      <c r="I152" s="196"/>
    </row>
    <row r="153" s="41" customFormat="1" spans="1:10">
      <c r="A153" s="185" t="s">
        <v>269</v>
      </c>
      <c r="B153" s="185"/>
      <c r="C153" s="185"/>
      <c r="D153" s="185"/>
      <c r="E153" s="185"/>
      <c r="F153" s="185"/>
      <c r="G153" s="185"/>
      <c r="H153" s="185"/>
      <c r="J153" s="196"/>
    </row>
    <row r="154" s="41" customFormat="1" spans="1:10">
      <c r="A154" s="190" t="s">
        <v>286</v>
      </c>
      <c r="B154" s="191"/>
      <c r="C154" s="191"/>
      <c r="D154" s="191"/>
      <c r="E154" s="191"/>
      <c r="F154" s="191"/>
      <c r="G154" s="191"/>
      <c r="H154" s="192"/>
      <c r="J154" s="196"/>
    </row>
    <row r="155" s="41" customFormat="1" spans="1:10">
      <c r="A155" s="190" t="s">
        <v>287</v>
      </c>
      <c r="B155" s="191"/>
      <c r="C155" s="191"/>
      <c r="D155" s="191"/>
      <c r="E155" s="191"/>
      <c r="F155" s="191"/>
      <c r="G155" s="191"/>
      <c r="H155" s="192"/>
      <c r="J155" s="196"/>
    </row>
    <row r="156" s="41" customFormat="1" customHeight="1" spans="1:14">
      <c r="A156" s="193">
        <v>1</v>
      </c>
      <c r="B156" s="194"/>
      <c r="C156" s="186" t="s">
        <v>288</v>
      </c>
      <c r="D156" s="186">
        <f t="shared" ref="D156:D161" si="6">(29.97)*10.764</f>
        <v>322.59708</v>
      </c>
      <c r="E156" s="186">
        <f t="shared" ref="E156:E161" si="7">(2.6*1.07+2.25*1.05+2.75*1.05+3.05*0.93)*10.764</f>
        <v>116.988534</v>
      </c>
      <c r="F156" s="186">
        <f t="shared" ref="F156:F169" si="8">D156+E156</f>
        <v>439.585614</v>
      </c>
      <c r="G156" s="186">
        <v>0</v>
      </c>
      <c r="H156" s="186">
        <f t="shared" ref="H156:H169" si="9">F156*(($H$152)+1)+(IF(G156&lt;101,G156,IF(G156&lt;201,G156/2,IF(G156&lt;=301,G156/3,G156/4))))</f>
        <v>659.378421</v>
      </c>
      <c r="I156" s="196">
        <f>3.05*3.52+2.25*2.15+2.75*2.15+1.22*2.17+1.8*1.2+0.88*0.95</f>
        <v>27.1294</v>
      </c>
      <c r="J156" s="186">
        <v>10.764</v>
      </c>
      <c r="N156" s="196"/>
    </row>
    <row r="157" s="41" customFormat="1" customHeight="1" spans="1:14">
      <c r="A157" s="193">
        <f>A156+1</f>
        <v>2</v>
      </c>
      <c r="B157" s="194"/>
      <c r="C157" s="186" t="s">
        <v>288</v>
      </c>
      <c r="D157" s="186">
        <f t="shared" si="6"/>
        <v>322.59708</v>
      </c>
      <c r="E157" s="186">
        <f t="shared" si="7"/>
        <v>116.988534</v>
      </c>
      <c r="F157" s="186">
        <f t="shared" si="8"/>
        <v>439.585614</v>
      </c>
      <c r="G157" s="186">
        <v>0</v>
      </c>
      <c r="H157" s="186">
        <f t="shared" si="9"/>
        <v>659.378421</v>
      </c>
      <c r="I157" s="196">
        <f>3.05*4.45+2.25*3.2+2.75*3.2+1.8*1.2+1.22*2.17+0.88*0.9</f>
        <v>35.1719</v>
      </c>
      <c r="J157" s="41">
        <f>I157-(0.93*3.05+2.25*1.05+2.75*1.05)</f>
        <v>27.0854</v>
      </c>
      <c r="K157" s="41">
        <f>(0.93*3.05+2.25*1.05+2.75*1.05)</f>
        <v>8.0865</v>
      </c>
      <c r="N157" s="196"/>
    </row>
    <row r="158" s="41" customFormat="1" customHeight="1" spans="1:14">
      <c r="A158" s="193">
        <f>A157+1</f>
        <v>3</v>
      </c>
      <c r="B158" s="194"/>
      <c r="C158" s="186" t="s">
        <v>288</v>
      </c>
      <c r="D158" s="186">
        <f t="shared" si="6"/>
        <v>322.59708</v>
      </c>
      <c r="E158" s="186">
        <f t="shared" si="7"/>
        <v>116.988534</v>
      </c>
      <c r="F158" s="186">
        <f t="shared" si="8"/>
        <v>439.585614</v>
      </c>
      <c r="G158" s="186">
        <v>0</v>
      </c>
      <c r="H158" s="186">
        <f t="shared" si="9"/>
        <v>659.378421</v>
      </c>
      <c r="I158" s="196"/>
      <c r="N158" s="196"/>
    </row>
    <row r="159" s="41" customFormat="1" customHeight="1" spans="1:20">
      <c r="A159" s="193">
        <f>A158+1</f>
        <v>4</v>
      </c>
      <c r="B159" s="194"/>
      <c r="C159" s="186" t="s">
        <v>288</v>
      </c>
      <c r="D159" s="186">
        <f t="shared" si="6"/>
        <v>322.59708</v>
      </c>
      <c r="E159" s="186">
        <f t="shared" si="7"/>
        <v>116.988534</v>
      </c>
      <c r="F159" s="186">
        <f t="shared" si="8"/>
        <v>439.585614</v>
      </c>
      <c r="G159" s="186">
        <v>0</v>
      </c>
      <c r="H159" s="186">
        <f t="shared" si="9"/>
        <v>659.378421</v>
      </c>
      <c r="I159" s="196"/>
      <c r="N159" s="196"/>
      <c r="T159" s="43"/>
    </row>
    <row r="160" s="41" customFormat="1" customHeight="1" spans="1:14">
      <c r="A160" s="193">
        <f t="shared" ref="A160:A169" si="10">A159+1</f>
        <v>5</v>
      </c>
      <c r="B160" s="194"/>
      <c r="C160" s="186" t="s">
        <v>288</v>
      </c>
      <c r="D160" s="186">
        <f t="shared" si="6"/>
        <v>322.59708</v>
      </c>
      <c r="E160" s="186">
        <f t="shared" si="7"/>
        <v>116.988534</v>
      </c>
      <c r="F160" s="186">
        <f t="shared" si="8"/>
        <v>439.585614</v>
      </c>
      <c r="G160" s="186">
        <v>0</v>
      </c>
      <c r="H160" s="186">
        <f t="shared" si="9"/>
        <v>659.378421</v>
      </c>
      <c r="I160" s="196"/>
      <c r="J160" s="41">
        <f>2999000/H160</f>
        <v>4548.22284819661</v>
      </c>
      <c r="N160" s="196"/>
    </row>
    <row r="161" s="41" customFormat="1" customHeight="1" spans="1:14">
      <c r="A161" s="193">
        <f t="shared" si="10"/>
        <v>6</v>
      </c>
      <c r="B161" s="194"/>
      <c r="C161" s="186" t="s">
        <v>288</v>
      </c>
      <c r="D161" s="186">
        <f t="shared" si="6"/>
        <v>322.59708</v>
      </c>
      <c r="E161" s="186">
        <f t="shared" si="7"/>
        <v>116.988534</v>
      </c>
      <c r="F161" s="186">
        <f t="shared" si="8"/>
        <v>439.585614</v>
      </c>
      <c r="G161" s="186">
        <v>0</v>
      </c>
      <c r="H161" s="186">
        <f t="shared" si="9"/>
        <v>659.378421</v>
      </c>
      <c r="I161" s="196"/>
      <c r="J161" s="41">
        <f t="shared" ref="J161:J165" si="11">2999000/H161</f>
        <v>4548.22284819661</v>
      </c>
      <c r="N161" s="196"/>
    </row>
    <row r="162" s="41" customFormat="1" customHeight="1" spans="1:14">
      <c r="A162" s="193">
        <f t="shared" si="10"/>
        <v>7</v>
      </c>
      <c r="B162" s="194"/>
      <c r="C162" s="186" t="s">
        <v>288</v>
      </c>
      <c r="D162" s="186">
        <f>(29.82)*10.764</f>
        <v>320.98248</v>
      </c>
      <c r="E162" s="186">
        <f>(2.75*0.93+2.3*1.07)*10.764</f>
        <v>54.019134</v>
      </c>
      <c r="F162" s="186">
        <f t="shared" si="8"/>
        <v>375.001614</v>
      </c>
      <c r="G162" s="186">
        <v>0</v>
      </c>
      <c r="H162" s="186">
        <f t="shared" si="9"/>
        <v>562.502421</v>
      </c>
      <c r="I162" s="196">
        <f>2.75*3.07+2.25*2.75+2.75*2.75+1.98*1.2+1.22*2.17+0.5*1.65</f>
        <v>28.0409</v>
      </c>
      <c r="J162" s="41">
        <f t="shared" si="11"/>
        <v>5331.53260863921</v>
      </c>
      <c r="N162" s="196"/>
    </row>
    <row r="163" s="41" customFormat="1" customHeight="1" spans="1:20">
      <c r="A163" s="193">
        <f t="shared" si="10"/>
        <v>8</v>
      </c>
      <c r="B163" s="194"/>
      <c r="C163" s="186" t="s">
        <v>288</v>
      </c>
      <c r="D163" s="186">
        <f>(29.82)*10.764</f>
        <v>320.98248</v>
      </c>
      <c r="E163" s="186">
        <f>(2.75*0.93+2.3*1.07)*10.764</f>
        <v>54.019134</v>
      </c>
      <c r="F163" s="186">
        <f t="shared" si="8"/>
        <v>375.001614</v>
      </c>
      <c r="G163" s="186">
        <v>0</v>
      </c>
      <c r="H163" s="186">
        <f t="shared" si="9"/>
        <v>562.502421</v>
      </c>
      <c r="I163" s="196"/>
      <c r="J163" s="41">
        <f t="shared" si="11"/>
        <v>5331.53260863921</v>
      </c>
      <c r="N163" s="196"/>
      <c r="T163" s="43"/>
    </row>
    <row r="164" s="41" customFormat="1" customHeight="1" spans="1:14">
      <c r="A164" s="193">
        <f t="shared" si="10"/>
        <v>9</v>
      </c>
      <c r="B164" s="194"/>
      <c r="C164" s="186" t="s">
        <v>288</v>
      </c>
      <c r="D164" s="186">
        <f>(29.97)*10.764</f>
        <v>322.59708</v>
      </c>
      <c r="E164" s="186">
        <f>(2.6*1.07+2.25*1.05+2.75*1.05+3.05*0.93)*10.764</f>
        <v>116.988534</v>
      </c>
      <c r="F164" s="186">
        <f t="shared" si="8"/>
        <v>439.585614</v>
      </c>
      <c r="G164" s="186">
        <v>0</v>
      </c>
      <c r="H164" s="186">
        <f t="shared" si="9"/>
        <v>659.378421</v>
      </c>
      <c r="I164" s="196"/>
      <c r="J164" s="41">
        <f t="shared" si="11"/>
        <v>4548.22284819661</v>
      </c>
      <c r="N164" s="196"/>
    </row>
    <row r="165" s="41" customFormat="1" customHeight="1" spans="1:14">
      <c r="A165" s="193">
        <f t="shared" si="10"/>
        <v>10</v>
      </c>
      <c r="B165" s="194"/>
      <c r="C165" s="186" t="s">
        <v>288</v>
      </c>
      <c r="D165" s="186">
        <f>(29.97)*10.764</f>
        <v>322.59708</v>
      </c>
      <c r="E165" s="186">
        <f>(2.6*1.07+2.25*1.05+2.75*1.05+3.05*0.93)*10.764</f>
        <v>116.988534</v>
      </c>
      <c r="F165" s="186">
        <f t="shared" si="8"/>
        <v>439.585614</v>
      </c>
      <c r="G165" s="186">
        <v>0</v>
      </c>
      <c r="H165" s="186">
        <f t="shared" si="9"/>
        <v>659.378421</v>
      </c>
      <c r="I165" s="196"/>
      <c r="J165" s="41">
        <f t="shared" si="11"/>
        <v>4548.22284819661</v>
      </c>
      <c r="N165" s="196"/>
    </row>
    <row r="166" s="41" customFormat="1" customHeight="1" spans="1:14">
      <c r="A166" s="193">
        <f t="shared" si="10"/>
        <v>11</v>
      </c>
      <c r="B166" s="194"/>
      <c r="C166" s="186" t="s">
        <v>289</v>
      </c>
      <c r="D166" s="186">
        <f>(46.68)*10.764</f>
        <v>502.46352</v>
      </c>
      <c r="E166" s="186">
        <f>(1.07*2.6)*10.764</f>
        <v>29.945448</v>
      </c>
      <c r="F166" s="186">
        <f t="shared" si="8"/>
        <v>532.408968</v>
      </c>
      <c r="G166" s="186">
        <v>0</v>
      </c>
      <c r="H166" s="186">
        <f t="shared" si="9"/>
        <v>798.613452</v>
      </c>
      <c r="I166" s="196">
        <f>4.45*3.05+3.2*2.25+3.2*2.75+3.05*2.75+1.22*2.13+2.17*1.22+0.88*0.95</f>
        <v>44.042</v>
      </c>
      <c r="J166" s="41">
        <f>4599000/H166</f>
        <v>5758.73094609481</v>
      </c>
      <c r="N166" s="196"/>
    </row>
    <row r="167" s="41" customFormat="1" customHeight="1" spans="1:20">
      <c r="A167" s="193">
        <f t="shared" si="10"/>
        <v>12</v>
      </c>
      <c r="B167" s="194"/>
      <c r="C167" s="186" t="s">
        <v>289</v>
      </c>
      <c r="D167" s="186">
        <f>(46.68)*10.764</f>
        <v>502.46352</v>
      </c>
      <c r="E167" s="186">
        <f t="shared" ref="E167:E169" si="12">(1.07*2.6)*10.764</f>
        <v>29.945448</v>
      </c>
      <c r="F167" s="186">
        <f t="shared" si="8"/>
        <v>532.408968</v>
      </c>
      <c r="G167" s="186">
        <v>0</v>
      </c>
      <c r="H167" s="186">
        <f t="shared" si="9"/>
        <v>798.613452</v>
      </c>
      <c r="I167" s="196"/>
      <c r="J167" s="41">
        <f t="shared" ref="J167:J169" si="13">4599000/H167</f>
        <v>5758.73094609481</v>
      </c>
      <c r="N167" s="196"/>
      <c r="T167" s="43"/>
    </row>
    <row r="168" s="41" customFormat="1" customHeight="1" spans="1:14">
      <c r="A168" s="193">
        <f t="shared" si="10"/>
        <v>13</v>
      </c>
      <c r="B168" s="194"/>
      <c r="C168" s="186" t="s">
        <v>289</v>
      </c>
      <c r="D168" s="186">
        <f>(46.68)*10.764</f>
        <v>502.46352</v>
      </c>
      <c r="E168" s="186">
        <f t="shared" si="12"/>
        <v>29.945448</v>
      </c>
      <c r="F168" s="186">
        <f t="shared" si="8"/>
        <v>532.408968</v>
      </c>
      <c r="G168" s="186">
        <v>0</v>
      </c>
      <c r="H168" s="186">
        <f t="shared" si="9"/>
        <v>798.613452</v>
      </c>
      <c r="I168" s="196"/>
      <c r="J168" s="41">
        <f t="shared" si="13"/>
        <v>5758.73094609481</v>
      </c>
      <c r="N168" s="196"/>
    </row>
    <row r="169" s="41" customFormat="1" customHeight="1" spans="1:20">
      <c r="A169" s="193">
        <f t="shared" si="10"/>
        <v>14</v>
      </c>
      <c r="B169" s="194"/>
      <c r="C169" s="186" t="s">
        <v>289</v>
      </c>
      <c r="D169" s="186">
        <f>(46.68)*10.764</f>
        <v>502.46352</v>
      </c>
      <c r="E169" s="186">
        <f t="shared" si="12"/>
        <v>29.945448</v>
      </c>
      <c r="F169" s="186">
        <f t="shared" si="8"/>
        <v>532.408968</v>
      </c>
      <c r="G169" s="186">
        <v>0</v>
      </c>
      <c r="H169" s="186">
        <f t="shared" si="9"/>
        <v>798.613452</v>
      </c>
      <c r="I169" s="196"/>
      <c r="J169" s="41">
        <f t="shared" si="13"/>
        <v>5758.73094609481</v>
      </c>
      <c r="N169" s="196"/>
      <c r="T169" s="43"/>
    </row>
    <row r="170" s="41" customFormat="1" spans="1:10">
      <c r="A170" s="185" t="s">
        <v>290</v>
      </c>
      <c r="B170" s="185"/>
      <c r="C170" s="185"/>
      <c r="D170" s="185"/>
      <c r="E170" s="185"/>
      <c r="F170" s="185"/>
      <c r="G170" s="185"/>
      <c r="H170" s="185"/>
      <c r="I170" s="196"/>
      <c r="J170" s="41">
        <v>5750</v>
      </c>
    </row>
    <row r="171" s="41" customFormat="1" spans="1:14">
      <c r="A171" s="186">
        <v>1</v>
      </c>
      <c r="B171" s="186"/>
      <c r="C171" s="193" t="s">
        <v>291</v>
      </c>
      <c r="D171" s="195"/>
      <c r="E171" s="195"/>
      <c r="F171" s="195"/>
      <c r="G171" s="195"/>
      <c r="H171" s="194"/>
      <c r="I171" s="196"/>
      <c r="N171" s="196"/>
    </row>
    <row r="172" s="41" customFormat="1" spans="1:14">
      <c r="A172" s="186">
        <v>2</v>
      </c>
      <c r="B172" s="186"/>
      <c r="C172" s="186" t="s">
        <v>288</v>
      </c>
      <c r="D172" s="186">
        <f>(29.97)*10.764</f>
        <v>322.59708</v>
      </c>
      <c r="E172" s="186">
        <f>(2.6*1.07+2.25*1.05+2.75*1.05+3.05*0.93)*10.764</f>
        <v>116.988534</v>
      </c>
      <c r="F172" s="186">
        <f t="shared" ref="F172:F184" si="14">D172+E172</f>
        <v>439.585614</v>
      </c>
      <c r="G172" s="186">
        <v>0</v>
      </c>
      <c r="H172" s="186">
        <f t="shared" ref="H172:H184" si="15">F172*(($H$152)+1)+(IF(G172&lt;101,G172,IF(G172&lt;201,G172/2,IF(G172&lt;=301,G172/3,G172/4))))</f>
        <v>659.378421</v>
      </c>
      <c r="I172" s="196"/>
      <c r="J172" s="41">
        <f>J$170*H172</f>
        <v>3791425.92075</v>
      </c>
      <c r="N172" s="196"/>
    </row>
    <row r="173" s="41" customFormat="1" spans="1:14">
      <c r="A173" s="186">
        <v>3</v>
      </c>
      <c r="B173" s="186"/>
      <c r="C173" s="186" t="s">
        <v>288</v>
      </c>
      <c r="D173" s="186">
        <f>(29.97)*10.764</f>
        <v>322.59708</v>
      </c>
      <c r="E173" s="186">
        <f>(2.6*1.07+2.25*1.05+2.75*1.05+3.05*0.93)*10.764</f>
        <v>116.988534</v>
      </c>
      <c r="F173" s="186">
        <f t="shared" si="14"/>
        <v>439.585614</v>
      </c>
      <c r="G173" s="186">
        <v>0</v>
      </c>
      <c r="H173" s="186">
        <f t="shared" si="15"/>
        <v>659.378421</v>
      </c>
      <c r="I173" s="196"/>
      <c r="J173" s="41">
        <f t="shared" ref="J173:J184" si="16">J$170*H173</f>
        <v>3791425.92075</v>
      </c>
      <c r="N173" s="196"/>
    </row>
    <row r="174" s="41" customFormat="1" spans="1:14">
      <c r="A174" s="186">
        <v>4</v>
      </c>
      <c r="B174" s="186"/>
      <c r="C174" s="186" t="s">
        <v>288</v>
      </c>
      <c r="D174" s="186">
        <f>(29.97)*10.764</f>
        <v>322.59708</v>
      </c>
      <c r="E174" s="186">
        <f>(2.6*1.07+2.25*1.05+2.75*1.05+3.05*0.93)*10.764</f>
        <v>116.988534</v>
      </c>
      <c r="F174" s="186">
        <f t="shared" si="14"/>
        <v>439.585614</v>
      </c>
      <c r="G174" s="186">
        <v>0</v>
      </c>
      <c r="H174" s="186">
        <f t="shared" si="15"/>
        <v>659.378421</v>
      </c>
      <c r="I174" s="196"/>
      <c r="J174" s="41">
        <f t="shared" si="16"/>
        <v>3791425.92075</v>
      </c>
      <c r="N174" s="196"/>
    </row>
    <row r="175" s="41" customFormat="1" spans="1:14">
      <c r="A175" s="186">
        <v>5</v>
      </c>
      <c r="B175" s="186"/>
      <c r="C175" s="186" t="s">
        <v>288</v>
      </c>
      <c r="D175" s="186">
        <f>(29.97)*10.764</f>
        <v>322.59708</v>
      </c>
      <c r="E175" s="186">
        <f>(2.6*1.07+2.25*1.05+2.75*1.05+3.05*0.93)*10.764</f>
        <v>116.988534</v>
      </c>
      <c r="F175" s="186">
        <f t="shared" si="14"/>
        <v>439.585614</v>
      </c>
      <c r="G175" s="186">
        <v>0</v>
      </c>
      <c r="H175" s="186">
        <f t="shared" si="15"/>
        <v>659.378421</v>
      </c>
      <c r="I175" s="196"/>
      <c r="J175" s="41">
        <f t="shared" si="16"/>
        <v>3791425.92075</v>
      </c>
      <c r="N175" s="196"/>
    </row>
    <row r="176" s="41" customFormat="1" spans="1:14">
      <c r="A176" s="186">
        <v>6</v>
      </c>
      <c r="B176" s="186"/>
      <c r="C176" s="186" t="s">
        <v>288</v>
      </c>
      <c r="D176" s="186">
        <f>(29.97)*10.764</f>
        <v>322.59708</v>
      </c>
      <c r="E176" s="186">
        <f>(2.6*1.07+2.25*1.05+2.75*1.05+3.05*0.93)*10.764</f>
        <v>116.988534</v>
      </c>
      <c r="F176" s="186">
        <f t="shared" si="14"/>
        <v>439.585614</v>
      </c>
      <c r="G176" s="186">
        <v>0</v>
      </c>
      <c r="H176" s="186">
        <f t="shared" si="15"/>
        <v>659.378421</v>
      </c>
      <c r="I176" s="196"/>
      <c r="J176" s="41">
        <f t="shared" si="16"/>
        <v>3791425.92075</v>
      </c>
      <c r="N176" s="196"/>
    </row>
    <row r="177" s="41" customFormat="1" spans="1:14">
      <c r="A177" s="186">
        <v>7</v>
      </c>
      <c r="B177" s="186"/>
      <c r="C177" s="186" t="s">
        <v>288</v>
      </c>
      <c r="D177" s="186">
        <f>(29.82)*10.764</f>
        <v>320.98248</v>
      </c>
      <c r="E177" s="186">
        <f>(2.3*1.07+2.75*0.93)*10.764</f>
        <v>54.019134</v>
      </c>
      <c r="F177" s="186">
        <f t="shared" si="14"/>
        <v>375.001614</v>
      </c>
      <c r="G177" s="186">
        <v>0</v>
      </c>
      <c r="H177" s="186">
        <f t="shared" si="15"/>
        <v>562.502421</v>
      </c>
      <c r="I177" s="196">
        <f>2.75*3.07+2.25*2.75+2.75*2.75+1.98*1.2+1.22*2.17+0.5*1.65</f>
        <v>28.0409</v>
      </c>
      <c r="J177" s="41">
        <f t="shared" si="16"/>
        <v>3234388.92075</v>
      </c>
      <c r="N177" s="196"/>
    </row>
    <row r="178" s="41" customFormat="1" spans="1:14">
      <c r="A178" s="186">
        <v>8</v>
      </c>
      <c r="B178" s="186"/>
      <c r="C178" s="186" t="s">
        <v>288</v>
      </c>
      <c r="D178" s="186">
        <f>(29.82)*10.764</f>
        <v>320.98248</v>
      </c>
      <c r="E178" s="186">
        <f>(2.3*1.07+2.75*0.93)*10.764</f>
        <v>54.019134</v>
      </c>
      <c r="F178" s="186">
        <f t="shared" si="14"/>
        <v>375.001614</v>
      </c>
      <c r="G178" s="186">
        <v>0</v>
      </c>
      <c r="H178" s="186">
        <f t="shared" si="15"/>
        <v>562.502421</v>
      </c>
      <c r="I178" s="196"/>
      <c r="J178" s="41">
        <f t="shared" si="16"/>
        <v>3234388.92075</v>
      </c>
      <c r="N178" s="196"/>
    </row>
    <row r="179" s="41" customFormat="1" spans="1:14">
      <c r="A179" s="186">
        <v>9</v>
      </c>
      <c r="B179" s="186"/>
      <c r="C179" s="186" t="s">
        <v>288</v>
      </c>
      <c r="D179" s="186">
        <f>(29.97)*10.764</f>
        <v>322.59708</v>
      </c>
      <c r="E179" s="186">
        <f>(2.6*1.07+2.25*1.05+2.75*1.05+3.05*0.93)*10.764</f>
        <v>116.988534</v>
      </c>
      <c r="F179" s="186">
        <f t="shared" si="14"/>
        <v>439.585614</v>
      </c>
      <c r="G179" s="186">
        <v>0</v>
      </c>
      <c r="H179" s="186">
        <f t="shared" si="15"/>
        <v>659.378421</v>
      </c>
      <c r="I179" s="196"/>
      <c r="J179" s="41">
        <f t="shared" si="16"/>
        <v>3791425.92075</v>
      </c>
      <c r="N179" s="196"/>
    </row>
    <row r="180" s="41" customFormat="1" spans="1:14">
      <c r="A180" s="186">
        <v>10</v>
      </c>
      <c r="B180" s="186"/>
      <c r="C180" s="186" t="s">
        <v>288</v>
      </c>
      <c r="D180" s="186">
        <f>(29.97)*10.764</f>
        <v>322.59708</v>
      </c>
      <c r="E180" s="186">
        <f>(2.6*1.07+2.25*1.05+2.75*1.05+3.05*0.93)*10.764</f>
        <v>116.988534</v>
      </c>
      <c r="F180" s="186">
        <f t="shared" si="14"/>
        <v>439.585614</v>
      </c>
      <c r="G180" s="186">
        <v>0</v>
      </c>
      <c r="H180" s="186">
        <f t="shared" si="15"/>
        <v>659.378421</v>
      </c>
      <c r="I180" s="196"/>
      <c r="J180" s="41">
        <f t="shared" si="16"/>
        <v>3791425.92075</v>
      </c>
      <c r="N180" s="196"/>
    </row>
    <row r="181" s="41" customFormat="1" spans="1:14">
      <c r="A181" s="186">
        <v>11</v>
      </c>
      <c r="B181" s="186"/>
      <c r="C181" s="186" t="s">
        <v>289</v>
      </c>
      <c r="D181" s="186">
        <f>(46.68)*10.764</f>
        <v>502.46352</v>
      </c>
      <c r="E181" s="186">
        <f>(1.07*2.6)*10.764</f>
        <v>29.945448</v>
      </c>
      <c r="F181" s="186">
        <f t="shared" si="14"/>
        <v>532.408968</v>
      </c>
      <c r="G181" s="186">
        <v>0</v>
      </c>
      <c r="H181" s="186">
        <f t="shared" si="15"/>
        <v>798.613452</v>
      </c>
      <c r="I181" s="196">
        <f>4.45*3.05+3.2*2.25+3.2*2.75+3.05*2.75+1.22*2.13+2.17*1.22+0.88*0.95</f>
        <v>44.042</v>
      </c>
      <c r="J181" s="41">
        <f t="shared" si="16"/>
        <v>4592027.349</v>
      </c>
      <c r="N181" s="196"/>
    </row>
    <row r="182" s="41" customFormat="1" spans="1:14">
      <c r="A182" s="186">
        <v>12</v>
      </c>
      <c r="B182" s="186"/>
      <c r="C182" s="186" t="s">
        <v>289</v>
      </c>
      <c r="D182" s="186">
        <f>(46.68)*10.764</f>
        <v>502.46352</v>
      </c>
      <c r="E182" s="186">
        <f>(1.07*2.6)*10.764</f>
        <v>29.945448</v>
      </c>
      <c r="F182" s="186">
        <f t="shared" si="14"/>
        <v>532.408968</v>
      </c>
      <c r="G182" s="186">
        <v>0</v>
      </c>
      <c r="H182" s="186">
        <f t="shared" si="15"/>
        <v>798.613452</v>
      </c>
      <c r="I182" s="196"/>
      <c r="J182" s="41">
        <f t="shared" si="16"/>
        <v>4592027.349</v>
      </c>
      <c r="N182" s="196"/>
    </row>
    <row r="183" s="41" customFormat="1" spans="1:14">
      <c r="A183" s="186">
        <v>13</v>
      </c>
      <c r="B183" s="186"/>
      <c r="C183" s="186" t="s">
        <v>289</v>
      </c>
      <c r="D183" s="186">
        <f>(46.68)*10.764</f>
        <v>502.46352</v>
      </c>
      <c r="E183" s="186">
        <f>(1.07*2.6)*10.764</f>
        <v>29.945448</v>
      </c>
      <c r="F183" s="186">
        <f t="shared" si="14"/>
        <v>532.408968</v>
      </c>
      <c r="G183" s="186">
        <v>0</v>
      </c>
      <c r="H183" s="186">
        <f t="shared" si="15"/>
        <v>798.613452</v>
      </c>
      <c r="I183" s="196"/>
      <c r="J183" s="41">
        <f t="shared" si="16"/>
        <v>4592027.349</v>
      </c>
      <c r="N183" s="196"/>
    </row>
    <row r="184" s="41" customFormat="1" spans="1:14">
      <c r="A184" s="186">
        <v>14</v>
      </c>
      <c r="B184" s="186"/>
      <c r="C184" s="186" t="s">
        <v>289</v>
      </c>
      <c r="D184" s="186">
        <f>(46.68)*10.764</f>
        <v>502.46352</v>
      </c>
      <c r="E184" s="186">
        <f>(1.07*2.6)*10.764</f>
        <v>29.945448</v>
      </c>
      <c r="F184" s="186">
        <f t="shared" si="14"/>
        <v>532.408968</v>
      </c>
      <c r="G184" s="186">
        <v>0</v>
      </c>
      <c r="H184" s="186">
        <f t="shared" si="15"/>
        <v>798.613452</v>
      </c>
      <c r="I184" s="196"/>
      <c r="J184" s="41">
        <f t="shared" si="16"/>
        <v>4592027.349</v>
      </c>
      <c r="N184" s="196"/>
    </row>
    <row r="185" s="41" customFormat="1" spans="1:10">
      <c r="A185" s="185" t="s">
        <v>270</v>
      </c>
      <c r="B185" s="185"/>
      <c r="C185" s="185"/>
      <c r="D185" s="185"/>
      <c r="E185" s="185"/>
      <c r="F185" s="185"/>
      <c r="G185" s="185"/>
      <c r="H185" s="185"/>
      <c r="J185" s="196"/>
    </row>
    <row r="186" s="41" customFormat="1" spans="1:10">
      <c r="A186" s="185" t="s">
        <v>286</v>
      </c>
      <c r="B186" s="185"/>
      <c r="C186" s="185"/>
      <c r="D186" s="185"/>
      <c r="E186" s="185"/>
      <c r="F186" s="185"/>
      <c r="G186" s="185"/>
      <c r="H186" s="185"/>
      <c r="J186" s="196"/>
    </row>
    <row r="187" s="41" customFormat="1" spans="1:9">
      <c r="A187" s="185" t="s">
        <v>287</v>
      </c>
      <c r="B187" s="185"/>
      <c r="C187" s="185"/>
      <c r="D187" s="185"/>
      <c r="E187" s="185"/>
      <c r="F187" s="185"/>
      <c r="G187" s="185"/>
      <c r="H187" s="185"/>
      <c r="I187" s="196"/>
    </row>
    <row r="188" s="41" customFormat="1" customHeight="1" spans="1:9">
      <c r="A188" s="186">
        <v>1</v>
      </c>
      <c r="B188" s="186"/>
      <c r="C188" s="186" t="s">
        <v>288</v>
      </c>
      <c r="D188" s="186">
        <f>(29.97)*10.764</f>
        <v>322.59708</v>
      </c>
      <c r="E188" s="186">
        <f>(2.6*1.07+2.25*1.05+2.75*1.05+3.05*0.93)*10.764</f>
        <v>116.988534</v>
      </c>
      <c r="F188" s="186">
        <f t="shared" ref="F188:F199" si="17">D188+E188</f>
        <v>439.585614</v>
      </c>
      <c r="G188" s="186">
        <v>0</v>
      </c>
      <c r="H188" s="186">
        <f t="shared" ref="H188:H199" si="18">F188*(($H$152)+1)+(IF(G188&lt;101,G188,IF(G188&lt;201,G188/2,IF(G188&lt;=301,G188/3,G188/4))))</f>
        <v>659.378421</v>
      </c>
      <c r="I188" s="196">
        <f>3.05*3.52+2.25*2.15+2.75*2.15+1.22*2.17+1.8*1.2+0.88*0.95</f>
        <v>27.1294</v>
      </c>
    </row>
    <row r="189" s="41" customFormat="1" customHeight="1" spans="1:9">
      <c r="A189" s="186">
        <v>2</v>
      </c>
      <c r="B189" s="186"/>
      <c r="C189" s="186" t="s">
        <v>288</v>
      </c>
      <c r="D189" s="186">
        <f>(29.97)*10.764</f>
        <v>322.59708</v>
      </c>
      <c r="E189" s="186">
        <f>(2.6*1.07+2.25*1.05+2.75*1.05+3.05*0.93)*10.764</f>
        <v>116.988534</v>
      </c>
      <c r="F189" s="186">
        <f t="shared" si="17"/>
        <v>439.585614</v>
      </c>
      <c r="G189" s="186">
        <v>0</v>
      </c>
      <c r="H189" s="186">
        <f t="shared" si="18"/>
        <v>659.378421</v>
      </c>
      <c r="I189" s="196"/>
    </row>
    <row r="190" s="41" customFormat="1" customHeight="1" spans="1:12">
      <c r="A190" s="186">
        <v>3</v>
      </c>
      <c r="B190" s="186"/>
      <c r="C190" s="186" t="s">
        <v>288</v>
      </c>
      <c r="D190" s="186">
        <f>(29.82)*10.764</f>
        <v>320.98248</v>
      </c>
      <c r="E190" s="186">
        <f>(2.3*1.07+2.75*0.93)*10.764</f>
        <v>54.019134</v>
      </c>
      <c r="F190" s="186">
        <f t="shared" si="17"/>
        <v>375.001614</v>
      </c>
      <c r="G190" s="186">
        <v>0</v>
      </c>
      <c r="H190" s="186">
        <f t="shared" si="18"/>
        <v>562.502421</v>
      </c>
      <c r="I190" s="196"/>
      <c r="J190" s="41">
        <f>3700000*0.07</f>
        <v>259000</v>
      </c>
      <c r="K190" s="41">
        <f>3700000-J190</f>
        <v>3441000</v>
      </c>
      <c r="L190" s="41">
        <f>K190/H190</f>
        <v>6117.30700444399</v>
      </c>
    </row>
    <row r="191" s="41" customFormat="1" customHeight="1" spans="1:10">
      <c r="A191" s="186">
        <v>4</v>
      </c>
      <c r="B191" s="186"/>
      <c r="C191" s="186" t="s">
        <v>288</v>
      </c>
      <c r="D191" s="186">
        <f>(29.82)*10.764</f>
        <v>320.98248</v>
      </c>
      <c r="E191" s="186">
        <f>(2.3*1.07+2.75*0.93)*10.764</f>
        <v>54.019134</v>
      </c>
      <c r="F191" s="186">
        <f t="shared" si="17"/>
        <v>375.001614</v>
      </c>
      <c r="G191" s="186">
        <v>0</v>
      </c>
      <c r="H191" s="186">
        <f t="shared" si="18"/>
        <v>562.502421</v>
      </c>
      <c r="I191" s="196">
        <f>2.75*3.07+2.25*2.75+2.75*2.75+1.98*1.2+1.22*2.17+0.5*1.65</f>
        <v>28.0409</v>
      </c>
      <c r="J191" s="41">
        <f>3700000/H191</f>
        <v>6577.74946714407</v>
      </c>
    </row>
    <row r="192" s="41" customFormat="1" customHeight="1" spans="1:9">
      <c r="A192" s="186">
        <v>5</v>
      </c>
      <c r="B192" s="186"/>
      <c r="C192" s="186" t="s">
        <v>288</v>
      </c>
      <c r="D192" s="186">
        <f>(29.97)*10.764</f>
        <v>322.59708</v>
      </c>
      <c r="E192" s="186">
        <f>(2.6*1.07+2.25*1.05+2.75*1.05+3.05*0.93)*10.764</f>
        <v>116.988534</v>
      </c>
      <c r="F192" s="186">
        <f t="shared" si="17"/>
        <v>439.585614</v>
      </c>
      <c r="G192" s="186">
        <v>0</v>
      </c>
      <c r="H192" s="186">
        <f t="shared" si="18"/>
        <v>659.378421</v>
      </c>
      <c r="I192" s="196"/>
    </row>
    <row r="193" s="41" customFormat="1" customHeight="1" spans="1:9">
      <c r="A193" s="186">
        <v>6</v>
      </c>
      <c r="B193" s="186"/>
      <c r="C193" s="186" t="s">
        <v>288</v>
      </c>
      <c r="D193" s="186">
        <f>(29.97)*10.764</f>
        <v>322.59708</v>
      </c>
      <c r="E193" s="186">
        <f>(2.6*1.07+2.25*1.05+2.75*1.05+3.05*0.93)*10.764</f>
        <v>116.988534</v>
      </c>
      <c r="F193" s="186">
        <f t="shared" si="17"/>
        <v>439.585614</v>
      </c>
      <c r="G193" s="186">
        <v>0</v>
      </c>
      <c r="H193" s="186">
        <f t="shared" si="18"/>
        <v>659.378421</v>
      </c>
      <c r="I193" s="196"/>
    </row>
    <row r="194" s="41" customFormat="1" customHeight="1" spans="1:12">
      <c r="A194" s="186">
        <v>7</v>
      </c>
      <c r="B194" s="186"/>
      <c r="C194" s="186" t="s">
        <v>289</v>
      </c>
      <c r="D194" s="186">
        <f>(46.68)*10.764</f>
        <v>502.46352</v>
      </c>
      <c r="E194" s="186">
        <f>(2.6*1.07)*10.764</f>
        <v>29.945448</v>
      </c>
      <c r="F194" s="186">
        <f t="shared" si="17"/>
        <v>532.408968</v>
      </c>
      <c r="G194" s="186">
        <v>0</v>
      </c>
      <c r="H194" s="186">
        <f t="shared" si="18"/>
        <v>798.613452</v>
      </c>
      <c r="I194" s="196"/>
      <c r="J194" s="41">
        <f>5300000*0.12</f>
        <v>636000</v>
      </c>
      <c r="K194" s="41">
        <f>5300000-J194</f>
        <v>4664000</v>
      </c>
      <c r="L194" s="41">
        <f>K194/H194</f>
        <v>5840.12201186914</v>
      </c>
    </row>
    <row r="195" s="41" customFormat="1" customHeight="1" spans="1:9">
      <c r="A195" s="186">
        <v>8</v>
      </c>
      <c r="B195" s="186"/>
      <c r="C195" s="186" t="s">
        <v>289</v>
      </c>
      <c r="D195" s="186">
        <f>(46.68)*10.764</f>
        <v>502.46352</v>
      </c>
      <c r="E195" s="186">
        <f>(2.6*1.07)*10.764</f>
        <v>29.945448</v>
      </c>
      <c r="F195" s="186">
        <f t="shared" si="17"/>
        <v>532.408968</v>
      </c>
      <c r="G195" s="186">
        <v>0</v>
      </c>
      <c r="H195" s="186">
        <f t="shared" si="18"/>
        <v>798.613452</v>
      </c>
      <c r="I195" s="196"/>
    </row>
    <row r="196" s="41" customFormat="1" customHeight="1" spans="1:9">
      <c r="A196" s="193">
        <v>9</v>
      </c>
      <c r="B196" s="194"/>
      <c r="C196" s="186" t="s">
        <v>289</v>
      </c>
      <c r="D196" s="186">
        <f>(46.68)*10.764</f>
        <v>502.46352</v>
      </c>
      <c r="E196" s="186">
        <f>(2.6*1.07)*10.764</f>
        <v>29.945448</v>
      </c>
      <c r="F196" s="186">
        <f t="shared" si="17"/>
        <v>532.408968</v>
      </c>
      <c r="G196" s="186">
        <v>0</v>
      </c>
      <c r="H196" s="186">
        <f t="shared" si="18"/>
        <v>798.613452</v>
      </c>
      <c r="I196" s="196"/>
    </row>
    <row r="197" s="41" customFormat="1" customHeight="1" spans="1:9">
      <c r="A197" s="193">
        <v>10</v>
      </c>
      <c r="B197" s="194"/>
      <c r="C197" s="186" t="s">
        <v>289</v>
      </c>
      <c r="D197" s="186">
        <f>(46.68)*10.764</f>
        <v>502.46352</v>
      </c>
      <c r="E197" s="186">
        <f>(2.6*1.07)*10.764</f>
        <v>29.945448</v>
      </c>
      <c r="F197" s="186">
        <f t="shared" si="17"/>
        <v>532.408968</v>
      </c>
      <c r="G197" s="186">
        <v>0</v>
      </c>
      <c r="H197" s="186">
        <f t="shared" si="18"/>
        <v>798.613452</v>
      </c>
      <c r="I197" s="196"/>
    </row>
    <row r="198" s="41" customFormat="1" customHeight="1" spans="1:9">
      <c r="A198" s="193">
        <v>11</v>
      </c>
      <c r="B198" s="194"/>
      <c r="C198" s="186" t="s">
        <v>288</v>
      </c>
      <c r="D198" s="186">
        <f>(29.97)*10.764</f>
        <v>322.59708</v>
      </c>
      <c r="E198" s="186">
        <f>(2.6*1.07+2.25*1.05+2.75*1.05+3.05*0.93)*10.764</f>
        <v>116.988534</v>
      </c>
      <c r="F198" s="186">
        <f t="shared" si="17"/>
        <v>439.585614</v>
      </c>
      <c r="G198" s="186">
        <v>0</v>
      </c>
      <c r="H198" s="186">
        <f t="shared" si="18"/>
        <v>659.378421</v>
      </c>
      <c r="I198" s="196"/>
    </row>
    <row r="199" s="41" customFormat="1" customHeight="1" spans="1:9">
      <c r="A199" s="193">
        <v>12</v>
      </c>
      <c r="B199" s="194"/>
      <c r="C199" s="186" t="s">
        <v>288</v>
      </c>
      <c r="D199" s="186">
        <f>(29.97)*10.764</f>
        <v>322.59708</v>
      </c>
      <c r="E199" s="186">
        <f>(2.6*1.07+2.25*1.05+2.75*1.05+3.05*0.93)*10.764</f>
        <v>116.988534</v>
      </c>
      <c r="F199" s="186">
        <f t="shared" si="17"/>
        <v>439.585614</v>
      </c>
      <c r="G199" s="186">
        <v>0</v>
      </c>
      <c r="H199" s="186">
        <f t="shared" si="18"/>
        <v>659.378421</v>
      </c>
      <c r="I199" s="196"/>
    </row>
    <row r="200" s="41" customFormat="1" hidden="1" customHeight="1" spans="1:9">
      <c r="A200" s="190" t="s">
        <v>292</v>
      </c>
      <c r="B200" s="191"/>
      <c r="C200" s="191"/>
      <c r="D200" s="191"/>
      <c r="E200" s="191"/>
      <c r="F200" s="191"/>
      <c r="G200" s="191"/>
      <c r="H200" s="192"/>
      <c r="I200" s="196"/>
    </row>
    <row r="201" s="41" customFormat="1" hidden="1" customHeight="1" spans="1:9">
      <c r="A201" s="193" t="str">
        <f ca="1">(SUMPRODUCT(MID(0&amp;(LEFT(A200,SUM(LEN(A200)-LEN(SUBSTITUTE(A200,{"0","1","2"},""))))),LARGE(INDEX(ISNUMBER(--MID((LEFT(A200,SUM(LEN(A200)-LEN(SUBSTITUTE(A200,{"0","1","2"},""))))),ROW(INDIRECT("1:"&amp;LEN((LEFT(A200,SUM(LEN(A200)-LEN(SUBSTITUTE(A200,{"0","1","2"},"")))))))),1))*ROW(INDIRECT("1:"&amp;LEN((LEFT(A200,SUM(LEN(A200)-LEN(SUBSTITUTE(A200,{"0","1","2"},"")))))))),0),ROW(INDIRECT("1:"&amp;LEN((LEFT(A200,SUM(LEN(A200)-LEN(SUBSTITUTE(A200,{"0","1","2"},"")))))))))+1,1)*10^ROW(INDIRECT("1:"&amp;LEN((LEFT(A200,SUM(LEN(A200)-LEN(SUBSTITUTE(A200,{"0","1","2"},""))))))))/10))*100+1&amp;""&amp;" ,.., "&amp;""&amp;(SUMPRODUCT(MID(0&amp;(--TRIM(RIGHT(SUBSTITUTE(LEFT(A200,_xlfn.AGGREGATE(16,6,FIND({0,1,2,3,4,5,6,7,8,9},A200,ROW(INDIRECT("1:"&amp;LEN(A200)))),1))," ",REPT(" ",LEN(A200))),LEN(A200)))),LARGE(INDEX(ISNUMBER(--MID((--TRIM(RIGHT(SUBSTITUTE(LEFT(A200,_xlfn.AGGREGATE(16,6,FIND({0,1,2,3,4,5,6,7,8,9},A200,ROW(INDIRECT("1:"&amp;LEN(A200)))),1))," ",REPT(" ",LEN(A200))),LEN(A200)))),ROW(INDIRECT("1:"&amp;LEN((--TRIM(RIGHT(SUBSTITUTE(LEFT(A200,_xlfn.AGGREGATE(16,6,FIND({0,1,2,3,4,5,6,7,8,9},A200,ROW(INDIRECT("1:"&amp;LEN(A200)))),1))," ",REPT(" ",LEN(A200))),LEN(A200))))))),1))*ROW(INDIRECT("1:"&amp;LEN((--TRIM(RIGHT(SUBSTITUTE(LEFT(A200,_xlfn.AGGREGATE(16,6,FIND({0,1,2,3,4,5,6,7,8,9},A200,ROW(INDIRECT("1:"&amp;LEN(A200)))),1))," ",REPT(" ",LEN(A200))),LEN(A200))))))),0),ROW(INDIRECT("1:"&amp;LEN((--TRIM(RIGHT(SUBSTITUTE(LEFT(A200,_xlfn.AGGREGATE(16,6,FIND({0,1,2,3,4,5,6,7,8,9},A200,ROW(INDIRECT("1:"&amp;LEN(A200)))),1))," ",REPT(" ",LEN(A200))),LEN(A200))))))))+1,1)*10^ROW(INDIRECT("1:"&amp;LEN((--TRIM(RIGHT(SUBSTITUTE(LEFT(A200,_xlfn.AGGREGATE(16,6,FIND({0,1,2,3,4,5,6,7,8,9},A200,ROW(INDIRECT("1:"&amp;LEN(A200)))),1))," ",REPT(" ",LEN(A200))),LEN(A200)))))))/10))*100+1</f>
        <v>301 ,.., 101</v>
      </c>
      <c r="B201" s="194"/>
      <c r="C201" s="186"/>
      <c r="D201" s="186"/>
      <c r="E201" s="186">
        <v>0</v>
      </c>
      <c r="F201" s="186">
        <f>D201+E201</f>
        <v>0</v>
      </c>
      <c r="G201" s="186">
        <v>0</v>
      </c>
      <c r="H201" s="186">
        <f>F201*(($H$152)+1)+(IF(G201&lt;101,G201,IF(G201&lt;201,G201/2,IF(G201&lt;=301,G201/3,G201/4))))</f>
        <v>0</v>
      </c>
      <c r="I201" s="196"/>
    </row>
    <row r="202" s="41" customFormat="1" hidden="1" customHeight="1" spans="1:9">
      <c r="A202" s="193" t="str">
        <f ca="1">(SUMPRODUCT(MID(0&amp;(LEFT(A201,SUM(LEN(A201)-LEN(SUBSTITUTE(A201,{"0","1","2"},""))))),LARGE(INDEX(ISNUMBER(--MID((LEFT(A201,SUM(LEN(A201)-LEN(SUBSTITUTE(A201,{"0","1","2"},""))))),ROW(INDIRECT("1:"&amp;LEN((LEFT(A201,SUM(LEN(A201)-LEN(SUBSTITUTE(A201,{"0","1","2"},"")))))))),1))*ROW(INDIRECT("1:"&amp;LEN((LEFT(A201,SUM(LEN(A201)-LEN(SUBSTITUTE(A201,{"0","1","2"},"")))))))),0),ROW(INDIRECT("1:"&amp;LEN((LEFT(A201,SUM(LEN(A201)-LEN(SUBSTITUTE(A201,{"0","1","2"},"")))))))))+1,1)*10^ROW(INDIRECT("1:"&amp;LEN((LEFT(A201,SUM(LEN(A201)-LEN(SUBSTITUTE(A201,{"0","1","2"},""))))))))/10))*1+1&amp;""&amp;" ,.., "&amp;""&amp;(SUMPRODUCT(MID(0&amp;(--TRIM(RIGHT(SUBSTITUTE(LEFT(A201,_xlfn.AGGREGATE(16,6,FIND({0,1,2,3,4,5,6,7,8,9},A201,ROW(INDIRECT("1:"&amp;LEN(A201)))),1))," ",REPT(" ",LEN(A201))),LEN(A201)))),LARGE(INDEX(ISNUMBER(--MID((--TRIM(RIGHT(SUBSTITUTE(LEFT(A201,_xlfn.AGGREGATE(16,6,FIND({0,1,2,3,4,5,6,7,8,9},A201,ROW(INDIRECT("1:"&amp;LEN(A201)))),1))," ",REPT(" ",LEN(A201))),LEN(A201)))),ROW(INDIRECT("1:"&amp;LEN((--TRIM(RIGHT(SUBSTITUTE(LEFT(A201,_xlfn.AGGREGATE(16,6,FIND({0,1,2,3,4,5,6,7,8,9},A201,ROW(INDIRECT("1:"&amp;LEN(A201)))),1))," ",REPT(" ",LEN(A201))),LEN(A201))))))),1))*ROW(INDIRECT("1:"&amp;LEN((--TRIM(RIGHT(SUBSTITUTE(LEFT(A201,_xlfn.AGGREGATE(16,6,FIND({0,1,2,3,4,5,6,7,8,9},A201,ROW(INDIRECT("1:"&amp;LEN(A201)))),1))," ",REPT(" ",LEN(A201))),LEN(A201))))))),0),ROW(INDIRECT("1:"&amp;LEN((--TRIM(RIGHT(SUBSTITUTE(LEFT(A201,_xlfn.AGGREGATE(16,6,FIND({0,1,2,3,4,5,6,7,8,9},A201,ROW(INDIRECT("1:"&amp;LEN(A201)))),1))," ",REPT(" ",LEN(A201))),LEN(A201))))))))+1,1)*10^ROW(INDIRECT("1:"&amp;LEN((--TRIM(RIGHT(SUBSTITUTE(LEFT(A201,_xlfn.AGGREGATE(16,6,FIND({0,1,2,3,4,5,6,7,8,9},A201,ROW(INDIRECT("1:"&amp;LEN(A201)))),1))," ",REPT(" ",LEN(A201))),LEN(A201)))))))/10))*1+1</f>
        <v>302 ,.., 302</v>
      </c>
      <c r="B202" s="194"/>
      <c r="C202" s="186"/>
      <c r="D202" s="186"/>
      <c r="E202" s="186">
        <v>0</v>
      </c>
      <c r="F202" s="186">
        <f>D202+E202</f>
        <v>0</v>
      </c>
      <c r="G202" s="186">
        <v>0</v>
      </c>
      <c r="H202" s="186">
        <f>F202*(($H$152)+1)+(IF(G202&lt;101,G202,IF(G202&lt;201,G202/2,IF(G202&lt;=301,G202/3,G202/4))))</f>
        <v>0</v>
      </c>
      <c r="I202" s="196"/>
    </row>
    <row r="203" s="41" customFormat="1" hidden="1" customHeight="1" spans="1:9">
      <c r="A203" s="193" t="str">
        <f ca="1">(SUMPRODUCT(MID(0&amp;(LEFT(A202,SUM(LEN(A202)-LEN(SUBSTITUTE(A202,{"0","1","2"},""))))),LARGE(INDEX(ISNUMBER(--MID((LEFT(A202,SUM(LEN(A202)-LEN(SUBSTITUTE(A202,{"0","1","2"},""))))),ROW(INDIRECT("1:"&amp;LEN((LEFT(A202,SUM(LEN(A202)-LEN(SUBSTITUTE(A202,{"0","1","2"},"")))))))),1))*ROW(INDIRECT("1:"&amp;LEN((LEFT(A202,SUM(LEN(A202)-LEN(SUBSTITUTE(A202,{"0","1","2"},"")))))))),0),ROW(INDIRECT("1:"&amp;LEN((LEFT(A202,SUM(LEN(A202)-LEN(SUBSTITUTE(A202,{"0","1","2"},"")))))))))+1,1)*10^ROW(INDIRECT("1:"&amp;LEN((LEFT(A202,SUM(LEN(A202)-LEN(SUBSTITUTE(A202,{"0","1","2"},""))))))))/10))*1+1&amp;""&amp;" ,.., "&amp;""&amp;(SUMPRODUCT(MID(0&amp;(--TRIM(RIGHT(SUBSTITUTE(LEFT(A202,_xlfn.AGGREGATE(16,6,FIND({0,1,2,3,4,5,6,7,8,9},A202,ROW(INDIRECT("1:"&amp;LEN(A202)))),1))," ",REPT(" ",LEN(A202))),LEN(A202)))),LARGE(INDEX(ISNUMBER(--MID((--TRIM(RIGHT(SUBSTITUTE(LEFT(A202,_xlfn.AGGREGATE(16,6,FIND({0,1,2,3,4,5,6,7,8,9},A202,ROW(INDIRECT("1:"&amp;LEN(A202)))),1))," ",REPT(" ",LEN(A202))),LEN(A202)))),ROW(INDIRECT("1:"&amp;LEN((--TRIM(RIGHT(SUBSTITUTE(LEFT(A202,_xlfn.AGGREGATE(16,6,FIND({0,1,2,3,4,5,6,7,8,9},A202,ROW(INDIRECT("1:"&amp;LEN(A202)))),1))," ",REPT(" ",LEN(A202))),LEN(A202))))))),1))*ROW(INDIRECT("1:"&amp;LEN((--TRIM(RIGHT(SUBSTITUTE(LEFT(A202,_xlfn.AGGREGATE(16,6,FIND({0,1,2,3,4,5,6,7,8,9},A202,ROW(INDIRECT("1:"&amp;LEN(A202)))),1))," ",REPT(" ",LEN(A202))),LEN(A202))))))),0),ROW(INDIRECT("1:"&amp;LEN((--TRIM(RIGHT(SUBSTITUTE(LEFT(A202,_xlfn.AGGREGATE(16,6,FIND({0,1,2,3,4,5,6,7,8,9},A202,ROW(INDIRECT("1:"&amp;LEN(A202)))),1))," ",REPT(" ",LEN(A202))),LEN(A202))))))))+1,1)*10^ROW(INDIRECT("1:"&amp;LEN((--TRIM(RIGHT(SUBSTITUTE(LEFT(A202,_xlfn.AGGREGATE(16,6,FIND({0,1,2,3,4,5,6,7,8,9},A202,ROW(INDIRECT("1:"&amp;LEN(A202)))),1))," ",REPT(" ",LEN(A202))),LEN(A202)))))))/10))*1+1</f>
        <v>303 ,.., 303</v>
      </c>
      <c r="B203" s="194"/>
      <c r="C203" s="186"/>
      <c r="D203" s="186"/>
      <c r="E203" s="186">
        <v>0</v>
      </c>
      <c r="F203" s="186">
        <f>D203+E203</f>
        <v>0</v>
      </c>
      <c r="G203" s="186">
        <v>0</v>
      </c>
      <c r="H203" s="186">
        <f>F203*(($H$152)+1)+(IF(G203&lt;101,G203,IF(G203&lt;201,G203/2,IF(G203&lt;=301,G203/3,G203/4))))</f>
        <v>0</v>
      </c>
      <c r="I203" s="196"/>
    </row>
    <row r="204" s="41" customFormat="1" hidden="1" customHeight="1" spans="1:9">
      <c r="A204" s="193" t="str">
        <f ca="1">(SUMPRODUCT(MID(0&amp;(LEFT(A203,SUM(LEN(A203)-LEN(SUBSTITUTE(A203,{"0","1","2"},""))))),LARGE(INDEX(ISNUMBER(--MID((LEFT(A203,SUM(LEN(A203)-LEN(SUBSTITUTE(A203,{"0","1","2"},""))))),ROW(INDIRECT("1:"&amp;LEN((LEFT(A203,SUM(LEN(A203)-LEN(SUBSTITUTE(A203,{"0","1","2"},"")))))))),1))*ROW(INDIRECT("1:"&amp;LEN((LEFT(A203,SUM(LEN(A203)-LEN(SUBSTITUTE(A203,{"0","1","2"},"")))))))),0),ROW(INDIRECT("1:"&amp;LEN((LEFT(A203,SUM(LEN(A203)-LEN(SUBSTITUTE(A203,{"0","1","2"},"")))))))))+1,1)*10^ROW(INDIRECT("1:"&amp;LEN((LEFT(A203,SUM(LEN(A203)-LEN(SUBSTITUTE(A203,{"0","1","2"},""))))))))/10))*1+1&amp;""&amp;" ,.., "&amp;""&amp;(SUMPRODUCT(MID(0&amp;(--TRIM(RIGHT(SUBSTITUTE(LEFT(A203,_xlfn.AGGREGATE(16,6,FIND({0,1,2,3,4,5,6,7,8,9},A203,ROW(INDIRECT("1:"&amp;LEN(A203)))),1))," ",REPT(" ",LEN(A203))),LEN(A203)))),LARGE(INDEX(ISNUMBER(--MID((--TRIM(RIGHT(SUBSTITUTE(LEFT(A203,_xlfn.AGGREGATE(16,6,FIND({0,1,2,3,4,5,6,7,8,9},A203,ROW(INDIRECT("1:"&amp;LEN(A203)))),1))," ",REPT(" ",LEN(A203))),LEN(A203)))),ROW(INDIRECT("1:"&amp;LEN((--TRIM(RIGHT(SUBSTITUTE(LEFT(A203,_xlfn.AGGREGATE(16,6,FIND({0,1,2,3,4,5,6,7,8,9},A203,ROW(INDIRECT("1:"&amp;LEN(A203)))),1))," ",REPT(" ",LEN(A203))),LEN(A203))))))),1))*ROW(INDIRECT("1:"&amp;LEN((--TRIM(RIGHT(SUBSTITUTE(LEFT(A203,_xlfn.AGGREGATE(16,6,FIND({0,1,2,3,4,5,6,7,8,9},A203,ROW(INDIRECT("1:"&amp;LEN(A203)))),1))," ",REPT(" ",LEN(A203))),LEN(A203))))))),0),ROW(INDIRECT("1:"&amp;LEN((--TRIM(RIGHT(SUBSTITUTE(LEFT(A203,_xlfn.AGGREGATE(16,6,FIND({0,1,2,3,4,5,6,7,8,9},A203,ROW(INDIRECT("1:"&amp;LEN(A203)))),1))," ",REPT(" ",LEN(A203))),LEN(A203))))))))+1,1)*10^ROW(INDIRECT("1:"&amp;LEN((--TRIM(RIGHT(SUBSTITUTE(LEFT(A203,_xlfn.AGGREGATE(16,6,FIND({0,1,2,3,4,5,6,7,8,9},A203,ROW(INDIRECT("1:"&amp;LEN(A203)))),1))," ",REPT(" ",LEN(A203))),LEN(A203)))))))/10))*1+1</f>
        <v>31 ,.., 31</v>
      </c>
      <c r="B204" s="194"/>
      <c r="C204" s="186"/>
      <c r="D204" s="186"/>
      <c r="E204" s="186">
        <v>0</v>
      </c>
      <c r="F204" s="186">
        <f>D204+E204</f>
        <v>0</v>
      </c>
      <c r="G204" s="186">
        <v>0</v>
      </c>
      <c r="H204" s="186">
        <f>F204*(($H$152)+1)+(IF(G204&lt;101,G204,IF(G204&lt;201,G204/2,IF(G204&lt;=301,G204/3,G204/4))))</f>
        <v>0</v>
      </c>
      <c r="I204" s="196"/>
    </row>
    <row r="205" s="41" customFormat="1" hidden="1" customHeight="1" spans="1:9">
      <c r="A205" s="193" t="str">
        <f ca="1">(SUMPRODUCT(MID(0&amp;(LEFT(A204,SUM(LEN(A204)-LEN(SUBSTITUTE(A204,{"0","1","2"},""))))),LARGE(INDEX(ISNUMBER(--MID((LEFT(A204,SUM(LEN(A204)-LEN(SUBSTITUTE(A204,{"0","1","2"},""))))),ROW(INDIRECT("1:"&amp;LEN((LEFT(A204,SUM(LEN(A204)-LEN(SUBSTITUTE(A204,{"0","1","2"},"")))))))),1))*ROW(INDIRECT("1:"&amp;LEN((LEFT(A204,SUM(LEN(A204)-LEN(SUBSTITUTE(A204,{"0","1","2"},"")))))))),0),ROW(INDIRECT("1:"&amp;LEN((LEFT(A204,SUM(LEN(A204)-LEN(SUBSTITUTE(A204,{"0","1","2"},"")))))))))+1,1)*10^ROW(INDIRECT("1:"&amp;LEN((LEFT(A204,SUM(LEN(A204)-LEN(SUBSTITUTE(A204,{"0","1","2"},""))))))))/10))*1+1&amp;""&amp;" ,.., "&amp;""&amp;(SUMPRODUCT(MID(0&amp;(--TRIM(RIGHT(SUBSTITUTE(LEFT(A204,_xlfn.AGGREGATE(16,6,FIND({0,1,2,3,4,5,6,7,8,9},A204,ROW(INDIRECT("1:"&amp;LEN(A204)))),1))," ",REPT(" ",LEN(A204))),LEN(A204)))),LARGE(INDEX(ISNUMBER(--MID((--TRIM(RIGHT(SUBSTITUTE(LEFT(A204,_xlfn.AGGREGATE(16,6,FIND({0,1,2,3,4,5,6,7,8,9},A204,ROW(INDIRECT("1:"&amp;LEN(A204)))),1))," ",REPT(" ",LEN(A204))),LEN(A204)))),ROW(INDIRECT("1:"&amp;LEN((--TRIM(RIGHT(SUBSTITUTE(LEFT(A204,_xlfn.AGGREGATE(16,6,FIND({0,1,2,3,4,5,6,7,8,9},A204,ROW(INDIRECT("1:"&amp;LEN(A204)))),1))," ",REPT(" ",LEN(A204))),LEN(A204))))))),1))*ROW(INDIRECT("1:"&amp;LEN((--TRIM(RIGHT(SUBSTITUTE(LEFT(A204,_xlfn.AGGREGATE(16,6,FIND({0,1,2,3,4,5,6,7,8,9},A204,ROW(INDIRECT("1:"&amp;LEN(A204)))),1))," ",REPT(" ",LEN(A204))),LEN(A204))))))),0),ROW(INDIRECT("1:"&amp;LEN((--TRIM(RIGHT(SUBSTITUTE(LEFT(A204,_xlfn.AGGREGATE(16,6,FIND({0,1,2,3,4,5,6,7,8,9},A204,ROW(INDIRECT("1:"&amp;LEN(A204)))),1))," ",REPT(" ",LEN(A204))),LEN(A204))))))))+1,1)*10^ROW(INDIRECT("1:"&amp;LEN((--TRIM(RIGHT(SUBSTITUTE(LEFT(A204,_xlfn.AGGREGATE(16,6,FIND({0,1,2,3,4,5,6,7,8,9},A204,ROW(INDIRECT("1:"&amp;LEN(A204)))),1))," ",REPT(" ",LEN(A204))),LEN(A204)))))))/10))*1+1</f>
        <v>32 ,.., 32</v>
      </c>
      <c r="B205" s="194"/>
      <c r="C205" s="186"/>
      <c r="D205" s="186"/>
      <c r="E205" s="186">
        <v>0</v>
      </c>
      <c r="F205" s="186">
        <f>D205+E205</f>
        <v>0</v>
      </c>
      <c r="G205" s="186">
        <v>0</v>
      </c>
      <c r="H205" s="186">
        <f>F205*(($H$152)+1)+(IF(G205&lt;101,G205,IF(G205&lt;201,G205/2,IF(G205&lt;=301,G205/3,G205/4))))</f>
        <v>0</v>
      </c>
      <c r="I205" s="196"/>
    </row>
    <row r="206" s="41" customFormat="1" hidden="1" spans="1:9">
      <c r="A206" s="190" t="s">
        <v>293</v>
      </c>
      <c r="B206" s="191"/>
      <c r="C206" s="191"/>
      <c r="D206" s="191"/>
      <c r="E206" s="191"/>
      <c r="F206" s="191"/>
      <c r="G206" s="191"/>
      <c r="H206" s="192"/>
      <c r="I206" s="196"/>
    </row>
    <row r="207" s="41" customFormat="1" hidden="1" customHeight="1" spans="1:9">
      <c r="A207" s="193">
        <v>1</v>
      </c>
      <c r="B207" s="194"/>
      <c r="C207" s="186"/>
      <c r="D207" s="186"/>
      <c r="E207" s="186">
        <v>0</v>
      </c>
      <c r="F207" s="186">
        <f t="shared" ref="F207:F218" si="19">D207+E207</f>
        <v>0</v>
      </c>
      <c r="G207" s="186">
        <v>0</v>
      </c>
      <c r="H207" s="186">
        <f t="shared" ref="H207:H218" si="20">F207*(($H$152)+1)+(IF(G207&lt;101,G207,IF(G207&lt;201,G207/2,IF(G207&lt;=301,G207/3,G207/4))))</f>
        <v>0</v>
      </c>
      <c r="I207" s="196"/>
    </row>
    <row r="208" s="41" customFormat="1" hidden="1" customHeight="1" spans="1:9">
      <c r="A208" s="193">
        <v>2</v>
      </c>
      <c r="B208" s="194"/>
      <c r="C208" s="186"/>
      <c r="D208" s="186"/>
      <c r="E208" s="186">
        <v>0</v>
      </c>
      <c r="F208" s="186">
        <f t="shared" si="19"/>
        <v>0</v>
      </c>
      <c r="G208" s="186">
        <v>0</v>
      </c>
      <c r="H208" s="186">
        <f t="shared" si="20"/>
        <v>0</v>
      </c>
      <c r="I208" s="196"/>
    </row>
    <row r="209" s="41" customFormat="1" hidden="1" customHeight="1" spans="1:9">
      <c r="A209" s="193">
        <v>3</v>
      </c>
      <c r="B209" s="194"/>
      <c r="C209" s="186"/>
      <c r="D209" s="186"/>
      <c r="E209" s="186">
        <v>0</v>
      </c>
      <c r="F209" s="186">
        <f t="shared" si="19"/>
        <v>0</v>
      </c>
      <c r="G209" s="186">
        <v>0</v>
      </c>
      <c r="H209" s="186">
        <f t="shared" si="20"/>
        <v>0</v>
      </c>
      <c r="I209" s="196"/>
    </row>
    <row r="210" s="41" customFormat="1" hidden="1" customHeight="1" spans="1:9">
      <c r="A210" s="193">
        <v>4</v>
      </c>
      <c r="B210" s="194"/>
      <c r="C210" s="186"/>
      <c r="D210" s="186"/>
      <c r="E210" s="186">
        <v>0</v>
      </c>
      <c r="F210" s="186">
        <f t="shared" si="19"/>
        <v>0</v>
      </c>
      <c r="G210" s="186">
        <v>0</v>
      </c>
      <c r="H210" s="186">
        <f t="shared" si="20"/>
        <v>0</v>
      </c>
      <c r="I210" s="196"/>
    </row>
    <row r="211" s="41" customFormat="1" hidden="1" customHeight="1" spans="1:9">
      <c r="A211" s="193">
        <v>5</v>
      </c>
      <c r="B211" s="194"/>
      <c r="C211" s="186"/>
      <c r="D211" s="186"/>
      <c r="E211" s="186">
        <v>0</v>
      </c>
      <c r="F211" s="186">
        <f t="shared" si="19"/>
        <v>0</v>
      </c>
      <c r="G211" s="186">
        <v>0</v>
      </c>
      <c r="H211" s="186">
        <f t="shared" si="20"/>
        <v>0</v>
      </c>
      <c r="I211" s="196"/>
    </row>
    <row r="212" s="41" customFormat="1" hidden="1" customHeight="1" spans="1:9">
      <c r="A212" s="193">
        <v>6</v>
      </c>
      <c r="B212" s="194"/>
      <c r="C212" s="186"/>
      <c r="D212" s="186"/>
      <c r="E212" s="186">
        <v>0</v>
      </c>
      <c r="F212" s="186">
        <f t="shared" si="19"/>
        <v>0</v>
      </c>
      <c r="G212" s="186">
        <v>0</v>
      </c>
      <c r="H212" s="186">
        <f t="shared" si="20"/>
        <v>0</v>
      </c>
      <c r="I212" s="196"/>
    </row>
    <row r="213" s="41" customFormat="1" hidden="1" customHeight="1" spans="1:9">
      <c r="A213" s="193">
        <v>7</v>
      </c>
      <c r="B213" s="194"/>
      <c r="C213" s="186"/>
      <c r="D213" s="186"/>
      <c r="E213" s="186">
        <v>0</v>
      </c>
      <c r="F213" s="186">
        <f t="shared" si="19"/>
        <v>0</v>
      </c>
      <c r="G213" s="186">
        <v>0</v>
      </c>
      <c r="H213" s="186">
        <f t="shared" si="20"/>
        <v>0</v>
      </c>
      <c r="I213" s="196"/>
    </row>
    <row r="214" s="41" customFormat="1" hidden="1" customHeight="1" spans="1:9">
      <c r="A214" s="193">
        <v>8</v>
      </c>
      <c r="B214" s="194"/>
      <c r="C214" s="186"/>
      <c r="D214" s="186"/>
      <c r="E214" s="186">
        <v>0</v>
      </c>
      <c r="F214" s="186">
        <f t="shared" si="19"/>
        <v>0</v>
      </c>
      <c r="G214" s="186">
        <v>0</v>
      </c>
      <c r="H214" s="186">
        <f t="shared" si="20"/>
        <v>0</v>
      </c>
      <c r="I214" s="196"/>
    </row>
    <row r="215" s="41" customFormat="1" hidden="1" customHeight="1" spans="1:9">
      <c r="A215" s="193">
        <v>9</v>
      </c>
      <c r="B215" s="194"/>
      <c r="C215" s="186"/>
      <c r="D215" s="186"/>
      <c r="E215" s="186">
        <v>0</v>
      </c>
      <c r="F215" s="186">
        <f t="shared" si="19"/>
        <v>0</v>
      </c>
      <c r="G215" s="186">
        <v>0</v>
      </c>
      <c r="H215" s="186">
        <f t="shared" si="20"/>
        <v>0</v>
      </c>
      <c r="I215" s="196"/>
    </row>
    <row r="216" s="41" customFormat="1" hidden="1" customHeight="1" spans="1:9">
      <c r="A216" s="193">
        <v>10</v>
      </c>
      <c r="B216" s="194"/>
      <c r="C216" s="186"/>
      <c r="D216" s="186"/>
      <c r="E216" s="186">
        <v>0</v>
      </c>
      <c r="F216" s="186">
        <f t="shared" si="19"/>
        <v>0</v>
      </c>
      <c r="G216" s="186">
        <v>0</v>
      </c>
      <c r="H216" s="186">
        <f t="shared" si="20"/>
        <v>0</v>
      </c>
      <c r="I216" s="196"/>
    </row>
    <row r="217" s="41" customFormat="1" hidden="1" customHeight="1" spans="1:9">
      <c r="A217" s="193">
        <v>11</v>
      </c>
      <c r="B217" s="194"/>
      <c r="C217" s="186"/>
      <c r="D217" s="186"/>
      <c r="E217" s="186">
        <v>0</v>
      </c>
      <c r="F217" s="186">
        <f t="shared" si="19"/>
        <v>0</v>
      </c>
      <c r="G217" s="186">
        <v>0</v>
      </c>
      <c r="H217" s="186">
        <f t="shared" si="20"/>
        <v>0</v>
      </c>
      <c r="I217" s="196"/>
    </row>
    <row r="218" s="41" customFormat="1" hidden="1" customHeight="1" spans="1:9">
      <c r="A218" s="193">
        <v>12</v>
      </c>
      <c r="B218" s="194"/>
      <c r="C218" s="186"/>
      <c r="D218" s="186"/>
      <c r="E218" s="186">
        <v>0</v>
      </c>
      <c r="F218" s="186">
        <f t="shared" si="19"/>
        <v>0</v>
      </c>
      <c r="G218" s="186">
        <v>0</v>
      </c>
      <c r="H218" s="186">
        <f t="shared" si="20"/>
        <v>0</v>
      </c>
      <c r="I218" s="196"/>
    </row>
    <row r="219" s="41" customFormat="1" hidden="1" spans="1:9">
      <c r="A219" s="190" t="s">
        <v>294</v>
      </c>
      <c r="B219" s="191"/>
      <c r="C219" s="191"/>
      <c r="D219" s="191"/>
      <c r="E219" s="191"/>
      <c r="F219" s="191"/>
      <c r="G219" s="191"/>
      <c r="H219" s="192"/>
      <c r="I219" s="196"/>
    </row>
    <row r="220" s="41" customFormat="1" hidden="1" customHeight="1" spans="1:9">
      <c r="A220" s="193" t="str">
        <f ca="1">(SUMPRODUCT(MID(0&amp;(LEFT(A219,SUM(LEN(A219)-LEN(SUBSTITUTE(A219,{"0","1","2"},""))))),LARGE(INDEX(ISNUMBER(--MID((LEFT(A219,SUM(LEN(A219)-LEN(SUBSTITUTE(A219,{"0","1","2"},""))))),ROW(INDIRECT("1:"&amp;LEN((LEFT(A219,SUM(LEN(A219)-LEN(SUBSTITUTE(A219,{"0","1","2"},"")))))))),1))*ROW(INDIRECT("1:"&amp;LEN((LEFT(A219,SUM(LEN(A219)-LEN(SUBSTITUTE(A219,{"0","1","2"},"")))))))),0),ROW(INDIRECT("1:"&amp;LEN((LEFT(A219,SUM(LEN(A219)-LEN(SUBSTITUTE(A219,{"0","1","2"},"")))))))))+1,1)*10^ROW(INDIRECT("1:"&amp;LEN((LEFT(A219,SUM(LEN(A219)-LEN(SUBSTITUTE(A219,{"0","1","2"},""))))))))/10))*100+1&amp;""&amp;" &amp; "&amp;""&amp;(SUMPRODUCT(MID(0&amp;(--TRIM(RIGHT(SUBSTITUTE(LEFT(A219,_xlfn.AGGREGATE(16,6,FIND({0,1,2,3,4,5,6,7,8,9},A219,ROW(INDIRECT("1:"&amp;LEN(A219)))),1))," ",REPT(" ",LEN(A219))),LEN(A219)))),LARGE(INDEX(ISNUMBER(--MID((--TRIM(RIGHT(SUBSTITUTE(LEFT(A219,_xlfn.AGGREGATE(16,6,FIND({0,1,2,3,4,5,6,7,8,9},A219,ROW(INDIRECT("1:"&amp;LEN(A219)))),1))," ",REPT(" ",LEN(A219))),LEN(A219)))),ROW(INDIRECT("1:"&amp;LEN((--TRIM(RIGHT(SUBSTITUTE(LEFT(A219,_xlfn.AGGREGATE(16,6,FIND({0,1,2,3,4,5,6,7,8,9},A219,ROW(INDIRECT("1:"&amp;LEN(A219)))),1))," ",REPT(" ",LEN(A219))),LEN(A219))))))),1))*ROW(INDIRECT("1:"&amp;LEN((--TRIM(RIGHT(SUBSTITUTE(LEFT(A219,_xlfn.AGGREGATE(16,6,FIND({0,1,2,3,4,5,6,7,8,9},A219,ROW(INDIRECT("1:"&amp;LEN(A219)))),1))," ",REPT(" ",LEN(A219))),LEN(A219))))))),0),ROW(INDIRECT("1:"&amp;LEN((--TRIM(RIGHT(SUBSTITUTE(LEFT(A219,_xlfn.AGGREGATE(16,6,FIND({0,1,2,3,4,5,6,7,8,9},A219,ROW(INDIRECT("1:"&amp;LEN(A219)))),1))," ",REPT(" ",LEN(A219))),LEN(A219))))))))+1,1)*10^ROW(INDIRECT("1:"&amp;LEN((--TRIM(RIGHT(SUBSTITUTE(LEFT(A219,_xlfn.AGGREGATE(16,6,FIND({0,1,2,3,4,5,6,7,8,9},A219,ROW(INDIRECT("1:"&amp;LEN(A219)))),1))," ",REPT(" ",LEN(A219))),LEN(A219)))))))/10))*100+1</f>
        <v>201 &amp; 501</v>
      </c>
      <c r="B220" s="194"/>
      <c r="C220" s="186"/>
      <c r="D220" s="186"/>
      <c r="E220" s="186">
        <v>0</v>
      </c>
      <c r="F220" s="186">
        <f>D220+E220</f>
        <v>0</v>
      </c>
      <c r="G220" s="186">
        <v>0</v>
      </c>
      <c r="H220" s="186">
        <f>F220*(($H$152)+1)+(IF(G220&lt;101,G220,IF(G220&lt;201,G220/2,IF(G220&lt;=301,G220/3,G220/4))))</f>
        <v>0</v>
      </c>
      <c r="I220" s="196"/>
    </row>
    <row r="221" s="41" customFormat="1" hidden="1" customHeight="1" spans="1:9">
      <c r="A221" s="193" t="str">
        <f ca="1">(SUMPRODUCT(MID(0&amp;(LEFT(A220,SUM(LEN(A220)-LEN(SUBSTITUTE(A220,{"0","1","2"},""))))),LARGE(INDEX(ISNUMBER(--MID((LEFT(A220,SUM(LEN(A220)-LEN(SUBSTITUTE(A220,{"0","1","2"},""))))),ROW(INDIRECT("1:"&amp;LEN((LEFT(A220,SUM(LEN(A220)-LEN(SUBSTITUTE(A220,{"0","1","2"},"")))))))),1))*ROW(INDIRECT("1:"&amp;LEN((LEFT(A220,SUM(LEN(A220)-LEN(SUBSTITUTE(A220,{"0","1","2"},"")))))))),0),ROW(INDIRECT("1:"&amp;LEN((LEFT(A220,SUM(LEN(A220)-LEN(SUBSTITUTE(A220,{"0","1","2"},"")))))))))+1,1)*10^ROW(INDIRECT("1:"&amp;LEN((LEFT(A220,SUM(LEN(A220)-LEN(SUBSTITUTE(A220,{"0","1","2"},""))))))))/10))*1+1&amp;""&amp;" &amp; "&amp;""&amp;(SUMPRODUCT(MID(0&amp;(--TRIM(RIGHT(SUBSTITUTE(LEFT(A220,_xlfn.AGGREGATE(16,6,FIND({0,1,2,3,4,5,6,7,8,9},A220,ROW(INDIRECT("1:"&amp;LEN(A220)))),1))," ",REPT(" ",LEN(A220))),LEN(A220)))),LARGE(INDEX(ISNUMBER(--MID((--TRIM(RIGHT(SUBSTITUTE(LEFT(A220,_xlfn.AGGREGATE(16,6,FIND({0,1,2,3,4,5,6,7,8,9},A220,ROW(INDIRECT("1:"&amp;LEN(A220)))),1))," ",REPT(" ",LEN(A220))),LEN(A220)))),ROW(INDIRECT("1:"&amp;LEN((--TRIM(RIGHT(SUBSTITUTE(LEFT(A220,_xlfn.AGGREGATE(16,6,FIND({0,1,2,3,4,5,6,7,8,9},A220,ROW(INDIRECT("1:"&amp;LEN(A220)))),1))," ",REPT(" ",LEN(A220))),LEN(A220))))))),1))*ROW(INDIRECT("1:"&amp;LEN((--TRIM(RIGHT(SUBSTITUTE(LEFT(A220,_xlfn.AGGREGATE(16,6,FIND({0,1,2,3,4,5,6,7,8,9},A220,ROW(INDIRECT("1:"&amp;LEN(A220)))),1))," ",REPT(" ",LEN(A220))),LEN(A220))))))),0),ROW(INDIRECT("1:"&amp;LEN((--TRIM(RIGHT(SUBSTITUTE(LEFT(A220,_xlfn.AGGREGATE(16,6,FIND({0,1,2,3,4,5,6,7,8,9},A220,ROW(INDIRECT("1:"&amp;LEN(A220)))),1))," ",REPT(" ",LEN(A220))),LEN(A220))))))))+1,1)*10^ROW(INDIRECT("1:"&amp;LEN((--TRIM(RIGHT(SUBSTITUTE(LEFT(A220,_xlfn.AGGREGATE(16,6,FIND({0,1,2,3,4,5,6,7,8,9},A220,ROW(INDIRECT("1:"&amp;LEN(A220)))),1))," ",REPT(" ",LEN(A220))),LEN(A220)))))))/10))*1+1</f>
        <v>202 &amp; 6</v>
      </c>
      <c r="B221" s="194"/>
      <c r="C221" s="186"/>
      <c r="D221" s="186"/>
      <c r="E221" s="186">
        <v>0</v>
      </c>
      <c r="F221" s="186">
        <f>D221+E221</f>
        <v>0</v>
      </c>
      <c r="G221" s="186">
        <v>0</v>
      </c>
      <c r="H221" s="186">
        <f>F221*(($H$152)+1)+(IF(G221&lt;101,G221,IF(G221&lt;201,G221/2,IF(G221&lt;=301,G221/3,G221/4))))</f>
        <v>0</v>
      </c>
      <c r="I221" s="196"/>
    </row>
    <row r="222" s="41" customFormat="1" hidden="1" customHeight="1" spans="1:9">
      <c r="A222" s="193" t="str">
        <f ca="1">(SUMPRODUCT(MID(0&amp;(LEFT(A221,SUM(LEN(A221)-LEN(SUBSTITUTE(A221,{"0","1","2"},""))))),LARGE(INDEX(ISNUMBER(--MID((LEFT(A221,SUM(LEN(A221)-LEN(SUBSTITUTE(A221,{"0","1","2"},""))))),ROW(INDIRECT("1:"&amp;LEN((LEFT(A221,SUM(LEN(A221)-LEN(SUBSTITUTE(A221,{"0","1","2"},"")))))))),1))*ROW(INDIRECT("1:"&amp;LEN((LEFT(A221,SUM(LEN(A221)-LEN(SUBSTITUTE(A221,{"0","1","2"},"")))))))),0),ROW(INDIRECT("1:"&amp;LEN((LEFT(A221,SUM(LEN(A221)-LEN(SUBSTITUTE(A221,{"0","1","2"},"")))))))))+1,1)*10^ROW(INDIRECT("1:"&amp;LEN((LEFT(A221,SUM(LEN(A221)-LEN(SUBSTITUTE(A221,{"0","1","2"},""))))))))/10))*1+1&amp;""&amp;" &amp; "&amp;""&amp;(SUMPRODUCT(MID(0&amp;(--TRIM(RIGHT(SUBSTITUTE(LEFT(A221,_xlfn.AGGREGATE(16,6,FIND({0,1,2,3,4,5,6,7,8,9},A221,ROW(INDIRECT("1:"&amp;LEN(A221)))),1))," ",REPT(" ",LEN(A221))),LEN(A221)))),LARGE(INDEX(ISNUMBER(--MID((--TRIM(RIGHT(SUBSTITUTE(LEFT(A221,_xlfn.AGGREGATE(16,6,FIND({0,1,2,3,4,5,6,7,8,9},A221,ROW(INDIRECT("1:"&amp;LEN(A221)))),1))," ",REPT(" ",LEN(A221))),LEN(A221)))),ROW(INDIRECT("1:"&amp;LEN((--TRIM(RIGHT(SUBSTITUTE(LEFT(A221,_xlfn.AGGREGATE(16,6,FIND({0,1,2,3,4,5,6,7,8,9},A221,ROW(INDIRECT("1:"&amp;LEN(A221)))),1))," ",REPT(" ",LEN(A221))),LEN(A221))))))),1))*ROW(INDIRECT("1:"&amp;LEN((--TRIM(RIGHT(SUBSTITUTE(LEFT(A221,_xlfn.AGGREGATE(16,6,FIND({0,1,2,3,4,5,6,7,8,9},A221,ROW(INDIRECT("1:"&amp;LEN(A221)))),1))," ",REPT(" ",LEN(A221))),LEN(A221))))))),0),ROW(INDIRECT("1:"&amp;LEN((--TRIM(RIGHT(SUBSTITUTE(LEFT(A221,_xlfn.AGGREGATE(16,6,FIND({0,1,2,3,4,5,6,7,8,9},A221,ROW(INDIRECT("1:"&amp;LEN(A221)))),1))," ",REPT(" ",LEN(A221))),LEN(A221))))))))+1,1)*10^ROW(INDIRECT("1:"&amp;LEN((--TRIM(RIGHT(SUBSTITUTE(LEFT(A221,_xlfn.AGGREGATE(16,6,FIND({0,1,2,3,4,5,6,7,8,9},A221,ROW(INDIRECT("1:"&amp;LEN(A221)))),1))," ",REPT(" ",LEN(A221))),LEN(A221)))))))/10))*1+1</f>
        <v>203 &amp; 7</v>
      </c>
      <c r="B222" s="194"/>
      <c r="C222" s="186"/>
      <c r="D222" s="186"/>
      <c r="E222" s="186">
        <v>0</v>
      </c>
      <c r="F222" s="186">
        <f>D222+E222</f>
        <v>0</v>
      </c>
      <c r="G222" s="186">
        <v>0</v>
      </c>
      <c r="H222" s="186">
        <f>F222*(($H$152)+1)+(IF(G222&lt;101,G222,IF(G222&lt;201,G222/2,IF(G222&lt;=301,G222/3,G222/4))))</f>
        <v>0</v>
      </c>
      <c r="I222" s="196"/>
    </row>
    <row r="223" s="41" customFormat="1" hidden="1" customHeight="1" spans="1:9">
      <c r="A223" s="193" t="str">
        <f ca="1">(SUMPRODUCT(MID(0&amp;(LEFT(A222,SUM(LEN(A222)-LEN(SUBSTITUTE(A222,{"0","1","2"},""))))),LARGE(INDEX(ISNUMBER(--MID((LEFT(A222,SUM(LEN(A222)-LEN(SUBSTITUTE(A222,{"0","1","2"},""))))),ROW(INDIRECT("1:"&amp;LEN((LEFT(A222,SUM(LEN(A222)-LEN(SUBSTITUTE(A222,{"0","1","2"},"")))))))),1))*ROW(INDIRECT("1:"&amp;LEN((LEFT(A222,SUM(LEN(A222)-LEN(SUBSTITUTE(A222,{"0","1","2"},"")))))))),0),ROW(INDIRECT("1:"&amp;LEN((LEFT(A222,SUM(LEN(A222)-LEN(SUBSTITUTE(A222,{"0","1","2"},"")))))))))+1,1)*10^ROW(INDIRECT("1:"&amp;LEN((LEFT(A222,SUM(LEN(A222)-LEN(SUBSTITUTE(A222,{"0","1","2"},""))))))))/10))*1+1&amp;""&amp;" &amp; "&amp;""&amp;(SUMPRODUCT(MID(0&amp;(--TRIM(RIGHT(SUBSTITUTE(LEFT(A222,_xlfn.AGGREGATE(16,6,FIND({0,1,2,3,4,5,6,7,8,9},A222,ROW(INDIRECT("1:"&amp;LEN(A222)))),1))," ",REPT(" ",LEN(A222))),LEN(A222)))),LARGE(INDEX(ISNUMBER(--MID((--TRIM(RIGHT(SUBSTITUTE(LEFT(A222,_xlfn.AGGREGATE(16,6,FIND({0,1,2,3,4,5,6,7,8,9},A222,ROW(INDIRECT("1:"&amp;LEN(A222)))),1))," ",REPT(" ",LEN(A222))),LEN(A222)))),ROW(INDIRECT("1:"&amp;LEN((--TRIM(RIGHT(SUBSTITUTE(LEFT(A222,_xlfn.AGGREGATE(16,6,FIND({0,1,2,3,4,5,6,7,8,9},A222,ROW(INDIRECT("1:"&amp;LEN(A222)))),1))," ",REPT(" ",LEN(A222))),LEN(A222))))))),1))*ROW(INDIRECT("1:"&amp;LEN((--TRIM(RIGHT(SUBSTITUTE(LEFT(A222,_xlfn.AGGREGATE(16,6,FIND({0,1,2,3,4,5,6,7,8,9},A222,ROW(INDIRECT("1:"&amp;LEN(A222)))),1))," ",REPT(" ",LEN(A222))),LEN(A222))))))),0),ROW(INDIRECT("1:"&amp;LEN((--TRIM(RIGHT(SUBSTITUTE(LEFT(A222,_xlfn.AGGREGATE(16,6,FIND({0,1,2,3,4,5,6,7,8,9},A222,ROW(INDIRECT("1:"&amp;LEN(A222)))),1))," ",REPT(" ",LEN(A222))),LEN(A222))))))))+1,1)*10^ROW(INDIRECT("1:"&amp;LEN((--TRIM(RIGHT(SUBSTITUTE(LEFT(A222,_xlfn.AGGREGATE(16,6,FIND({0,1,2,3,4,5,6,7,8,9},A222,ROW(INDIRECT("1:"&amp;LEN(A222)))),1))," ",REPT(" ",LEN(A222))),LEN(A222)))))))/10))*1+1</f>
        <v>21 &amp; 8</v>
      </c>
      <c r="B223" s="194"/>
      <c r="C223" s="186"/>
      <c r="D223" s="186"/>
      <c r="E223" s="186">
        <v>0</v>
      </c>
      <c r="F223" s="186">
        <f>D223+E223</f>
        <v>0</v>
      </c>
      <c r="G223" s="186">
        <v>0</v>
      </c>
      <c r="H223" s="186">
        <f>F223*(($H$152)+1)+(IF(G223&lt;101,G223,IF(G223&lt;201,G223/2,IF(G223&lt;=301,G223/3,G223/4))))</f>
        <v>0</v>
      </c>
      <c r="I223" s="196"/>
    </row>
    <row r="224" s="41" customFormat="1" hidden="1" customHeight="1" spans="1:9">
      <c r="A224" s="193" t="str">
        <f ca="1">(SUMPRODUCT(MID(0&amp;(LEFT(A223,SUM(LEN(A223)-LEN(SUBSTITUTE(A223,{"0","1","2"},""))))),LARGE(INDEX(ISNUMBER(--MID((LEFT(A223,SUM(LEN(A223)-LEN(SUBSTITUTE(A223,{"0","1","2"},""))))),ROW(INDIRECT("1:"&amp;LEN((LEFT(A223,SUM(LEN(A223)-LEN(SUBSTITUTE(A223,{"0","1","2"},"")))))))),1))*ROW(INDIRECT("1:"&amp;LEN((LEFT(A223,SUM(LEN(A223)-LEN(SUBSTITUTE(A223,{"0","1","2"},"")))))))),0),ROW(INDIRECT("1:"&amp;LEN((LEFT(A223,SUM(LEN(A223)-LEN(SUBSTITUTE(A223,{"0","1","2"},"")))))))))+1,1)*10^ROW(INDIRECT("1:"&amp;LEN((LEFT(A223,SUM(LEN(A223)-LEN(SUBSTITUTE(A223,{"0","1","2"},""))))))))/10))*1+1&amp;""&amp;" &amp; "&amp;""&amp;(SUMPRODUCT(MID(0&amp;(--TRIM(RIGHT(SUBSTITUTE(LEFT(A223,_xlfn.AGGREGATE(16,6,FIND({0,1,2,3,4,5,6,7,8,9},A223,ROW(INDIRECT("1:"&amp;LEN(A223)))),1))," ",REPT(" ",LEN(A223))),LEN(A223)))),LARGE(INDEX(ISNUMBER(--MID((--TRIM(RIGHT(SUBSTITUTE(LEFT(A223,_xlfn.AGGREGATE(16,6,FIND({0,1,2,3,4,5,6,7,8,9},A223,ROW(INDIRECT("1:"&amp;LEN(A223)))),1))," ",REPT(" ",LEN(A223))),LEN(A223)))),ROW(INDIRECT("1:"&amp;LEN((--TRIM(RIGHT(SUBSTITUTE(LEFT(A223,_xlfn.AGGREGATE(16,6,FIND({0,1,2,3,4,5,6,7,8,9},A223,ROW(INDIRECT("1:"&amp;LEN(A223)))),1))," ",REPT(" ",LEN(A223))),LEN(A223))))))),1))*ROW(INDIRECT("1:"&amp;LEN((--TRIM(RIGHT(SUBSTITUTE(LEFT(A223,_xlfn.AGGREGATE(16,6,FIND({0,1,2,3,4,5,6,7,8,9},A223,ROW(INDIRECT("1:"&amp;LEN(A223)))),1))," ",REPT(" ",LEN(A223))),LEN(A223))))))),0),ROW(INDIRECT("1:"&amp;LEN((--TRIM(RIGHT(SUBSTITUTE(LEFT(A223,_xlfn.AGGREGATE(16,6,FIND({0,1,2,3,4,5,6,7,8,9},A223,ROW(INDIRECT("1:"&amp;LEN(A223)))),1))," ",REPT(" ",LEN(A223))),LEN(A223))))))))+1,1)*10^ROW(INDIRECT("1:"&amp;LEN((--TRIM(RIGHT(SUBSTITUTE(LEFT(A223,_xlfn.AGGREGATE(16,6,FIND({0,1,2,3,4,5,6,7,8,9},A223,ROW(INDIRECT("1:"&amp;LEN(A223)))),1))," ",REPT(" ",LEN(A223))),LEN(A223)))))))/10))*1+1</f>
        <v>22 &amp; 9</v>
      </c>
      <c r="B224" s="194"/>
      <c r="C224" s="186"/>
      <c r="D224" s="186"/>
      <c r="E224" s="186">
        <v>0</v>
      </c>
      <c r="F224" s="186">
        <f>D224+E224</f>
        <v>0</v>
      </c>
      <c r="G224" s="186">
        <v>0</v>
      </c>
      <c r="H224" s="186">
        <f>F224*(($H$152)+1)+(IF(G224&lt;101,G224,IF(G224&lt;201,G224/2,IF(G224&lt;=301,G224/3,G224/4))))</f>
        <v>0</v>
      </c>
      <c r="I224" s="196"/>
    </row>
    <row r="225" s="41" customFormat="1" spans="1:9">
      <c r="A225" s="190" t="s">
        <v>290</v>
      </c>
      <c r="B225" s="191"/>
      <c r="C225" s="191"/>
      <c r="D225" s="191"/>
      <c r="E225" s="191"/>
      <c r="F225" s="191"/>
      <c r="G225" s="191"/>
      <c r="H225" s="192"/>
      <c r="I225" s="196"/>
    </row>
    <row r="226" s="41" customFormat="1" customHeight="1" spans="1:9">
      <c r="A226" s="193">
        <v>1</v>
      </c>
      <c r="B226" s="194"/>
      <c r="C226" s="186" t="s">
        <v>288</v>
      </c>
      <c r="D226" s="186">
        <f>(29.97)*10.764</f>
        <v>322.59708</v>
      </c>
      <c r="E226" s="186">
        <f>(2.6*1.07+2.25*1.05+2.75*1.05+3.05*0.93)*10.764</f>
        <v>116.988534</v>
      </c>
      <c r="F226" s="186">
        <f t="shared" ref="F226:F237" si="21">D226+E226</f>
        <v>439.585614</v>
      </c>
      <c r="G226" s="186">
        <v>0</v>
      </c>
      <c r="H226" s="186">
        <f t="shared" ref="H226:H237" si="22">F226*(($H$152)+1)+(IF(G226&lt;101,G226,IF(G226&lt;201,G226/2,IF(G226&lt;=301,G226/3,G226/4))))</f>
        <v>659.378421</v>
      </c>
      <c r="I226" s="196">
        <f>3.05*3.52+2.25*2.15+2.75*2.15+1.22*2.17+1.8*1.2+0.88*0.95</f>
        <v>27.1294</v>
      </c>
    </row>
    <row r="227" s="41" customFormat="1" customHeight="1" spans="1:9">
      <c r="A227" s="193">
        <v>2</v>
      </c>
      <c r="B227" s="194"/>
      <c r="C227" s="186" t="s">
        <v>288</v>
      </c>
      <c r="D227" s="186">
        <f>(29.97)*10.764</f>
        <v>322.59708</v>
      </c>
      <c r="E227" s="186">
        <f>(2.6*1.07+2.25*1.05+2.75*1.05+3.05*0.93)*10.764</f>
        <v>116.988534</v>
      </c>
      <c r="F227" s="186">
        <f t="shared" si="21"/>
        <v>439.585614</v>
      </c>
      <c r="G227" s="186">
        <v>0</v>
      </c>
      <c r="H227" s="186">
        <f t="shared" si="22"/>
        <v>659.378421</v>
      </c>
      <c r="I227" s="196"/>
    </row>
    <row r="228" s="41" customFormat="1" customHeight="1" spans="1:9">
      <c r="A228" s="193">
        <v>3</v>
      </c>
      <c r="B228" s="194"/>
      <c r="C228" s="186" t="s">
        <v>288</v>
      </c>
      <c r="D228" s="186">
        <f>(29.82)*10.764</f>
        <v>320.98248</v>
      </c>
      <c r="E228" s="186">
        <f>(2.3*1.07+2.75*0.93)*10.764</f>
        <v>54.019134</v>
      </c>
      <c r="F228" s="186">
        <f t="shared" si="21"/>
        <v>375.001614</v>
      </c>
      <c r="G228" s="186">
        <v>0</v>
      </c>
      <c r="H228" s="186">
        <f t="shared" si="22"/>
        <v>562.502421</v>
      </c>
      <c r="I228" s="196"/>
    </row>
    <row r="229" s="41" customFormat="1" customHeight="1" spans="1:9">
      <c r="A229" s="193">
        <v>4</v>
      </c>
      <c r="B229" s="194"/>
      <c r="C229" s="186" t="s">
        <v>288</v>
      </c>
      <c r="D229" s="186">
        <f>(29.82)*10.764</f>
        <v>320.98248</v>
      </c>
      <c r="E229" s="186">
        <f>(2.3*1.07+2.75*0.93)*10.764</f>
        <v>54.019134</v>
      </c>
      <c r="F229" s="186">
        <f t="shared" si="21"/>
        <v>375.001614</v>
      </c>
      <c r="G229" s="186">
        <v>0</v>
      </c>
      <c r="H229" s="186">
        <f t="shared" si="22"/>
        <v>562.502421</v>
      </c>
      <c r="I229" s="196">
        <f>2.75*3.07+2.25*2.75+2.75*2.75+1.98*1.2+1.22*2.17+0.5*1.65</f>
        <v>28.0409</v>
      </c>
    </row>
    <row r="230" s="41" customFormat="1" customHeight="1" spans="1:9">
      <c r="A230" s="193">
        <v>5</v>
      </c>
      <c r="B230" s="194"/>
      <c r="C230" s="186" t="s">
        <v>288</v>
      </c>
      <c r="D230" s="186">
        <f>(29.97)*10.764</f>
        <v>322.59708</v>
      </c>
      <c r="E230" s="186">
        <f>(2.6*1.07+2.25*1.05+2.75*1.05+3.05*0.93)*10.764</f>
        <v>116.988534</v>
      </c>
      <c r="F230" s="186">
        <f t="shared" si="21"/>
        <v>439.585614</v>
      </c>
      <c r="G230" s="186">
        <v>0</v>
      </c>
      <c r="H230" s="186">
        <f t="shared" si="22"/>
        <v>659.378421</v>
      </c>
      <c r="I230" s="196"/>
    </row>
    <row r="231" s="41" customFormat="1" customHeight="1" spans="1:9">
      <c r="A231" s="193">
        <v>6</v>
      </c>
      <c r="B231" s="194"/>
      <c r="C231" s="186" t="s">
        <v>288</v>
      </c>
      <c r="D231" s="186">
        <f>(29.97)*10.764</f>
        <v>322.59708</v>
      </c>
      <c r="E231" s="186">
        <f>(2.6*1.07+2.25*1.05+2.75*1.05+3.05*0.93)*10.764</f>
        <v>116.988534</v>
      </c>
      <c r="F231" s="186">
        <f t="shared" si="21"/>
        <v>439.585614</v>
      </c>
      <c r="G231" s="186">
        <v>0</v>
      </c>
      <c r="H231" s="186">
        <f t="shared" si="22"/>
        <v>659.378421</v>
      </c>
      <c r="I231" s="196"/>
    </row>
    <row r="232" s="41" customFormat="1" customHeight="1" spans="1:9">
      <c r="A232" s="193">
        <v>7</v>
      </c>
      <c r="B232" s="194"/>
      <c r="C232" s="186" t="s">
        <v>289</v>
      </c>
      <c r="D232" s="186">
        <f>(46.68)*10.764</f>
        <v>502.46352</v>
      </c>
      <c r="E232" s="186">
        <f>(2.6*1.07)*10.764</f>
        <v>29.945448</v>
      </c>
      <c r="F232" s="186">
        <f t="shared" si="21"/>
        <v>532.408968</v>
      </c>
      <c r="G232" s="186">
        <v>0</v>
      </c>
      <c r="H232" s="186">
        <f t="shared" si="22"/>
        <v>798.613452</v>
      </c>
      <c r="I232" s="196"/>
    </row>
    <row r="233" s="41" customFormat="1" customHeight="1" spans="1:9">
      <c r="A233" s="193">
        <v>8</v>
      </c>
      <c r="B233" s="194"/>
      <c r="C233" s="186" t="s">
        <v>289</v>
      </c>
      <c r="D233" s="186">
        <f>(46.68)*10.764</f>
        <v>502.46352</v>
      </c>
      <c r="E233" s="186">
        <f>(2.6*1.07)*10.764</f>
        <v>29.945448</v>
      </c>
      <c r="F233" s="186">
        <f t="shared" si="21"/>
        <v>532.408968</v>
      </c>
      <c r="G233" s="186">
        <v>0</v>
      </c>
      <c r="H233" s="186">
        <f t="shared" si="22"/>
        <v>798.613452</v>
      </c>
      <c r="I233" s="196"/>
    </row>
    <row r="234" s="41" customFormat="1" customHeight="1" spans="1:9">
      <c r="A234" s="193">
        <v>9</v>
      </c>
      <c r="B234" s="194"/>
      <c r="C234" s="186" t="s">
        <v>289</v>
      </c>
      <c r="D234" s="186">
        <f>(46.68)*10.764</f>
        <v>502.46352</v>
      </c>
      <c r="E234" s="186">
        <f>(2.6*1.07)*10.764</f>
        <v>29.945448</v>
      </c>
      <c r="F234" s="186">
        <f t="shared" si="21"/>
        <v>532.408968</v>
      </c>
      <c r="G234" s="186">
        <v>0</v>
      </c>
      <c r="H234" s="186">
        <f t="shared" si="22"/>
        <v>798.613452</v>
      </c>
      <c r="I234" s="196"/>
    </row>
    <row r="235" s="41" customFormat="1" customHeight="1" spans="1:9">
      <c r="A235" s="193">
        <v>10</v>
      </c>
      <c r="B235" s="194"/>
      <c r="C235" s="186" t="s">
        <v>289</v>
      </c>
      <c r="D235" s="186">
        <f>(46.68)*10.764</f>
        <v>502.46352</v>
      </c>
      <c r="E235" s="186">
        <f>(2.6*1.07)*10.764</f>
        <v>29.945448</v>
      </c>
      <c r="F235" s="186">
        <f t="shared" si="21"/>
        <v>532.408968</v>
      </c>
      <c r="G235" s="186">
        <v>0</v>
      </c>
      <c r="H235" s="186">
        <f t="shared" si="22"/>
        <v>798.613452</v>
      </c>
      <c r="I235" s="196"/>
    </row>
    <row r="236" s="41" customFormat="1" customHeight="1" spans="1:9">
      <c r="A236" s="193">
        <v>11</v>
      </c>
      <c r="B236" s="194"/>
      <c r="C236" s="186" t="s">
        <v>288</v>
      </c>
      <c r="D236" s="186">
        <f>(29.97)*10.764</f>
        <v>322.59708</v>
      </c>
      <c r="E236" s="186">
        <f>(2.6*1.07+2.25*1.05+2.75*1.05+3.05*0.93)*10.764</f>
        <v>116.988534</v>
      </c>
      <c r="F236" s="186">
        <f t="shared" si="21"/>
        <v>439.585614</v>
      </c>
      <c r="G236" s="186">
        <v>0</v>
      </c>
      <c r="H236" s="186">
        <f t="shared" si="22"/>
        <v>659.378421</v>
      </c>
      <c r="I236" s="196"/>
    </row>
    <row r="237" s="41" customFormat="1" customHeight="1" spans="1:9">
      <c r="A237" s="193">
        <v>12</v>
      </c>
      <c r="B237" s="194"/>
      <c r="C237" s="186" t="s">
        <v>288</v>
      </c>
      <c r="D237" s="186">
        <f>(29.97)*10.764</f>
        <v>322.59708</v>
      </c>
      <c r="E237" s="186">
        <f>(2.6*1.07+2.25*1.05+2.75*1.05+3.05*0.93)*10.764</f>
        <v>116.988534</v>
      </c>
      <c r="F237" s="186">
        <f t="shared" si="21"/>
        <v>439.585614</v>
      </c>
      <c r="G237" s="186">
        <v>0</v>
      </c>
      <c r="H237" s="186">
        <f t="shared" si="22"/>
        <v>659.378421</v>
      </c>
      <c r="I237" s="196"/>
    </row>
    <row r="238" s="40" customFormat="1" spans="1:20">
      <c r="A238" s="197" t="s">
        <v>295</v>
      </c>
      <c r="B238" s="197"/>
      <c r="C238" s="197"/>
      <c r="D238" s="197"/>
      <c r="E238" s="197"/>
      <c r="F238" s="197"/>
      <c r="G238" s="197"/>
      <c r="H238" s="197"/>
      <c r="T238" s="41"/>
    </row>
    <row r="239" s="40" customFormat="1" ht="16.5" customHeight="1" spans="1:20">
      <c r="A239" s="173" t="s">
        <v>296</v>
      </c>
      <c r="B239" s="198" t="s">
        <v>297</v>
      </c>
      <c r="C239" s="199"/>
      <c r="D239" s="199"/>
      <c r="E239" s="199"/>
      <c r="F239" s="199"/>
      <c r="G239" s="199"/>
      <c r="H239" s="200"/>
      <c r="T239" s="41"/>
    </row>
    <row r="240" s="40" customFormat="1" spans="1:20">
      <c r="A240" s="173" t="s">
        <v>296</v>
      </c>
      <c r="B240" s="201" t="str">
        <f>(IF(H151="Saleable area Loading :","We have considered Saleable area of Flats as per our Calculation.","We considered Saleable area of Flat as per Builder area Sheet."))</f>
        <v>We have considered Saleable area of Flats as per our Calculation.</v>
      </c>
      <c r="C240" s="202"/>
      <c r="D240" s="202"/>
      <c r="E240" s="202"/>
      <c r="F240" s="202"/>
      <c r="G240" s="202"/>
      <c r="H240" s="203"/>
      <c r="T240" s="41"/>
    </row>
    <row r="241" s="40" customFormat="1" hidden="1" spans="1:20">
      <c r="A241" s="173" t="s">
        <v>296</v>
      </c>
      <c r="B241" s="201" t="str">
        <f>(IF(H143="Saleable area Loading :","We have considered Saleable area of Commercial as per our Calculation.","We considered Saleable area of Commercial as per Builder area Sheet."))</f>
        <v>We have considered Saleable area of Commercial as per our Calculation.</v>
      </c>
      <c r="C241" s="202"/>
      <c r="D241" s="202"/>
      <c r="E241" s="202"/>
      <c r="F241" s="202"/>
      <c r="G241" s="202"/>
      <c r="H241" s="203"/>
      <c r="T241" s="41"/>
    </row>
    <row r="242" s="40" customFormat="1" spans="1:20">
      <c r="A242" s="173" t="s">
        <v>296</v>
      </c>
      <c r="B242" s="204" t="s">
        <v>298</v>
      </c>
      <c r="C242" s="205"/>
      <c r="D242" s="205"/>
      <c r="E242" s="205"/>
      <c r="F242" s="205"/>
      <c r="G242" s="205"/>
      <c r="H242" s="206"/>
      <c r="T242" s="41"/>
    </row>
    <row r="243" s="40" customFormat="1" ht="14.25" customHeight="1" spans="1:20">
      <c r="A243" s="173" t="s">
        <v>296</v>
      </c>
      <c r="B243" s="204" t="s">
        <v>299</v>
      </c>
      <c r="C243" s="205"/>
      <c r="D243" s="205"/>
      <c r="E243" s="205"/>
      <c r="F243" s="205"/>
      <c r="G243" s="205"/>
      <c r="H243" s="206"/>
      <c r="T243" s="41"/>
    </row>
    <row r="244" s="40" customFormat="1" spans="1:8">
      <c r="A244" s="173" t="s">
        <v>296</v>
      </c>
      <c r="B244" s="204" t="s">
        <v>300</v>
      </c>
      <c r="C244" s="205"/>
      <c r="D244" s="205"/>
      <c r="E244" s="205"/>
      <c r="F244" s="205"/>
      <c r="G244" s="205"/>
      <c r="H244" s="206"/>
    </row>
    <row r="245" s="40" customFormat="1" spans="1:8">
      <c r="A245" s="173" t="s">
        <v>296</v>
      </c>
      <c r="B245" s="204" t="s">
        <v>301</v>
      </c>
      <c r="C245" s="205"/>
      <c r="D245" s="205"/>
      <c r="E245" s="205"/>
      <c r="F245" s="205"/>
      <c r="G245" s="205"/>
      <c r="H245" s="206"/>
    </row>
    <row r="246" s="40" customFormat="1" ht="34.5" customHeight="1" spans="1:8">
      <c r="A246" s="173" t="s">
        <v>296</v>
      </c>
      <c r="B246" s="204" t="s">
        <v>302</v>
      </c>
      <c r="C246" s="205"/>
      <c r="D246" s="205"/>
      <c r="E246" s="205"/>
      <c r="F246" s="205"/>
      <c r="G246" s="205"/>
      <c r="H246" s="206"/>
    </row>
    <row r="247" s="40" customFormat="1" spans="1:8">
      <c r="A247" s="173" t="s">
        <v>296</v>
      </c>
      <c r="B247" s="204" t="s">
        <v>303</v>
      </c>
      <c r="C247" s="205"/>
      <c r="D247" s="205"/>
      <c r="E247" s="205"/>
      <c r="F247" s="205"/>
      <c r="G247" s="205"/>
      <c r="H247" s="206"/>
    </row>
    <row r="248" s="40" customFormat="1" ht="32.25" hidden="1" customHeight="1" spans="1:8">
      <c r="A248" s="173" t="s">
        <v>296</v>
      </c>
      <c r="B248" s="207" t="s">
        <v>304</v>
      </c>
      <c r="C248" s="208"/>
      <c r="D248" s="208"/>
      <c r="E248" s="208"/>
      <c r="F248" s="208"/>
      <c r="G248" s="208"/>
      <c r="H248" s="209"/>
    </row>
    <row r="249" s="40" customFormat="1" hidden="1" spans="1:8">
      <c r="A249" s="173" t="s">
        <v>296</v>
      </c>
      <c r="B249" s="207" t="s">
        <v>305</v>
      </c>
      <c r="C249" s="208"/>
      <c r="D249" s="208"/>
      <c r="E249" s="208"/>
      <c r="F249" s="208"/>
      <c r="G249" s="208"/>
      <c r="H249" s="209"/>
    </row>
    <row r="250" s="40" customFormat="1" ht="30.75" customHeight="1" spans="1:8">
      <c r="A250" s="173" t="s">
        <v>296</v>
      </c>
      <c r="B250" s="198" t="s">
        <v>306</v>
      </c>
      <c r="C250" s="199"/>
      <c r="D250" s="199"/>
      <c r="E250" s="199"/>
      <c r="F250" s="199"/>
      <c r="G250" s="199"/>
      <c r="H250" s="200"/>
    </row>
    <row r="251" s="40" customFormat="1" spans="1:8">
      <c r="A251" s="173" t="s">
        <v>296</v>
      </c>
      <c r="B251" s="198" t="s">
        <v>307</v>
      </c>
      <c r="C251" s="199"/>
      <c r="D251" s="199"/>
      <c r="E251" s="199"/>
      <c r="F251" s="199"/>
      <c r="G251" s="199"/>
      <c r="H251" s="200"/>
    </row>
    <row r="252" spans="1:20">
      <c r="A252" s="90" t="s">
        <v>308</v>
      </c>
      <c r="B252" s="90"/>
      <c r="C252" s="90"/>
      <c r="D252" s="90"/>
      <c r="E252" s="90"/>
      <c r="F252" s="90"/>
      <c r="G252" s="90"/>
      <c r="H252" s="90"/>
      <c r="T252" s="40"/>
    </row>
    <row r="253" spans="1:20">
      <c r="A253" s="50" t="s">
        <v>309</v>
      </c>
      <c r="B253" s="50"/>
      <c r="C253" s="50"/>
      <c r="D253" s="50"/>
      <c r="E253" s="50"/>
      <c r="F253" s="50"/>
      <c r="G253" s="50"/>
      <c r="H253" s="50"/>
      <c r="T253" s="40"/>
    </row>
    <row r="254" customHeight="1" spans="1:20">
      <c r="A254" s="210" t="s">
        <v>310</v>
      </c>
      <c r="B254" s="210"/>
      <c r="C254" s="210"/>
      <c r="D254" s="210"/>
      <c r="E254" s="210"/>
      <c r="F254" s="210"/>
      <c r="G254" s="210"/>
      <c r="H254" s="210"/>
      <c r="T254" s="40"/>
    </row>
    <row r="255" spans="1:20">
      <c r="A255" s="50" t="s">
        <v>311</v>
      </c>
      <c r="B255" s="50"/>
      <c r="C255" s="50"/>
      <c r="D255" s="50"/>
      <c r="E255" s="50"/>
      <c r="F255" s="50"/>
      <c r="G255" s="50"/>
      <c r="H255" s="50"/>
      <c r="T255" s="40"/>
    </row>
    <row r="256" spans="1:20">
      <c r="A256" s="50" t="s">
        <v>312</v>
      </c>
      <c r="B256" s="50"/>
      <c r="C256" s="50"/>
      <c r="D256" s="50"/>
      <c r="E256" s="50"/>
      <c r="F256" s="50"/>
      <c r="G256" s="50"/>
      <c r="H256" s="50"/>
      <c r="T256" s="40"/>
    </row>
    <row r="257" spans="1:20">
      <c r="A257" s="50" t="s">
        <v>313</v>
      </c>
      <c r="B257" s="50"/>
      <c r="C257" s="50"/>
      <c r="D257" s="50"/>
      <c r="E257" s="50"/>
      <c r="F257" s="50"/>
      <c r="G257" s="50"/>
      <c r="H257" s="50"/>
      <c r="T257" s="40"/>
    </row>
    <row r="258" ht="33.95" customHeight="1" spans="1:8">
      <c r="A258" s="52" t="s">
        <v>314</v>
      </c>
      <c r="B258" s="52"/>
      <c r="C258" s="52"/>
      <c r="D258" s="52"/>
      <c r="E258" s="52"/>
      <c r="F258" s="52"/>
      <c r="G258" s="52"/>
      <c r="H258" s="52"/>
    </row>
    <row r="259" spans="1:8">
      <c r="A259" s="211" t="s">
        <v>315</v>
      </c>
      <c r="B259" s="211"/>
      <c r="C259" s="211" t="s">
        <v>316</v>
      </c>
      <c r="D259" s="211"/>
      <c r="E259" s="211" t="s">
        <v>317</v>
      </c>
      <c r="F259" s="211"/>
      <c r="G259" s="212" t="s">
        <v>318</v>
      </c>
      <c r="H259" s="212"/>
    </row>
    <row r="260" spans="1:8">
      <c r="A260" s="213" t="s">
        <v>319</v>
      </c>
      <c r="B260" s="213"/>
      <c r="C260" s="213"/>
      <c r="D260" s="213"/>
      <c r="E260" s="213"/>
      <c r="F260" s="213"/>
      <c r="G260" s="213"/>
      <c r="H260" s="213"/>
    </row>
    <row r="261" spans="1:8">
      <c r="A261" s="213"/>
      <c r="B261" s="213"/>
      <c r="C261" s="213"/>
      <c r="D261" s="213"/>
      <c r="E261" s="213"/>
      <c r="F261" s="213"/>
      <c r="G261" s="213"/>
      <c r="H261" s="213"/>
    </row>
    <row r="262" spans="1:8">
      <c r="A262" s="213"/>
      <c r="B262" s="213"/>
      <c r="C262" s="213"/>
      <c r="D262" s="213"/>
      <c r="E262" s="213"/>
      <c r="F262" s="213"/>
      <c r="G262" s="213"/>
      <c r="H262" s="213"/>
    </row>
    <row r="263" spans="1:8">
      <c r="A263" s="214" t="s">
        <v>320</v>
      </c>
      <c r="B263" s="215"/>
      <c r="C263" s="215"/>
      <c r="D263" s="214" t="str">
        <f>E9</f>
        <v>Balaji Classica ­ Athena And Iris</v>
      </c>
      <c r="F263" s="215"/>
      <c r="G263" s="215"/>
      <c r="H263" s="215"/>
    </row>
    <row r="264" spans="1:8">
      <c r="A264" s="215"/>
      <c r="B264" s="215"/>
      <c r="C264" s="215"/>
      <c r="D264" s="215"/>
      <c r="E264" s="215"/>
      <c r="F264" s="215"/>
      <c r="G264" s="215"/>
      <c r="H264" s="215"/>
    </row>
    <row r="265" spans="1:8">
      <c r="A265" s="215"/>
      <c r="B265" s="215"/>
      <c r="C265" s="215"/>
      <c r="D265" s="215"/>
      <c r="E265" s="215"/>
      <c r="F265" s="215"/>
      <c r="G265" s="215"/>
      <c r="H265" s="215"/>
    </row>
    <row r="266" ht="15" customHeight="1"/>
    <row r="306" spans="1:1">
      <c r="A306" s="216" t="s">
        <v>321</v>
      </c>
    </row>
    <row r="345" spans="1:1">
      <c r="A345" s="216" t="s">
        <v>322</v>
      </c>
    </row>
  </sheetData>
  <mergeCells count="429">
    <mergeCell ref="A1:H1"/>
    <mergeCell ref="A2:H2"/>
    <mergeCell ref="A3:D3"/>
    <mergeCell ref="E3:H3"/>
    <mergeCell ref="A4:D4"/>
    <mergeCell ref="E4:H4"/>
    <mergeCell ref="A5:D5"/>
    <mergeCell ref="E5:H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I15:P15"/>
    <mergeCell ref="A16:B16"/>
    <mergeCell ref="C16:H16"/>
    <mergeCell ref="A17:B17"/>
    <mergeCell ref="C17:H17"/>
    <mergeCell ref="A18:B18"/>
    <mergeCell ref="C18:H18"/>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A25:D25"/>
    <mergeCell ref="E25:H25"/>
    <mergeCell ref="A26:D26"/>
    <mergeCell ref="E26:H26"/>
    <mergeCell ref="A27:D27"/>
    <mergeCell ref="E27:H27"/>
    <mergeCell ref="A28:D28"/>
    <mergeCell ref="E28:H28"/>
    <mergeCell ref="A29:D29"/>
    <mergeCell ref="E29:H29"/>
    <mergeCell ref="A30:D30"/>
    <mergeCell ref="E30:H30"/>
    <mergeCell ref="A31:D31"/>
    <mergeCell ref="E31:H31"/>
    <mergeCell ref="A32:D32"/>
    <mergeCell ref="E32:H32"/>
    <mergeCell ref="A33:B33"/>
    <mergeCell ref="C33:E33"/>
    <mergeCell ref="F33:H33"/>
    <mergeCell ref="A34:B34"/>
    <mergeCell ref="C34:E34"/>
    <mergeCell ref="F34:H34"/>
    <mergeCell ref="A35:B35"/>
    <mergeCell ref="C35:E35"/>
    <mergeCell ref="F35:H35"/>
    <mergeCell ref="A36:B36"/>
    <mergeCell ref="C36:E36"/>
    <mergeCell ref="F36:H36"/>
    <mergeCell ref="A37:B37"/>
    <mergeCell ref="C37:E37"/>
    <mergeCell ref="F37:H37"/>
    <mergeCell ref="A38:H38"/>
    <mergeCell ref="A39:B39"/>
    <mergeCell ref="C39:H39"/>
    <mergeCell ref="A40:B40"/>
    <mergeCell ref="C40:H40"/>
    <mergeCell ref="A41:H41"/>
    <mergeCell ref="A42:D42"/>
    <mergeCell ref="E42:H42"/>
    <mergeCell ref="A43:D43"/>
    <mergeCell ref="E43:H43"/>
    <mergeCell ref="A44:D44"/>
    <mergeCell ref="E44:H44"/>
    <mergeCell ref="A45:D45"/>
    <mergeCell ref="E45:H45"/>
    <mergeCell ref="A46:D46"/>
    <mergeCell ref="E46:H46"/>
    <mergeCell ref="A47:D47"/>
    <mergeCell ref="E47:H47"/>
    <mergeCell ref="A48:H48"/>
    <mergeCell ref="A49:B49"/>
    <mergeCell ref="C49:H49"/>
    <mergeCell ref="A50:B50"/>
    <mergeCell ref="C50:E50"/>
    <mergeCell ref="G50:H50"/>
    <mergeCell ref="A51:B51"/>
    <mergeCell ref="C51:E51"/>
    <mergeCell ref="G51:H51"/>
    <mergeCell ref="C52:E52"/>
    <mergeCell ref="G52:H52"/>
    <mergeCell ref="C53:H53"/>
    <mergeCell ref="C54:E54"/>
    <mergeCell ref="G54:H54"/>
    <mergeCell ref="C55:H55"/>
    <mergeCell ref="C56:E56"/>
    <mergeCell ref="G56:H56"/>
    <mergeCell ref="C57:H57"/>
    <mergeCell ref="C58:E58"/>
    <mergeCell ref="G58:H58"/>
    <mergeCell ref="C59:H59"/>
    <mergeCell ref="A60:B60"/>
    <mergeCell ref="C60:E60"/>
    <mergeCell ref="G60:H60"/>
    <mergeCell ref="A61:H61"/>
    <mergeCell ref="A62:C62"/>
    <mergeCell ref="D62:H62"/>
    <mergeCell ref="A63:C63"/>
    <mergeCell ref="D63:H63"/>
    <mergeCell ref="A64:C64"/>
    <mergeCell ref="D64:H64"/>
    <mergeCell ref="D65:H65"/>
    <mergeCell ref="D66:H66"/>
    <mergeCell ref="D67:H67"/>
    <mergeCell ref="A68:C68"/>
    <mergeCell ref="D68:H68"/>
    <mergeCell ref="A69:C69"/>
    <mergeCell ref="D69:H69"/>
    <mergeCell ref="A70:C70"/>
    <mergeCell ref="D70:H70"/>
    <mergeCell ref="A71:C71"/>
    <mergeCell ref="D71:H71"/>
    <mergeCell ref="A72:C72"/>
    <mergeCell ref="D72:H72"/>
    <mergeCell ref="A73:C73"/>
    <mergeCell ref="D73:H73"/>
    <mergeCell ref="A74:C74"/>
    <mergeCell ref="D74:H74"/>
    <mergeCell ref="A75:B75"/>
    <mergeCell ref="C75:H75"/>
    <mergeCell ref="A77:B77"/>
    <mergeCell ref="C77:H77"/>
    <mergeCell ref="A78:B78"/>
    <mergeCell ref="E78:F78"/>
    <mergeCell ref="G78:H78"/>
    <mergeCell ref="A79:B79"/>
    <mergeCell ref="A80:B80"/>
    <mergeCell ref="A81:B81"/>
    <mergeCell ref="A82:B82"/>
    <mergeCell ref="A83:B83"/>
    <mergeCell ref="A84:B84"/>
    <mergeCell ref="A85:B85"/>
    <mergeCell ref="A86:B86"/>
    <mergeCell ref="A87:B87"/>
    <mergeCell ref="A88:B88"/>
    <mergeCell ref="A89:B89"/>
    <mergeCell ref="C89:H89"/>
    <mergeCell ref="A91:B91"/>
    <mergeCell ref="C91:H91"/>
    <mergeCell ref="A92:B92"/>
    <mergeCell ref="E92:F92"/>
    <mergeCell ref="G92:H92"/>
    <mergeCell ref="A93:B93"/>
    <mergeCell ref="A94:B94"/>
    <mergeCell ref="A95:B95"/>
    <mergeCell ref="A96:B96"/>
    <mergeCell ref="A97:B97"/>
    <mergeCell ref="A98:B98"/>
    <mergeCell ref="A99:B99"/>
    <mergeCell ref="A100:B100"/>
    <mergeCell ref="A101:B101"/>
    <mergeCell ref="A102:B102"/>
    <mergeCell ref="A103:B103"/>
    <mergeCell ref="C103:H103"/>
    <mergeCell ref="A105:B105"/>
    <mergeCell ref="C105:H105"/>
    <mergeCell ref="A106:B106"/>
    <mergeCell ref="E106:F106"/>
    <mergeCell ref="G106:H106"/>
    <mergeCell ref="A107:B107"/>
    <mergeCell ref="A108:B108"/>
    <mergeCell ref="A109:B109"/>
    <mergeCell ref="A110:B110"/>
    <mergeCell ref="A111:B111"/>
    <mergeCell ref="A112:B112"/>
    <mergeCell ref="A113:B113"/>
    <mergeCell ref="A114:B114"/>
    <mergeCell ref="A115:B115"/>
    <mergeCell ref="A116:B116"/>
    <mergeCell ref="A117:E117"/>
    <mergeCell ref="F117:H117"/>
    <mergeCell ref="A118:E118"/>
    <mergeCell ref="F118:H118"/>
    <mergeCell ref="A119:E119"/>
    <mergeCell ref="F119:H119"/>
    <mergeCell ref="A120:E120"/>
    <mergeCell ref="F120:H120"/>
    <mergeCell ref="A121:E121"/>
    <mergeCell ref="F121:H121"/>
    <mergeCell ref="A122:E122"/>
    <mergeCell ref="F122:H122"/>
    <mergeCell ref="A123:E123"/>
    <mergeCell ref="F123:H123"/>
    <mergeCell ref="A124:E124"/>
    <mergeCell ref="F124:H124"/>
    <mergeCell ref="A125:E125"/>
    <mergeCell ref="F125:H125"/>
    <mergeCell ref="A126:E126"/>
    <mergeCell ref="F126:H126"/>
    <mergeCell ref="A127:E127"/>
    <mergeCell ref="F127:H127"/>
    <mergeCell ref="A128:E128"/>
    <mergeCell ref="F128:H128"/>
    <mergeCell ref="A129:E129"/>
    <mergeCell ref="F129:H129"/>
    <mergeCell ref="A130:H130"/>
    <mergeCell ref="A131:B131"/>
    <mergeCell ref="C131:D131"/>
    <mergeCell ref="E131:F131"/>
    <mergeCell ref="G131:H131"/>
    <mergeCell ref="A132:B132"/>
    <mergeCell ref="C132:D132"/>
    <mergeCell ref="E132:F132"/>
    <mergeCell ref="G132:H132"/>
    <mergeCell ref="A133:B133"/>
    <mergeCell ref="C133:D133"/>
    <mergeCell ref="E133:F133"/>
    <mergeCell ref="G133:H133"/>
    <mergeCell ref="A134:B134"/>
    <mergeCell ref="C134:D134"/>
    <mergeCell ref="E134:F134"/>
    <mergeCell ref="G134:H134"/>
    <mergeCell ref="A135:H135"/>
    <mergeCell ref="A136:B136"/>
    <mergeCell ref="C136:D136"/>
    <mergeCell ref="E136:F136"/>
    <mergeCell ref="G136:H136"/>
    <mergeCell ref="A137:B137"/>
    <mergeCell ref="C137:D137"/>
    <mergeCell ref="E137:F137"/>
    <mergeCell ref="G137:H137"/>
    <mergeCell ref="A138:B138"/>
    <mergeCell ref="C138:D138"/>
    <mergeCell ref="E138:F138"/>
    <mergeCell ref="G138:H138"/>
    <mergeCell ref="A139:B139"/>
    <mergeCell ref="C139:D139"/>
    <mergeCell ref="E139:F139"/>
    <mergeCell ref="G139:H139"/>
    <mergeCell ref="A140:B140"/>
    <mergeCell ref="C140:D140"/>
    <mergeCell ref="E140:F140"/>
    <mergeCell ref="G140:H140"/>
    <mergeCell ref="A141:H141"/>
    <mergeCell ref="A142:H142"/>
    <mergeCell ref="A145:H145"/>
    <mergeCell ref="A146:B146"/>
    <mergeCell ref="L146:M146"/>
    <mergeCell ref="A147:B147"/>
    <mergeCell ref="L147:M147"/>
    <mergeCell ref="A148:B148"/>
    <mergeCell ref="L148:M148"/>
    <mergeCell ref="A149:B149"/>
    <mergeCell ref="L149:M149"/>
    <mergeCell ref="A150:H150"/>
    <mergeCell ref="A153:H153"/>
    <mergeCell ref="A154:H154"/>
    <mergeCell ref="A155:H155"/>
    <mergeCell ref="A156:B156"/>
    <mergeCell ref="L156:M156"/>
    <mergeCell ref="A157:B157"/>
    <mergeCell ref="L157:M157"/>
    <mergeCell ref="A158:B158"/>
    <mergeCell ref="L158:M158"/>
    <mergeCell ref="A159:B159"/>
    <mergeCell ref="L159:M159"/>
    <mergeCell ref="A160:B160"/>
    <mergeCell ref="L160:M160"/>
    <mergeCell ref="A161:B161"/>
    <mergeCell ref="L161:M161"/>
    <mergeCell ref="A162:B162"/>
    <mergeCell ref="L162:M162"/>
    <mergeCell ref="A163:B163"/>
    <mergeCell ref="L163:M163"/>
    <mergeCell ref="A164:B164"/>
    <mergeCell ref="L164:M164"/>
    <mergeCell ref="A165:B165"/>
    <mergeCell ref="L165:M165"/>
    <mergeCell ref="A166:B166"/>
    <mergeCell ref="L166:M166"/>
    <mergeCell ref="A167:B167"/>
    <mergeCell ref="L167:M167"/>
    <mergeCell ref="A168:B168"/>
    <mergeCell ref="L168:M168"/>
    <mergeCell ref="A169:B169"/>
    <mergeCell ref="L169:M169"/>
    <mergeCell ref="A170:H170"/>
    <mergeCell ref="L170:M170"/>
    <mergeCell ref="A171:B171"/>
    <mergeCell ref="C171:H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H185"/>
    <mergeCell ref="A186:H186"/>
    <mergeCell ref="A187:H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H200"/>
    <mergeCell ref="A201:B201"/>
    <mergeCell ref="A202:B202"/>
    <mergeCell ref="A203:B203"/>
    <mergeCell ref="A204:B204"/>
    <mergeCell ref="A205:B205"/>
    <mergeCell ref="A206:H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H219"/>
    <mergeCell ref="A220:B220"/>
    <mergeCell ref="A221:B221"/>
    <mergeCell ref="A222:B222"/>
    <mergeCell ref="A223:B223"/>
    <mergeCell ref="A224:B224"/>
    <mergeCell ref="A225:H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H238"/>
    <mergeCell ref="B239:H239"/>
    <mergeCell ref="B240:H240"/>
    <mergeCell ref="B241:H241"/>
    <mergeCell ref="B242:H242"/>
    <mergeCell ref="B243:H243"/>
    <mergeCell ref="B244:H244"/>
    <mergeCell ref="B245:H245"/>
    <mergeCell ref="B246:H246"/>
    <mergeCell ref="B247:H247"/>
    <mergeCell ref="B248:H248"/>
    <mergeCell ref="B249:H249"/>
    <mergeCell ref="B250:H250"/>
    <mergeCell ref="B251:H251"/>
    <mergeCell ref="A252:H252"/>
    <mergeCell ref="A253:H253"/>
    <mergeCell ref="A254:H254"/>
    <mergeCell ref="A255:H255"/>
    <mergeCell ref="A256:H256"/>
    <mergeCell ref="A257:H257"/>
    <mergeCell ref="A258:H258"/>
    <mergeCell ref="A259:B259"/>
    <mergeCell ref="C259:D259"/>
    <mergeCell ref="E259:F259"/>
    <mergeCell ref="G259:H259"/>
    <mergeCell ref="A143:A144"/>
    <mergeCell ref="A151:A152"/>
    <mergeCell ref="B143:B144"/>
    <mergeCell ref="B151:B152"/>
    <mergeCell ref="C143:C144"/>
    <mergeCell ref="C151:C152"/>
    <mergeCell ref="D143:D144"/>
    <mergeCell ref="D151:D152"/>
    <mergeCell ref="E143:E144"/>
    <mergeCell ref="E151:E152"/>
    <mergeCell ref="F143:F144"/>
    <mergeCell ref="F151:F152"/>
    <mergeCell ref="G143:G144"/>
    <mergeCell ref="G151:G152"/>
    <mergeCell ref="E93:F102"/>
    <mergeCell ref="G93:H102"/>
    <mergeCell ref="E107:F116"/>
    <mergeCell ref="G107:H116"/>
    <mergeCell ref="E79:F88"/>
    <mergeCell ref="G79:H88"/>
    <mergeCell ref="A23:D24"/>
    <mergeCell ref="E23:H24"/>
    <mergeCell ref="A260:H262"/>
    <mergeCell ref="A65:C67"/>
    <mergeCell ref="A54:B55"/>
    <mergeCell ref="A56:B57"/>
    <mergeCell ref="A58:B59"/>
    <mergeCell ref="A52:B53"/>
  </mergeCells>
  <dataValidations count="16">
    <dataValidation type="list" allowBlank="1" showInputMessage="1" showErrorMessage="1" sqref="E4:H4">
      <formula1>$L$3:$P$3</formula1>
    </dataValidation>
    <dataValidation type="list" allowBlank="1" showInputMessage="1" showErrorMessage="1" sqref="E5:H5">
      <formula1>OFFSET($L$3,1,MATCH($E4,$L$3:$P$3,0)-1,10,1)</formula1>
    </dataValidation>
    <dataValidation type="list" allowBlank="1" showInputMessage="1" showErrorMessage="1" sqref="Y13">
      <formula1>$D$5:$H$5</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C21:D21">
      <formula1>OFFSET($S$13,1,MATCH($G20,$S$13:$W$13,0)-1,15,1)</formula1>
    </dataValidation>
    <dataValidation type="whole" operator="between" allowBlank="1" showInputMessage="1" showErrorMessage="1" sqref="C84">
      <formula1>0</formula1>
      <formula2>H76</formula2>
    </dataValidation>
    <dataValidation type="list" allowBlank="1" showInputMessage="1" showErrorMessage="1" sqref="F117:H117">
      <formula1>"On Saleable Area,On Builtup Area,On Carpet Area,On Plot Area"</formula1>
    </dataValidation>
    <dataValidation type="list" allowBlank="1" showInputMessage="1" showErrorMessage="1" sqref="H143 H151">
      <formula1>"Saleable area Loading :,Builder Saleable Area"</formula1>
    </dataValidation>
    <dataValidation type="list" allowBlank="1" showInputMessage="1" showErrorMessage="1" sqref="H144 H152">
      <formula1>".45,.50,.55,.60"</formula1>
    </dataValidation>
    <dataValidation type="list" allowBlank="1" showInputMessage="1" showErrorMessage="1" sqref="G259:H259">
      <formula1>"Kunal Kadam,Pranita Mhatre,Shruti Fule,Pooja Kawale,Gaurav Panchal,Shruti Tathare, Hitakshi Mhatre, Sachin Sawant"</formula1>
    </dataValidation>
    <dataValidation type="list" allowBlank="1" showInputMessage="1" showErrorMessage="1" sqref="B143:B144">
      <formula1>"Shop No. (Sale Plan),Sale / Rehab,Sale / Mhada"</formula1>
    </dataValidation>
    <dataValidation type="list" allowBlank="1" showInputMessage="1" showErrorMessage="1" sqref="B151:B152">
      <formula1>"Flat No. (Sale Plan),Sale / Rehab,Sale / Mhada"</formula1>
    </dataValidation>
    <dataValidation type="list" allowBlank="1" showInputMessage="1" showErrorMessage="1" sqref="D143:D144 D151:D152">
      <formula1>"Carpet area,RERA Carpet area"</formula1>
    </dataValidation>
    <dataValidation type="list" allowBlank="1" showInputMessage="1" showErrorMessage="1" sqref="E143:E144">
      <formula1>"Attached Loft area,Attached Otla area,Attached Mezzanine area"</formula1>
    </dataValidation>
    <dataValidation type="list" allowBlank="1" showInputMessage="1" showErrorMessage="1" sqref="E151:E152">
      <formula1>"Fungible area,Enclose/   Open Balcony Area,Chajja Area,Cornice Area,AP Area,WS Area"</formula1>
    </dataValidation>
  </dataValidations>
  <hyperlinks>
    <hyperlink ref="C40" r:id="rId5" display="https://maps.app.goo.gl/jtoQE5pFybAASdhV9"/>
    <hyperlink ref="I71" r:id="rId6" display="https://www.balajiclassicadombivli.com/"/>
  </hyperlinks>
  <printOptions horizontalCentered="1"/>
  <pageMargins left="0.393700787401575" right="0.393700787401575" top="0.826771653543307" bottom="0.78740157480315" header="0.15748031496063" footer="0.196850393700787"/>
  <pageSetup paperSize="2" fitToHeight="0" orientation="portrait"/>
  <headerFooter>
    <oddHeader>&amp;C&amp;G</oddHeader>
    <oddFooter>&amp;L&amp;"Times New Roman,Bold"&amp;12Ref No: &amp;F&amp;C&amp;G&amp;R&amp;"Times New Roman,Bold"&amp;12&amp;P</oddFooter>
  </headerFooter>
  <rowBreaks count="4" manualBreakCount="4">
    <brk id="139" max="7" man="1"/>
    <brk id="262" max="16383" man="1"/>
    <brk id="305" max="16383" man="1"/>
    <brk id="344" max="16383" man="1"/>
  </rowBreaks>
  <drawing r:id="rId2"/>
  <legacy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I16"/>
  <sheetViews>
    <sheetView zoomScale="85" zoomScaleNormal="85" topLeftCell="A7" workbookViewId="0">
      <selection activeCell="G25" sqref="G25"/>
    </sheetView>
  </sheetViews>
  <sheetFormatPr defaultColWidth="8.71428571428571" defaultRowHeight="15"/>
  <cols>
    <col min="1" max="1" width="8.71428571428571" style="23"/>
    <col min="2" max="2" width="22.1428571428571" style="23" customWidth="1"/>
    <col min="3" max="3" width="37" style="23" customWidth="1"/>
    <col min="4" max="5" width="11.4285714285714" style="23" customWidth="1"/>
    <col min="6" max="6" width="14" style="23" customWidth="1"/>
    <col min="7" max="7" width="20" style="23" customWidth="1"/>
    <col min="8" max="8" width="16.4285714285714" style="23" customWidth="1"/>
    <col min="9" max="16384" width="8.71428571428571" style="23"/>
  </cols>
  <sheetData>
    <row r="1" customHeight="1"/>
    <row r="2" customHeight="1" spans="1:8">
      <c r="A2" s="24"/>
      <c r="B2" s="24"/>
      <c r="C2" s="24"/>
      <c r="D2" s="24"/>
      <c r="E2" s="24"/>
      <c r="F2" s="24"/>
      <c r="G2" s="24"/>
      <c r="H2" s="24"/>
    </row>
    <row r="3" ht="15.75" customHeight="1" spans="1:8">
      <c r="A3" s="24"/>
      <c r="B3" s="25" t="s">
        <v>323</v>
      </c>
      <c r="C3" s="25"/>
      <c r="D3" s="25"/>
      <c r="E3" s="25"/>
      <c r="F3" s="25"/>
      <c r="G3" s="25"/>
      <c r="H3" s="25"/>
    </row>
    <row r="4" spans="1:8">
      <c r="A4" s="24"/>
      <c r="B4" s="26" t="s">
        <v>324</v>
      </c>
      <c r="C4" s="26" t="s">
        <v>325</v>
      </c>
      <c r="D4" s="26" t="s">
        <v>326</v>
      </c>
      <c r="E4" s="26" t="s">
        <v>327</v>
      </c>
      <c r="F4" s="26" t="s">
        <v>328</v>
      </c>
      <c r="G4" s="26" t="s">
        <v>329</v>
      </c>
      <c r="H4" s="26" t="s">
        <v>330</v>
      </c>
    </row>
    <row r="5" customHeight="1" spans="1:8">
      <c r="A5" s="24"/>
      <c r="B5" s="27" t="s">
        <v>331</v>
      </c>
      <c r="C5" s="28"/>
      <c r="D5" s="27"/>
      <c r="E5" s="27"/>
      <c r="F5" s="29">
        <f>E5*1.6</f>
        <v>0</v>
      </c>
      <c r="G5" s="29" t="e">
        <f>H5/F5</f>
        <v>#DIV/0!</v>
      </c>
      <c r="H5" s="30"/>
    </row>
    <row r="6" spans="1:8">
      <c r="A6" s="24"/>
      <c r="B6" s="27" t="s">
        <v>331</v>
      </c>
      <c r="C6" s="31"/>
      <c r="D6" s="27"/>
      <c r="E6" s="27"/>
      <c r="F6" s="29">
        <f t="shared" ref="F6:F11" si="0">E6*1.6</f>
        <v>0</v>
      </c>
      <c r="G6" s="29" t="e">
        <f t="shared" ref="G6:G11" si="1">H6/F6</f>
        <v>#DIV/0!</v>
      </c>
      <c r="H6" s="30"/>
    </row>
    <row r="7" customHeight="1" spans="1:8">
      <c r="A7" s="24"/>
      <c r="B7" s="27" t="s">
        <v>331</v>
      </c>
      <c r="C7" s="28"/>
      <c r="D7" s="27"/>
      <c r="E7" s="27"/>
      <c r="F7" s="29">
        <f t="shared" si="0"/>
        <v>0</v>
      </c>
      <c r="G7" s="29" t="e">
        <f t="shared" si="1"/>
        <v>#DIV/0!</v>
      </c>
      <c r="H7" s="30"/>
    </row>
    <row r="8" spans="1:8">
      <c r="A8" s="24"/>
      <c r="B8" s="27" t="s">
        <v>331</v>
      </c>
      <c r="C8" s="31"/>
      <c r="D8" s="27"/>
      <c r="E8" s="27"/>
      <c r="F8" s="29">
        <f t="shared" si="0"/>
        <v>0</v>
      </c>
      <c r="G8" s="29" t="e">
        <f t="shared" si="1"/>
        <v>#DIV/0!</v>
      </c>
      <c r="H8" s="30"/>
    </row>
    <row r="9" customHeight="1" spans="1:8">
      <c r="A9" s="24"/>
      <c r="B9" s="27" t="s">
        <v>331</v>
      </c>
      <c r="C9" s="31"/>
      <c r="D9" s="27"/>
      <c r="E9" s="27"/>
      <c r="F9" s="29">
        <f t="shared" si="0"/>
        <v>0</v>
      </c>
      <c r="G9" s="29" t="e">
        <f t="shared" si="1"/>
        <v>#DIV/0!</v>
      </c>
      <c r="H9" s="30"/>
    </row>
    <row r="10" customHeight="1" spans="1:8">
      <c r="A10" s="24"/>
      <c r="B10" s="27" t="s">
        <v>332</v>
      </c>
      <c r="C10" s="28"/>
      <c r="D10" s="27"/>
      <c r="E10" s="27"/>
      <c r="F10" s="29">
        <f t="shared" si="0"/>
        <v>0</v>
      </c>
      <c r="G10" s="29" t="e">
        <f t="shared" si="1"/>
        <v>#DIV/0!</v>
      </c>
      <c r="H10" s="30"/>
    </row>
    <row r="11" customHeight="1" spans="1:8">
      <c r="A11" s="24"/>
      <c r="B11" s="27" t="s">
        <v>332</v>
      </c>
      <c r="C11" s="28"/>
      <c r="D11" s="27"/>
      <c r="E11" s="27"/>
      <c r="F11" s="29">
        <f t="shared" si="0"/>
        <v>0</v>
      </c>
      <c r="G11" s="29" t="e">
        <f t="shared" si="1"/>
        <v>#DIV/0!</v>
      </c>
      <c r="H11" s="30"/>
    </row>
    <row r="12" customHeight="1" spans="1:8">
      <c r="A12" s="24"/>
      <c r="B12" s="32" t="s">
        <v>333</v>
      </c>
      <c r="C12" s="27"/>
      <c r="D12" s="27"/>
      <c r="E12" s="27"/>
      <c r="F12" s="27"/>
      <c r="G12" s="33" t="e">
        <f>AVERAGE(G5:G11)</f>
        <v>#DIV/0!</v>
      </c>
      <c r="H12" s="27"/>
    </row>
    <row r="13" customHeight="1" spans="2:9">
      <c r="B13" s="32" t="s">
        <v>334</v>
      </c>
      <c r="C13" s="27"/>
      <c r="D13" s="27"/>
      <c r="E13" s="27"/>
      <c r="F13" s="34"/>
      <c r="G13" s="32"/>
      <c r="H13" s="32"/>
      <c r="I13" s="35"/>
    </row>
    <row r="14" customHeight="1"/>
    <row r="15" customHeight="1"/>
    <row r="16" customHeight="1"/>
  </sheetData>
  <mergeCells count="1">
    <mergeCell ref="B3:H3"/>
  </mergeCells>
  <pageMargins left="0.7" right="0.7" top="0.75" bottom="0.75" header="0.3" footer="0.3"/>
  <pageSetup paperSize="1" orientation="portrait" horizontalDpi="300" verticalDpi="3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B3:K69"/>
  <sheetViews>
    <sheetView zoomScale="130" zoomScaleNormal="130" topLeftCell="A55" workbookViewId="0">
      <selection activeCell="C43" sqref="C43:D69"/>
    </sheetView>
  </sheetViews>
  <sheetFormatPr defaultColWidth="9" defaultRowHeight="15"/>
  <cols>
    <col min="4" max="4" width="13.8571428571429" customWidth="1"/>
    <col min="5" max="5" width="10.4285714285714" customWidth="1"/>
    <col min="6" max="6" width="12.4285714285714" customWidth="1"/>
    <col min="7" max="7" width="18.1428571428571" customWidth="1"/>
    <col min="8" max="8" width="10.5714285714286" customWidth="1"/>
  </cols>
  <sheetData>
    <row r="3" spans="10:11">
      <c r="J3">
        <v>1</v>
      </c>
      <c r="K3">
        <v>2</v>
      </c>
    </row>
    <row r="4" spans="2:11">
      <c r="B4" s="1"/>
      <c r="C4" s="1" t="s">
        <v>84</v>
      </c>
      <c r="D4" s="8" t="s">
        <v>153</v>
      </c>
      <c r="E4" s="8" t="s">
        <v>40</v>
      </c>
      <c r="F4" s="8" t="s">
        <v>41</v>
      </c>
      <c r="G4" s="8" t="s">
        <v>42</v>
      </c>
      <c r="H4" s="8" t="s">
        <v>43</v>
      </c>
      <c r="J4" t="s">
        <v>42</v>
      </c>
      <c r="K4" t="s">
        <v>54</v>
      </c>
    </row>
    <row r="5" spans="2:8">
      <c r="B5" s="1"/>
      <c r="C5" s="1"/>
      <c r="D5" s="8" t="s">
        <v>39</v>
      </c>
      <c r="E5" s="8" t="s">
        <v>46</v>
      </c>
      <c r="F5" s="8" t="s">
        <v>47</v>
      </c>
      <c r="G5" s="8" t="s">
        <v>48</v>
      </c>
      <c r="H5" s="8" t="s">
        <v>49</v>
      </c>
    </row>
    <row r="6" spans="2:8">
      <c r="B6" s="1"/>
      <c r="C6" s="1"/>
      <c r="D6" s="8" t="s">
        <v>52</v>
      </c>
      <c r="E6" s="8" t="s">
        <v>53</v>
      </c>
      <c r="F6" s="8" t="s">
        <v>54</v>
      </c>
      <c r="G6" s="8" t="s">
        <v>55</v>
      </c>
      <c r="H6" s="8" t="s">
        <v>56</v>
      </c>
    </row>
    <row r="7" spans="2:8">
      <c r="B7" s="1"/>
      <c r="C7" s="1"/>
      <c r="D7" s="8" t="s">
        <v>58</v>
      </c>
      <c r="E7" s="8" t="s">
        <v>59</v>
      </c>
      <c r="F7" s="8" t="s">
        <v>60</v>
      </c>
      <c r="G7" s="8" t="s">
        <v>61</v>
      </c>
      <c r="H7" s="8" t="s">
        <v>62</v>
      </c>
    </row>
    <row r="8" spans="2:8">
      <c r="B8" s="1"/>
      <c r="C8" s="1"/>
      <c r="D8" s="8" t="s">
        <v>65</v>
      </c>
      <c r="E8" s="8" t="s">
        <v>66</v>
      </c>
      <c r="F8" s="8"/>
      <c r="G8" s="8" t="s">
        <v>67</v>
      </c>
      <c r="H8" s="8" t="s">
        <v>68</v>
      </c>
    </row>
    <row r="9" spans="2:8">
      <c r="B9" s="1"/>
      <c r="C9" s="1"/>
      <c r="D9" s="8" t="s">
        <v>71</v>
      </c>
      <c r="E9" s="8" t="s">
        <v>40</v>
      </c>
      <c r="F9" s="8"/>
      <c r="G9" s="8" t="s">
        <v>72</v>
      </c>
      <c r="H9" s="8" t="s">
        <v>73</v>
      </c>
    </row>
    <row r="10" spans="2:8">
      <c r="B10" s="1"/>
      <c r="C10" s="1"/>
      <c r="D10" s="8" t="s">
        <v>78</v>
      </c>
      <c r="E10" s="8" t="s">
        <v>79</v>
      </c>
      <c r="F10" s="8"/>
      <c r="G10" s="8" t="s">
        <v>80</v>
      </c>
      <c r="H10" s="8" t="s">
        <v>81</v>
      </c>
    </row>
    <row r="11" spans="2:8">
      <c r="B11" s="1"/>
      <c r="C11" s="1"/>
      <c r="D11" s="8" t="s">
        <v>85</v>
      </c>
      <c r="E11" s="8" t="s">
        <v>86</v>
      </c>
      <c r="F11" s="8"/>
      <c r="G11" s="8" t="s">
        <v>87</v>
      </c>
      <c r="H11" s="8" t="s">
        <v>88</v>
      </c>
    </row>
    <row r="12" spans="2:8">
      <c r="B12" s="1"/>
      <c r="C12" s="1"/>
      <c r="D12" s="8"/>
      <c r="E12" s="8"/>
      <c r="F12" s="8"/>
      <c r="G12" s="8" t="s">
        <v>91</v>
      </c>
      <c r="H12" s="8" t="s">
        <v>92</v>
      </c>
    </row>
    <row r="13" spans="2:8">
      <c r="B13" s="1"/>
      <c r="C13" s="1"/>
      <c r="D13" s="8"/>
      <c r="E13" s="8"/>
      <c r="F13" s="8"/>
      <c r="G13" s="8" t="s">
        <v>97</v>
      </c>
      <c r="H13" s="8" t="s">
        <v>98</v>
      </c>
    </row>
    <row r="14" spans="2:8">
      <c r="B14" s="1"/>
      <c r="C14" s="1"/>
      <c r="D14" s="8"/>
      <c r="E14" s="8"/>
      <c r="F14" s="8"/>
      <c r="G14" s="8" t="s">
        <v>101</v>
      </c>
      <c r="H14" s="8" t="s">
        <v>102</v>
      </c>
    </row>
    <row r="15" spans="2:8">
      <c r="B15" s="1"/>
      <c r="C15" s="1"/>
      <c r="D15" s="8"/>
      <c r="E15" s="8"/>
      <c r="F15" s="8"/>
      <c r="G15" s="8" t="s">
        <v>103</v>
      </c>
      <c r="H15" s="8" t="s">
        <v>104</v>
      </c>
    </row>
    <row r="16" spans="2:8">
      <c r="B16" s="1"/>
      <c r="C16" s="1"/>
      <c r="D16" s="8"/>
      <c r="E16" s="8"/>
      <c r="F16" s="8"/>
      <c r="G16" s="8" t="s">
        <v>107</v>
      </c>
      <c r="H16" s="8" t="s">
        <v>108</v>
      </c>
    </row>
    <row r="17" spans="2:8">
      <c r="B17" s="1"/>
      <c r="C17" s="1"/>
      <c r="D17" s="8"/>
      <c r="E17" s="8"/>
      <c r="F17" s="8"/>
      <c r="G17" s="8" t="s">
        <v>110</v>
      </c>
      <c r="H17" s="8" t="s">
        <v>111</v>
      </c>
    </row>
    <row r="18" spans="2:8">
      <c r="B18" s="1"/>
      <c r="C18" s="1"/>
      <c r="D18" s="8"/>
      <c r="E18" s="8"/>
      <c r="F18" s="8"/>
      <c r="G18" s="8" t="s">
        <v>114</v>
      </c>
      <c r="H18" s="8" t="s">
        <v>115</v>
      </c>
    </row>
    <row r="24" spans="3:3">
      <c r="C24" t="s">
        <v>335</v>
      </c>
    </row>
    <row r="25" spans="3:3">
      <c r="C25" t="s">
        <v>336</v>
      </c>
    </row>
    <row r="26" spans="3:3">
      <c r="C26" t="s">
        <v>337</v>
      </c>
    </row>
    <row r="27" spans="3:3">
      <c r="C27" t="s">
        <v>338</v>
      </c>
    </row>
    <row r="28" spans="3:3">
      <c r="C28" t="s">
        <v>339</v>
      </c>
    </row>
    <row r="29" spans="3:3">
      <c r="C29" t="s">
        <v>340</v>
      </c>
    </row>
    <row r="30" spans="3:3">
      <c r="C30" t="s">
        <v>335</v>
      </c>
    </row>
    <row r="33" spans="10:11">
      <c r="J33">
        <v>1</v>
      </c>
      <c r="K33">
        <v>2</v>
      </c>
    </row>
    <row r="34" spans="3:11">
      <c r="C34" s="22" t="s">
        <v>3</v>
      </c>
      <c r="D34" s="8" t="s">
        <v>4</v>
      </c>
      <c r="E34" s="8" t="s">
        <v>5</v>
      </c>
      <c r="F34" s="8" t="s">
        <v>6</v>
      </c>
      <c r="G34" s="8" t="s">
        <v>7</v>
      </c>
      <c r="H34" s="8" t="s">
        <v>8</v>
      </c>
      <c r="J34" t="s">
        <v>42</v>
      </c>
      <c r="K34" t="s">
        <v>54</v>
      </c>
    </row>
    <row r="35" spans="3:8">
      <c r="C35" s="1" t="s">
        <v>10</v>
      </c>
      <c r="D35" s="8" t="s">
        <v>11</v>
      </c>
      <c r="E35" s="8" t="s">
        <v>12</v>
      </c>
      <c r="F35" s="8" t="s">
        <v>13</v>
      </c>
      <c r="G35" s="8" t="s">
        <v>14</v>
      </c>
      <c r="H35" s="8"/>
    </row>
    <row r="36" spans="3:8">
      <c r="C36" s="1"/>
      <c r="D36" s="8" t="s">
        <v>16</v>
      </c>
      <c r="E36" s="8" t="s">
        <v>17</v>
      </c>
      <c r="F36" s="8" t="s">
        <v>18</v>
      </c>
      <c r="G36" s="8" t="s">
        <v>19</v>
      </c>
      <c r="H36" s="8"/>
    </row>
    <row r="37" spans="3:8">
      <c r="C37" s="1"/>
      <c r="D37" s="8" t="s">
        <v>22</v>
      </c>
      <c r="E37" s="8"/>
      <c r="F37" s="8"/>
      <c r="G37" s="8" t="s">
        <v>23</v>
      </c>
      <c r="H37" s="8"/>
    </row>
    <row r="38" spans="3:8">
      <c r="C38" s="1"/>
      <c r="D38" s="8" t="s">
        <v>26</v>
      </c>
      <c r="E38" s="8"/>
      <c r="F38" s="8"/>
      <c r="G38" s="8" t="s">
        <v>23</v>
      </c>
      <c r="H38" s="8"/>
    </row>
    <row r="39" spans="3:8">
      <c r="C39" s="1"/>
      <c r="D39" s="8"/>
      <c r="E39" s="8"/>
      <c r="F39" s="8"/>
      <c r="G39" s="8" t="s">
        <v>28</v>
      </c>
      <c r="H39" s="8"/>
    </row>
    <row r="40" spans="3:8">
      <c r="C40" s="1"/>
      <c r="D40" s="8"/>
      <c r="E40" s="8"/>
      <c r="F40" s="8"/>
      <c r="G40" s="8" t="s">
        <v>31</v>
      </c>
      <c r="H40" s="8"/>
    </row>
    <row r="41" spans="3:8">
      <c r="C41" s="1"/>
      <c r="D41" s="8"/>
      <c r="E41" s="8"/>
      <c r="F41" s="8"/>
      <c r="G41" s="8"/>
      <c r="H41" s="8"/>
    </row>
    <row r="43" spans="3:3">
      <c r="C43" t="s">
        <v>152</v>
      </c>
    </row>
    <row r="44" spans="3:4">
      <c r="C44" t="s">
        <v>41</v>
      </c>
      <c r="D44" t="s">
        <v>158</v>
      </c>
    </row>
    <row r="45" spans="4:4">
      <c r="D45" t="s">
        <v>163</v>
      </c>
    </row>
    <row r="46" spans="4:4">
      <c r="D46" t="s">
        <v>168</v>
      </c>
    </row>
    <row r="47" spans="4:4">
      <c r="D47" t="s">
        <v>173</v>
      </c>
    </row>
    <row r="48" spans="4:4">
      <c r="D48" t="s">
        <v>170</v>
      </c>
    </row>
    <row r="49" spans="3:4">
      <c r="C49" t="s">
        <v>153</v>
      </c>
      <c r="D49" t="s">
        <v>159</v>
      </c>
    </row>
    <row r="50" spans="4:4">
      <c r="D50" t="s">
        <v>164</v>
      </c>
    </row>
    <row r="51" spans="4:4">
      <c r="D51" t="s">
        <v>169</v>
      </c>
    </row>
    <row r="52" spans="4:4">
      <c r="D52" t="s">
        <v>174</v>
      </c>
    </row>
    <row r="53" spans="4:4">
      <c r="D53" t="s">
        <v>177</v>
      </c>
    </row>
    <row r="54" spans="4:4">
      <c r="D54" t="s">
        <v>182</v>
      </c>
    </row>
    <row r="55" spans="4:4">
      <c r="D55" t="s">
        <v>185</v>
      </c>
    </row>
    <row r="56" spans="4:4">
      <c r="D56" t="s">
        <v>188</v>
      </c>
    </row>
    <row r="57" spans="4:4">
      <c r="D57" t="s">
        <v>190</v>
      </c>
    </row>
    <row r="58" spans="4:4">
      <c r="D58" t="s">
        <v>193</v>
      </c>
    </row>
    <row r="59" spans="4:4">
      <c r="D59" t="s">
        <v>195</v>
      </c>
    </row>
    <row r="60" spans="3:4">
      <c r="C60" t="s">
        <v>42</v>
      </c>
      <c r="D60" t="s">
        <v>160</v>
      </c>
    </row>
    <row r="61" spans="4:4">
      <c r="D61" t="s">
        <v>165</v>
      </c>
    </row>
    <row r="62" spans="4:4">
      <c r="D62" t="s">
        <v>170</v>
      </c>
    </row>
    <row r="63" spans="4:4">
      <c r="D63" t="s">
        <v>175</v>
      </c>
    </row>
    <row r="64" spans="4:4">
      <c r="D64" t="s">
        <v>178</v>
      </c>
    </row>
    <row r="65" spans="4:4">
      <c r="D65" t="s">
        <v>183</v>
      </c>
    </row>
    <row r="66" spans="4:4">
      <c r="D66" t="s">
        <v>186</v>
      </c>
    </row>
    <row r="67" spans="3:4">
      <c r="C67" t="s">
        <v>40</v>
      </c>
      <c r="D67" t="s">
        <v>161</v>
      </c>
    </row>
    <row r="68" spans="4:4">
      <c r="D68" t="s">
        <v>166</v>
      </c>
    </row>
    <row r="69" spans="4:4">
      <c r="D69" t="s">
        <v>171</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paperSize="1"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35"/>
  <sheetViews>
    <sheetView topLeftCell="A16" workbookViewId="0">
      <selection activeCell="C30" sqref="C30"/>
    </sheetView>
  </sheetViews>
  <sheetFormatPr defaultColWidth="9" defaultRowHeight="15" outlineLevelCol="2"/>
  <cols>
    <col min="2" max="2" width="3" customWidth="1"/>
    <col min="3" max="3" width="155.285714285714" customWidth="1"/>
  </cols>
  <sheetData>
    <row r="2" customHeight="1" spans="2:3">
      <c r="B2" s="14">
        <v>1</v>
      </c>
      <c r="C2" s="15" t="s">
        <v>341</v>
      </c>
    </row>
    <row r="3" spans="2:3">
      <c r="B3" s="14">
        <v>2</v>
      </c>
      <c r="C3" s="16" t="s">
        <v>342</v>
      </c>
    </row>
    <row r="4" spans="2:3">
      <c r="B4" s="14">
        <v>3</v>
      </c>
      <c r="C4" s="14" t="s">
        <v>343</v>
      </c>
    </row>
    <row r="5" spans="2:3">
      <c r="B5" s="14">
        <v>4</v>
      </c>
      <c r="C5" s="16" t="s">
        <v>344</v>
      </c>
    </row>
    <row r="6" spans="2:3">
      <c r="B6" s="14">
        <v>5</v>
      </c>
      <c r="C6" s="14" t="s">
        <v>345</v>
      </c>
    </row>
    <row r="7" ht="30" spans="2:3">
      <c r="B7" s="14">
        <v>6</v>
      </c>
      <c r="C7" s="16" t="s">
        <v>346</v>
      </c>
    </row>
    <row r="8" ht="75" spans="2:3">
      <c r="B8" s="14">
        <v>7</v>
      </c>
      <c r="C8" s="16" t="s">
        <v>347</v>
      </c>
    </row>
    <row r="9" spans="2:3">
      <c r="B9" s="14">
        <v>8</v>
      </c>
      <c r="C9" s="14" t="s">
        <v>348</v>
      </c>
    </row>
    <row r="10" spans="2:3">
      <c r="B10" s="14">
        <v>9</v>
      </c>
      <c r="C10" s="14" t="s">
        <v>349</v>
      </c>
    </row>
    <row r="11" spans="2:3">
      <c r="B11" s="14">
        <v>10</v>
      </c>
      <c r="C11" s="14" t="s">
        <v>350</v>
      </c>
    </row>
    <row r="12" spans="2:3">
      <c r="B12" s="14">
        <v>11</v>
      </c>
      <c r="C12" s="14" t="s">
        <v>351</v>
      </c>
    </row>
    <row r="13" spans="2:3">
      <c r="B13" s="14">
        <v>12</v>
      </c>
      <c r="C13" s="14" t="s">
        <v>352</v>
      </c>
    </row>
    <row r="14" spans="2:3">
      <c r="B14" s="14">
        <v>13</v>
      </c>
      <c r="C14" s="14" t="s">
        <v>353</v>
      </c>
    </row>
    <row r="15" spans="2:3">
      <c r="B15" s="14">
        <v>14</v>
      </c>
      <c r="C15" s="14" t="s">
        <v>343</v>
      </c>
    </row>
    <row r="16" spans="2:3">
      <c r="B16" s="14">
        <v>15</v>
      </c>
      <c r="C16" s="14" t="s">
        <v>354</v>
      </c>
    </row>
    <row r="17" ht="31.5" customHeight="1" spans="2:3">
      <c r="B17" s="17">
        <v>16</v>
      </c>
      <c r="C17" s="18" t="s">
        <v>355</v>
      </c>
    </row>
    <row r="18" spans="2:3">
      <c r="B18" s="19">
        <v>17</v>
      </c>
      <c r="C18" s="18" t="s">
        <v>356</v>
      </c>
    </row>
    <row r="19" spans="2:3">
      <c r="B19" s="17">
        <v>18</v>
      </c>
      <c r="C19" s="14" t="s">
        <v>357</v>
      </c>
    </row>
    <row r="20" spans="2:3">
      <c r="B20" s="19">
        <v>19</v>
      </c>
      <c r="C20" s="14" t="s">
        <v>358</v>
      </c>
    </row>
    <row r="21" spans="2:3">
      <c r="B21" s="14">
        <v>20</v>
      </c>
      <c r="C21" s="14" t="s">
        <v>359</v>
      </c>
    </row>
    <row r="22" spans="2:3">
      <c r="B22" s="19">
        <v>21</v>
      </c>
      <c r="C22" s="14" t="s">
        <v>357</v>
      </c>
    </row>
    <row r="23" s="13" customFormat="1" ht="29.25" customHeight="1" spans="2:3">
      <c r="B23" s="20">
        <v>22</v>
      </c>
      <c r="C23" s="15" t="s">
        <v>360</v>
      </c>
    </row>
    <row r="24" s="13" customFormat="1" ht="30.75" customHeight="1" spans="2:3">
      <c r="B24" s="21">
        <v>23</v>
      </c>
      <c r="C24" s="15" t="s">
        <v>361</v>
      </c>
    </row>
    <row r="25" spans="2:3">
      <c r="B25" s="14">
        <v>24</v>
      </c>
      <c r="C25" s="14" t="s">
        <v>362</v>
      </c>
    </row>
    <row r="26" spans="2:3">
      <c r="B26" s="19">
        <v>25</v>
      </c>
      <c r="C26" s="14" t="s">
        <v>363</v>
      </c>
    </row>
    <row r="27" spans="2:3">
      <c r="B27" s="21">
        <v>26</v>
      </c>
      <c r="C27" s="14" t="s">
        <v>364</v>
      </c>
    </row>
    <row r="28" spans="2:3">
      <c r="B28" s="19">
        <v>27</v>
      </c>
      <c r="C28" s="14"/>
    </row>
    <row r="29" spans="2:3">
      <c r="B29" s="19">
        <v>28</v>
      </c>
      <c r="C29" s="14"/>
    </row>
    <row r="30" spans="2:3">
      <c r="B30" s="21">
        <v>29</v>
      </c>
      <c r="C30" s="14"/>
    </row>
    <row r="31" spans="2:3">
      <c r="B31" s="19">
        <v>30</v>
      </c>
      <c r="C31" s="14"/>
    </row>
    <row r="32" spans="2:3">
      <c r="B32" s="19">
        <v>31</v>
      </c>
      <c r="C32" s="14"/>
    </row>
    <row r="33" spans="2:3">
      <c r="B33" s="21">
        <v>32</v>
      </c>
      <c r="C33" s="14"/>
    </row>
    <row r="34" spans="2:3">
      <c r="B34" s="19">
        <v>33</v>
      </c>
      <c r="C34" s="14"/>
    </row>
    <row r="35" spans="2:3">
      <c r="B35" s="19">
        <v>34</v>
      </c>
      <c r="C35" s="14"/>
    </row>
  </sheetData>
  <pageMargins left="0.7" right="0.7" top="0.75" bottom="0.75" header="0.3" footer="0.3"/>
  <pageSetup paperSize="1"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L44"/>
  <sheetViews>
    <sheetView workbookViewId="0">
      <selection activeCell="G36" sqref="G36"/>
    </sheetView>
  </sheetViews>
  <sheetFormatPr defaultColWidth="9.14285714285714" defaultRowHeight="15"/>
  <cols>
    <col min="1" max="1" width="9.14285714285714" style="1"/>
    <col min="2" max="2" width="12.2857142857143" style="1" customWidth="1"/>
    <col min="3" max="16384" width="9.14285714285714" style="1"/>
  </cols>
  <sheetData>
    <row r="2" spans="2:4">
      <c r="B2" s="2" t="s">
        <v>365</v>
      </c>
      <c r="C2" s="3"/>
      <c r="D2" s="3"/>
    </row>
    <row r="3" spans="4:9">
      <c r="D3" s="4"/>
      <c r="E3" s="4"/>
      <c r="F3" s="4"/>
      <c r="G3" s="4"/>
      <c r="H3" s="4"/>
      <c r="I3" s="4"/>
    </row>
    <row r="4" spans="1:12">
      <c r="A4" s="2" t="s">
        <v>326</v>
      </c>
      <c r="B4" s="5" t="s">
        <v>366</v>
      </c>
      <c r="C4" s="6" t="s">
        <v>367</v>
      </c>
      <c r="D4" s="6"/>
      <c r="E4" s="6"/>
      <c r="F4" s="5"/>
      <c r="G4" s="7" t="s">
        <v>368</v>
      </c>
      <c r="H4" s="7"/>
      <c r="I4" s="7"/>
      <c r="J4" s="10" t="s">
        <v>369</v>
      </c>
      <c r="K4" s="10"/>
      <c r="L4" s="10"/>
    </row>
    <row r="5" spans="1:12">
      <c r="A5" s="2"/>
      <c r="B5" s="5"/>
      <c r="C5" s="5" t="s">
        <v>370</v>
      </c>
      <c r="D5" s="5" t="s">
        <v>371</v>
      </c>
      <c r="E5" s="5" t="s">
        <v>372</v>
      </c>
      <c r="F5" s="5"/>
      <c r="G5" s="5" t="s">
        <v>370</v>
      </c>
      <c r="H5" s="5" t="s">
        <v>371</v>
      </c>
      <c r="I5" s="5" t="s">
        <v>372</v>
      </c>
      <c r="J5" s="5" t="s">
        <v>370</v>
      </c>
      <c r="K5" s="5" t="s">
        <v>371</v>
      </c>
      <c r="L5" s="5" t="s">
        <v>372</v>
      </c>
    </row>
    <row r="6" spans="2:12">
      <c r="B6" s="8" t="s">
        <v>373</v>
      </c>
      <c r="C6" s="8"/>
      <c r="D6" s="8"/>
      <c r="E6" s="8">
        <f>C6*D6</f>
        <v>0</v>
      </c>
      <c r="F6" s="8" t="s">
        <v>374</v>
      </c>
      <c r="G6" s="8"/>
      <c r="H6" s="8"/>
      <c r="I6" s="8">
        <f>G6*H6</f>
        <v>0</v>
      </c>
      <c r="J6" s="8"/>
      <c r="K6" s="8"/>
      <c r="L6" s="8">
        <f>J6*K6</f>
        <v>0</v>
      </c>
    </row>
    <row r="7" spans="2:12">
      <c r="B7" s="8"/>
      <c r="C7" s="8"/>
      <c r="D7" s="8"/>
      <c r="E7" s="8">
        <f t="shared" ref="E7:E41" si="0">C7*D7</f>
        <v>0</v>
      </c>
      <c r="F7" s="8" t="s">
        <v>374</v>
      </c>
      <c r="G7" s="8"/>
      <c r="H7" s="8"/>
      <c r="I7" s="8">
        <f t="shared" ref="I7:I36" si="1">G7*H7</f>
        <v>0</v>
      </c>
      <c r="J7" s="8"/>
      <c r="K7" s="8"/>
      <c r="L7" s="8">
        <f t="shared" ref="L7:L36" si="2">J7*K7</f>
        <v>0</v>
      </c>
    </row>
    <row r="8" spans="2:12">
      <c r="B8" s="8"/>
      <c r="C8" s="8"/>
      <c r="D8" s="8"/>
      <c r="E8" s="8">
        <f t="shared" si="0"/>
        <v>0</v>
      </c>
      <c r="F8" s="8"/>
      <c r="G8" s="8"/>
      <c r="H8" s="8"/>
      <c r="I8" s="8">
        <f t="shared" si="1"/>
        <v>0</v>
      </c>
      <c r="J8" s="8"/>
      <c r="K8" s="8"/>
      <c r="L8" s="8">
        <f t="shared" si="2"/>
        <v>0</v>
      </c>
    </row>
    <row r="9" spans="2:12">
      <c r="B9" s="8"/>
      <c r="C9" s="8"/>
      <c r="D9" s="8"/>
      <c r="E9" s="8">
        <f t="shared" si="0"/>
        <v>0</v>
      </c>
      <c r="F9" s="8" t="s">
        <v>375</v>
      </c>
      <c r="G9" s="8"/>
      <c r="H9" s="8"/>
      <c r="I9" s="8">
        <f t="shared" si="1"/>
        <v>0</v>
      </c>
      <c r="J9" s="8"/>
      <c r="K9" s="8"/>
      <c r="L9" s="8">
        <f t="shared" si="2"/>
        <v>0</v>
      </c>
    </row>
    <row r="10" spans="2:12">
      <c r="B10" s="8" t="s">
        <v>376</v>
      </c>
      <c r="C10" s="8"/>
      <c r="D10" s="8"/>
      <c r="E10" s="8">
        <f t="shared" si="0"/>
        <v>0</v>
      </c>
      <c r="F10" s="8" t="s">
        <v>375</v>
      </c>
      <c r="G10" s="8"/>
      <c r="H10" s="8"/>
      <c r="I10" s="8">
        <f t="shared" si="1"/>
        <v>0</v>
      </c>
      <c r="J10" s="8"/>
      <c r="K10" s="8"/>
      <c r="L10" s="8">
        <f t="shared" si="2"/>
        <v>0</v>
      </c>
    </row>
    <row r="11" spans="2:12">
      <c r="B11" s="8"/>
      <c r="C11" s="8"/>
      <c r="D11" s="8"/>
      <c r="E11" s="8">
        <f t="shared" si="0"/>
        <v>0</v>
      </c>
      <c r="F11" s="8" t="s">
        <v>377</v>
      </c>
      <c r="G11" s="8"/>
      <c r="H11" s="8"/>
      <c r="I11" s="8">
        <f t="shared" si="1"/>
        <v>0</v>
      </c>
      <c r="J11" s="8"/>
      <c r="K11" s="8"/>
      <c r="L11" s="8">
        <f t="shared" si="2"/>
        <v>0</v>
      </c>
    </row>
    <row r="12" spans="2:12">
      <c r="B12" s="8"/>
      <c r="C12" s="8"/>
      <c r="D12" s="8"/>
      <c r="E12" s="8">
        <f t="shared" si="0"/>
        <v>0</v>
      </c>
      <c r="F12" s="8"/>
      <c r="G12" s="8"/>
      <c r="H12" s="8"/>
      <c r="I12" s="8">
        <f t="shared" si="1"/>
        <v>0</v>
      </c>
      <c r="J12" s="8"/>
      <c r="K12" s="8"/>
      <c r="L12" s="8">
        <f t="shared" si="2"/>
        <v>0</v>
      </c>
    </row>
    <row r="13" spans="2:12">
      <c r="B13" s="8"/>
      <c r="C13" s="8"/>
      <c r="D13" s="8"/>
      <c r="E13" s="8">
        <f t="shared" si="0"/>
        <v>0</v>
      </c>
      <c r="F13" s="8"/>
      <c r="G13" s="8"/>
      <c r="H13" s="8"/>
      <c r="I13" s="8">
        <f t="shared" si="1"/>
        <v>0</v>
      </c>
      <c r="J13" s="8"/>
      <c r="K13" s="8"/>
      <c r="L13" s="8">
        <f t="shared" si="2"/>
        <v>0</v>
      </c>
    </row>
    <row r="14" spans="2:12">
      <c r="B14" s="8" t="s">
        <v>378</v>
      </c>
      <c r="C14" s="8"/>
      <c r="D14" s="8"/>
      <c r="E14" s="8">
        <f t="shared" si="0"/>
        <v>0</v>
      </c>
      <c r="F14" s="8" t="s">
        <v>375</v>
      </c>
      <c r="G14" s="8"/>
      <c r="H14" s="8"/>
      <c r="I14" s="8">
        <f t="shared" si="1"/>
        <v>0</v>
      </c>
      <c r="J14" s="8"/>
      <c r="K14" s="8"/>
      <c r="L14" s="8">
        <f t="shared" si="2"/>
        <v>0</v>
      </c>
    </row>
    <row r="15" spans="2:12">
      <c r="B15" s="8"/>
      <c r="C15" s="8"/>
      <c r="D15" s="8"/>
      <c r="E15" s="8">
        <f t="shared" si="0"/>
        <v>0</v>
      </c>
      <c r="F15" s="8" t="s">
        <v>377</v>
      </c>
      <c r="G15" s="8"/>
      <c r="H15" s="8"/>
      <c r="I15" s="8">
        <f t="shared" si="1"/>
        <v>0</v>
      </c>
      <c r="J15" s="8"/>
      <c r="K15" s="8"/>
      <c r="L15" s="8">
        <f t="shared" si="2"/>
        <v>0</v>
      </c>
    </row>
    <row r="16" spans="2:12">
      <c r="B16" s="8"/>
      <c r="C16" s="8"/>
      <c r="D16" s="8"/>
      <c r="E16" s="8">
        <f t="shared" si="0"/>
        <v>0</v>
      </c>
      <c r="F16" s="8"/>
      <c r="G16" s="8"/>
      <c r="H16" s="8"/>
      <c r="I16" s="8">
        <f t="shared" si="1"/>
        <v>0</v>
      </c>
      <c r="J16" s="8"/>
      <c r="K16" s="8"/>
      <c r="L16" s="8">
        <f t="shared" si="2"/>
        <v>0</v>
      </c>
    </row>
    <row r="17" spans="2:12">
      <c r="B17" s="8"/>
      <c r="C17" s="8"/>
      <c r="D17" s="8"/>
      <c r="E17" s="8">
        <f t="shared" si="0"/>
        <v>0</v>
      </c>
      <c r="F17" s="8"/>
      <c r="G17" s="8"/>
      <c r="H17" s="8"/>
      <c r="I17" s="8">
        <f t="shared" si="1"/>
        <v>0</v>
      </c>
      <c r="J17" s="8"/>
      <c r="K17" s="8"/>
      <c r="L17" s="8">
        <f t="shared" si="2"/>
        <v>0</v>
      </c>
    </row>
    <row r="18" spans="2:12">
      <c r="B18" s="8" t="s">
        <v>379</v>
      </c>
      <c r="C18" s="8"/>
      <c r="D18" s="8"/>
      <c r="E18" s="8">
        <f t="shared" si="0"/>
        <v>0</v>
      </c>
      <c r="F18" s="8" t="s">
        <v>375</v>
      </c>
      <c r="G18" s="8"/>
      <c r="H18" s="8"/>
      <c r="I18" s="8">
        <f t="shared" si="1"/>
        <v>0</v>
      </c>
      <c r="J18" s="8"/>
      <c r="K18" s="8"/>
      <c r="L18" s="8">
        <f t="shared" si="2"/>
        <v>0</v>
      </c>
    </row>
    <row r="19" spans="2:12">
      <c r="B19" s="8"/>
      <c r="C19" s="8"/>
      <c r="D19" s="8"/>
      <c r="E19" s="8">
        <f t="shared" si="0"/>
        <v>0</v>
      </c>
      <c r="F19" s="8" t="s">
        <v>377</v>
      </c>
      <c r="G19" s="8"/>
      <c r="H19" s="8"/>
      <c r="I19" s="8">
        <f t="shared" si="1"/>
        <v>0</v>
      </c>
      <c r="J19" s="8"/>
      <c r="K19" s="8"/>
      <c r="L19" s="8">
        <f t="shared" si="2"/>
        <v>0</v>
      </c>
    </row>
    <row r="20" spans="2:12">
      <c r="B20" s="8"/>
      <c r="C20" s="8"/>
      <c r="D20" s="8"/>
      <c r="E20" s="8">
        <f t="shared" si="0"/>
        <v>0</v>
      </c>
      <c r="F20" s="8"/>
      <c r="G20" s="8"/>
      <c r="H20" s="8"/>
      <c r="I20" s="8">
        <f t="shared" si="1"/>
        <v>0</v>
      </c>
      <c r="J20" s="8"/>
      <c r="K20" s="8"/>
      <c r="L20" s="8">
        <f t="shared" si="2"/>
        <v>0</v>
      </c>
    </row>
    <row r="21" spans="2:12">
      <c r="B21" s="8" t="s">
        <v>380</v>
      </c>
      <c r="C21" s="8"/>
      <c r="D21" s="8"/>
      <c r="E21" s="8">
        <f t="shared" si="0"/>
        <v>0</v>
      </c>
      <c r="F21" s="8" t="s">
        <v>375</v>
      </c>
      <c r="G21" s="8"/>
      <c r="H21" s="8"/>
      <c r="I21" s="8">
        <f t="shared" si="1"/>
        <v>0</v>
      </c>
      <c r="J21" s="8"/>
      <c r="K21" s="8"/>
      <c r="L21" s="8">
        <f t="shared" si="2"/>
        <v>0</v>
      </c>
    </row>
    <row r="22" spans="2:12">
      <c r="B22" s="8"/>
      <c r="C22" s="8"/>
      <c r="D22" s="8"/>
      <c r="E22" s="8">
        <f t="shared" si="0"/>
        <v>0</v>
      </c>
      <c r="F22" s="8" t="s">
        <v>377</v>
      </c>
      <c r="G22" s="8"/>
      <c r="H22" s="8"/>
      <c r="I22" s="8">
        <f t="shared" si="1"/>
        <v>0</v>
      </c>
      <c r="J22" s="8"/>
      <c r="K22" s="8"/>
      <c r="L22" s="8">
        <f t="shared" si="2"/>
        <v>0</v>
      </c>
    </row>
    <row r="23" spans="2:12">
      <c r="B23" s="8"/>
      <c r="C23" s="8"/>
      <c r="D23" s="8"/>
      <c r="E23" s="8">
        <f t="shared" si="0"/>
        <v>0</v>
      </c>
      <c r="F23" s="8"/>
      <c r="G23" s="8"/>
      <c r="H23" s="8"/>
      <c r="I23" s="8">
        <f t="shared" si="1"/>
        <v>0</v>
      </c>
      <c r="J23" s="8"/>
      <c r="K23" s="8"/>
      <c r="L23" s="8">
        <f t="shared" si="2"/>
        <v>0</v>
      </c>
    </row>
    <row r="24" spans="2:12">
      <c r="B24" s="8" t="s">
        <v>381</v>
      </c>
      <c r="C24" s="8"/>
      <c r="D24" s="8"/>
      <c r="E24" s="8">
        <f t="shared" si="0"/>
        <v>0</v>
      </c>
      <c r="F24" s="8" t="s">
        <v>382</v>
      </c>
      <c r="G24" s="8"/>
      <c r="H24" s="8"/>
      <c r="I24" s="8">
        <f t="shared" si="1"/>
        <v>0</v>
      </c>
      <c r="J24" s="8"/>
      <c r="K24" s="8"/>
      <c r="L24" s="8">
        <f t="shared" si="2"/>
        <v>0</v>
      </c>
    </row>
    <row r="25" spans="2:12">
      <c r="B25" s="8"/>
      <c r="C25" s="8"/>
      <c r="D25" s="8"/>
      <c r="E25" s="8">
        <f t="shared" ref="E25:E27" si="3">C25*D25</f>
        <v>0</v>
      </c>
      <c r="F25" s="8" t="s">
        <v>382</v>
      </c>
      <c r="G25" s="8"/>
      <c r="H25" s="8"/>
      <c r="I25" s="8">
        <f t="shared" ref="I25:I27" si="4">G25*H25</f>
        <v>0</v>
      </c>
      <c r="J25" s="8"/>
      <c r="K25" s="8"/>
      <c r="L25" s="8">
        <f t="shared" ref="L25:L27" si="5">J25*K25</f>
        <v>0</v>
      </c>
    </row>
    <row r="26" spans="2:12">
      <c r="B26" s="8"/>
      <c r="C26" s="8"/>
      <c r="D26" s="8"/>
      <c r="E26" s="8">
        <f t="shared" si="3"/>
        <v>0</v>
      </c>
      <c r="F26" s="8" t="s">
        <v>382</v>
      </c>
      <c r="G26" s="8"/>
      <c r="H26" s="8"/>
      <c r="I26" s="8">
        <f t="shared" si="4"/>
        <v>0</v>
      </c>
      <c r="J26" s="8"/>
      <c r="K26" s="8"/>
      <c r="L26" s="8">
        <f t="shared" si="5"/>
        <v>0</v>
      </c>
    </row>
    <row r="27" spans="2:12">
      <c r="B27" s="8"/>
      <c r="C27" s="8"/>
      <c r="D27" s="8"/>
      <c r="E27" s="8">
        <f t="shared" si="3"/>
        <v>0</v>
      </c>
      <c r="F27" s="8" t="s">
        <v>382</v>
      </c>
      <c r="G27" s="8"/>
      <c r="H27" s="8"/>
      <c r="I27" s="8">
        <f t="shared" si="4"/>
        <v>0</v>
      </c>
      <c r="J27" s="8"/>
      <c r="K27" s="8"/>
      <c r="L27" s="8">
        <f t="shared" si="5"/>
        <v>0</v>
      </c>
    </row>
    <row r="28" spans="2:12">
      <c r="B28" s="8" t="s">
        <v>383</v>
      </c>
      <c r="C28" s="8"/>
      <c r="D28" s="8"/>
      <c r="E28" s="8">
        <f t="shared" si="0"/>
        <v>0</v>
      </c>
      <c r="F28" s="8" t="s">
        <v>382</v>
      </c>
      <c r="G28" s="8"/>
      <c r="H28" s="8"/>
      <c r="I28" s="8">
        <f t="shared" si="1"/>
        <v>0</v>
      </c>
      <c r="J28" s="8"/>
      <c r="K28" s="8"/>
      <c r="L28" s="8">
        <f t="shared" si="2"/>
        <v>0</v>
      </c>
    </row>
    <row r="29" spans="2:12">
      <c r="B29" s="8" t="s">
        <v>384</v>
      </c>
      <c r="C29" s="8"/>
      <c r="D29" s="8"/>
      <c r="E29" s="8">
        <f t="shared" si="0"/>
        <v>0</v>
      </c>
      <c r="F29" s="8" t="s">
        <v>382</v>
      </c>
      <c r="G29" s="8"/>
      <c r="H29" s="8"/>
      <c r="I29" s="8">
        <f t="shared" si="1"/>
        <v>0</v>
      </c>
      <c r="J29" s="8"/>
      <c r="K29" s="8"/>
      <c r="L29" s="8">
        <f t="shared" si="2"/>
        <v>0</v>
      </c>
    </row>
    <row r="30" spans="2:12">
      <c r="B30" s="8" t="s">
        <v>385</v>
      </c>
      <c r="C30" s="8"/>
      <c r="D30" s="8"/>
      <c r="E30" s="8">
        <f t="shared" si="0"/>
        <v>0</v>
      </c>
      <c r="F30" s="8"/>
      <c r="G30" s="8"/>
      <c r="H30" s="8"/>
      <c r="I30" s="8">
        <f t="shared" si="1"/>
        <v>0</v>
      </c>
      <c r="J30" s="8"/>
      <c r="K30" s="8"/>
      <c r="L30" s="8">
        <f t="shared" si="2"/>
        <v>0</v>
      </c>
    </row>
    <row r="31" spans="2:12">
      <c r="B31" s="8"/>
      <c r="C31" s="8"/>
      <c r="D31" s="8"/>
      <c r="E31" s="8">
        <f t="shared" ref="E31:E32" si="6">C31*D31</f>
        <v>0</v>
      </c>
      <c r="F31" s="8"/>
      <c r="G31" s="8"/>
      <c r="H31" s="8"/>
      <c r="I31" s="8">
        <f t="shared" ref="I31:I32" si="7">G31*H31</f>
        <v>0</v>
      </c>
      <c r="J31" s="8"/>
      <c r="K31" s="8"/>
      <c r="L31" s="8">
        <f t="shared" ref="L31:L32" si="8">J31*K31</f>
        <v>0</v>
      </c>
    </row>
    <row r="32" spans="2:12">
      <c r="B32" s="8"/>
      <c r="C32" s="8"/>
      <c r="D32" s="8"/>
      <c r="E32" s="8">
        <f t="shared" si="6"/>
        <v>0</v>
      </c>
      <c r="F32" s="8"/>
      <c r="G32" s="8"/>
      <c r="H32" s="8"/>
      <c r="I32" s="8">
        <f t="shared" si="7"/>
        <v>0</v>
      </c>
      <c r="J32" s="8"/>
      <c r="K32" s="8"/>
      <c r="L32" s="8">
        <f t="shared" si="8"/>
        <v>0</v>
      </c>
    </row>
    <row r="33" spans="2:12">
      <c r="B33" s="8" t="s">
        <v>386</v>
      </c>
      <c r="C33" s="8"/>
      <c r="D33" s="8"/>
      <c r="E33" s="8">
        <f t="shared" si="0"/>
        <v>0</v>
      </c>
      <c r="F33" s="8"/>
      <c r="G33" s="8"/>
      <c r="H33" s="8"/>
      <c r="I33" s="8">
        <f t="shared" si="1"/>
        <v>0</v>
      </c>
      <c r="J33" s="8"/>
      <c r="K33" s="8"/>
      <c r="L33" s="8">
        <f t="shared" si="2"/>
        <v>0</v>
      </c>
    </row>
    <row r="34" spans="2:12">
      <c r="B34" s="8" t="s">
        <v>387</v>
      </c>
      <c r="C34" s="8"/>
      <c r="D34" s="8"/>
      <c r="E34" s="8">
        <f t="shared" si="0"/>
        <v>0</v>
      </c>
      <c r="F34" s="8"/>
      <c r="G34" s="8"/>
      <c r="H34" s="8"/>
      <c r="I34" s="8">
        <f t="shared" si="1"/>
        <v>0</v>
      </c>
      <c r="J34" s="8"/>
      <c r="K34" s="8"/>
      <c r="L34" s="8">
        <f t="shared" si="2"/>
        <v>0</v>
      </c>
    </row>
    <row r="35" spans="2:12">
      <c r="B35" s="8" t="s">
        <v>388</v>
      </c>
      <c r="C35" s="8"/>
      <c r="D35" s="8"/>
      <c r="E35" s="8">
        <f t="shared" si="0"/>
        <v>0</v>
      </c>
      <c r="F35" s="8"/>
      <c r="G35" s="8"/>
      <c r="H35" s="8"/>
      <c r="I35" s="8">
        <f t="shared" si="1"/>
        <v>0</v>
      </c>
      <c r="J35" s="8"/>
      <c r="K35" s="8"/>
      <c r="L35" s="8">
        <f t="shared" si="2"/>
        <v>0</v>
      </c>
    </row>
    <row r="36" spans="2:12">
      <c r="B36" s="8" t="s">
        <v>389</v>
      </c>
      <c r="C36" s="8"/>
      <c r="D36" s="8"/>
      <c r="E36" s="8">
        <f t="shared" si="0"/>
        <v>0</v>
      </c>
      <c r="F36" s="8"/>
      <c r="G36" s="8"/>
      <c r="H36" s="8"/>
      <c r="I36" s="8">
        <f t="shared" si="1"/>
        <v>0</v>
      </c>
      <c r="J36" s="8"/>
      <c r="K36" s="8"/>
      <c r="L36" s="8">
        <f t="shared" si="2"/>
        <v>0</v>
      </c>
    </row>
    <row r="37" spans="2:12">
      <c r="B37" s="8"/>
      <c r="C37" s="8"/>
      <c r="D37" s="8"/>
      <c r="E37" s="8">
        <f t="shared" ref="E37:E38" si="9">C37*D37</f>
        <v>0</v>
      </c>
      <c r="F37" s="8"/>
      <c r="G37" s="8"/>
      <c r="H37" s="8"/>
      <c r="I37" s="8">
        <f t="shared" ref="I37:I41" si="10">G37*H37</f>
        <v>0</v>
      </c>
      <c r="J37" s="8"/>
      <c r="K37" s="8"/>
      <c r="L37" s="8">
        <f t="shared" ref="L37:L41" si="11">J37*K37</f>
        <v>0</v>
      </c>
    </row>
    <row r="38" spans="2:12">
      <c r="B38" s="8" t="s">
        <v>390</v>
      </c>
      <c r="C38" s="8"/>
      <c r="D38" s="8"/>
      <c r="E38" s="8">
        <f t="shared" si="9"/>
        <v>0</v>
      </c>
      <c r="F38" s="8"/>
      <c r="G38" s="8"/>
      <c r="H38" s="8"/>
      <c r="I38" s="8">
        <f t="shared" si="10"/>
        <v>0</v>
      </c>
      <c r="J38" s="8"/>
      <c r="K38" s="8"/>
      <c r="L38" s="8">
        <f t="shared" si="11"/>
        <v>0</v>
      </c>
    </row>
    <row r="39" spans="2:12">
      <c r="B39" s="8"/>
      <c r="C39" s="8"/>
      <c r="D39" s="8"/>
      <c r="E39" s="8">
        <f t="shared" si="0"/>
        <v>0</v>
      </c>
      <c r="F39" s="8"/>
      <c r="G39" s="8"/>
      <c r="H39" s="8"/>
      <c r="I39" s="8">
        <f t="shared" si="10"/>
        <v>0</v>
      </c>
      <c r="J39" s="8"/>
      <c r="K39" s="8"/>
      <c r="L39" s="8">
        <f t="shared" si="11"/>
        <v>0</v>
      </c>
    </row>
    <row r="40" spans="2:12">
      <c r="B40" s="8"/>
      <c r="C40" s="8"/>
      <c r="D40" s="8"/>
      <c r="E40" s="8">
        <f t="shared" si="0"/>
        <v>0</v>
      </c>
      <c r="F40" s="8"/>
      <c r="G40" s="8"/>
      <c r="H40" s="8"/>
      <c r="I40" s="8">
        <f t="shared" si="10"/>
        <v>0</v>
      </c>
      <c r="J40" s="8"/>
      <c r="K40" s="8"/>
      <c r="L40" s="8">
        <f t="shared" si="11"/>
        <v>0</v>
      </c>
    </row>
    <row r="41" spans="2:12">
      <c r="B41" s="8"/>
      <c r="C41" s="8"/>
      <c r="D41" s="8"/>
      <c r="E41" s="8">
        <f t="shared" si="0"/>
        <v>0</v>
      </c>
      <c r="F41" s="8"/>
      <c r="G41" s="8"/>
      <c r="H41" s="8"/>
      <c r="I41" s="8">
        <f t="shared" si="10"/>
        <v>0</v>
      </c>
      <c r="J41" s="8"/>
      <c r="K41" s="8"/>
      <c r="L41" s="8">
        <f t="shared" si="11"/>
        <v>0</v>
      </c>
    </row>
    <row r="42" spans="2:12">
      <c r="B42" s="8" t="s">
        <v>267</v>
      </c>
      <c r="C42" s="8"/>
      <c r="D42" s="8">
        <f>E42*10.764</f>
        <v>0</v>
      </c>
      <c r="E42" s="9">
        <f>SUM(E6:E41)</f>
        <v>0</v>
      </c>
      <c r="F42" s="8"/>
      <c r="G42" s="8"/>
      <c r="H42" s="8">
        <f>I42*10.764</f>
        <v>0</v>
      </c>
      <c r="I42" s="11">
        <f>SUM(I6:I41)</f>
        <v>0</v>
      </c>
      <c r="J42" s="8"/>
      <c r="K42" s="8">
        <f>L42*10.764</f>
        <v>0</v>
      </c>
      <c r="L42" s="12">
        <f>SUM(L6:L41)</f>
        <v>0</v>
      </c>
    </row>
    <row r="44" spans="4:5">
      <c r="D44" s="1">
        <f>D42+H42</f>
        <v>0</v>
      </c>
      <c r="E44" s="1">
        <f>E42+I42</f>
        <v>0</v>
      </c>
    </row>
  </sheetData>
  <mergeCells count="4">
    <mergeCell ref="C2:D2"/>
    <mergeCell ref="C4:E4"/>
    <mergeCell ref="G4:I4"/>
    <mergeCell ref="J4:L4"/>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Report</vt:lpstr>
      <vt:lpstr>valuation</vt:lpstr>
      <vt:lpstr>Research</vt:lpstr>
      <vt:lpstr>Remarks</vt:lpstr>
      <vt:lpstr>Area Calculation</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smart</cp:lastModifiedBy>
  <dcterms:created xsi:type="dcterms:W3CDTF">2019-07-16T09:29:00Z</dcterms:created>
  <cp:lastPrinted>2025-08-13T08:28:00Z</cp:lastPrinted>
  <dcterms:modified xsi:type="dcterms:W3CDTF">2025-08-30T10:08:24Z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725276D2CBE04FDEBF19713053005B31_12</vt:lpwstr>
  </property>
  <property fmtid="{D5CDD505-2E9C-101B-9397-08002B2CF9AE}" pid="3" name="KSOProductBuildVer">
    <vt:lpwstr>1033-12.2.0.21931</vt:lpwstr>
  </property>
</Properties>
</file>