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I134" i="1"/>
  <c r="I133" i="1"/>
  <c r="F6" i="5" l="1"/>
  <c r="F5" i="5"/>
  <c r="D149" i="1"/>
  <c r="D148" i="1"/>
  <c r="D147" i="1"/>
  <c r="D146" i="1"/>
  <c r="D145" i="1"/>
  <c r="D144" i="1"/>
  <c r="D143" i="1"/>
  <c r="D142" i="1"/>
  <c r="D157" i="1"/>
  <c r="D156" i="1"/>
  <c r="D155" i="1"/>
  <c r="D154" i="1"/>
  <c r="D153" i="1"/>
  <c r="D152" i="1"/>
  <c r="D151" i="1"/>
  <c r="D150" i="1"/>
  <c r="D140" i="1"/>
  <c r="D139" i="1"/>
  <c r="D138" i="1"/>
  <c r="D137" i="1"/>
  <c r="D136" i="1"/>
  <c r="I136" i="1" s="1"/>
  <c r="D135" i="1"/>
  <c r="D134" i="1"/>
  <c r="D133" i="1"/>
  <c r="E133" i="1"/>
  <c r="D132" i="1"/>
  <c r="D129" i="1"/>
  <c r="D130" i="1"/>
  <c r="D131" i="1"/>
  <c r="D128" i="1"/>
  <c r="D127" i="1"/>
  <c r="E132" i="1"/>
  <c r="E131" i="1"/>
  <c r="E130" i="1"/>
  <c r="E129" i="1"/>
  <c r="E128" i="1"/>
  <c r="E127" i="1"/>
  <c r="E126" i="1"/>
  <c r="D126" i="1"/>
  <c r="E125" i="1"/>
  <c r="D125" i="1"/>
  <c r="D122" i="1"/>
  <c r="F122" i="1" s="1"/>
  <c r="D121" i="1"/>
  <c r="F121" i="1" s="1"/>
  <c r="D120" i="1"/>
  <c r="F120" i="1" s="1"/>
  <c r="D119" i="1"/>
  <c r="F119" i="1" s="1"/>
  <c r="D118" i="1"/>
  <c r="F118" i="1" s="1"/>
  <c r="D117" i="1"/>
  <c r="F117" i="1" s="1"/>
  <c r="D116" i="1"/>
  <c r="D115" i="1"/>
  <c r="F115" i="1" s="1"/>
  <c r="D114" i="1"/>
  <c r="F114" i="1" s="1"/>
  <c r="D113" i="1"/>
  <c r="F113" i="1" s="1"/>
  <c r="D112" i="1"/>
  <c r="F112" i="1" s="1"/>
  <c r="D111" i="1"/>
  <c r="F111" i="1" s="1"/>
  <c r="D110" i="1"/>
  <c r="F110" i="1" s="1"/>
  <c r="D109" i="1"/>
  <c r="F109" i="1" s="1"/>
  <c r="D108" i="1"/>
  <c r="D107" i="1"/>
  <c r="D106" i="1"/>
  <c r="D105" i="1"/>
  <c r="D104" i="1"/>
  <c r="D103" i="1"/>
  <c r="D102" i="1"/>
  <c r="D101" i="1"/>
  <c r="F116" i="1"/>
  <c r="F108" i="1"/>
  <c r="C95" i="1" l="1"/>
  <c r="C92" i="1"/>
  <c r="E95" i="1"/>
  <c r="E92" i="1"/>
  <c r="J92" i="1" s="1"/>
  <c r="C14" i="1"/>
  <c r="E28" i="1" l="1"/>
  <c r="G95" i="1" l="1"/>
  <c r="F102" i="1"/>
  <c r="F103" i="1"/>
  <c r="F104" i="1"/>
  <c r="F105" i="1"/>
  <c r="F106" i="1"/>
  <c r="F107" i="1"/>
  <c r="F101" i="1"/>
  <c r="G92" i="1" l="1"/>
  <c r="B161" i="1"/>
  <c r="B160" i="1"/>
  <c r="O142" i="1"/>
  <c r="F11" i="5" l="1"/>
  <c r="G11" i="5" s="1"/>
  <c r="F10" i="5"/>
  <c r="G10" i="5" s="1"/>
  <c r="F9" i="5"/>
  <c r="G9" i="5" s="1"/>
  <c r="F8" i="5"/>
  <c r="G8" i="5" s="1"/>
  <c r="F7" i="5"/>
  <c r="G7" i="5" s="1"/>
  <c r="G6" i="5"/>
  <c r="G5" i="5"/>
  <c r="D180" i="1"/>
  <c r="A160" i="1"/>
  <c r="G142" i="1"/>
  <c r="G125" i="1"/>
  <c r="A125" i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02" i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G101" i="1"/>
  <c r="F89" i="1"/>
  <c r="J75" i="1"/>
  <c r="J74" i="1"/>
  <c r="J73" i="1"/>
  <c r="J72" i="1"/>
  <c r="C64" i="1"/>
  <c r="D58" i="1"/>
  <c r="D53" i="1"/>
  <c r="G48" i="1"/>
  <c r="G49" i="1" s="1"/>
  <c r="C48" i="1"/>
  <c r="C49" i="1" s="1"/>
  <c r="E41" i="1"/>
  <c r="E42" i="1" s="1"/>
  <c r="E25" i="1"/>
  <c r="E23" i="1"/>
  <c r="E7" i="1"/>
  <c r="P142" i="1"/>
  <c r="H65" i="1"/>
  <c r="G12" i="5" l="1"/>
  <c r="A161" i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D76" i="1"/>
  <c r="D72" i="1"/>
  <c r="D74" i="1"/>
  <c r="D70" i="1"/>
  <c r="N142" i="1"/>
  <c r="A142" i="1" s="1"/>
  <c r="O143" i="1"/>
  <c r="P143" i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J77" i="1" l="1"/>
  <c r="D69" i="1"/>
  <c r="A162" i="1"/>
  <c r="A163" i="1" s="1"/>
  <c r="A164" i="1" s="1"/>
  <c r="A165" i="1" s="1"/>
  <c r="A166" i="1" s="1"/>
  <c r="A167" i="1" s="1"/>
  <c r="N143" i="1"/>
  <c r="A143" i="1" s="1"/>
  <c r="O144" i="1"/>
  <c r="E68" i="1" l="1"/>
  <c r="I64" i="1" s="1"/>
  <c r="C66" i="1" s="1"/>
  <c r="G68" i="1"/>
  <c r="D62" i="1" s="1"/>
  <c r="F63" i="1" s="1"/>
  <c r="N144" i="1"/>
  <c r="A144" i="1" s="1"/>
  <c r="O145" i="1"/>
  <c r="D63" i="1" l="1"/>
  <c r="N145" i="1"/>
  <c r="A145" i="1" s="1"/>
  <c r="O146" i="1"/>
  <c r="N146" i="1" l="1"/>
  <c r="A146" i="1" s="1"/>
  <c r="O147" i="1"/>
  <c r="N147" i="1" l="1"/>
  <c r="A147" i="1" s="1"/>
  <c r="O148" i="1"/>
  <c r="N148" i="1" l="1"/>
  <c r="A148" i="1" s="1"/>
  <c r="O149" i="1"/>
  <c r="N149" i="1" l="1"/>
  <c r="A149" i="1" s="1"/>
  <c r="O150" i="1"/>
  <c r="N150" i="1" l="1"/>
  <c r="A150" i="1" s="1"/>
  <c r="O151" i="1"/>
  <c r="N151" i="1" l="1"/>
  <c r="A151" i="1" s="1"/>
  <c r="O152" i="1"/>
  <c r="N152" i="1" l="1"/>
  <c r="A152" i="1" s="1"/>
  <c r="O153" i="1"/>
  <c r="N153" i="1" l="1"/>
  <c r="A153" i="1" s="1"/>
  <c r="O154" i="1"/>
  <c r="N154" i="1" l="1"/>
  <c r="A154" i="1" s="1"/>
  <c r="O155" i="1"/>
  <c r="N155" i="1" l="1"/>
  <c r="A155" i="1" s="1"/>
  <c r="O156" i="1"/>
  <c r="N156" i="1" l="1"/>
  <c r="A156" i="1" s="1"/>
  <c r="O157" i="1"/>
  <c r="N157" i="1" s="1"/>
  <c r="A157" i="1" s="1"/>
</calcChain>
</file>

<file path=xl/sharedStrings.xml><?xml version="1.0" encoding="utf-8"?>
<sst xmlns="http://schemas.openxmlformats.org/spreadsheetml/2006/main" count="305" uniqueCount="215">
  <si>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</si>
  <si>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</si>
  <si>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</si>
  <si>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</si>
  <si>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</si>
  <si>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</si>
  <si>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</si>
  <si>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</si>
  <si>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</si>
  <si>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</si>
  <si>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</si>
  <si>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</si>
  <si>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</si>
  <si>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</si>
  <si>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</si>
  <si>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</si>
  <si>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</si>
  <si>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</si>
  <si>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</si>
  <si>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</si>
  <si>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</si>
  <si>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</si>
  <si>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</si>
  <si>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</si>
  <si>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</si>
  <si>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</si>
  <si>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</si>
  <si>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</si>
  <si>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</si>
  <si>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</si>
  <si>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</si>
  <si>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</si>
  <si>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</si>
  <si>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</si>
  <si>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</si>
  <si>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</si>
  <si>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</si>
  <si>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</si>
  <si>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</si>
  <si>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</si>
  <si>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</si>
  <si>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</si>
  <si>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</si>
  <si>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</si>
  <si>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</si>
  <si>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</si>
  <si>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</si>
  <si>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</si>
  <si>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</si>
  <si>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</si>
  <si>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</si>
  <si>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</si>
  <si>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</si>
  <si>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</si>
  <si>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</si>
  <si>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</si>
  <si>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</si>
  <si>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</si>
  <si>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</si>
  <si>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</si>
  <si>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</si>
  <si>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</si>
  <si>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</si>
  <si>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</si>
  <si>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</si>
  <si>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</si>
  <si>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</si>
  <si>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</si>
  <si>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</si>
  <si>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</si>
  <si>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</si>
  <si>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</si>
  <si>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</si>
  <si>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</si>
  <si>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</si>
  <si>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</si>
  <si>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</si>
  <si>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</si>
  <si>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</si>
  <si>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</si>
  <si>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</si>
  <si>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</si>
  <si>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</si>
  <si>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</si>
  <si>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</si>
  <si>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</si>
  <si>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</si>
  <si>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</si>
  <si>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</si>
  <si>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</si>
  <si>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</si>
  <si>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</si>
  <si>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</si>
  <si>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</si>
  <si>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</si>
  <si>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</si>
  <si>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</si>
  <si>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</si>
  <si>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</si>
  <si>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</si>
  <si>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</si>
  <si>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</si>
  <si>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</si>
  <si>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</si>
  <si>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</si>
  <si>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</si>
  <si>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</si>
  <si>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</si>
  <si>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</si>
  <si>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</si>
  <si>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</si>
  <si>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</si>
  <si>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</si>
  <si>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</si>
  <si>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</si>
  <si>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</si>
  <si>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</si>
  <si>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</si>
  <si>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</si>
  <si>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</si>
  <si>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</si>
  <si>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</si>
  <si>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</si>
  <si>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</si>
  <si>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</si>
  <si>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</si>
  <si>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</si>
  <si>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</si>
  <si>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</si>
  <si>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</si>
  <si>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</si>
  <si>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</si>
  <si>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</si>
  <si>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</si>
  <si>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</si>
  <si>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</si>
  <si>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</si>
  <si>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</si>
  <si>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</si>
  <si>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</si>
  <si>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</si>
  <si>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</si>
  <si>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</si>
  <si>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</si>
  <si>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</si>
  <si>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</si>
  <si>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</si>
  <si>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</si>
  <si>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</si>
  <si>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</si>
  <si>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</si>
  <si>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</si>
  <si>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</si>
  <si>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</si>
  <si>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</si>
  <si>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</si>
  <si>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</si>
  <si>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</si>
  <si>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</si>
  <si>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</si>
  <si>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</si>
  <si>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</si>
  <si>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</si>
  <si>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</si>
  <si>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</si>
  <si>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Axis Sanpada</t>
  </si>
  <si>
    <t xml:space="preserve">P52000029991
</t>
  </si>
  <si>
    <t>Arihant Amisha Phase II</t>
  </si>
  <si>
    <t>Mahodar</t>
  </si>
  <si>
    <t>Panvel</t>
  </si>
  <si>
    <t>Raigad</t>
  </si>
  <si>
    <t>Survey No</t>
  </si>
  <si>
    <t>87/2,85</t>
  </si>
  <si>
    <t>7.2 KM from Navde Road Railway Station</t>
  </si>
  <si>
    <t>Navde Road</t>
  </si>
  <si>
    <t>Arihant Amisha, Block - B</t>
  </si>
  <si>
    <t>Internal Road</t>
  </si>
  <si>
    <t>Open Plot</t>
  </si>
  <si>
    <t>Vinayak Residency</t>
  </si>
  <si>
    <t>Pale Patilwadi Road</t>
  </si>
  <si>
    <t>Building C1</t>
  </si>
  <si>
    <t>Navi Mumbai Airport Influence Notified Area (NAINA)</t>
  </si>
  <si>
    <t>CIDCO/NAINA/Panvel/Mahodar/ACC/2021/0090</t>
  </si>
  <si>
    <t>C1 Wing = G + 1st to 7th Floor</t>
  </si>
  <si>
    <t>Valid Up to:   C1 Wing = G + 1st to 7th Floor</t>
  </si>
  <si>
    <t>Ground Floor For Parking &amp; Commercial</t>
  </si>
  <si>
    <t>Shop</t>
  </si>
  <si>
    <t>1BHK</t>
  </si>
  <si>
    <t>2nd to 7th Floor</t>
  </si>
  <si>
    <t>We considered Gross carpet area = Net carpet + Enclose balcony.</t>
  </si>
  <si>
    <t>Flats</t>
  </si>
  <si>
    <t>Flats - 112, Shops - 22</t>
  </si>
  <si>
    <t>As per RERA - 30/12/2026</t>
  </si>
  <si>
    <t>Approved Plans, CC, Sale Plans, Cost Sheet</t>
  </si>
  <si>
    <t>1st Floor For Residential</t>
  </si>
  <si>
    <t>1bhk</t>
  </si>
  <si>
    <t>2,00,000/-</t>
  </si>
  <si>
    <t>Utility Connection Charges</t>
  </si>
  <si>
    <t>1,00,000/-</t>
  </si>
  <si>
    <t>1,50,000/-</t>
  </si>
  <si>
    <t>Recommended rate of the flat Per Sq. Ft. (on Saleable area)</t>
  </si>
  <si>
    <t>Recommended rate of the shop Per Sq. Ft. (on Saleable area)</t>
  </si>
  <si>
    <t>M/s.Arihant Aashiyana Private Limited</t>
  </si>
  <si>
    <t>Builder Saleable area</t>
  </si>
  <si>
    <t xml:space="preserve">1.Vitrified tiles flooring 2. Granite Kitchen Platform  3. Decorative Enternace  etc. 
</t>
  </si>
  <si>
    <t>Location Link</t>
  </si>
  <si>
    <t>On Site, we meet Mr. Vishal - 8879208006.</t>
  </si>
  <si>
    <t>https://goo.gl/maps/6fzBbBk6RXLqz6Q26?coh=178572&amp;entry=tt</t>
  </si>
  <si>
    <t>Sunil Peravi</t>
  </si>
  <si>
    <t xml:space="preserve">Site Person - Contact Details ( Name &amp; Contact No.)
</t>
  </si>
  <si>
    <t xml:space="preserve">Office No. 1031, Wing J, Akshar Business Park, Plot No. 03 Sector 25, Near APMC Market,
Vashi, Navi Mumbai, Maharashtra 400703 TEL: 022-46090378/79/80                                                                                                  E mail : vsjcapf@gmail.com. Web site : www.vsjadon.com </t>
  </si>
  <si>
    <t>Ms. Chaitali Sakpal 9619007738</t>
  </si>
  <si>
    <t>Mr. Tushar 8108396529</t>
  </si>
  <si>
    <t>Shruti Tathare</t>
  </si>
  <si>
    <t>Finishing work, Meter room work is in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</si>
</sst>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0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0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Protection="1">
      <protection hidden="1"/>
    </xf>
    <xf numFmtId="0" fontId="8" fillId="0" borderId="12" xfId="1" applyFont="1" applyBorder="1" applyProtection="1">
      <protection hidden="1"/>
    </xf>
    <xf numFmtId="0" fontId="8" fillId="0" borderId="12" xfId="1" applyFont="1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9" fontId="9" fillId="0" borderId="18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4" fontId="8" fillId="0" borderId="0" xfId="1" applyNumberFormat="1" applyFont="1"/>
    <xf numFmtId="1" fontId="8" fillId="0" borderId="0" xfId="1" applyNumberFormat="1" applyFont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Protection="1">
      <protection hidden="1"/>
    </xf>
    <xf numFmtId="0" fontId="23" fillId="0" borderId="0" xfId="1" applyFont="1"/>
    <xf numFmtId="0" fontId="8" fillId="0" borderId="1" xfId="1" applyFont="1" applyBorder="1" applyAlignment="1" applyProtection="1">
      <alignment horizontal="center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6" xfId="1" applyNumberFormat="1" applyFont="1" applyFill="1" applyBorder="1" applyAlignment="1" applyProtection="1">
      <alignment horizontal="center" vertical="center" wrapText="1"/>
      <protection hidden="1"/>
    </xf>
    <xf numFmtId="2" fontId="8" fillId="0" borderId="0" xfId="1" applyNumberFormat="1" applyFont="1" applyAlignment="1">
      <alignment horizontal="center" vertical="center"/>
    </xf>
    <xf numFmtId="168" fontId="8" fillId="0" borderId="0" xfId="1" applyNumberFormat="1" applyFont="1" applyAlignment="1">
      <alignment horizontal="center" vertical="center"/>
    </xf>
    <xf numFmtId="0" fontId="8" fillId="0" borderId="3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4" xfId="1" applyFont="1" applyBorder="1" applyAlignment="1" applyProtection="1">
      <alignment horizontal="center" vertical="top"/>
      <protection locked="0"/>
    </xf>
    <xf numFmtId="0" fontId="17" fillId="0" borderId="0" xfId="0" applyFont="1" applyProtection="1">
      <protection hidden="1"/>
    </xf>
    <xf numFmtId="0" fontId="8" fillId="0" borderId="1" xfId="1" applyFont="1" applyBorder="1" applyAlignment="1" applyProtection="1">
      <alignment horizontal="center" wrapText="1"/>
      <protection locked="0"/>
    </xf>
    <xf numFmtId="0" fontId="17" fillId="0" borderId="12" xfId="0" applyFont="1" applyBorder="1" applyProtection="1">
      <protection hidden="1"/>
    </xf>
    <xf numFmtId="1" fontId="8" fillId="0" borderId="1" xfId="1" applyNumberFormat="1" applyFont="1" applyBorder="1" applyAlignment="1" applyProtection="1">
      <alignment horizontal="center" wrapText="1"/>
      <protection locked="0"/>
    </xf>
    <xf numFmtId="1" fontId="24" fillId="0" borderId="12" xfId="0" applyNumberFormat="1" applyFont="1" applyBorder="1"/>
    <xf numFmtId="1" fontId="24" fillId="0" borderId="12" xfId="0" applyNumberFormat="1" applyFont="1" applyBorder="1" applyAlignment="1">
      <alignment horizontal="right"/>
    </xf>
    <xf numFmtId="0" fontId="8" fillId="0" borderId="6" xfId="1" applyFont="1" applyBorder="1" applyAlignment="1" applyProtection="1">
      <alignment horizontal="center" wrapText="1"/>
      <protection locked="0"/>
    </xf>
    <xf numFmtId="0" fontId="17" fillId="0" borderId="13" xfId="0" applyFont="1" applyBorder="1" applyProtection="1">
      <protection hidden="1"/>
    </xf>
    <xf numFmtId="1" fontId="24" fillId="0" borderId="14" xfId="0" applyNumberFormat="1" applyFont="1" applyBorder="1"/>
    <xf numFmtId="0" fontId="1" fillId="0" borderId="1" xfId="5" applyFont="1" applyBorder="1" applyAlignment="1">
      <alignment horizontal="center" vertical="center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1" fontId="8" fillId="0" borderId="0" xfId="0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11" fillId="0" borderId="24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15" xfId="1" applyFont="1" applyBorder="1" applyAlignment="1" applyProtection="1">
      <alignment horizontal="left" vertical="top" wrapText="1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8" xfId="1" applyFont="1" applyFill="1" applyBorder="1" applyAlignment="1" applyProtection="1">
      <alignment horizontal="left" vertical="top" wrapText="1"/>
      <protection locked="0"/>
    </xf>
    <xf numFmtId="0" fontId="13" fillId="2" borderId="23" xfId="1" applyFont="1" applyFill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8" fillId="0" borderId="0" xfId="1" applyFont="1" applyAlignment="1">
      <alignment horizontal="center" vertical="center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8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26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8" xfId="0" applyNumberFormat="1" applyFont="1" applyBorder="1" applyAlignment="1" applyProtection="1">
      <alignment vertical="top" wrapText="1"/>
      <protection locked="0"/>
    </xf>
    <xf numFmtId="1" fontId="9" fillId="0" borderId="23" xfId="0" applyNumberFormat="1" applyFont="1" applyBorder="1" applyAlignment="1" applyProtection="1">
      <alignment vertical="top" wrapText="1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11" fillId="0" borderId="8" xfId="0" applyNumberFormat="1" applyFont="1" applyBorder="1" applyAlignment="1" applyProtection="1">
      <alignment vertical="top" wrapText="1"/>
      <protection locked="0"/>
    </xf>
    <xf numFmtId="1" fontId="11" fillId="0" borderId="23" xfId="0" applyNumberFormat="1" applyFont="1" applyBorder="1" applyAlignment="1" applyProtection="1">
      <alignment vertical="top" wrapText="1"/>
      <protection locked="0"/>
    </xf>
    <xf numFmtId="1" fontId="11" fillId="0" borderId="9" xfId="0" applyNumberFormat="1" applyFont="1" applyBorder="1" applyAlignment="1" applyProtection="1">
      <alignment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23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5" fillId="0" borderId="2" xfId="1" applyNumberFormat="1" applyFont="1" applyBorder="1" applyAlignment="1" applyProtection="1">
      <alignment horizontal="center" vertical="top" wrapText="1"/>
      <protection locked="0"/>
    </xf>
    <xf numFmtId="1" fontId="5" fillId="0" borderId="18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4" xfId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8" fillId="0" borderId="3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9" fontId="8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8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5" xfId="1" applyFont="1" applyBorder="1" applyAlignment="1" applyProtection="1">
      <alignment horizontal="center" vertical="top" wrapText="1"/>
      <protection locked="0"/>
    </xf>
    <xf numFmtId="0" fontId="8" fillId="0" borderId="6" xfId="1" applyFont="1" applyBorder="1" applyAlignment="1" applyProtection="1">
      <alignment horizontal="center" vertical="top" wrapText="1"/>
      <protection locked="0"/>
    </xf>
    <xf numFmtId="1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25" fillId="0" borderId="8" xfId="9" applyBorder="1" applyAlignment="1" applyProtection="1">
      <alignment horizontal="center"/>
      <protection locked="0"/>
    </xf>
    <xf numFmtId="0" fontId="8" fillId="0" borderId="23" xfId="1" applyFont="1" applyBorder="1" applyAlignment="1" applyProtection="1">
      <alignment horizontal="center"/>
      <protection locked="0"/>
    </xf>
    <xf numFmtId="0" fontId="8" fillId="0" borderId="9" xfId="1" applyFont="1" applyBorder="1" applyAlignment="1" applyProtection="1">
      <alignment horizontal="center"/>
      <protection locked="0"/>
    </xf>
    <xf numFmtId="1" fontId="14" fillId="0" borderId="8" xfId="0" applyNumberFormat="1" applyFont="1" applyBorder="1" applyAlignment="1" applyProtection="1">
      <alignment vertical="top" wrapText="1"/>
      <protection locked="0"/>
    </xf>
    <xf numFmtId="1" fontId="14" fillId="0" borderId="23" xfId="0" applyNumberFormat="1" applyFont="1" applyBorder="1" applyAlignment="1" applyProtection="1">
      <alignment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4" fillId="0" borderId="8" xfId="1" applyFont="1" applyBorder="1" applyAlignment="1" applyProtection="1">
      <alignment horizontal="left" vertical="top"/>
      <protection locked="0"/>
    </xf>
    <xf numFmtId="0" fontId="14" fillId="0" borderId="23" xfId="1" applyFont="1" applyBorder="1" applyAlignment="1" applyProtection="1">
      <alignment horizontal="left" vertical="top"/>
      <protection locked="0"/>
    </xf>
    <xf numFmtId="0" fontId="14" fillId="0" borderId="9" xfId="1" applyFont="1" applyBorder="1" applyAlignment="1" applyProtection="1">
      <alignment horizontal="left" vertical="top"/>
      <protection locked="0"/>
    </xf>
    <xf numFmtId="0" fontId="10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13392</xdr:colOff>
      <xdr:row>242</xdr:row>
      <xdr:rowOff>179722</xdr:rowOff>
    </xdr:from>
    <xdr:to>
      <xdr:col>7</xdr:col>
      <xdr:colOff>951217</xdr:colOff>
      <xdr:row>259</xdr:row>
      <xdr:rowOff>59015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5392" y="50515017"/>
          <a:ext cx="5691666" cy="326499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13392</xdr:colOff>
      <xdr:row>225</xdr:row>
      <xdr:rowOff>89861</xdr:rowOff>
    </xdr:from>
    <xdr:to>
      <xdr:col>7</xdr:col>
      <xdr:colOff>951217</xdr:colOff>
      <xdr:row>241</xdr:row>
      <xdr:rowOff>166842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5392" y="47039452"/>
          <a:ext cx="5691666" cy="326352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591670</xdr:colOff>
      <xdr:row>179</xdr:row>
      <xdr:rowOff>184897</xdr:rowOff>
    </xdr:from>
    <xdr:to>
      <xdr:col>20</xdr:col>
      <xdr:colOff>173094</xdr:colOff>
      <xdr:row>210</xdr:row>
      <xdr:rowOff>178683</xdr:rowOff>
    </xdr:to>
    <xdr:grpSp>
      <xdr:nvGrpSpPr>
        <xdr:cNvPr id="2" name="Group 1"/>
        <xdr:cNvGrpSpPr/>
      </xdr:nvGrpSpPr>
      <xdr:grpSpPr>
        <a:xfrm>
          <a:off x="7628964" y="38430573"/>
          <a:ext cx="6136865" cy="6235463"/>
          <a:chOff x="457200" y="37738050"/>
          <a:chExt cx="6411783" cy="6089786"/>
        </a:xfrm>
      </xdr:grpSpPr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58558" y="4181183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72272" y="377380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90986" y="4181183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200" y="4181183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24772" y="4181183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94568" y="377380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4</xdr:col>
      <xdr:colOff>257738</xdr:colOff>
      <xdr:row>214</xdr:row>
      <xdr:rowOff>67235</xdr:rowOff>
    </xdr:from>
    <xdr:to>
      <xdr:col>6</xdr:col>
      <xdr:colOff>77770</xdr:colOff>
      <xdr:row>223</xdr:row>
      <xdr:rowOff>75706</xdr:rowOff>
    </xdr:to>
    <xdr:pic>
      <xdr:nvPicPr>
        <xdr:cNvPr id="25" name="Picture 24" descr="https://vsjcllp.vsjadon.com/upload/insp-243229-1525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7091" y="45361411"/>
          <a:ext cx="1366444" cy="182382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264459</xdr:colOff>
      <xdr:row>180</xdr:row>
      <xdr:rowOff>40340</xdr:rowOff>
    </xdr:from>
    <xdr:to>
      <xdr:col>7</xdr:col>
      <xdr:colOff>1187824</xdr:colOff>
      <xdr:row>200</xdr:row>
      <xdr:rowOff>121561</xdr:rowOff>
    </xdr:to>
    <xdr:pic>
      <xdr:nvPicPr>
        <xdr:cNvPr id="26" name="Picture 25" descr="https://vsjcllp.vsjadon.com/upload/insp-243229-843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03812" y="38487722"/>
          <a:ext cx="3074894" cy="410413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428066</xdr:colOff>
      <xdr:row>180</xdr:row>
      <xdr:rowOff>47063</xdr:rowOff>
    </xdr:from>
    <xdr:to>
      <xdr:col>4</xdr:col>
      <xdr:colOff>163607</xdr:colOff>
      <xdr:row>200</xdr:row>
      <xdr:rowOff>128284</xdr:rowOff>
    </xdr:to>
    <xdr:pic>
      <xdr:nvPicPr>
        <xdr:cNvPr id="27" name="Picture 26" descr="https://vsjcllp.vsjadon.com/upload/insp-243229-851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066" y="38494445"/>
          <a:ext cx="3074894" cy="410413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558056</xdr:colOff>
      <xdr:row>214</xdr:row>
      <xdr:rowOff>64993</xdr:rowOff>
    </xdr:from>
    <xdr:to>
      <xdr:col>4</xdr:col>
      <xdr:colOff>142765</xdr:colOff>
      <xdr:row>223</xdr:row>
      <xdr:rowOff>73464</xdr:rowOff>
    </xdr:to>
    <xdr:pic>
      <xdr:nvPicPr>
        <xdr:cNvPr id="28" name="Picture 27" descr="https://vsjcllp.vsjadon.com/upload/insp-243229-874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15674" y="45359169"/>
          <a:ext cx="1366444" cy="182382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564774</xdr:colOff>
      <xdr:row>201</xdr:row>
      <xdr:rowOff>26892</xdr:rowOff>
    </xdr:from>
    <xdr:to>
      <xdr:col>3</xdr:col>
      <xdr:colOff>87402</xdr:colOff>
      <xdr:row>213</xdr:row>
      <xdr:rowOff>170007</xdr:rowOff>
    </xdr:to>
    <xdr:pic>
      <xdr:nvPicPr>
        <xdr:cNvPr id="29" name="Picture 28" descr="https://vsjcllp.vsjadon.com/upload/insp-243229-877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4774" y="42698892"/>
          <a:ext cx="1920687" cy="256358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190498</xdr:colOff>
      <xdr:row>201</xdr:row>
      <xdr:rowOff>11204</xdr:rowOff>
    </xdr:from>
    <xdr:to>
      <xdr:col>5</xdr:col>
      <xdr:colOff>396685</xdr:colOff>
      <xdr:row>213</xdr:row>
      <xdr:rowOff>154319</xdr:rowOff>
    </xdr:to>
    <xdr:pic>
      <xdr:nvPicPr>
        <xdr:cNvPr id="30" name="Picture 29" descr="https://vsjcllp.vsjadon.com/upload/insp-243229-931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8557" y="42683204"/>
          <a:ext cx="1920687" cy="256358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510988</xdr:colOff>
      <xdr:row>201</xdr:row>
      <xdr:rowOff>6722</xdr:rowOff>
    </xdr:from>
    <xdr:to>
      <xdr:col>7</xdr:col>
      <xdr:colOff>1053352</xdr:colOff>
      <xdr:row>213</xdr:row>
      <xdr:rowOff>149837</xdr:rowOff>
    </xdr:to>
    <xdr:pic>
      <xdr:nvPicPr>
        <xdr:cNvPr id="31" name="Picture 30" descr="https://vsjcllp.vsjadon.com/upload/insp-243229-925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23547" y="42678722"/>
          <a:ext cx="1920687" cy="256358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6</xdr:col>
      <xdr:colOff>830377</xdr:colOff>
      <xdr:row>14</xdr:row>
      <xdr:rowOff>0</xdr:rowOff>
    </xdr:from>
    <xdr:to>
      <xdr:col>17</xdr:col>
      <xdr:colOff>12348</xdr:colOff>
      <xdr:row>34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1642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6fzBbBk6RXLqz6Q26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25"/>
  <sheetViews>
    <sheetView tabSelected="1" view="pageBreakPreview" topLeftCell="A164" zoomScale="85" zoomScaleNormal="100" zoomScaleSheetLayoutView="85" zoomScalePageLayoutView="85" workbookViewId="0">
      <selection activeCell="S169" sqref="S169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5703125" style="11" customWidth="1"/>
    <col min="4" max="4" width="14.140625" style="11" customWidth="1"/>
    <col min="5" max="6" width="11.5703125" style="11" customWidth="1"/>
    <col min="7" max="7" width="9.140625" style="11" customWidth="1"/>
    <col min="8" max="8" width="23.140625" style="11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hidden="1" customWidth="1"/>
    <col min="15" max="15" width="9.85546875" style="3" hidden="1" customWidth="1"/>
    <col min="16" max="16" width="11.5703125" style="3" hidden="1" customWidth="1"/>
    <col min="17" max="247" width="9.140625" style="3"/>
    <col min="248" max="248" width="8.5703125" style="3" customWidth="1"/>
    <col min="249" max="249" width="9.85546875" style="3" customWidth="1"/>
    <col min="250" max="250" width="14.42578125" style="3" customWidth="1"/>
    <col min="251" max="251" width="7.425781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5703125" style="3" customWidth="1"/>
    <col min="505" max="505" width="9.85546875" style="3" customWidth="1"/>
    <col min="506" max="506" width="14.42578125" style="3" customWidth="1"/>
    <col min="507" max="507" width="7.425781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5703125" style="3" customWidth="1"/>
    <col min="761" max="761" width="9.85546875" style="3" customWidth="1"/>
    <col min="762" max="762" width="14.42578125" style="3" customWidth="1"/>
    <col min="763" max="763" width="7.425781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5703125" style="3" customWidth="1"/>
    <col min="1017" max="1017" width="9.85546875" style="3" customWidth="1"/>
    <col min="1018" max="1018" width="14.42578125" style="3" customWidth="1"/>
    <col min="1019" max="1019" width="7.425781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5703125" style="3" customWidth="1"/>
    <col min="1273" max="1273" width="9.85546875" style="3" customWidth="1"/>
    <col min="1274" max="1274" width="14.42578125" style="3" customWidth="1"/>
    <col min="1275" max="1275" width="7.425781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5703125" style="3" customWidth="1"/>
    <col min="1529" max="1529" width="9.85546875" style="3" customWidth="1"/>
    <col min="1530" max="1530" width="14.42578125" style="3" customWidth="1"/>
    <col min="1531" max="1531" width="7.425781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5703125" style="3" customWidth="1"/>
    <col min="1785" max="1785" width="9.85546875" style="3" customWidth="1"/>
    <col min="1786" max="1786" width="14.42578125" style="3" customWidth="1"/>
    <col min="1787" max="1787" width="7.425781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5703125" style="3" customWidth="1"/>
    <col min="2041" max="2041" width="9.85546875" style="3" customWidth="1"/>
    <col min="2042" max="2042" width="14.42578125" style="3" customWidth="1"/>
    <col min="2043" max="2043" width="7.425781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5703125" style="3" customWidth="1"/>
    <col min="2297" max="2297" width="9.85546875" style="3" customWidth="1"/>
    <col min="2298" max="2298" width="14.42578125" style="3" customWidth="1"/>
    <col min="2299" max="2299" width="7.425781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5703125" style="3" customWidth="1"/>
    <col min="2553" max="2553" width="9.85546875" style="3" customWidth="1"/>
    <col min="2554" max="2554" width="14.42578125" style="3" customWidth="1"/>
    <col min="2555" max="2555" width="7.425781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5703125" style="3" customWidth="1"/>
    <col min="2809" max="2809" width="9.85546875" style="3" customWidth="1"/>
    <col min="2810" max="2810" width="14.42578125" style="3" customWidth="1"/>
    <col min="2811" max="2811" width="7.425781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5703125" style="3" customWidth="1"/>
    <col min="3065" max="3065" width="9.85546875" style="3" customWidth="1"/>
    <col min="3066" max="3066" width="14.42578125" style="3" customWidth="1"/>
    <col min="3067" max="3067" width="7.425781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5703125" style="3" customWidth="1"/>
    <col min="3321" max="3321" width="9.85546875" style="3" customWidth="1"/>
    <col min="3322" max="3322" width="14.42578125" style="3" customWidth="1"/>
    <col min="3323" max="3323" width="7.425781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5703125" style="3" customWidth="1"/>
    <col min="3577" max="3577" width="9.85546875" style="3" customWidth="1"/>
    <col min="3578" max="3578" width="14.42578125" style="3" customWidth="1"/>
    <col min="3579" max="3579" width="7.425781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5703125" style="3" customWidth="1"/>
    <col min="3833" max="3833" width="9.85546875" style="3" customWidth="1"/>
    <col min="3834" max="3834" width="14.42578125" style="3" customWidth="1"/>
    <col min="3835" max="3835" width="7.425781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5703125" style="3" customWidth="1"/>
    <col min="4089" max="4089" width="9.85546875" style="3" customWidth="1"/>
    <col min="4090" max="4090" width="14.42578125" style="3" customWidth="1"/>
    <col min="4091" max="4091" width="7.425781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5703125" style="3" customWidth="1"/>
    <col min="4345" max="4345" width="9.85546875" style="3" customWidth="1"/>
    <col min="4346" max="4346" width="14.42578125" style="3" customWidth="1"/>
    <col min="4347" max="4347" width="7.425781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5703125" style="3" customWidth="1"/>
    <col min="4601" max="4601" width="9.85546875" style="3" customWidth="1"/>
    <col min="4602" max="4602" width="14.42578125" style="3" customWidth="1"/>
    <col min="4603" max="4603" width="7.425781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5703125" style="3" customWidth="1"/>
    <col min="4857" max="4857" width="9.85546875" style="3" customWidth="1"/>
    <col min="4858" max="4858" width="14.42578125" style="3" customWidth="1"/>
    <col min="4859" max="4859" width="7.425781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5703125" style="3" customWidth="1"/>
    <col min="5113" max="5113" width="9.85546875" style="3" customWidth="1"/>
    <col min="5114" max="5114" width="14.42578125" style="3" customWidth="1"/>
    <col min="5115" max="5115" width="7.425781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5703125" style="3" customWidth="1"/>
    <col min="5369" max="5369" width="9.85546875" style="3" customWidth="1"/>
    <col min="5370" max="5370" width="14.42578125" style="3" customWidth="1"/>
    <col min="5371" max="5371" width="7.425781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5703125" style="3" customWidth="1"/>
    <col min="5625" max="5625" width="9.85546875" style="3" customWidth="1"/>
    <col min="5626" max="5626" width="14.42578125" style="3" customWidth="1"/>
    <col min="5627" max="5627" width="7.425781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5703125" style="3" customWidth="1"/>
    <col min="5881" max="5881" width="9.85546875" style="3" customWidth="1"/>
    <col min="5882" max="5882" width="14.42578125" style="3" customWidth="1"/>
    <col min="5883" max="5883" width="7.425781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5703125" style="3" customWidth="1"/>
    <col min="6137" max="6137" width="9.85546875" style="3" customWidth="1"/>
    <col min="6138" max="6138" width="14.42578125" style="3" customWidth="1"/>
    <col min="6139" max="6139" width="7.425781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5703125" style="3" customWidth="1"/>
    <col min="6393" max="6393" width="9.85546875" style="3" customWidth="1"/>
    <col min="6394" max="6394" width="14.42578125" style="3" customWidth="1"/>
    <col min="6395" max="6395" width="7.425781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5703125" style="3" customWidth="1"/>
    <col min="6649" max="6649" width="9.85546875" style="3" customWidth="1"/>
    <col min="6650" max="6650" width="14.42578125" style="3" customWidth="1"/>
    <col min="6651" max="6651" width="7.425781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5703125" style="3" customWidth="1"/>
    <col min="6905" max="6905" width="9.85546875" style="3" customWidth="1"/>
    <col min="6906" max="6906" width="14.42578125" style="3" customWidth="1"/>
    <col min="6907" max="6907" width="7.425781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5703125" style="3" customWidth="1"/>
    <col min="7161" max="7161" width="9.85546875" style="3" customWidth="1"/>
    <col min="7162" max="7162" width="14.42578125" style="3" customWidth="1"/>
    <col min="7163" max="7163" width="7.425781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5703125" style="3" customWidth="1"/>
    <col min="7417" max="7417" width="9.85546875" style="3" customWidth="1"/>
    <col min="7418" max="7418" width="14.42578125" style="3" customWidth="1"/>
    <col min="7419" max="7419" width="7.425781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5703125" style="3" customWidth="1"/>
    <col min="7673" max="7673" width="9.85546875" style="3" customWidth="1"/>
    <col min="7674" max="7674" width="14.42578125" style="3" customWidth="1"/>
    <col min="7675" max="7675" width="7.425781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5703125" style="3" customWidth="1"/>
    <col min="7929" max="7929" width="9.85546875" style="3" customWidth="1"/>
    <col min="7930" max="7930" width="14.42578125" style="3" customWidth="1"/>
    <col min="7931" max="7931" width="7.425781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5703125" style="3" customWidth="1"/>
    <col min="8185" max="8185" width="9.85546875" style="3" customWidth="1"/>
    <col min="8186" max="8186" width="14.42578125" style="3" customWidth="1"/>
    <col min="8187" max="8187" width="7.425781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5703125" style="3" customWidth="1"/>
    <col min="8441" max="8441" width="9.85546875" style="3" customWidth="1"/>
    <col min="8442" max="8442" width="14.42578125" style="3" customWidth="1"/>
    <col min="8443" max="8443" width="7.425781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5703125" style="3" customWidth="1"/>
    <col min="8697" max="8697" width="9.85546875" style="3" customWidth="1"/>
    <col min="8698" max="8698" width="14.42578125" style="3" customWidth="1"/>
    <col min="8699" max="8699" width="7.425781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5703125" style="3" customWidth="1"/>
    <col min="8953" max="8953" width="9.85546875" style="3" customWidth="1"/>
    <col min="8954" max="8954" width="14.42578125" style="3" customWidth="1"/>
    <col min="8955" max="8955" width="7.425781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5703125" style="3" customWidth="1"/>
    <col min="9209" max="9209" width="9.85546875" style="3" customWidth="1"/>
    <col min="9210" max="9210" width="14.42578125" style="3" customWidth="1"/>
    <col min="9211" max="9211" width="7.425781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5703125" style="3" customWidth="1"/>
    <col min="9465" max="9465" width="9.85546875" style="3" customWidth="1"/>
    <col min="9466" max="9466" width="14.42578125" style="3" customWidth="1"/>
    <col min="9467" max="9467" width="7.425781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5703125" style="3" customWidth="1"/>
    <col min="9721" max="9721" width="9.85546875" style="3" customWidth="1"/>
    <col min="9722" max="9722" width="14.42578125" style="3" customWidth="1"/>
    <col min="9723" max="9723" width="7.425781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5703125" style="3" customWidth="1"/>
    <col min="9977" max="9977" width="9.85546875" style="3" customWidth="1"/>
    <col min="9978" max="9978" width="14.42578125" style="3" customWidth="1"/>
    <col min="9979" max="9979" width="7.425781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5703125" style="3" customWidth="1"/>
    <col min="10233" max="10233" width="9.85546875" style="3" customWidth="1"/>
    <col min="10234" max="10234" width="14.42578125" style="3" customWidth="1"/>
    <col min="10235" max="10235" width="7.425781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5703125" style="3" customWidth="1"/>
    <col min="10489" max="10489" width="9.85546875" style="3" customWidth="1"/>
    <col min="10490" max="10490" width="14.42578125" style="3" customWidth="1"/>
    <col min="10491" max="10491" width="7.425781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5703125" style="3" customWidth="1"/>
    <col min="10745" max="10745" width="9.85546875" style="3" customWidth="1"/>
    <col min="10746" max="10746" width="14.42578125" style="3" customWidth="1"/>
    <col min="10747" max="10747" width="7.425781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5703125" style="3" customWidth="1"/>
    <col min="11001" max="11001" width="9.85546875" style="3" customWidth="1"/>
    <col min="11002" max="11002" width="14.42578125" style="3" customWidth="1"/>
    <col min="11003" max="11003" width="7.425781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5703125" style="3" customWidth="1"/>
    <col min="11257" max="11257" width="9.85546875" style="3" customWidth="1"/>
    <col min="11258" max="11258" width="14.42578125" style="3" customWidth="1"/>
    <col min="11259" max="11259" width="7.425781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5703125" style="3" customWidth="1"/>
    <col min="11513" max="11513" width="9.85546875" style="3" customWidth="1"/>
    <col min="11514" max="11514" width="14.42578125" style="3" customWidth="1"/>
    <col min="11515" max="11515" width="7.425781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5703125" style="3" customWidth="1"/>
    <col min="11769" max="11769" width="9.85546875" style="3" customWidth="1"/>
    <col min="11770" max="11770" width="14.42578125" style="3" customWidth="1"/>
    <col min="11771" max="11771" width="7.425781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5703125" style="3" customWidth="1"/>
    <col min="12025" max="12025" width="9.85546875" style="3" customWidth="1"/>
    <col min="12026" max="12026" width="14.42578125" style="3" customWidth="1"/>
    <col min="12027" max="12027" width="7.425781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5703125" style="3" customWidth="1"/>
    <col min="12281" max="12281" width="9.85546875" style="3" customWidth="1"/>
    <col min="12282" max="12282" width="14.42578125" style="3" customWidth="1"/>
    <col min="12283" max="12283" width="7.425781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5703125" style="3" customWidth="1"/>
    <col min="12537" max="12537" width="9.85546875" style="3" customWidth="1"/>
    <col min="12538" max="12538" width="14.42578125" style="3" customWidth="1"/>
    <col min="12539" max="12539" width="7.425781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5703125" style="3" customWidth="1"/>
    <col min="12793" max="12793" width="9.85546875" style="3" customWidth="1"/>
    <col min="12794" max="12794" width="14.42578125" style="3" customWidth="1"/>
    <col min="12795" max="12795" width="7.425781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5703125" style="3" customWidth="1"/>
    <col min="13049" max="13049" width="9.85546875" style="3" customWidth="1"/>
    <col min="13050" max="13050" width="14.42578125" style="3" customWidth="1"/>
    <col min="13051" max="13051" width="7.425781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5703125" style="3" customWidth="1"/>
    <col min="13305" max="13305" width="9.85546875" style="3" customWidth="1"/>
    <col min="13306" max="13306" width="14.42578125" style="3" customWidth="1"/>
    <col min="13307" max="13307" width="7.425781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5703125" style="3" customWidth="1"/>
    <col min="13561" max="13561" width="9.85546875" style="3" customWidth="1"/>
    <col min="13562" max="13562" width="14.42578125" style="3" customWidth="1"/>
    <col min="13563" max="13563" width="7.425781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5703125" style="3" customWidth="1"/>
    <col min="13817" max="13817" width="9.85546875" style="3" customWidth="1"/>
    <col min="13818" max="13818" width="14.42578125" style="3" customWidth="1"/>
    <col min="13819" max="13819" width="7.425781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5703125" style="3" customWidth="1"/>
    <col min="14073" max="14073" width="9.85546875" style="3" customWidth="1"/>
    <col min="14074" max="14074" width="14.42578125" style="3" customWidth="1"/>
    <col min="14075" max="14075" width="7.425781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5703125" style="3" customWidth="1"/>
    <col min="14329" max="14329" width="9.85546875" style="3" customWidth="1"/>
    <col min="14330" max="14330" width="14.42578125" style="3" customWidth="1"/>
    <col min="14331" max="14331" width="7.425781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5703125" style="3" customWidth="1"/>
    <col min="14585" max="14585" width="9.85546875" style="3" customWidth="1"/>
    <col min="14586" max="14586" width="14.42578125" style="3" customWidth="1"/>
    <col min="14587" max="14587" width="7.425781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5703125" style="3" customWidth="1"/>
    <col min="14841" max="14841" width="9.85546875" style="3" customWidth="1"/>
    <col min="14842" max="14842" width="14.42578125" style="3" customWidth="1"/>
    <col min="14843" max="14843" width="7.425781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5703125" style="3" customWidth="1"/>
    <col min="15097" max="15097" width="9.85546875" style="3" customWidth="1"/>
    <col min="15098" max="15098" width="14.42578125" style="3" customWidth="1"/>
    <col min="15099" max="15099" width="7.425781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5703125" style="3" customWidth="1"/>
    <col min="15353" max="15353" width="9.85546875" style="3" customWidth="1"/>
    <col min="15354" max="15354" width="14.42578125" style="3" customWidth="1"/>
    <col min="15355" max="15355" width="7.425781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5703125" style="3" customWidth="1"/>
    <col min="15609" max="15609" width="9.85546875" style="3" customWidth="1"/>
    <col min="15610" max="15610" width="14.42578125" style="3" customWidth="1"/>
    <col min="15611" max="15611" width="7.425781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5703125" style="3" customWidth="1"/>
    <col min="15865" max="15865" width="9.85546875" style="3" customWidth="1"/>
    <col min="15866" max="15866" width="14.42578125" style="3" customWidth="1"/>
    <col min="15867" max="15867" width="7.425781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5703125" style="3" customWidth="1"/>
    <col min="16121" max="16121" width="9.85546875" style="3" customWidth="1"/>
    <col min="16122" max="16122" width="14.42578125" style="3" customWidth="1"/>
    <col min="16123" max="16123" width="7.425781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154" t="s">
        <v>210</v>
      </c>
      <c r="B1" s="154"/>
      <c r="C1" s="154"/>
      <c r="D1" s="154"/>
      <c r="E1" s="154"/>
      <c r="F1" s="154"/>
      <c r="G1" s="154"/>
      <c r="H1" s="154"/>
    </row>
    <row r="2" spans="1:8" ht="16.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</row>
    <row r="3" spans="1:8" x14ac:dyDescent="0.25">
      <c r="A3" s="61" t="s">
        <v>1</v>
      </c>
      <c r="B3" s="61"/>
      <c r="C3" s="61"/>
      <c r="D3" s="61"/>
      <c r="E3" s="155" t="str">
        <f ca="1">TEXT(TODAY(),"DD/MM/YYYY")</f>
        <v>12/08/2025</v>
      </c>
      <c r="F3" s="155"/>
      <c r="G3" s="155"/>
      <c r="H3" s="155"/>
    </row>
    <row r="4" spans="1:8" ht="15" customHeight="1" x14ac:dyDescent="0.25">
      <c r="A4" s="61" t="s">
        <v>2</v>
      </c>
      <c r="B4" s="61"/>
      <c r="C4" s="61"/>
      <c r="D4" s="61"/>
      <c r="E4" s="156" t="s">
        <v>165</v>
      </c>
      <c r="F4" s="156"/>
      <c r="G4" s="156"/>
      <c r="H4" s="156"/>
    </row>
    <row r="5" spans="1:8" x14ac:dyDescent="0.25">
      <c r="A5" s="61" t="s">
        <v>3</v>
      </c>
      <c r="B5" s="61"/>
      <c r="C5" s="61"/>
      <c r="D5" s="61"/>
      <c r="E5" s="155">
        <v>45880</v>
      </c>
      <c r="F5" s="155"/>
      <c r="G5" s="155"/>
      <c r="H5" s="155"/>
    </row>
    <row r="6" spans="1:8" ht="16.5" customHeight="1" x14ac:dyDescent="0.25">
      <c r="A6" s="61" t="s">
        <v>4</v>
      </c>
      <c r="B6" s="61"/>
      <c r="C6" s="61"/>
      <c r="D6" s="61"/>
      <c r="E6" s="128" t="s">
        <v>202</v>
      </c>
      <c r="F6" s="128"/>
      <c r="G6" s="128"/>
      <c r="H6" s="128"/>
    </row>
    <row r="7" spans="1:8" ht="15" customHeight="1" x14ac:dyDescent="0.25">
      <c r="A7" s="61" t="s">
        <v>5</v>
      </c>
      <c r="B7" s="61"/>
      <c r="C7" s="61"/>
      <c r="D7" s="61"/>
      <c r="E7" s="128" t="str">
        <f>E6</f>
        <v>M/s.Arihant Aashiyana Private Limited</v>
      </c>
      <c r="F7" s="128"/>
      <c r="G7" s="128"/>
      <c r="H7" s="128"/>
    </row>
    <row r="8" spans="1:8" x14ac:dyDescent="0.25">
      <c r="A8" s="61" t="s">
        <v>6</v>
      </c>
      <c r="B8" s="61"/>
      <c r="C8" s="61"/>
      <c r="D8" s="61"/>
      <c r="E8" s="102" t="s">
        <v>167</v>
      </c>
      <c r="F8" s="102"/>
      <c r="G8" s="102"/>
      <c r="H8" s="102"/>
    </row>
    <row r="9" spans="1:8" x14ac:dyDescent="0.25">
      <c r="A9" s="61" t="s">
        <v>133</v>
      </c>
      <c r="B9" s="61"/>
      <c r="C9" s="61"/>
      <c r="D9" s="61"/>
      <c r="E9" s="61" t="s">
        <v>211</v>
      </c>
      <c r="F9" s="61"/>
      <c r="G9" s="61"/>
      <c r="H9" s="61"/>
    </row>
    <row r="10" spans="1:8" x14ac:dyDescent="0.25">
      <c r="A10" s="128" t="s">
        <v>209</v>
      </c>
      <c r="B10" s="61"/>
      <c r="C10" s="61"/>
      <c r="D10" s="61"/>
      <c r="E10" s="61" t="s">
        <v>212</v>
      </c>
      <c r="F10" s="61"/>
      <c r="G10" s="61"/>
      <c r="H10" s="61"/>
    </row>
    <row r="11" spans="1:8" x14ac:dyDescent="0.25">
      <c r="A11" s="81" t="s">
        <v>7</v>
      </c>
      <c r="B11" s="81"/>
      <c r="C11" s="81"/>
      <c r="D11" s="81"/>
      <c r="E11" s="81" t="s">
        <v>180</v>
      </c>
      <c r="F11" s="81"/>
      <c r="G11" s="81"/>
      <c r="H11" s="81"/>
    </row>
    <row r="12" spans="1:8" ht="16.5" customHeight="1" x14ac:dyDescent="0.25">
      <c r="A12" s="61" t="s">
        <v>8</v>
      </c>
      <c r="B12" s="61"/>
      <c r="C12" s="61"/>
      <c r="D12" s="61"/>
      <c r="E12" s="157" t="s">
        <v>193</v>
      </c>
      <c r="F12" s="157"/>
      <c r="G12" s="157"/>
      <c r="H12" s="157"/>
    </row>
    <row r="13" spans="1:8" x14ac:dyDescent="0.25">
      <c r="A13" s="61" t="s">
        <v>9</v>
      </c>
      <c r="B13" s="61"/>
      <c r="C13" s="61"/>
      <c r="D13" s="61"/>
      <c r="E13" s="157" t="s">
        <v>166</v>
      </c>
      <c r="F13" s="141"/>
      <c r="G13" s="141"/>
      <c r="H13" s="141"/>
    </row>
    <row r="14" spans="1:8" ht="32.25" customHeight="1" x14ac:dyDescent="0.25">
      <c r="A14" s="128" t="s">
        <v>10</v>
      </c>
      <c r="B14" s="128"/>
      <c r="C14" s="128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Arihant Amisha Phase II, Survey No.87/2,85, near Vinayak Residency, Pale Patilwadi Road, Mahodar, Navde Road, Panvel, Raigad - 410208.</v>
      </c>
      <c r="D14" s="128"/>
      <c r="E14" s="128"/>
      <c r="F14" s="128"/>
      <c r="G14" s="128"/>
      <c r="H14" s="128"/>
    </row>
    <row r="15" spans="1:8" x14ac:dyDescent="0.25">
      <c r="A15" s="157" t="s">
        <v>171</v>
      </c>
      <c r="B15" s="157"/>
      <c r="C15" s="83" t="s">
        <v>172</v>
      </c>
      <c r="D15" s="83"/>
      <c r="E15" s="83"/>
      <c r="F15" s="83"/>
      <c r="G15" s="83"/>
      <c r="H15" s="83"/>
    </row>
    <row r="16" spans="1:8" ht="15.75" customHeight="1" x14ac:dyDescent="0.25">
      <c r="A16" s="128" t="s">
        <v>11</v>
      </c>
      <c r="B16" s="128"/>
      <c r="C16" s="81" t="s">
        <v>179</v>
      </c>
      <c r="D16" s="81"/>
      <c r="E16" s="128" t="s">
        <v>80</v>
      </c>
      <c r="F16" s="128"/>
      <c r="G16" s="83" t="s">
        <v>168</v>
      </c>
      <c r="H16" s="83"/>
    </row>
    <row r="17" spans="1:8" x14ac:dyDescent="0.25">
      <c r="A17" s="61" t="s">
        <v>13</v>
      </c>
      <c r="B17" s="61"/>
      <c r="C17" s="83" t="s">
        <v>174</v>
      </c>
      <c r="D17" s="83"/>
      <c r="E17" s="128" t="s">
        <v>12</v>
      </c>
      <c r="F17" s="128"/>
      <c r="G17" s="158" t="s">
        <v>170</v>
      </c>
      <c r="H17" s="158"/>
    </row>
    <row r="18" spans="1:8" x14ac:dyDescent="0.25">
      <c r="A18" s="61" t="s">
        <v>81</v>
      </c>
      <c r="B18" s="61"/>
      <c r="C18" s="83" t="s">
        <v>169</v>
      </c>
      <c r="D18" s="83"/>
      <c r="E18" s="128" t="s">
        <v>14</v>
      </c>
      <c r="F18" s="128"/>
      <c r="G18" s="83">
        <v>410208</v>
      </c>
      <c r="H18" s="83"/>
    </row>
    <row r="19" spans="1:8" ht="32.25" customHeight="1" x14ac:dyDescent="0.25">
      <c r="A19" s="61" t="s">
        <v>135</v>
      </c>
      <c r="B19" s="61"/>
      <c r="C19" s="159" t="s">
        <v>178</v>
      </c>
      <c r="D19" s="159"/>
      <c r="E19" s="128" t="s">
        <v>15</v>
      </c>
      <c r="F19" s="128"/>
      <c r="G19" s="157" t="s">
        <v>173</v>
      </c>
      <c r="H19" s="157"/>
    </row>
    <row r="20" spans="1:8" ht="15" customHeight="1" x14ac:dyDescent="0.25">
      <c r="A20" s="128" t="s">
        <v>84</v>
      </c>
      <c r="B20" s="128"/>
      <c r="C20" s="128"/>
      <c r="D20" s="128"/>
      <c r="E20" s="81" t="s">
        <v>16</v>
      </c>
      <c r="F20" s="81"/>
      <c r="G20" s="81"/>
      <c r="H20" s="81"/>
    </row>
    <row r="21" spans="1:8" ht="18.75" customHeight="1" x14ac:dyDescent="0.25">
      <c r="A21" s="128"/>
      <c r="B21" s="128"/>
      <c r="C21" s="128"/>
      <c r="D21" s="128"/>
      <c r="E21" s="81"/>
      <c r="F21" s="81"/>
      <c r="G21" s="81"/>
      <c r="H21" s="81"/>
    </row>
    <row r="22" spans="1:8" ht="15" customHeight="1" x14ac:dyDescent="0.25">
      <c r="A22" s="128" t="s">
        <v>17</v>
      </c>
      <c r="B22" s="128"/>
      <c r="C22" s="128"/>
      <c r="D22" s="128"/>
      <c r="E22" s="83" t="s">
        <v>18</v>
      </c>
      <c r="F22" s="83"/>
      <c r="G22" s="83"/>
      <c r="H22" s="83"/>
    </row>
    <row r="23" spans="1:8" ht="15" customHeight="1" x14ac:dyDescent="0.25">
      <c r="A23" s="61" t="s">
        <v>19</v>
      </c>
      <c r="B23" s="61"/>
      <c r="C23" s="61"/>
      <c r="D23" s="61"/>
      <c r="E23" s="83" t="str">
        <f>IF(AND(G17="Mumbai"),"Upper Class","Middle Class")</f>
        <v>Middle Class</v>
      </c>
      <c r="F23" s="83"/>
      <c r="G23" s="83"/>
      <c r="H23" s="83"/>
    </row>
    <row r="24" spans="1:8" x14ac:dyDescent="0.25">
      <c r="A24" s="61" t="s">
        <v>20</v>
      </c>
      <c r="B24" s="61"/>
      <c r="C24" s="61"/>
      <c r="D24" s="61"/>
      <c r="E24" s="83" t="s">
        <v>21</v>
      </c>
      <c r="F24" s="83"/>
      <c r="G24" s="83"/>
      <c r="H24" s="83"/>
    </row>
    <row r="25" spans="1:8" ht="15.75" customHeight="1" x14ac:dyDescent="0.25">
      <c r="A25" s="61" t="s">
        <v>22</v>
      </c>
      <c r="B25" s="61"/>
      <c r="C25" s="61"/>
      <c r="D25" s="61"/>
      <c r="E25" s="83" t="str">
        <f>IF(AND(G17="Mumbai"),"Developed","Developing")</f>
        <v>Developing</v>
      </c>
      <c r="F25" s="83"/>
      <c r="G25" s="83"/>
      <c r="H25" s="83"/>
    </row>
    <row r="26" spans="1:8" x14ac:dyDescent="0.25">
      <c r="A26" s="61" t="s">
        <v>23</v>
      </c>
      <c r="B26" s="61"/>
      <c r="C26" s="61"/>
      <c r="D26" s="61"/>
      <c r="E26" s="83" t="s">
        <v>24</v>
      </c>
      <c r="F26" s="83"/>
      <c r="G26" s="83"/>
      <c r="H26" s="83"/>
    </row>
    <row r="27" spans="1:8" x14ac:dyDescent="0.25">
      <c r="A27" s="61" t="s">
        <v>89</v>
      </c>
      <c r="B27" s="61"/>
      <c r="C27" s="61"/>
      <c r="D27" s="61"/>
      <c r="E27" s="83" t="s">
        <v>90</v>
      </c>
      <c r="F27" s="83"/>
      <c r="G27" s="83"/>
      <c r="H27" s="83"/>
    </row>
    <row r="28" spans="1:8" ht="15" customHeight="1" x14ac:dyDescent="0.25">
      <c r="A28" s="128" t="s">
        <v>35</v>
      </c>
      <c r="B28" s="128"/>
      <c r="C28" s="128"/>
      <c r="D28" s="128"/>
      <c r="E28" s="162" t="str">
        <f>IF(ISNUMBER(SEARCH("Shop",D54)),"Residential + Commercial",IF(ISNUMBER(SEARCH("Office",D54)),"Residential + Commercial",IF(SEARCH("Flats",D54),"Residential","")))</f>
        <v>Residential + Commercial</v>
      </c>
      <c r="F28" s="162"/>
      <c r="G28" s="162"/>
      <c r="H28" s="162"/>
    </row>
    <row r="29" spans="1:8" x14ac:dyDescent="0.25">
      <c r="A29" s="128" t="s">
        <v>101</v>
      </c>
      <c r="B29" s="128"/>
      <c r="C29" s="128"/>
      <c r="D29" s="128"/>
      <c r="E29" s="128" t="s">
        <v>36</v>
      </c>
      <c r="F29" s="128"/>
      <c r="G29" s="128"/>
      <c r="H29" s="128"/>
    </row>
    <row r="30" spans="1:8" s="6" customFormat="1" x14ac:dyDescent="0.25">
      <c r="A30" s="167" t="s">
        <v>102</v>
      </c>
      <c r="B30" s="167"/>
      <c r="C30" s="164" t="s">
        <v>29</v>
      </c>
      <c r="D30" s="164"/>
      <c r="E30" s="164"/>
      <c r="F30" s="164" t="s">
        <v>31</v>
      </c>
      <c r="G30" s="164"/>
      <c r="H30" s="164"/>
    </row>
    <row r="31" spans="1:8" s="6" customFormat="1" x14ac:dyDescent="0.25">
      <c r="A31" s="160" t="s">
        <v>25</v>
      </c>
      <c r="B31" s="160" t="s">
        <v>30</v>
      </c>
      <c r="C31" s="161" t="s">
        <v>30</v>
      </c>
      <c r="D31" s="161"/>
      <c r="E31" s="161"/>
      <c r="F31" s="161" t="s">
        <v>175</v>
      </c>
      <c r="G31" s="161"/>
      <c r="H31" s="161"/>
    </row>
    <row r="32" spans="1:8" x14ac:dyDescent="0.25">
      <c r="A32" s="160" t="s">
        <v>26</v>
      </c>
      <c r="B32" s="160" t="s">
        <v>30</v>
      </c>
      <c r="C32" s="161" t="s">
        <v>30</v>
      </c>
      <c r="D32" s="161"/>
      <c r="E32" s="161"/>
      <c r="F32" s="161" t="s">
        <v>177</v>
      </c>
      <c r="G32" s="161"/>
      <c r="H32" s="161"/>
    </row>
    <row r="33" spans="1:8" s="6" customFormat="1" x14ac:dyDescent="0.25">
      <c r="A33" s="160" t="s">
        <v>28</v>
      </c>
      <c r="B33" s="160" t="s">
        <v>30</v>
      </c>
      <c r="C33" s="161" t="s">
        <v>30</v>
      </c>
      <c r="D33" s="161"/>
      <c r="E33" s="161"/>
      <c r="F33" s="161" t="s">
        <v>176</v>
      </c>
      <c r="G33" s="161"/>
      <c r="H33" s="161"/>
    </row>
    <row r="34" spans="1:8" x14ac:dyDescent="0.25">
      <c r="A34" s="160" t="s">
        <v>27</v>
      </c>
      <c r="B34" s="160" t="s">
        <v>30</v>
      </c>
      <c r="C34" s="161" t="s">
        <v>30</v>
      </c>
      <c r="D34" s="161"/>
      <c r="E34" s="161"/>
      <c r="F34" s="161" t="s">
        <v>177</v>
      </c>
      <c r="G34" s="161"/>
      <c r="H34" s="161"/>
    </row>
    <row r="35" spans="1:8" x14ac:dyDescent="0.25">
      <c r="A35" s="61" t="s">
        <v>32</v>
      </c>
      <c r="B35" s="61"/>
      <c r="C35" s="61"/>
      <c r="D35" s="61"/>
      <c r="E35" s="61"/>
      <c r="F35" s="61"/>
      <c r="G35" s="61"/>
      <c r="H35" s="61"/>
    </row>
    <row r="36" spans="1:8" ht="15.75" customHeight="1" x14ac:dyDescent="0.25">
      <c r="A36" s="112" t="s">
        <v>33</v>
      </c>
      <c r="B36" s="112"/>
      <c r="C36" s="165">
        <v>19.076283</v>
      </c>
      <c r="D36" s="165"/>
      <c r="E36" s="112" t="s">
        <v>34</v>
      </c>
      <c r="F36" s="112"/>
      <c r="G36" s="166">
        <v>73.154911999999996</v>
      </c>
      <c r="H36" s="166"/>
    </row>
    <row r="37" spans="1:8" ht="15.75" customHeight="1" x14ac:dyDescent="0.25">
      <c r="A37" s="112" t="s">
        <v>205</v>
      </c>
      <c r="B37" s="112"/>
      <c r="C37" s="168" t="s">
        <v>207</v>
      </c>
      <c r="D37" s="169"/>
      <c r="E37" s="169"/>
      <c r="F37" s="169"/>
      <c r="G37" s="169"/>
      <c r="H37" s="170"/>
    </row>
    <row r="38" spans="1:8" x14ac:dyDescent="0.25">
      <c r="A38" s="102" t="s">
        <v>37</v>
      </c>
      <c r="B38" s="102"/>
      <c r="C38" s="102"/>
      <c r="D38" s="102"/>
      <c r="E38" s="102"/>
      <c r="F38" s="102"/>
      <c r="G38" s="102"/>
      <c r="H38" s="102"/>
    </row>
    <row r="39" spans="1:8" x14ac:dyDescent="0.25">
      <c r="A39" s="61" t="s">
        <v>38</v>
      </c>
      <c r="B39" s="61"/>
      <c r="C39" s="61"/>
      <c r="D39" s="61"/>
      <c r="E39" s="163">
        <v>27859.904999999999</v>
      </c>
      <c r="F39" s="163"/>
      <c r="G39" s="163"/>
      <c r="H39" s="163"/>
    </row>
    <row r="40" spans="1:8" x14ac:dyDescent="0.25">
      <c r="A40" s="61" t="s">
        <v>39</v>
      </c>
      <c r="B40" s="61"/>
      <c r="C40" s="61"/>
      <c r="D40" s="61"/>
      <c r="E40" s="98">
        <v>1</v>
      </c>
      <c r="F40" s="98"/>
      <c r="G40" s="98"/>
      <c r="H40" s="98"/>
    </row>
    <row r="41" spans="1:8" x14ac:dyDescent="0.25">
      <c r="A41" s="61" t="s">
        <v>40</v>
      </c>
      <c r="B41" s="61"/>
      <c r="C41" s="61"/>
      <c r="D41" s="61"/>
      <c r="E41" s="98">
        <f>E43/E39-E40</f>
        <v>0</v>
      </c>
      <c r="F41" s="98"/>
      <c r="G41" s="98"/>
      <c r="H41" s="98"/>
    </row>
    <row r="42" spans="1:8" x14ac:dyDescent="0.25">
      <c r="A42" s="61" t="s">
        <v>41</v>
      </c>
      <c r="B42" s="61"/>
      <c r="C42" s="61"/>
      <c r="D42" s="61"/>
      <c r="E42" s="98">
        <f>E40+E41</f>
        <v>1</v>
      </c>
      <c r="F42" s="98"/>
      <c r="G42" s="98"/>
      <c r="H42" s="98"/>
    </row>
    <row r="43" spans="1:8" x14ac:dyDescent="0.25">
      <c r="A43" s="61" t="s">
        <v>100</v>
      </c>
      <c r="B43" s="61"/>
      <c r="C43" s="61"/>
      <c r="D43" s="61"/>
      <c r="E43" s="140">
        <v>27859.904999999999</v>
      </c>
      <c r="F43" s="140"/>
      <c r="G43" s="140"/>
      <c r="H43" s="140"/>
    </row>
    <row r="44" spans="1:8" x14ac:dyDescent="0.25">
      <c r="A44" s="81" t="s">
        <v>42</v>
      </c>
      <c r="B44" s="81"/>
      <c r="C44" s="81"/>
      <c r="D44" s="81"/>
      <c r="E44" s="141" t="s">
        <v>134</v>
      </c>
      <c r="F44" s="141"/>
      <c r="G44" s="141"/>
      <c r="H44" s="141"/>
    </row>
    <row r="45" spans="1:8" x14ac:dyDescent="0.25">
      <c r="A45" s="102" t="s">
        <v>43</v>
      </c>
      <c r="B45" s="102"/>
      <c r="C45" s="102"/>
      <c r="D45" s="102"/>
      <c r="E45" s="102"/>
      <c r="F45" s="102"/>
      <c r="G45" s="102"/>
      <c r="H45" s="102"/>
    </row>
    <row r="46" spans="1:8" ht="33.75" customHeight="1" x14ac:dyDescent="0.25">
      <c r="A46" s="174" t="s">
        <v>163</v>
      </c>
      <c r="B46" s="175"/>
      <c r="C46" s="176" t="s">
        <v>181</v>
      </c>
      <c r="D46" s="177"/>
      <c r="E46" s="177"/>
      <c r="F46" s="177"/>
      <c r="G46" s="177"/>
      <c r="H46" s="178"/>
    </row>
    <row r="47" spans="1:8" ht="30.75" customHeight="1" x14ac:dyDescent="0.25">
      <c r="A47" s="83" t="s">
        <v>44</v>
      </c>
      <c r="B47" s="83"/>
      <c r="C47" s="77" t="s">
        <v>182</v>
      </c>
      <c r="D47" s="77"/>
      <c r="E47" s="77"/>
      <c r="F47" s="58" t="s">
        <v>45</v>
      </c>
      <c r="G47" s="105">
        <v>44363</v>
      </c>
      <c r="H47" s="105"/>
    </row>
    <row r="48" spans="1:8" ht="30.75" customHeight="1" x14ac:dyDescent="0.25">
      <c r="A48" s="81" t="s">
        <v>46</v>
      </c>
      <c r="B48" s="81"/>
      <c r="C48" s="77" t="str">
        <f>C47</f>
        <v>CIDCO/NAINA/Panvel/Mahodar/ACC/2021/0090</v>
      </c>
      <c r="D48" s="77"/>
      <c r="E48" s="77"/>
      <c r="F48" s="58" t="s">
        <v>45</v>
      </c>
      <c r="G48" s="105">
        <f>G47</f>
        <v>44363</v>
      </c>
      <c r="H48" s="105"/>
    </row>
    <row r="49" spans="1:14" s="5" customFormat="1" ht="31.5" customHeight="1" x14ac:dyDescent="0.25">
      <c r="A49" s="83" t="s">
        <v>47</v>
      </c>
      <c r="B49" s="83"/>
      <c r="C49" s="77" t="str">
        <f>C48</f>
        <v>CIDCO/NAINA/Panvel/Mahodar/ACC/2021/0090</v>
      </c>
      <c r="D49" s="75"/>
      <c r="E49" s="75"/>
      <c r="F49" s="8" t="s">
        <v>45</v>
      </c>
      <c r="G49" s="105">
        <f>G48</f>
        <v>44363</v>
      </c>
      <c r="H49" s="105"/>
    </row>
    <row r="50" spans="1:14" s="5" customFormat="1" ht="15.75" customHeight="1" x14ac:dyDescent="0.25">
      <c r="A50" s="83"/>
      <c r="B50" s="83"/>
      <c r="C50" s="85" t="s">
        <v>184</v>
      </c>
      <c r="D50" s="86"/>
      <c r="E50" s="86"/>
      <c r="F50" s="86"/>
      <c r="G50" s="86"/>
      <c r="H50" s="87"/>
    </row>
    <row r="51" spans="1:14" x14ac:dyDescent="0.25">
      <c r="A51" s="78" t="s">
        <v>48</v>
      </c>
      <c r="B51" s="78"/>
      <c r="C51" s="79" t="s">
        <v>115</v>
      </c>
      <c r="D51" s="80"/>
      <c r="E51" s="80" t="s">
        <v>49</v>
      </c>
      <c r="F51" s="59" t="s">
        <v>45</v>
      </c>
      <c r="G51" s="84" t="s">
        <v>30</v>
      </c>
      <c r="H51" s="84"/>
    </row>
    <row r="52" spans="1:14" x14ac:dyDescent="0.25">
      <c r="A52" s="82" t="s">
        <v>51</v>
      </c>
      <c r="B52" s="82"/>
      <c r="C52" s="82"/>
      <c r="D52" s="82"/>
      <c r="E52" s="82"/>
      <c r="F52" s="82"/>
      <c r="G52" s="82"/>
      <c r="H52" s="82"/>
    </row>
    <row r="53" spans="1:14" x14ac:dyDescent="0.25">
      <c r="A53" s="83" t="s">
        <v>99</v>
      </c>
      <c r="B53" s="83"/>
      <c r="C53" s="83"/>
      <c r="D53" s="81">
        <f>E43</f>
        <v>27859.904999999999</v>
      </c>
      <c r="E53" s="81"/>
      <c r="F53" s="81"/>
      <c r="G53" s="81"/>
      <c r="H53" s="81"/>
    </row>
    <row r="54" spans="1:14" x14ac:dyDescent="0.25">
      <c r="A54" s="83" t="s">
        <v>52</v>
      </c>
      <c r="B54" s="81"/>
      <c r="C54" s="81"/>
      <c r="D54" s="81" t="s">
        <v>191</v>
      </c>
      <c r="E54" s="81"/>
      <c r="F54" s="81"/>
      <c r="G54" s="81"/>
      <c r="H54" s="81"/>
      <c r="I54" s="34"/>
    </row>
    <row r="55" spans="1:14" ht="15.75" customHeight="1" x14ac:dyDescent="0.25">
      <c r="A55" s="106" t="s">
        <v>53</v>
      </c>
      <c r="B55" s="107"/>
      <c r="C55" s="143"/>
      <c r="D55" s="142" t="s">
        <v>183</v>
      </c>
      <c r="E55" s="142"/>
      <c r="F55" s="142"/>
      <c r="G55" s="142"/>
      <c r="H55" s="142"/>
    </row>
    <row r="56" spans="1:14" ht="15.75" customHeight="1" x14ac:dyDescent="0.25">
      <c r="A56" s="106" t="s">
        <v>97</v>
      </c>
      <c r="B56" s="107"/>
      <c r="C56" s="107"/>
      <c r="D56" s="108" t="s">
        <v>183</v>
      </c>
      <c r="E56" s="109"/>
      <c r="F56" s="109"/>
      <c r="G56" s="109"/>
      <c r="H56" s="110"/>
    </row>
    <row r="57" spans="1:14" ht="15.75" customHeight="1" x14ac:dyDescent="0.25">
      <c r="A57" s="81" t="s">
        <v>50</v>
      </c>
      <c r="B57" s="81"/>
      <c r="C57" s="81"/>
      <c r="D57" s="83" t="s">
        <v>192</v>
      </c>
      <c r="E57" s="83"/>
      <c r="F57" s="83"/>
      <c r="G57" s="83"/>
      <c r="H57" s="83"/>
      <c r="J57" s="33"/>
      <c r="K57" s="34"/>
      <c r="N57" s="34"/>
    </row>
    <row r="58" spans="1:14" ht="15.75" customHeight="1" x14ac:dyDescent="0.25">
      <c r="A58" s="81" t="s">
        <v>95</v>
      </c>
      <c r="B58" s="81"/>
      <c r="C58" s="81"/>
      <c r="D58" s="153" t="str">
        <f>(IF(G51="NA","60 Years After Completion",IF(G51&lt;&gt;"NA",""&amp;60-ROUNDDOWN((E3-G51)/360,0)&amp;" Years"," ")))</f>
        <v>60 Years After Completion</v>
      </c>
      <c r="E58" s="153"/>
      <c r="F58" s="153"/>
      <c r="G58" s="153"/>
      <c r="H58" s="153"/>
      <c r="N58" s="34"/>
    </row>
    <row r="59" spans="1:14" ht="15.75" customHeight="1" x14ac:dyDescent="0.25">
      <c r="A59" s="61" t="s">
        <v>96</v>
      </c>
      <c r="B59" s="61"/>
      <c r="C59" s="61"/>
      <c r="D59" s="128" t="s">
        <v>24</v>
      </c>
      <c r="E59" s="128"/>
      <c r="F59" s="128"/>
      <c r="G59" s="128"/>
      <c r="H59" s="128"/>
      <c r="J59" s="13"/>
      <c r="K59" s="13"/>
    </row>
    <row r="60" spans="1:14" ht="31.5" customHeight="1" x14ac:dyDescent="0.25">
      <c r="A60" s="61" t="s">
        <v>82</v>
      </c>
      <c r="B60" s="61"/>
      <c r="C60" s="61"/>
      <c r="D60" s="83" t="s">
        <v>204</v>
      </c>
      <c r="E60" s="128"/>
      <c r="F60" s="128"/>
      <c r="G60" s="128"/>
      <c r="H60" s="128"/>
    </row>
    <row r="61" spans="1:14" x14ac:dyDescent="0.25">
      <c r="A61" s="128" t="s">
        <v>161</v>
      </c>
      <c r="B61" s="128"/>
      <c r="C61" s="128"/>
      <c r="D61" s="128" t="s">
        <v>30</v>
      </c>
      <c r="E61" s="128"/>
      <c r="F61" s="128"/>
      <c r="G61" s="128"/>
      <c r="H61" s="128"/>
      <c r="I61" s="37"/>
      <c r="J61" s="37"/>
      <c r="K61" s="37"/>
      <c r="L61" s="37"/>
      <c r="M61" s="37"/>
      <c r="N61" s="37"/>
    </row>
    <row r="62" spans="1:14" ht="15.75" customHeight="1" x14ac:dyDescent="0.25">
      <c r="A62" s="63" t="s">
        <v>94</v>
      </c>
      <c r="B62" s="63"/>
      <c r="C62" s="63"/>
      <c r="D62" s="64" t="str">
        <f ca="1">(IF(G68&gt;95%,"Nothing",IF(G68&gt;0%,"Cement, Aggregate, Steel, etc",IF(G68=0%,"Work not yet Started"))))</f>
        <v>Cement, Aggregate, Steel, etc</v>
      </c>
      <c r="E62" s="64"/>
      <c r="F62" s="64"/>
      <c r="G62" s="64"/>
      <c r="H62" s="64"/>
      <c r="J62" s="13"/>
    </row>
    <row r="63" spans="1:14" ht="33.75" customHeight="1" thickBot="1" x14ac:dyDescent="0.3">
      <c r="A63" s="146" t="s">
        <v>128</v>
      </c>
      <c r="B63" s="146"/>
      <c r="C63" s="146"/>
      <c r="D63" s="64" t="str">
        <f ca="1">(IF(D62="Nothing","Yes",IF(D62="Cement, Aggregate, Steel, etc","Under Construction",IF(D62="Work not yet Started","Work not yet Started"))))</f>
        <v>Under Construction</v>
      </c>
      <c r="E63" s="64"/>
      <c r="F63" s="64" t="str">
        <f ca="1">(IF(D62="Nothing","Yes",IF(D62="Cement, Aggregate, Steel, etc","Under Construction",IF(D62="Work not yet Started","Work not yet Started"))))</f>
        <v>Under Construction</v>
      </c>
      <c r="G63" s="64"/>
      <c r="H63" s="64"/>
    </row>
    <row r="64" spans="1:14" ht="15.75" customHeight="1" x14ac:dyDescent="0.25">
      <c r="A64" s="70" t="s">
        <v>153</v>
      </c>
      <c r="B64" s="71"/>
      <c r="C64" s="72" t="str">
        <f>D56</f>
        <v>C1 Wing = G + 1st to 7th Floor</v>
      </c>
      <c r="D64" s="73"/>
      <c r="E64" s="73"/>
      <c r="F64" s="73"/>
      <c r="G64" s="73"/>
      <c r="H64" s="74"/>
      <c r="I64" s="36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Plinth, RCC, Brick, Plaster, Flooring, Painting work Completed. Finishing work is in process.</v>
      </c>
      <c r="J64" s="15"/>
    </row>
    <row r="65" spans="1:10" x14ac:dyDescent="0.25">
      <c r="A65" s="43" t="s">
        <v>155</v>
      </c>
      <c r="B65" s="44">
        <v>0</v>
      </c>
      <c r="C65" s="44" t="s">
        <v>79</v>
      </c>
      <c r="D65" s="44">
        <v>1</v>
      </c>
      <c r="E65" s="44" t="s">
        <v>78</v>
      </c>
      <c r="F65" s="44">
        <v>0</v>
      </c>
      <c r="G65" s="44" t="s">
        <v>88</v>
      </c>
      <c r="H65" s="45">
        <f ca="1">--TRIM(RIGHT(SUBSTITUTE(LEFT(C64,_xlfn.AGGREGATE(16,6,FIND({0,1,2,3,4,5,6,7,8,9},C64,ROW(INDIRECT("1:"&amp;LEN(C64)))),1))," ",REPT(" ",LEN(C64))),LEN(C64)))</f>
        <v>7</v>
      </c>
      <c r="I65" s="13"/>
      <c r="J65" s="16"/>
    </row>
    <row r="66" spans="1:10" ht="35.25" customHeight="1" x14ac:dyDescent="0.25">
      <c r="A66" s="68" t="s">
        <v>98</v>
      </c>
      <c r="B66" s="69"/>
      <c r="C66" s="138" t="str">
        <f ca="1">I64</f>
        <v>Plinth, RCC, Brick, Plaster, Flooring, Painting work Completed. Finishing work is in process.</v>
      </c>
      <c r="D66" s="138"/>
      <c r="E66" s="138"/>
      <c r="F66" s="138"/>
      <c r="G66" s="138"/>
      <c r="H66" s="139"/>
      <c r="I66" s="13" t="s">
        <v>114</v>
      </c>
      <c r="J66" s="16"/>
    </row>
    <row r="67" spans="1:10" ht="15.75" customHeight="1" x14ac:dyDescent="0.25">
      <c r="A67" s="65" t="s">
        <v>54</v>
      </c>
      <c r="B67" s="66"/>
      <c r="C67" s="38" t="s">
        <v>152</v>
      </c>
      <c r="D67" s="38" t="s">
        <v>91</v>
      </c>
      <c r="E67" s="66" t="s">
        <v>93</v>
      </c>
      <c r="F67" s="66"/>
      <c r="G67" s="66" t="s">
        <v>92</v>
      </c>
      <c r="H67" s="67"/>
      <c r="I67" s="46" t="s">
        <v>154</v>
      </c>
      <c r="J67" s="17">
        <f ca="1">H65*25%</f>
        <v>1.75</v>
      </c>
    </row>
    <row r="68" spans="1:10" x14ac:dyDescent="0.25">
      <c r="A68" s="65" t="s">
        <v>141</v>
      </c>
      <c r="B68" s="66"/>
      <c r="C68" s="47">
        <f ca="1">J69</f>
        <v>7</v>
      </c>
      <c r="D68" s="39">
        <f ca="1">((100/H65)*C68)/100</f>
        <v>1</v>
      </c>
      <c r="E68" s="147">
        <f ca="1">(((C69/H65*10)+(40/(D65+F65+H65)*C70)+(7.5/(H65)*C71)+(7.5/(H65)*C72)+(10/H65*C73)+(10/H65*C74)+(5/H65*C75)+(5/H65*C76)+(5/H65*C77))/100)</f>
        <v>0.93571428571428572</v>
      </c>
      <c r="F68" s="147"/>
      <c r="G68" s="147">
        <f ca="1">((((C68/H65)*20)+((C69/H65)*25)+(30/(H65+F65+D65)*C70)+(5/H65*C71)+(5/H65*C72)+(5/H65*C73)+(5/H65*C74)+(0/H65*C75)+(0/H65*C76)+(5/H65*C77))/100)</f>
        <v>0.95</v>
      </c>
      <c r="H68" s="149"/>
      <c r="I68" s="46" t="s">
        <v>109</v>
      </c>
      <c r="J68" s="48">
        <f ca="1">H65*50%</f>
        <v>3.5</v>
      </c>
    </row>
    <row r="69" spans="1:10" x14ac:dyDescent="0.25">
      <c r="A69" s="65" t="s">
        <v>55</v>
      </c>
      <c r="B69" s="66"/>
      <c r="C69" s="49">
        <v>7</v>
      </c>
      <c r="D69" s="39">
        <f ca="1">((100/H65)*C69)/100</f>
        <v>1</v>
      </c>
      <c r="E69" s="147"/>
      <c r="F69" s="147"/>
      <c r="G69" s="147"/>
      <c r="H69" s="149"/>
      <c r="I69" s="46" t="s">
        <v>110</v>
      </c>
      <c r="J69" s="48">
        <f ca="1">H65</f>
        <v>7</v>
      </c>
    </row>
    <row r="70" spans="1:10" ht="15.75" customHeight="1" x14ac:dyDescent="0.25">
      <c r="A70" s="144" t="s">
        <v>142</v>
      </c>
      <c r="B70" s="145"/>
      <c r="C70" s="49">
        <v>8</v>
      </c>
      <c r="D70" s="39">
        <f ca="1">((100/(D65+F65+H65))*C70)/100</f>
        <v>1</v>
      </c>
      <c r="E70" s="147"/>
      <c r="F70" s="147"/>
      <c r="G70" s="147"/>
      <c r="H70" s="149"/>
      <c r="I70" s="46" t="s">
        <v>111</v>
      </c>
      <c r="J70" s="50">
        <f ca="1">(IF(B65&gt;1,(H65/(B65+2)),H65/4))</f>
        <v>1.75</v>
      </c>
    </row>
    <row r="71" spans="1:10" ht="15.75" customHeight="1" x14ac:dyDescent="0.25">
      <c r="A71" s="65" t="s">
        <v>149</v>
      </c>
      <c r="B71" s="66" t="s">
        <v>143</v>
      </c>
      <c r="C71" s="47">
        <v>7</v>
      </c>
      <c r="D71" s="39">
        <f ca="1">((100/H65)*C71)/100</f>
        <v>1</v>
      </c>
      <c r="E71" s="147"/>
      <c r="F71" s="147"/>
      <c r="G71" s="147"/>
      <c r="H71" s="149"/>
      <c r="I71" s="46" t="s">
        <v>112</v>
      </c>
      <c r="J71" s="50">
        <f ca="1">(IF(B65&gt;1,(H65/(B65+2)+J70),H65/4+J70))</f>
        <v>3.5</v>
      </c>
    </row>
    <row r="72" spans="1:10" ht="15.75" customHeight="1" x14ac:dyDescent="0.25">
      <c r="A72" s="65" t="s">
        <v>150</v>
      </c>
      <c r="B72" s="66" t="s">
        <v>143</v>
      </c>
      <c r="C72" s="47">
        <v>7</v>
      </c>
      <c r="D72" s="39">
        <f ca="1">((100/H65)*C72)/100</f>
        <v>1</v>
      </c>
      <c r="E72" s="147"/>
      <c r="F72" s="147"/>
      <c r="G72" s="147"/>
      <c r="H72" s="149"/>
      <c r="I72" s="46" t="s">
        <v>159</v>
      </c>
      <c r="J72" s="50">
        <f>(IF(B65&gt;1,(H65/(B65+2)+J71),0))</f>
        <v>0</v>
      </c>
    </row>
    <row r="73" spans="1:10" ht="15" customHeight="1" x14ac:dyDescent="0.25">
      <c r="A73" s="65" t="s">
        <v>148</v>
      </c>
      <c r="B73" s="66" t="s">
        <v>145</v>
      </c>
      <c r="C73" s="47">
        <v>7</v>
      </c>
      <c r="D73" s="39">
        <f ca="1">((100/(H65))*C73)/100</f>
        <v>1</v>
      </c>
      <c r="E73" s="147"/>
      <c r="F73" s="147"/>
      <c r="G73" s="147"/>
      <c r="H73" s="149"/>
      <c r="I73" s="46" t="s">
        <v>156</v>
      </c>
      <c r="J73" s="50">
        <f>(IF(B65&gt;2,(H65/(B65+2)+J72),0))</f>
        <v>0</v>
      </c>
    </row>
    <row r="74" spans="1:10" ht="15.75" customHeight="1" x14ac:dyDescent="0.25">
      <c r="A74" s="65" t="s">
        <v>144</v>
      </c>
      <c r="B74" s="66" t="s">
        <v>144</v>
      </c>
      <c r="C74" s="47">
        <v>7</v>
      </c>
      <c r="D74" s="39">
        <f ca="1">((100/H65)*C74)/100</f>
        <v>1</v>
      </c>
      <c r="E74" s="147"/>
      <c r="F74" s="147"/>
      <c r="G74" s="147"/>
      <c r="H74" s="149"/>
      <c r="I74" s="46" t="s">
        <v>157</v>
      </c>
      <c r="J74" s="51">
        <f>(IF(B65&gt;3,(H65/(B65+2)+J73),0))</f>
        <v>0</v>
      </c>
    </row>
    <row r="75" spans="1:10" ht="15.75" customHeight="1" x14ac:dyDescent="0.25">
      <c r="A75" s="65" t="s">
        <v>151</v>
      </c>
      <c r="B75" s="66"/>
      <c r="C75" s="47">
        <v>7</v>
      </c>
      <c r="D75" s="39">
        <f ca="1">((100/H65)*C75)/100</f>
        <v>1</v>
      </c>
      <c r="E75" s="147"/>
      <c r="F75" s="147"/>
      <c r="G75" s="147"/>
      <c r="H75" s="149"/>
      <c r="I75" s="46" t="s">
        <v>158</v>
      </c>
      <c r="J75" s="50">
        <f>(IF(B65&gt;4,(H65/(B65+2)+J74),0))</f>
        <v>0</v>
      </c>
    </row>
    <row r="76" spans="1:10" ht="15.75" customHeight="1" x14ac:dyDescent="0.25">
      <c r="A76" s="65" t="s">
        <v>146</v>
      </c>
      <c r="B76" s="66" t="s">
        <v>146</v>
      </c>
      <c r="C76" s="47">
        <v>5</v>
      </c>
      <c r="D76" s="39">
        <f ca="1">((100/(H65))*C76)/100</f>
        <v>0.7142857142857143</v>
      </c>
      <c r="E76" s="147"/>
      <c r="F76" s="147"/>
      <c r="G76" s="147"/>
      <c r="H76" s="149"/>
      <c r="I76" s="46" t="s">
        <v>160</v>
      </c>
      <c r="J76" s="50">
        <f ca="1">(IF(B65=1,(H65/(B65+3)+J71),IF(B65=0,(H65/4+J71),IF(B65&gt;1,0))))</f>
        <v>5.25</v>
      </c>
    </row>
    <row r="77" spans="1:10" ht="16.5" thickBot="1" x14ac:dyDescent="0.3">
      <c r="A77" s="151" t="s">
        <v>147</v>
      </c>
      <c r="B77" s="152"/>
      <c r="C77" s="52">
        <v>0</v>
      </c>
      <c r="D77" s="40">
        <f ca="1">((100/(H65))*C77)/100</f>
        <v>0</v>
      </c>
      <c r="E77" s="148"/>
      <c r="F77" s="148"/>
      <c r="G77" s="148"/>
      <c r="H77" s="150"/>
      <c r="I77" s="53" t="s">
        <v>113</v>
      </c>
      <c r="J77" s="54">
        <f ca="1">(IF(B65&gt;1.5,(H65/(B65+2)+J71+MAX(0,J72-J71)+MAX(0,J73-J72)+MAX(0,J74-J73)+MAX(0,J75-J74)+MAX(0,J76-J75)),IF(B65=1,(H65/(B65+3)+J76),IF(B65=0,H65/4+J76))))</f>
        <v>7</v>
      </c>
    </row>
    <row r="78" spans="1:10" x14ac:dyDescent="0.25">
      <c r="A78" s="102" t="s">
        <v>56</v>
      </c>
      <c r="B78" s="102"/>
      <c r="C78" s="102"/>
      <c r="D78" s="102"/>
      <c r="E78" s="102"/>
      <c r="F78" s="102"/>
      <c r="G78" s="102"/>
      <c r="H78" s="102"/>
    </row>
    <row r="79" spans="1:10" x14ac:dyDescent="0.25">
      <c r="A79" s="61" t="s">
        <v>200</v>
      </c>
      <c r="B79" s="61"/>
      <c r="C79" s="61"/>
      <c r="D79" s="61"/>
      <c r="E79" s="61"/>
      <c r="F79" s="80">
        <v>4600</v>
      </c>
      <c r="G79" s="80"/>
      <c r="H79" s="80"/>
    </row>
    <row r="80" spans="1:10" x14ac:dyDescent="0.25">
      <c r="A80" s="61" t="s">
        <v>201</v>
      </c>
      <c r="B80" s="61"/>
      <c r="C80" s="61"/>
      <c r="D80" s="61"/>
      <c r="E80" s="61"/>
      <c r="F80" s="75">
        <v>9000</v>
      </c>
      <c r="G80" s="75"/>
      <c r="H80" s="75"/>
    </row>
    <row r="81" spans="1:10" s="7" customFormat="1" x14ac:dyDescent="0.25">
      <c r="A81" s="61" t="s">
        <v>103</v>
      </c>
      <c r="B81" s="61"/>
      <c r="C81" s="61"/>
      <c r="D81" s="61"/>
      <c r="E81" s="61"/>
      <c r="F81" s="75" t="s">
        <v>196</v>
      </c>
      <c r="G81" s="75"/>
      <c r="H81" s="75"/>
    </row>
    <row r="82" spans="1:10" s="7" customFormat="1" x14ac:dyDescent="0.25">
      <c r="A82" s="61" t="s">
        <v>197</v>
      </c>
      <c r="B82" s="61"/>
      <c r="C82" s="61"/>
      <c r="D82" s="61"/>
      <c r="E82" s="61"/>
      <c r="F82" s="75" t="s">
        <v>198</v>
      </c>
      <c r="G82" s="75"/>
      <c r="H82" s="75"/>
    </row>
    <row r="83" spans="1:10" s="7" customFormat="1" hidden="1" x14ac:dyDescent="0.25">
      <c r="A83" s="61" t="s">
        <v>104</v>
      </c>
      <c r="B83" s="61"/>
      <c r="C83" s="61"/>
      <c r="D83" s="61"/>
      <c r="E83" s="61"/>
      <c r="F83" s="75" t="s">
        <v>30</v>
      </c>
      <c r="G83" s="75"/>
      <c r="H83" s="75"/>
    </row>
    <row r="84" spans="1:10" s="7" customFormat="1" hidden="1" x14ac:dyDescent="0.25">
      <c r="A84" s="61" t="s">
        <v>105</v>
      </c>
      <c r="B84" s="61"/>
      <c r="C84" s="61"/>
      <c r="D84" s="61"/>
      <c r="E84" s="61"/>
      <c r="F84" s="75" t="s">
        <v>30</v>
      </c>
      <c r="G84" s="75"/>
      <c r="H84" s="75"/>
    </row>
    <row r="85" spans="1:10" s="7" customFormat="1" hidden="1" x14ac:dyDescent="0.25">
      <c r="A85" s="61" t="s">
        <v>106</v>
      </c>
      <c r="B85" s="61"/>
      <c r="C85" s="61"/>
      <c r="D85" s="61"/>
      <c r="E85" s="61"/>
      <c r="F85" s="75" t="s">
        <v>30</v>
      </c>
      <c r="G85" s="75"/>
      <c r="H85" s="75"/>
    </row>
    <row r="86" spans="1:10" s="7" customFormat="1" hidden="1" x14ac:dyDescent="0.25">
      <c r="A86" s="61" t="s">
        <v>107</v>
      </c>
      <c r="B86" s="61"/>
      <c r="C86" s="61"/>
      <c r="D86" s="61"/>
      <c r="E86" s="61"/>
      <c r="F86" s="75" t="s">
        <v>30</v>
      </c>
      <c r="G86" s="75"/>
      <c r="H86" s="75"/>
    </row>
    <row r="87" spans="1:10" s="7" customFormat="1" hidden="1" x14ac:dyDescent="0.25">
      <c r="A87" s="61" t="s">
        <v>108</v>
      </c>
      <c r="B87" s="61"/>
      <c r="C87" s="61"/>
      <c r="D87" s="61"/>
      <c r="E87" s="61"/>
      <c r="F87" s="75" t="s">
        <v>30</v>
      </c>
      <c r="G87" s="75"/>
      <c r="H87" s="75"/>
    </row>
    <row r="88" spans="1:10" x14ac:dyDescent="0.25">
      <c r="A88" s="61" t="s">
        <v>57</v>
      </c>
      <c r="B88" s="61"/>
      <c r="C88" s="61"/>
      <c r="D88" s="61"/>
      <c r="E88" s="61"/>
      <c r="F88" s="77" t="s">
        <v>199</v>
      </c>
      <c r="G88" s="77"/>
      <c r="H88" s="77"/>
    </row>
    <row r="89" spans="1:10" s="4" customFormat="1" x14ac:dyDescent="0.25">
      <c r="A89" s="102" t="s">
        <v>58</v>
      </c>
      <c r="B89" s="102"/>
      <c r="C89" s="102"/>
      <c r="D89" s="102"/>
      <c r="E89" s="102"/>
      <c r="F89" s="80">
        <f>F79*0.8</f>
        <v>3680</v>
      </c>
      <c r="G89" s="80"/>
      <c r="H89" s="80"/>
    </row>
    <row r="90" spans="1:10" s="1" customFormat="1" ht="15.75" customHeight="1" x14ac:dyDescent="0.25">
      <c r="A90" s="125" t="s">
        <v>83</v>
      </c>
      <c r="B90" s="125"/>
      <c r="C90" s="125"/>
      <c r="D90" s="125"/>
      <c r="E90" s="125"/>
      <c r="F90" s="125"/>
      <c r="G90" s="125"/>
      <c r="H90" s="125"/>
    </row>
    <row r="91" spans="1:10" s="1" customFormat="1" ht="15.75" customHeight="1" x14ac:dyDescent="0.25">
      <c r="A91" s="76" t="s">
        <v>59</v>
      </c>
      <c r="B91" s="76"/>
      <c r="C91" s="62" t="s">
        <v>86</v>
      </c>
      <c r="D91" s="62"/>
      <c r="E91" s="111" t="s">
        <v>60</v>
      </c>
      <c r="F91" s="111"/>
      <c r="G91" s="76" t="s">
        <v>61</v>
      </c>
      <c r="H91" s="76"/>
    </row>
    <row r="92" spans="1:10" s="1" customFormat="1" x14ac:dyDescent="0.25">
      <c r="A92" s="127" t="s">
        <v>186</v>
      </c>
      <c r="B92" s="127"/>
      <c r="C92" s="113">
        <f>COUNT(D101:D122)</f>
        <v>22</v>
      </c>
      <c r="D92" s="114"/>
      <c r="E92" s="103">
        <f>SUM(D101:D122)</f>
        <v>2298.6952559999995</v>
      </c>
      <c r="F92" s="104"/>
      <c r="G92" s="103">
        <f>SUM(F101:F122)</f>
        <v>3677.9124096000005</v>
      </c>
      <c r="H92" s="104"/>
      <c r="J92" s="60">
        <f>SUM(E92,E95)</f>
        <v>47322.246815999999</v>
      </c>
    </row>
    <row r="93" spans="1:10" s="1" customFormat="1" x14ac:dyDescent="0.25">
      <c r="A93" s="125" t="s">
        <v>77</v>
      </c>
      <c r="B93" s="125"/>
      <c r="C93" s="125"/>
      <c r="D93" s="125"/>
      <c r="E93" s="125"/>
      <c r="F93" s="125"/>
      <c r="G93" s="125"/>
      <c r="H93" s="125"/>
    </row>
    <row r="94" spans="1:10" s="1" customFormat="1" ht="15.75" customHeight="1" x14ac:dyDescent="0.25">
      <c r="A94" s="76" t="s">
        <v>59</v>
      </c>
      <c r="B94" s="76"/>
      <c r="C94" s="62" t="s">
        <v>86</v>
      </c>
      <c r="D94" s="62"/>
      <c r="E94" s="111" t="s">
        <v>60</v>
      </c>
      <c r="F94" s="111"/>
      <c r="G94" s="76" t="s">
        <v>61</v>
      </c>
      <c r="H94" s="76"/>
    </row>
    <row r="95" spans="1:10" s="1" customFormat="1" x14ac:dyDescent="0.25">
      <c r="A95" s="127" t="s">
        <v>190</v>
      </c>
      <c r="B95" s="127"/>
      <c r="C95" s="113">
        <f>COUNT(D125:D140)+COUNT(D142:D157)*6</f>
        <v>112</v>
      </c>
      <c r="D95" s="114"/>
      <c r="E95" s="103">
        <f>SUM(D125:D140)+SUM(D142:D157)*6</f>
        <v>45023.55156</v>
      </c>
      <c r="F95" s="104"/>
      <c r="G95" s="103">
        <f>SUM(F125:F140)+SUM(F142:F157)*6</f>
        <v>69136</v>
      </c>
      <c r="H95" s="104"/>
    </row>
    <row r="96" spans="1:10" s="4" customFormat="1" x14ac:dyDescent="0.25">
      <c r="A96" s="112" t="s">
        <v>62</v>
      </c>
      <c r="B96" s="112"/>
      <c r="C96" s="112"/>
      <c r="D96" s="112"/>
      <c r="E96" s="112"/>
      <c r="F96" s="112"/>
      <c r="G96" s="112"/>
      <c r="H96" s="112"/>
    </row>
    <row r="97" spans="1:14" x14ac:dyDescent="0.25">
      <c r="A97" s="112" t="s">
        <v>63</v>
      </c>
      <c r="B97" s="112"/>
      <c r="C97" s="112"/>
      <c r="D97" s="112"/>
      <c r="E97" s="112"/>
      <c r="F97" s="112"/>
      <c r="G97" s="112"/>
      <c r="H97" s="112"/>
    </row>
    <row r="98" spans="1:14" ht="47.25" customHeight="1" x14ac:dyDescent="0.25">
      <c r="A98" s="115" t="s">
        <v>130</v>
      </c>
      <c r="B98" s="115" t="s">
        <v>129</v>
      </c>
      <c r="C98" s="115" t="s">
        <v>64</v>
      </c>
      <c r="D98" s="115" t="s">
        <v>65</v>
      </c>
      <c r="E98" s="133" t="s">
        <v>66</v>
      </c>
      <c r="F98" s="30" t="s">
        <v>162</v>
      </c>
      <c r="G98" s="100" t="s">
        <v>67</v>
      </c>
      <c r="H98" s="101"/>
    </row>
    <row r="99" spans="1:14" s="2" customFormat="1" x14ac:dyDescent="0.25">
      <c r="A99" s="116"/>
      <c r="B99" s="116"/>
      <c r="C99" s="116"/>
      <c r="D99" s="116"/>
      <c r="E99" s="134"/>
      <c r="F99" s="31">
        <v>0.6</v>
      </c>
      <c r="G99" s="135"/>
      <c r="H99" s="136"/>
    </row>
    <row r="100" spans="1:14" s="2" customFormat="1" x14ac:dyDescent="0.25">
      <c r="A100" s="130" t="s">
        <v>185</v>
      </c>
      <c r="B100" s="131"/>
      <c r="C100" s="131"/>
      <c r="D100" s="131"/>
      <c r="E100" s="131"/>
      <c r="F100" s="131"/>
      <c r="G100" s="131"/>
      <c r="H100" s="132"/>
      <c r="J100" s="32"/>
    </row>
    <row r="101" spans="1:14" s="2" customFormat="1" ht="15.75" customHeight="1" x14ac:dyDescent="0.25">
      <c r="A101" s="89">
        <v>1</v>
      </c>
      <c r="B101" s="90"/>
      <c r="C101" s="14" t="s">
        <v>186</v>
      </c>
      <c r="D101" s="14">
        <f>9.99*10.764</f>
        <v>107.53236</v>
      </c>
      <c r="E101" s="14">
        <v>0</v>
      </c>
      <c r="F101" s="14">
        <f>D101*(($F$99)+1)+(IF(E101&lt;101,E101,IF(E101&lt;201,E101/2,IF(E101&lt;=301,E101/3,E101/4))))</f>
        <v>172.05177600000002</v>
      </c>
      <c r="G101" s="92" t="str">
        <f>A100</f>
        <v>Ground Floor For Parking &amp; Commercial</v>
      </c>
      <c r="H101" s="93"/>
      <c r="I101" s="32"/>
      <c r="L101" s="88"/>
      <c r="M101" s="88"/>
      <c r="N101" s="32"/>
    </row>
    <row r="102" spans="1:14" s="2" customFormat="1" ht="15.75" customHeight="1" x14ac:dyDescent="0.25">
      <c r="A102" s="89">
        <f t="shared" ref="A102:A122" si="0">A101+1</f>
        <v>2</v>
      </c>
      <c r="B102" s="90"/>
      <c r="C102" s="14" t="s">
        <v>186</v>
      </c>
      <c r="D102" s="14">
        <f>9.975*10.764</f>
        <v>107.37089999999999</v>
      </c>
      <c r="E102" s="14">
        <v>0</v>
      </c>
      <c r="F102" s="14">
        <f t="shared" ref="F102:F107" si="1">D102*(($F$99)+1)+(IF(E102&lt;101,E102,IF(E102&lt;201,E102/2,IF(E102&lt;=301,E102/3,E102/4))))</f>
        <v>171.79344</v>
      </c>
      <c r="G102" s="94"/>
      <c r="H102" s="95"/>
      <c r="I102" s="32"/>
      <c r="L102" s="88"/>
      <c r="M102" s="88"/>
      <c r="N102" s="32"/>
    </row>
    <row r="103" spans="1:14" s="2" customFormat="1" ht="15.75" customHeight="1" x14ac:dyDescent="0.25">
      <c r="A103" s="89">
        <f t="shared" si="0"/>
        <v>3</v>
      </c>
      <c r="B103" s="90"/>
      <c r="C103" s="14" t="s">
        <v>186</v>
      </c>
      <c r="D103" s="14">
        <f>9.805*10.764</f>
        <v>105.54101999999999</v>
      </c>
      <c r="E103" s="14">
        <v>0</v>
      </c>
      <c r="F103" s="14">
        <f t="shared" si="1"/>
        <v>168.86563200000001</v>
      </c>
      <c r="G103" s="94"/>
      <c r="H103" s="95"/>
      <c r="I103" s="32"/>
      <c r="L103" s="88"/>
      <c r="M103" s="88"/>
      <c r="N103" s="32"/>
    </row>
    <row r="104" spans="1:14" s="2" customFormat="1" ht="15.75" customHeight="1" x14ac:dyDescent="0.25">
      <c r="A104" s="89">
        <f t="shared" si="0"/>
        <v>4</v>
      </c>
      <c r="B104" s="90"/>
      <c r="C104" s="14" t="s">
        <v>186</v>
      </c>
      <c r="D104" s="14">
        <f>9.975*10.764</f>
        <v>107.37089999999999</v>
      </c>
      <c r="E104" s="14">
        <v>0</v>
      </c>
      <c r="F104" s="14">
        <f t="shared" si="1"/>
        <v>171.79344</v>
      </c>
      <c r="G104" s="94"/>
      <c r="H104" s="95"/>
      <c r="I104" s="32"/>
      <c r="L104" s="88"/>
      <c r="M104" s="88"/>
      <c r="N104" s="32"/>
    </row>
    <row r="105" spans="1:14" s="2" customFormat="1" ht="15.75" customHeight="1" x14ac:dyDescent="0.25">
      <c r="A105" s="89">
        <f t="shared" si="0"/>
        <v>5</v>
      </c>
      <c r="B105" s="90"/>
      <c r="C105" s="14" t="s">
        <v>186</v>
      </c>
      <c r="D105" s="14">
        <f>9.99*10.764</f>
        <v>107.53236</v>
      </c>
      <c r="E105" s="14">
        <v>0</v>
      </c>
      <c r="F105" s="14">
        <f t="shared" si="1"/>
        <v>172.05177600000002</v>
      </c>
      <c r="G105" s="94"/>
      <c r="H105" s="95"/>
      <c r="I105" s="32"/>
      <c r="L105" s="88"/>
      <c r="M105" s="88"/>
      <c r="N105" s="32"/>
    </row>
    <row r="106" spans="1:14" s="2" customFormat="1" ht="15.75" customHeight="1" x14ac:dyDescent="0.25">
      <c r="A106" s="89">
        <f t="shared" si="0"/>
        <v>6</v>
      </c>
      <c r="B106" s="90"/>
      <c r="C106" s="14" t="s">
        <v>186</v>
      </c>
      <c r="D106" s="14">
        <f>9.99*10.764</f>
        <v>107.53236</v>
      </c>
      <c r="E106" s="14">
        <v>0</v>
      </c>
      <c r="F106" s="14">
        <f t="shared" si="1"/>
        <v>172.05177600000002</v>
      </c>
      <c r="G106" s="94"/>
      <c r="H106" s="95"/>
      <c r="I106" s="32"/>
      <c r="L106" s="88"/>
      <c r="M106" s="88"/>
      <c r="N106" s="32"/>
    </row>
    <row r="107" spans="1:14" s="2" customFormat="1" ht="15.75" customHeight="1" x14ac:dyDescent="0.25">
      <c r="A107" s="89">
        <f t="shared" si="0"/>
        <v>7</v>
      </c>
      <c r="B107" s="90"/>
      <c r="C107" s="14" t="s">
        <v>186</v>
      </c>
      <c r="D107" s="14">
        <f>9.975*10.764</f>
        <v>107.37089999999999</v>
      </c>
      <c r="E107" s="14">
        <v>0</v>
      </c>
      <c r="F107" s="14">
        <f t="shared" si="1"/>
        <v>171.79344</v>
      </c>
      <c r="G107" s="94"/>
      <c r="H107" s="95"/>
      <c r="I107" s="32"/>
      <c r="L107" s="88"/>
      <c r="M107" s="88"/>
      <c r="N107" s="32"/>
    </row>
    <row r="108" spans="1:14" s="2" customFormat="1" ht="15.75" customHeight="1" x14ac:dyDescent="0.25">
      <c r="A108" s="89">
        <f t="shared" si="0"/>
        <v>8</v>
      </c>
      <c r="B108" s="90"/>
      <c r="C108" s="14" t="s">
        <v>186</v>
      </c>
      <c r="D108" s="14">
        <f>7.181*10.764</f>
        <v>77.296284</v>
      </c>
      <c r="E108" s="14">
        <v>0</v>
      </c>
      <c r="F108" s="14">
        <f t="shared" ref="F108:F111" si="2">D108*(($F$99)+1)+(IF(E108&lt;101,E108,IF(E108&lt;201,E108/2,IF(E108&lt;=301,E108/3,E108/4))))</f>
        <v>123.6740544</v>
      </c>
      <c r="G108" s="94"/>
      <c r="H108" s="95"/>
      <c r="I108" s="32"/>
      <c r="L108" s="88"/>
      <c r="M108" s="88"/>
      <c r="N108" s="32"/>
    </row>
    <row r="109" spans="1:14" s="2" customFormat="1" ht="15.75" customHeight="1" x14ac:dyDescent="0.25">
      <c r="A109" s="89">
        <f t="shared" si="0"/>
        <v>9</v>
      </c>
      <c r="B109" s="90"/>
      <c r="C109" s="14" t="s">
        <v>186</v>
      </c>
      <c r="D109" s="14">
        <f>7.181*10.764</f>
        <v>77.296284</v>
      </c>
      <c r="E109" s="14">
        <v>0</v>
      </c>
      <c r="F109" s="14">
        <f t="shared" si="2"/>
        <v>123.6740544</v>
      </c>
      <c r="G109" s="94"/>
      <c r="H109" s="95"/>
      <c r="I109" s="32"/>
      <c r="L109" s="88"/>
      <c r="M109" s="88"/>
      <c r="N109" s="32"/>
    </row>
    <row r="110" spans="1:14" s="2" customFormat="1" ht="15.75" customHeight="1" x14ac:dyDescent="0.25">
      <c r="A110" s="89">
        <f t="shared" si="0"/>
        <v>10</v>
      </c>
      <c r="B110" s="90"/>
      <c r="C110" s="14" t="s">
        <v>186</v>
      </c>
      <c r="D110" s="14">
        <f>9.975*10.764</f>
        <v>107.37089999999999</v>
      </c>
      <c r="E110" s="14">
        <v>0</v>
      </c>
      <c r="F110" s="14">
        <f t="shared" si="2"/>
        <v>171.79344</v>
      </c>
      <c r="G110" s="94"/>
      <c r="H110" s="95"/>
      <c r="I110" s="32"/>
      <c r="L110" s="88"/>
      <c r="M110" s="88"/>
      <c r="N110" s="32"/>
    </row>
    <row r="111" spans="1:14" s="2" customFormat="1" ht="15.75" customHeight="1" x14ac:dyDescent="0.25">
      <c r="A111" s="89">
        <f t="shared" si="0"/>
        <v>11</v>
      </c>
      <c r="B111" s="90"/>
      <c r="C111" s="14" t="s">
        <v>186</v>
      </c>
      <c r="D111" s="14">
        <f>9.99*10.764</f>
        <v>107.53236</v>
      </c>
      <c r="E111" s="14">
        <v>0</v>
      </c>
      <c r="F111" s="14">
        <f t="shared" si="2"/>
        <v>172.05177600000002</v>
      </c>
      <c r="G111" s="94"/>
      <c r="H111" s="95"/>
      <c r="I111" s="32"/>
      <c r="L111" s="88"/>
      <c r="M111" s="88"/>
      <c r="N111" s="32"/>
    </row>
    <row r="112" spans="1:14" s="2" customFormat="1" ht="15.75" customHeight="1" x14ac:dyDescent="0.25">
      <c r="A112" s="89">
        <f t="shared" si="0"/>
        <v>12</v>
      </c>
      <c r="B112" s="90"/>
      <c r="C112" s="14" t="s">
        <v>186</v>
      </c>
      <c r="D112" s="14">
        <f>9.99*10.764</f>
        <v>107.53236</v>
      </c>
      <c r="E112" s="14">
        <v>0</v>
      </c>
      <c r="F112" s="14">
        <f t="shared" ref="F112:F115" si="3">D112*(($F$99)+1)+(IF(E112&lt;101,E112,IF(E112&lt;201,E112/2,IF(E112&lt;=301,E112/3,E112/4))))</f>
        <v>172.05177600000002</v>
      </c>
      <c r="G112" s="94"/>
      <c r="H112" s="95"/>
      <c r="I112" s="32"/>
      <c r="L112" s="88"/>
      <c r="M112" s="88"/>
      <c r="N112" s="32"/>
    </row>
    <row r="113" spans="1:14" s="2" customFormat="1" ht="15.75" customHeight="1" x14ac:dyDescent="0.25">
      <c r="A113" s="89">
        <f t="shared" si="0"/>
        <v>13</v>
      </c>
      <c r="B113" s="90"/>
      <c r="C113" s="14" t="s">
        <v>186</v>
      </c>
      <c r="D113" s="14">
        <f>9.975*10.764</f>
        <v>107.37089999999999</v>
      </c>
      <c r="E113" s="14">
        <v>0</v>
      </c>
      <c r="F113" s="14">
        <f t="shared" si="3"/>
        <v>171.79344</v>
      </c>
      <c r="G113" s="94"/>
      <c r="H113" s="95"/>
      <c r="I113" s="32"/>
      <c r="L113" s="88"/>
      <c r="M113" s="88"/>
      <c r="N113" s="32"/>
    </row>
    <row r="114" spans="1:14" s="2" customFormat="1" ht="15.75" customHeight="1" x14ac:dyDescent="0.25">
      <c r="A114" s="89">
        <f t="shared" si="0"/>
        <v>14</v>
      </c>
      <c r="B114" s="90"/>
      <c r="C114" s="14" t="s">
        <v>186</v>
      </c>
      <c r="D114" s="14">
        <f>9.931*10.764</f>
        <v>106.89728399999998</v>
      </c>
      <c r="E114" s="14">
        <v>0</v>
      </c>
      <c r="F114" s="14">
        <f t="shared" si="3"/>
        <v>171.0356544</v>
      </c>
      <c r="G114" s="94"/>
      <c r="H114" s="95"/>
      <c r="I114" s="32"/>
      <c r="L114" s="88"/>
      <c r="M114" s="88"/>
      <c r="N114" s="32"/>
    </row>
    <row r="115" spans="1:14" s="2" customFormat="1" ht="15.75" customHeight="1" x14ac:dyDescent="0.25">
      <c r="A115" s="89">
        <f t="shared" si="0"/>
        <v>15</v>
      </c>
      <c r="B115" s="90"/>
      <c r="C115" s="14" t="s">
        <v>186</v>
      </c>
      <c r="D115" s="14">
        <f>9.931*10.764</f>
        <v>106.89728399999998</v>
      </c>
      <c r="E115" s="14">
        <v>0</v>
      </c>
      <c r="F115" s="14">
        <f t="shared" si="3"/>
        <v>171.0356544</v>
      </c>
      <c r="G115" s="94"/>
      <c r="H115" s="95"/>
      <c r="I115" s="32"/>
      <c r="L115" s="88"/>
      <c r="M115" s="88"/>
      <c r="N115" s="32"/>
    </row>
    <row r="116" spans="1:14" s="2" customFormat="1" ht="15.75" customHeight="1" x14ac:dyDescent="0.25">
      <c r="A116" s="89">
        <f t="shared" si="0"/>
        <v>16</v>
      </c>
      <c r="B116" s="90"/>
      <c r="C116" s="14" t="s">
        <v>186</v>
      </c>
      <c r="D116" s="14">
        <f>9.975*10.764</f>
        <v>107.37089999999999</v>
      </c>
      <c r="E116" s="14">
        <v>0</v>
      </c>
      <c r="F116" s="14">
        <f t="shared" ref="F116:F119" si="4">D116*(($F$99)+1)+(IF(E116&lt;101,E116,IF(E116&lt;201,E116/2,IF(E116&lt;=301,E116/3,E116/4))))</f>
        <v>171.79344</v>
      </c>
      <c r="G116" s="94"/>
      <c r="H116" s="95"/>
      <c r="I116" s="32"/>
      <c r="L116" s="88"/>
      <c r="M116" s="88"/>
      <c r="N116" s="32"/>
    </row>
    <row r="117" spans="1:14" s="2" customFormat="1" ht="15.75" customHeight="1" x14ac:dyDescent="0.25">
      <c r="A117" s="89">
        <f t="shared" si="0"/>
        <v>17</v>
      </c>
      <c r="B117" s="90"/>
      <c r="C117" s="14" t="s">
        <v>186</v>
      </c>
      <c r="D117" s="14">
        <f>9.99*10.764</f>
        <v>107.53236</v>
      </c>
      <c r="E117" s="14">
        <v>0</v>
      </c>
      <c r="F117" s="14">
        <f t="shared" si="4"/>
        <v>172.05177600000002</v>
      </c>
      <c r="G117" s="94"/>
      <c r="H117" s="95"/>
      <c r="I117" s="32"/>
      <c r="L117" s="88"/>
      <c r="M117" s="88"/>
      <c r="N117" s="32"/>
    </row>
    <row r="118" spans="1:14" s="2" customFormat="1" ht="15.75" customHeight="1" x14ac:dyDescent="0.25">
      <c r="A118" s="89">
        <f t="shared" si="0"/>
        <v>18</v>
      </c>
      <c r="B118" s="90"/>
      <c r="C118" s="14" t="s">
        <v>186</v>
      </c>
      <c r="D118" s="14">
        <f>9.99*10.764</f>
        <v>107.53236</v>
      </c>
      <c r="E118" s="14">
        <v>0</v>
      </c>
      <c r="F118" s="14">
        <f t="shared" si="4"/>
        <v>172.05177600000002</v>
      </c>
      <c r="G118" s="94"/>
      <c r="H118" s="95"/>
      <c r="I118" s="32"/>
      <c r="L118" s="88"/>
      <c r="M118" s="88"/>
      <c r="N118" s="32"/>
    </row>
    <row r="119" spans="1:14" s="2" customFormat="1" ht="15.75" customHeight="1" x14ac:dyDescent="0.25">
      <c r="A119" s="89">
        <f t="shared" si="0"/>
        <v>19</v>
      </c>
      <c r="B119" s="90"/>
      <c r="C119" s="14" t="s">
        <v>186</v>
      </c>
      <c r="D119" s="14">
        <f>9.975*10.764</f>
        <v>107.37089999999999</v>
      </c>
      <c r="E119" s="14">
        <v>0</v>
      </c>
      <c r="F119" s="14">
        <f t="shared" si="4"/>
        <v>171.79344</v>
      </c>
      <c r="G119" s="94"/>
      <c r="H119" s="95"/>
      <c r="I119" s="32"/>
      <c r="L119" s="88"/>
      <c r="M119" s="88"/>
      <c r="N119" s="32"/>
    </row>
    <row r="120" spans="1:14" s="2" customFormat="1" ht="15.75" customHeight="1" x14ac:dyDescent="0.25">
      <c r="A120" s="89">
        <f t="shared" si="0"/>
        <v>20</v>
      </c>
      <c r="B120" s="90"/>
      <c r="C120" s="14" t="s">
        <v>186</v>
      </c>
      <c r="D120" s="14">
        <f>9.805*10.764</f>
        <v>105.54101999999999</v>
      </c>
      <c r="E120" s="14">
        <v>0</v>
      </c>
      <c r="F120" s="14">
        <f t="shared" ref="F120:F122" si="5">D120*(($F$99)+1)+(IF(E120&lt;101,E120,IF(E120&lt;201,E120/2,IF(E120&lt;=301,E120/3,E120/4))))</f>
        <v>168.86563200000001</v>
      </c>
      <c r="G120" s="94"/>
      <c r="H120" s="95"/>
      <c r="I120" s="32"/>
      <c r="L120" s="88"/>
      <c r="M120" s="88"/>
      <c r="N120" s="32"/>
    </row>
    <row r="121" spans="1:14" s="2" customFormat="1" ht="15.75" customHeight="1" x14ac:dyDescent="0.25">
      <c r="A121" s="89">
        <f t="shared" si="0"/>
        <v>21</v>
      </c>
      <c r="B121" s="90"/>
      <c r="C121" s="14" t="s">
        <v>186</v>
      </c>
      <c r="D121" s="14">
        <f>9.975*10.764</f>
        <v>107.37089999999999</v>
      </c>
      <c r="E121" s="14">
        <v>0</v>
      </c>
      <c r="F121" s="14">
        <f t="shared" si="5"/>
        <v>171.79344</v>
      </c>
      <c r="G121" s="94"/>
      <c r="H121" s="95"/>
      <c r="I121" s="32"/>
      <c r="L121" s="88"/>
      <c r="M121" s="88"/>
      <c r="N121" s="32"/>
    </row>
    <row r="122" spans="1:14" s="2" customFormat="1" ht="15.75" customHeight="1" x14ac:dyDescent="0.25">
      <c r="A122" s="89">
        <f t="shared" si="0"/>
        <v>22</v>
      </c>
      <c r="B122" s="90"/>
      <c r="C122" s="14" t="s">
        <v>186</v>
      </c>
      <c r="D122" s="14">
        <f>9.99*10.764</f>
        <v>107.53236</v>
      </c>
      <c r="E122" s="14">
        <v>0</v>
      </c>
      <c r="F122" s="14">
        <f t="shared" si="5"/>
        <v>172.05177600000002</v>
      </c>
      <c r="G122" s="96"/>
      <c r="H122" s="97"/>
      <c r="I122" s="32"/>
      <c r="L122" s="88"/>
      <c r="M122" s="88"/>
      <c r="N122" s="32"/>
    </row>
    <row r="123" spans="1:14" ht="47.25" customHeight="1" x14ac:dyDescent="0.25">
      <c r="A123" s="57" t="s">
        <v>131</v>
      </c>
      <c r="B123" s="57" t="s">
        <v>132</v>
      </c>
      <c r="C123" s="30" t="s">
        <v>64</v>
      </c>
      <c r="D123" s="30" t="s">
        <v>65</v>
      </c>
      <c r="E123" s="56" t="s">
        <v>66</v>
      </c>
      <c r="F123" s="30" t="s">
        <v>203</v>
      </c>
      <c r="G123" s="100" t="s">
        <v>67</v>
      </c>
      <c r="H123" s="101"/>
      <c r="I123" s="32"/>
    </row>
    <row r="124" spans="1:14" s="2" customFormat="1" x14ac:dyDescent="0.25">
      <c r="A124" s="126" t="s">
        <v>194</v>
      </c>
      <c r="B124" s="126"/>
      <c r="C124" s="126"/>
      <c r="D124" s="126"/>
      <c r="E124" s="126"/>
      <c r="F124" s="126"/>
      <c r="G124" s="126"/>
      <c r="H124" s="126"/>
      <c r="I124" s="32"/>
      <c r="L124" s="88"/>
      <c r="M124" s="88"/>
    </row>
    <row r="125" spans="1:14" s="2" customFormat="1" ht="15.75" customHeight="1" x14ac:dyDescent="0.25">
      <c r="A125" s="91">
        <f>LEFT(A124,SUM(LEN(A124)-LEN(SUBSTITUTE(A124,{"0","1","2","3","4","5","6","7","8","9"},""))))*100+1</f>
        <v>101</v>
      </c>
      <c r="B125" s="91"/>
      <c r="C125" s="14" t="s">
        <v>187</v>
      </c>
      <c r="D125" s="14">
        <f>(29.793+5.25)*10.764</f>
        <v>377.20285199999995</v>
      </c>
      <c r="E125" s="14">
        <f>(4.306+0.87)*10.764</f>
        <v>55.714464</v>
      </c>
      <c r="F125" s="14">
        <v>632</v>
      </c>
      <c r="G125" s="92" t="str">
        <f>A124</f>
        <v>1st Floor For Residential</v>
      </c>
      <c r="H125" s="93"/>
      <c r="I125" s="41"/>
      <c r="N125" s="32"/>
    </row>
    <row r="126" spans="1:14" s="2" customFormat="1" ht="15.75" customHeight="1" x14ac:dyDescent="0.25">
      <c r="A126" s="91">
        <f t="shared" ref="A126:A140" si="6">A125+1</f>
        <v>102</v>
      </c>
      <c r="B126" s="91"/>
      <c r="C126" s="14" t="s">
        <v>187</v>
      </c>
      <c r="D126" s="14">
        <f>(30.618+5.175)*10.764</f>
        <v>385.27585199999999</v>
      </c>
      <c r="E126" s="14">
        <f>4.306*10.764</f>
        <v>46.349784</v>
      </c>
      <c r="F126" s="14">
        <v>632</v>
      </c>
      <c r="G126" s="94"/>
      <c r="H126" s="95"/>
      <c r="I126" s="42"/>
      <c r="N126" s="32"/>
    </row>
    <row r="127" spans="1:14" s="2" customFormat="1" ht="15.75" customHeight="1" x14ac:dyDescent="0.25">
      <c r="A127" s="91">
        <f t="shared" si="6"/>
        <v>103</v>
      </c>
      <c r="B127" s="91"/>
      <c r="C127" s="14" t="s">
        <v>187</v>
      </c>
      <c r="D127" s="14">
        <f>(30.618+5.175)*10.764</f>
        <v>385.27585199999999</v>
      </c>
      <c r="E127" s="14">
        <f>6.781*10.764</f>
        <v>72.990683999999987</v>
      </c>
      <c r="F127" s="14">
        <v>632</v>
      </c>
      <c r="G127" s="94"/>
      <c r="H127" s="95"/>
      <c r="I127" s="32"/>
      <c r="N127" s="32"/>
    </row>
    <row r="128" spans="1:14" s="2" customFormat="1" ht="15.75" customHeight="1" x14ac:dyDescent="0.25">
      <c r="A128" s="91">
        <f t="shared" si="6"/>
        <v>104</v>
      </c>
      <c r="B128" s="91"/>
      <c r="C128" s="14" t="s">
        <v>187</v>
      </c>
      <c r="D128" s="14">
        <f>(30.618+5.175)*10.764</f>
        <v>385.27585199999999</v>
      </c>
      <c r="E128" s="14">
        <f>6.781*10.764</f>
        <v>72.990683999999987</v>
      </c>
      <c r="F128" s="14">
        <v>632</v>
      </c>
      <c r="G128" s="94"/>
      <c r="H128" s="95"/>
      <c r="I128" s="32"/>
      <c r="N128" s="32"/>
    </row>
    <row r="129" spans="1:16" s="2" customFormat="1" ht="15.75" customHeight="1" x14ac:dyDescent="0.25">
      <c r="A129" s="91">
        <f t="shared" si="6"/>
        <v>105</v>
      </c>
      <c r="B129" s="91"/>
      <c r="C129" s="14" t="s">
        <v>187</v>
      </c>
      <c r="D129" s="14">
        <f t="shared" ref="D129:D131" si="7">(30.618+5.175)*10.764</f>
        <v>385.27585199999999</v>
      </c>
      <c r="E129" s="14">
        <f>8.612*10.764</f>
        <v>92.699567999999999</v>
      </c>
      <c r="F129" s="14">
        <v>632</v>
      </c>
      <c r="G129" s="94"/>
      <c r="H129" s="95"/>
      <c r="I129" s="32"/>
      <c r="N129" s="32"/>
    </row>
    <row r="130" spans="1:16" s="2" customFormat="1" ht="15.75" customHeight="1" x14ac:dyDescent="0.25">
      <c r="A130" s="91">
        <f t="shared" si="6"/>
        <v>106</v>
      </c>
      <c r="B130" s="91"/>
      <c r="C130" s="14" t="s">
        <v>187</v>
      </c>
      <c r="D130" s="14">
        <f t="shared" si="7"/>
        <v>385.27585199999999</v>
      </c>
      <c r="E130" s="14">
        <f>8.612*10.764</f>
        <v>92.699567999999999</v>
      </c>
      <c r="F130" s="14">
        <v>632</v>
      </c>
      <c r="G130" s="94"/>
      <c r="H130" s="95"/>
      <c r="I130" s="32"/>
      <c r="N130" s="32"/>
    </row>
    <row r="131" spans="1:16" s="2" customFormat="1" ht="15.75" customHeight="1" x14ac:dyDescent="0.25">
      <c r="A131" s="91">
        <f t="shared" si="6"/>
        <v>107</v>
      </c>
      <c r="B131" s="91"/>
      <c r="C131" s="14" t="s">
        <v>187</v>
      </c>
      <c r="D131" s="14">
        <f t="shared" si="7"/>
        <v>385.27585199999999</v>
      </c>
      <c r="E131" s="14">
        <f>4.306*10.764</f>
        <v>46.349784</v>
      </c>
      <c r="F131" s="14">
        <v>632</v>
      </c>
      <c r="G131" s="94"/>
      <c r="H131" s="95"/>
      <c r="I131" s="32"/>
      <c r="N131" s="32"/>
    </row>
    <row r="132" spans="1:16" s="2" customFormat="1" ht="15.75" customHeight="1" x14ac:dyDescent="0.25">
      <c r="A132" s="91">
        <f t="shared" si="6"/>
        <v>108</v>
      </c>
      <c r="B132" s="91"/>
      <c r="C132" s="14" t="s">
        <v>187</v>
      </c>
      <c r="D132" s="14">
        <f>(29.793+5.25)*10.764</f>
        <v>377.20285199999995</v>
      </c>
      <c r="E132" s="14">
        <f>(12.126+0.87)*10.764</f>
        <v>139.88894399999998</v>
      </c>
      <c r="F132" s="14">
        <v>632</v>
      </c>
      <c r="G132" s="94"/>
      <c r="H132" s="95"/>
      <c r="I132" s="32"/>
      <c r="N132" s="32"/>
    </row>
    <row r="133" spans="1:16" s="2" customFormat="1" ht="15.75" customHeight="1" x14ac:dyDescent="0.25">
      <c r="A133" s="91">
        <f t="shared" si="6"/>
        <v>109</v>
      </c>
      <c r="B133" s="91"/>
      <c r="C133" s="14" t="s">
        <v>187</v>
      </c>
      <c r="D133" s="14">
        <f>(29.793+5.25+1.987)*10.764</f>
        <v>398.59091999999998</v>
      </c>
      <c r="E133" s="14">
        <f>(7.82)*10.764</f>
        <v>84.174480000000003</v>
      </c>
      <c r="F133" s="14">
        <v>632</v>
      </c>
      <c r="G133" s="94"/>
      <c r="H133" s="95"/>
      <c r="I133" s="32">
        <f>2675000/F133</f>
        <v>4232.5949367088606</v>
      </c>
      <c r="N133" s="32"/>
    </row>
    <row r="134" spans="1:16" s="2" customFormat="1" ht="15.75" customHeight="1" x14ac:dyDescent="0.25">
      <c r="A134" s="91">
        <f t="shared" si="6"/>
        <v>110</v>
      </c>
      <c r="B134" s="91"/>
      <c r="C134" s="14" t="s">
        <v>187</v>
      </c>
      <c r="D134" s="14">
        <f>(30.168+5.175+1.987)*10.764</f>
        <v>401.82011999999997</v>
      </c>
      <c r="E134" s="14">
        <v>0</v>
      </c>
      <c r="F134" s="14">
        <v>616</v>
      </c>
      <c r="G134" s="94"/>
      <c r="H134" s="95"/>
      <c r="I134" s="32">
        <f>2650000/F134</f>
        <v>4301.9480519480521</v>
      </c>
      <c r="N134" s="32"/>
    </row>
    <row r="135" spans="1:16" s="2" customFormat="1" ht="15.75" customHeight="1" x14ac:dyDescent="0.25">
      <c r="A135" s="91">
        <f t="shared" si="6"/>
        <v>111</v>
      </c>
      <c r="B135" s="91"/>
      <c r="C135" s="14" t="s">
        <v>187</v>
      </c>
      <c r="D135" s="14">
        <f>(30.168+5.175+2.1)*10.764</f>
        <v>403.03645199999994</v>
      </c>
      <c r="E135" s="14">
        <v>0</v>
      </c>
      <c r="F135" s="14">
        <v>616</v>
      </c>
      <c r="G135" s="94"/>
      <c r="H135" s="95"/>
      <c r="I135" s="32"/>
      <c r="N135" s="32"/>
    </row>
    <row r="136" spans="1:16" s="2" customFormat="1" ht="15.75" customHeight="1" x14ac:dyDescent="0.25">
      <c r="A136" s="91">
        <f t="shared" si="6"/>
        <v>112</v>
      </c>
      <c r="B136" s="91"/>
      <c r="C136" s="14" t="s">
        <v>187</v>
      </c>
      <c r="D136" s="14">
        <f>(30.168+5.175+2.1)*10.764</f>
        <v>403.03645199999994</v>
      </c>
      <c r="E136" s="14">
        <v>0</v>
      </c>
      <c r="F136" s="14">
        <v>616</v>
      </c>
      <c r="G136" s="94"/>
      <c r="H136" s="95"/>
      <c r="I136" s="41">
        <f>F136/D136</f>
        <v>1.5283977341086759</v>
      </c>
      <c r="N136" s="32"/>
    </row>
    <row r="137" spans="1:16" s="2" customFormat="1" ht="15.75" customHeight="1" x14ac:dyDescent="0.25">
      <c r="A137" s="91">
        <f t="shared" si="6"/>
        <v>113</v>
      </c>
      <c r="B137" s="91"/>
      <c r="C137" s="14" t="s">
        <v>187</v>
      </c>
      <c r="D137" s="14">
        <f>(30.168+5.175+2.154)*10.764</f>
        <v>403.61770799999999</v>
      </c>
      <c r="E137" s="14">
        <v>0</v>
      </c>
      <c r="F137" s="14">
        <v>616</v>
      </c>
      <c r="G137" s="94"/>
      <c r="H137" s="95"/>
      <c r="I137" s="32"/>
      <c r="N137" s="32"/>
    </row>
    <row r="138" spans="1:16" s="2" customFormat="1" ht="15.75" customHeight="1" x14ac:dyDescent="0.25">
      <c r="A138" s="91">
        <f t="shared" si="6"/>
        <v>114</v>
      </c>
      <c r="B138" s="91"/>
      <c r="C138" s="14" t="s">
        <v>187</v>
      </c>
      <c r="D138" s="14">
        <f>(30.168+5.175+2.154)*10.764</f>
        <v>403.61770799999999</v>
      </c>
      <c r="E138" s="14">
        <v>0</v>
      </c>
      <c r="F138" s="14">
        <v>616</v>
      </c>
      <c r="G138" s="94"/>
      <c r="H138" s="95"/>
      <c r="I138" s="32"/>
      <c r="N138" s="32"/>
    </row>
    <row r="139" spans="1:16" s="2" customFormat="1" ht="15.75" customHeight="1" x14ac:dyDescent="0.25">
      <c r="A139" s="91">
        <f t="shared" si="6"/>
        <v>115</v>
      </c>
      <c r="B139" s="91"/>
      <c r="C139" s="14" t="s">
        <v>187</v>
      </c>
      <c r="D139" s="14">
        <f>(30.168+5.175+1.987)*10.764</f>
        <v>401.82011999999997</v>
      </c>
      <c r="E139" s="14">
        <v>0</v>
      </c>
      <c r="F139" s="14">
        <v>616</v>
      </c>
      <c r="G139" s="94"/>
      <c r="H139" s="95"/>
      <c r="I139" s="32"/>
      <c r="N139" s="32"/>
    </row>
    <row r="140" spans="1:16" s="2" customFormat="1" ht="15.75" customHeight="1" x14ac:dyDescent="0.25">
      <c r="A140" s="91">
        <f t="shared" si="6"/>
        <v>116</v>
      </c>
      <c r="B140" s="91"/>
      <c r="C140" s="14" t="s">
        <v>187</v>
      </c>
      <c r="D140" s="14">
        <f>(29.793+5.25+1.987)*10.764</f>
        <v>398.59091999999998</v>
      </c>
      <c r="E140" s="14">
        <v>0</v>
      </c>
      <c r="F140" s="14">
        <v>616</v>
      </c>
      <c r="G140" s="96"/>
      <c r="H140" s="97"/>
      <c r="I140" s="32"/>
      <c r="N140" s="32"/>
    </row>
    <row r="141" spans="1:16" s="2" customFormat="1" x14ac:dyDescent="0.25">
      <c r="A141" s="130" t="s">
        <v>188</v>
      </c>
      <c r="B141" s="131"/>
      <c r="C141" s="131"/>
      <c r="D141" s="131"/>
      <c r="E141" s="131"/>
      <c r="F141" s="131"/>
      <c r="G141" s="131"/>
      <c r="H141" s="132"/>
      <c r="I141" s="32"/>
    </row>
    <row r="142" spans="1:16" s="2" customFormat="1" ht="15.75" customHeight="1" x14ac:dyDescent="0.25">
      <c r="A142" s="89" t="str">
        <f t="shared" ref="A142:A147" ca="1" si="8">N142</f>
        <v>201 to 701</v>
      </c>
      <c r="B142" s="90"/>
      <c r="C142" s="14" t="s">
        <v>187</v>
      </c>
      <c r="D142" s="14">
        <f>(29.793+5.25+1.987)*10.764</f>
        <v>398.59091999999998</v>
      </c>
      <c r="E142" s="14">
        <v>0</v>
      </c>
      <c r="F142" s="14">
        <v>616</v>
      </c>
      <c r="G142" s="92" t="str">
        <f>A141</f>
        <v>2nd to 7th Floor</v>
      </c>
      <c r="H142" s="93"/>
      <c r="I142" s="32"/>
      <c r="N142" s="2" t="str">
        <f t="shared" ref="N142:N147" ca="1" si="9">O142&amp;""&amp;" to "&amp;""&amp;P142</f>
        <v>201 to 701</v>
      </c>
      <c r="O142" s="2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10^ROW(INDIRECT("1:"&amp;LEN((LEFT(A141,SUM(LEN(A141)-LEN(SUBSTITUTE(A141,{"0","1","2"},""))))))))/10))*100+1</f>
        <v>201</v>
      </c>
      <c r="P142" s="2">
        <f ca="1">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",LEN(A141))),LEN(A141)))))))/10))*100+1</f>
        <v>701</v>
      </c>
    </row>
    <row r="143" spans="1:16" s="2" customFormat="1" ht="15.75" customHeight="1" x14ac:dyDescent="0.25">
      <c r="A143" s="89" t="str">
        <f t="shared" ca="1" si="8"/>
        <v>202 to 702</v>
      </c>
      <c r="B143" s="90"/>
      <c r="C143" s="14" t="s">
        <v>187</v>
      </c>
      <c r="D143" s="14">
        <f>(30.618+5.175+1.987)*10.764</f>
        <v>406.66391999999996</v>
      </c>
      <c r="E143" s="14">
        <v>0</v>
      </c>
      <c r="F143" s="14">
        <v>616</v>
      </c>
      <c r="G143" s="94"/>
      <c r="H143" s="95"/>
      <c r="I143" s="32"/>
      <c r="N143" s="2" t="str">
        <f t="shared" ca="1" si="9"/>
        <v>202 to 702</v>
      </c>
      <c r="O143" s="2">
        <f t="shared" ref="O143:P146" ca="1" si="10">O142+1</f>
        <v>202</v>
      </c>
      <c r="P143" s="2">
        <f t="shared" ca="1" si="10"/>
        <v>702</v>
      </c>
    </row>
    <row r="144" spans="1:16" s="2" customFormat="1" ht="15.75" customHeight="1" x14ac:dyDescent="0.25">
      <c r="A144" s="89" t="str">
        <f t="shared" ca="1" si="8"/>
        <v>203 to 703</v>
      </c>
      <c r="B144" s="90"/>
      <c r="C144" s="14" t="s">
        <v>187</v>
      </c>
      <c r="D144" s="14">
        <f>(30.618+5.175+2.154)*10.764</f>
        <v>408.46150799999998</v>
      </c>
      <c r="E144" s="14">
        <v>0</v>
      </c>
      <c r="F144" s="14">
        <v>616</v>
      </c>
      <c r="G144" s="94"/>
      <c r="H144" s="95"/>
      <c r="I144" s="32"/>
      <c r="N144" s="2" t="str">
        <f t="shared" ca="1" si="9"/>
        <v>203 to 703</v>
      </c>
      <c r="O144" s="2">
        <f t="shared" ca="1" si="10"/>
        <v>203</v>
      </c>
      <c r="P144" s="2">
        <f t="shared" ca="1" si="10"/>
        <v>703</v>
      </c>
    </row>
    <row r="145" spans="1:16" s="2" customFormat="1" ht="15.75" customHeight="1" x14ac:dyDescent="0.25">
      <c r="A145" s="89" t="str">
        <f t="shared" ca="1" si="8"/>
        <v>204 to 704</v>
      </c>
      <c r="B145" s="90"/>
      <c r="C145" s="14" t="s">
        <v>187</v>
      </c>
      <c r="D145" s="14">
        <f>(30.618+5.175+2.145)*10.764</f>
        <v>408.36463200000003</v>
      </c>
      <c r="E145" s="14">
        <v>0</v>
      </c>
      <c r="F145" s="14">
        <v>616</v>
      </c>
      <c r="G145" s="94"/>
      <c r="H145" s="95"/>
      <c r="I145" s="32"/>
      <c r="N145" s="2" t="str">
        <f t="shared" ca="1" si="9"/>
        <v>204 to 704</v>
      </c>
      <c r="O145" s="2">
        <f t="shared" ca="1" si="10"/>
        <v>204</v>
      </c>
      <c r="P145" s="2">
        <f t="shared" ca="1" si="10"/>
        <v>704</v>
      </c>
    </row>
    <row r="146" spans="1:16" s="2" customFormat="1" ht="15.75" customHeight="1" x14ac:dyDescent="0.25">
      <c r="A146" s="89" t="str">
        <f t="shared" ca="1" si="8"/>
        <v>205 to 705</v>
      </c>
      <c r="B146" s="90"/>
      <c r="C146" s="14" t="s">
        <v>187</v>
      </c>
      <c r="D146" s="14">
        <f>(30.618+5.175+2.1)*10.764</f>
        <v>407.88025199999998</v>
      </c>
      <c r="E146" s="14">
        <v>0</v>
      </c>
      <c r="F146" s="14">
        <v>616</v>
      </c>
      <c r="G146" s="94"/>
      <c r="H146" s="95"/>
      <c r="I146" s="32"/>
      <c r="N146" s="2" t="str">
        <f t="shared" ca="1" si="9"/>
        <v>205 to 705</v>
      </c>
      <c r="O146" s="2">
        <f t="shared" ca="1" si="10"/>
        <v>205</v>
      </c>
      <c r="P146" s="2">
        <f t="shared" ca="1" si="10"/>
        <v>705</v>
      </c>
    </row>
    <row r="147" spans="1:16" s="2" customFormat="1" ht="15.75" customHeight="1" x14ac:dyDescent="0.25">
      <c r="A147" s="89" t="str">
        <f t="shared" ca="1" si="8"/>
        <v>206 to 706</v>
      </c>
      <c r="B147" s="90"/>
      <c r="C147" s="14" t="s">
        <v>187</v>
      </c>
      <c r="D147" s="14">
        <f>(30.618+5.175+2.1)*10.764</f>
        <v>407.88025199999998</v>
      </c>
      <c r="E147" s="14">
        <v>0</v>
      </c>
      <c r="F147" s="14">
        <v>616</v>
      </c>
      <c r="G147" s="94"/>
      <c r="H147" s="95"/>
      <c r="I147" s="32"/>
      <c r="N147" s="2" t="str">
        <f t="shared" ca="1" si="9"/>
        <v>206 to 706</v>
      </c>
      <c r="O147" s="2">
        <f ca="1">O146+1</f>
        <v>206</v>
      </c>
      <c r="P147" s="2">
        <f ca="1">P146+1</f>
        <v>706</v>
      </c>
    </row>
    <row r="148" spans="1:16" s="2" customFormat="1" ht="15.75" customHeight="1" x14ac:dyDescent="0.25">
      <c r="A148" s="89" t="str">
        <f t="shared" ref="A148:A153" ca="1" si="11">N148</f>
        <v>207 to 707</v>
      </c>
      <c r="B148" s="90"/>
      <c r="C148" s="14" t="s">
        <v>187</v>
      </c>
      <c r="D148" s="14">
        <f>(30.618+5.175+1.987)*10.764</f>
        <v>406.66391999999996</v>
      </c>
      <c r="E148" s="14">
        <v>0</v>
      </c>
      <c r="F148" s="14">
        <v>616</v>
      </c>
      <c r="G148" s="94"/>
      <c r="H148" s="95"/>
      <c r="I148" s="32"/>
      <c r="N148" s="2" t="str">
        <f t="shared" ref="N148:N153" ca="1" si="12">O148&amp;""&amp;" to "&amp;""&amp;P148</f>
        <v>207 to 707</v>
      </c>
      <c r="O148" s="2">
        <f t="shared" ref="O148:P148" ca="1" si="13">O147+1</f>
        <v>207</v>
      </c>
      <c r="P148" s="2">
        <f t="shared" ca="1" si="13"/>
        <v>707</v>
      </c>
    </row>
    <row r="149" spans="1:16" s="2" customFormat="1" ht="15.75" customHeight="1" x14ac:dyDescent="0.25">
      <c r="A149" s="89" t="str">
        <f t="shared" ca="1" si="11"/>
        <v>208 to 708</v>
      </c>
      <c r="B149" s="90"/>
      <c r="C149" s="14" t="s">
        <v>187</v>
      </c>
      <c r="D149" s="14">
        <f>(29.793+5.25+1.987)*10.764</f>
        <v>398.59091999999998</v>
      </c>
      <c r="E149" s="14">
        <v>0</v>
      </c>
      <c r="F149" s="14">
        <v>616</v>
      </c>
      <c r="G149" s="94"/>
      <c r="H149" s="95"/>
      <c r="I149" s="32"/>
      <c r="N149" s="2" t="str">
        <f t="shared" ca="1" si="12"/>
        <v>208 to 708</v>
      </c>
      <c r="O149" s="2">
        <f t="shared" ref="O149:P149" ca="1" si="14">O148+1</f>
        <v>208</v>
      </c>
      <c r="P149" s="2">
        <f t="shared" ca="1" si="14"/>
        <v>708</v>
      </c>
    </row>
    <row r="150" spans="1:16" s="2" customFormat="1" ht="15.75" customHeight="1" x14ac:dyDescent="0.25">
      <c r="A150" s="89" t="str">
        <f t="shared" ca="1" si="11"/>
        <v>209 to 709</v>
      </c>
      <c r="B150" s="90"/>
      <c r="C150" s="14" t="s">
        <v>187</v>
      </c>
      <c r="D150" s="14">
        <f>(29.793+5.25+1.987)*10.764</f>
        <v>398.59091999999998</v>
      </c>
      <c r="E150" s="14">
        <v>0</v>
      </c>
      <c r="F150" s="14">
        <v>616</v>
      </c>
      <c r="G150" s="94"/>
      <c r="H150" s="95"/>
      <c r="I150" s="32"/>
      <c r="N150" s="2" t="str">
        <f t="shared" ca="1" si="12"/>
        <v>209 to 709</v>
      </c>
      <c r="O150" s="2">
        <f ca="1">O149+1</f>
        <v>209</v>
      </c>
      <c r="P150" s="2">
        <f ca="1">P149+1</f>
        <v>709</v>
      </c>
    </row>
    <row r="151" spans="1:16" s="2" customFormat="1" ht="15.75" customHeight="1" x14ac:dyDescent="0.25">
      <c r="A151" s="89" t="str">
        <f t="shared" ca="1" si="11"/>
        <v>210 to 710</v>
      </c>
      <c r="B151" s="90"/>
      <c r="C151" s="14" t="s">
        <v>187</v>
      </c>
      <c r="D151" s="14">
        <f>(30.168+5.175+1.987)*10.764</f>
        <v>401.82011999999997</v>
      </c>
      <c r="E151" s="14">
        <v>0</v>
      </c>
      <c r="F151" s="14">
        <v>616</v>
      </c>
      <c r="G151" s="94"/>
      <c r="H151" s="95"/>
      <c r="I151" s="32"/>
      <c r="N151" s="2" t="str">
        <f t="shared" ca="1" si="12"/>
        <v>210 to 710</v>
      </c>
      <c r="O151" s="2">
        <f t="shared" ref="O151:P151" ca="1" si="15">O150+1</f>
        <v>210</v>
      </c>
      <c r="P151" s="2">
        <f t="shared" ca="1" si="15"/>
        <v>710</v>
      </c>
    </row>
    <row r="152" spans="1:16" s="2" customFormat="1" ht="15.75" customHeight="1" x14ac:dyDescent="0.25">
      <c r="A152" s="89" t="str">
        <f t="shared" ca="1" si="11"/>
        <v>211 to 711</v>
      </c>
      <c r="B152" s="90"/>
      <c r="C152" s="14" t="s">
        <v>187</v>
      </c>
      <c r="D152" s="14">
        <f>(30.168+5.175+2.1)*10.764</f>
        <v>403.03645199999994</v>
      </c>
      <c r="E152" s="14">
        <v>0</v>
      </c>
      <c r="F152" s="14">
        <v>616</v>
      </c>
      <c r="G152" s="94"/>
      <c r="H152" s="95"/>
      <c r="I152" s="32"/>
      <c r="N152" s="2" t="str">
        <f t="shared" ca="1" si="12"/>
        <v>211 to 711</v>
      </c>
      <c r="O152" s="2">
        <f t="shared" ref="O152:P152" ca="1" si="16">O151+1</f>
        <v>211</v>
      </c>
      <c r="P152" s="2">
        <f t="shared" ca="1" si="16"/>
        <v>711</v>
      </c>
    </row>
    <row r="153" spans="1:16" s="2" customFormat="1" ht="15.75" customHeight="1" x14ac:dyDescent="0.25">
      <c r="A153" s="89" t="str">
        <f t="shared" ca="1" si="11"/>
        <v>212 to 712</v>
      </c>
      <c r="B153" s="90"/>
      <c r="C153" s="14" t="s">
        <v>187</v>
      </c>
      <c r="D153" s="14">
        <f>(30.168+5.175+2.1)*10.764</f>
        <v>403.03645199999994</v>
      </c>
      <c r="E153" s="14">
        <v>0</v>
      </c>
      <c r="F153" s="14">
        <v>616</v>
      </c>
      <c r="G153" s="94"/>
      <c r="H153" s="95"/>
      <c r="I153" s="32"/>
      <c r="N153" s="2" t="str">
        <f t="shared" ca="1" si="12"/>
        <v>212 to 712</v>
      </c>
      <c r="O153" s="2">
        <f ca="1">O152+1</f>
        <v>212</v>
      </c>
      <c r="P153" s="2">
        <f ca="1">P152+1</f>
        <v>712</v>
      </c>
    </row>
    <row r="154" spans="1:16" s="2" customFormat="1" ht="15.75" customHeight="1" x14ac:dyDescent="0.25">
      <c r="A154" s="89" t="str">
        <f t="shared" ref="A154:A156" ca="1" si="17">N154</f>
        <v>213 to 713</v>
      </c>
      <c r="B154" s="90"/>
      <c r="C154" s="14" t="s">
        <v>187</v>
      </c>
      <c r="D154" s="14">
        <f>(30.168+5.175+2.154)*10.764</f>
        <v>403.61770799999999</v>
      </c>
      <c r="E154" s="14">
        <v>0</v>
      </c>
      <c r="F154" s="14">
        <v>616</v>
      </c>
      <c r="G154" s="94"/>
      <c r="H154" s="95"/>
      <c r="I154" s="32"/>
      <c r="N154" s="2" t="str">
        <f t="shared" ref="N154:N156" ca="1" si="18">O154&amp;""&amp;" to "&amp;""&amp;P154</f>
        <v>213 to 713</v>
      </c>
      <c r="O154" s="2">
        <f t="shared" ref="O154:P154" ca="1" si="19">O153+1</f>
        <v>213</v>
      </c>
      <c r="P154" s="2">
        <f t="shared" ca="1" si="19"/>
        <v>713</v>
      </c>
    </row>
    <row r="155" spans="1:16" s="2" customFormat="1" ht="15.75" customHeight="1" x14ac:dyDescent="0.25">
      <c r="A155" s="89" t="str">
        <f t="shared" ca="1" si="17"/>
        <v>214 to 714</v>
      </c>
      <c r="B155" s="90"/>
      <c r="C155" s="14" t="s">
        <v>187</v>
      </c>
      <c r="D155" s="14">
        <f>(30.168+5.175+2.154)*10.764</f>
        <v>403.61770799999999</v>
      </c>
      <c r="E155" s="14">
        <v>0</v>
      </c>
      <c r="F155" s="14">
        <v>616</v>
      </c>
      <c r="G155" s="94"/>
      <c r="H155" s="95"/>
      <c r="I155" s="32"/>
      <c r="N155" s="2" t="str">
        <f t="shared" ca="1" si="18"/>
        <v>214 to 714</v>
      </c>
      <c r="O155" s="2">
        <f t="shared" ref="O155:P155" ca="1" si="20">O154+1</f>
        <v>214</v>
      </c>
      <c r="P155" s="2">
        <f t="shared" ca="1" si="20"/>
        <v>714</v>
      </c>
    </row>
    <row r="156" spans="1:16" s="2" customFormat="1" ht="15.75" customHeight="1" x14ac:dyDescent="0.25">
      <c r="A156" s="89" t="str">
        <f t="shared" ca="1" si="17"/>
        <v>215 to 715</v>
      </c>
      <c r="B156" s="90"/>
      <c r="C156" s="14" t="s">
        <v>187</v>
      </c>
      <c r="D156" s="14">
        <f>(30.168+5.175+1.987)*10.764</f>
        <v>401.82011999999997</v>
      </c>
      <c r="E156" s="14">
        <v>0</v>
      </c>
      <c r="F156" s="14">
        <v>616</v>
      </c>
      <c r="G156" s="94"/>
      <c r="H156" s="95"/>
      <c r="I156" s="32"/>
      <c r="N156" s="2" t="str">
        <f t="shared" ca="1" si="18"/>
        <v>215 to 715</v>
      </c>
      <c r="O156" s="2">
        <f ca="1">O155+1</f>
        <v>215</v>
      </c>
      <c r="P156" s="2">
        <f ca="1">P155+1</f>
        <v>715</v>
      </c>
    </row>
    <row r="157" spans="1:16" s="2" customFormat="1" ht="15.75" customHeight="1" x14ac:dyDescent="0.25">
      <c r="A157" s="89" t="str">
        <f t="shared" ref="A157" ca="1" si="21">N157</f>
        <v>216 to 716</v>
      </c>
      <c r="B157" s="90"/>
      <c r="C157" s="14" t="s">
        <v>187</v>
      </c>
      <c r="D157" s="14">
        <f>(29.793+5.25+1.987)*10.764</f>
        <v>398.59091999999998</v>
      </c>
      <c r="E157" s="14">
        <v>0</v>
      </c>
      <c r="F157" s="14">
        <v>616</v>
      </c>
      <c r="G157" s="96"/>
      <c r="H157" s="97"/>
      <c r="I157" s="32"/>
      <c r="N157" s="2" t="str">
        <f t="shared" ref="N157" ca="1" si="22">O157&amp;""&amp;" to "&amp;""&amp;P157</f>
        <v>216 to 716</v>
      </c>
      <c r="O157" s="2">
        <f ca="1">O156+1</f>
        <v>216</v>
      </c>
      <c r="P157" s="2">
        <f ca="1">P156+1</f>
        <v>716</v>
      </c>
    </row>
    <row r="158" spans="1:16" s="1" customFormat="1" x14ac:dyDescent="0.25">
      <c r="A158" s="129" t="s">
        <v>75</v>
      </c>
      <c r="B158" s="129"/>
      <c r="C158" s="129"/>
      <c r="D158" s="129"/>
      <c r="E158" s="129"/>
      <c r="F158" s="129"/>
      <c r="G158" s="129"/>
      <c r="H158" s="129"/>
    </row>
    <row r="159" spans="1:16" s="1" customFormat="1" ht="15.75" customHeight="1" x14ac:dyDescent="0.25">
      <c r="A159" s="35">
        <v>1</v>
      </c>
      <c r="B159" s="120" t="s">
        <v>214</v>
      </c>
      <c r="C159" s="121"/>
      <c r="D159" s="121"/>
      <c r="E159" s="121"/>
      <c r="F159" s="121"/>
      <c r="G159" s="121"/>
      <c r="H159" s="122"/>
    </row>
    <row r="160" spans="1:16" s="1" customFormat="1" x14ac:dyDescent="0.25">
      <c r="A160" s="35">
        <f t="shared" ref="A160:A167" si="23">A159+1</f>
        <v>2</v>
      </c>
      <c r="B160" s="171" t="str">
        <f>(IF(F123="Saleable area Loading :","We have considered Saleable area of Flats as per our Calculation.","We considered Saleable area of Flat as per Builder area Sheet."))</f>
        <v>We considered Saleable area of Flat as per Builder area Sheet.</v>
      </c>
      <c r="C160" s="172"/>
      <c r="D160" s="172"/>
      <c r="E160" s="172"/>
      <c r="F160" s="172"/>
      <c r="G160" s="172"/>
      <c r="H160" s="173"/>
    </row>
    <row r="161" spans="1:8" s="1" customFormat="1" x14ac:dyDescent="0.25">
      <c r="A161" s="35">
        <f t="shared" si="23"/>
        <v>3</v>
      </c>
      <c r="B161" s="171" t="str">
        <f>(IF(F98="Saleable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1" s="172"/>
      <c r="D161" s="172"/>
      <c r="E161" s="172"/>
      <c r="F161" s="172"/>
      <c r="G161" s="172"/>
      <c r="H161" s="173"/>
    </row>
    <row r="162" spans="1:8" s="1" customFormat="1" x14ac:dyDescent="0.25">
      <c r="A162" s="35">
        <f>A161+1</f>
        <v>4</v>
      </c>
      <c r="B162" s="117" t="s">
        <v>136</v>
      </c>
      <c r="C162" s="118"/>
      <c r="D162" s="118"/>
      <c r="E162" s="118"/>
      <c r="F162" s="118"/>
      <c r="G162" s="118"/>
      <c r="H162" s="119"/>
    </row>
    <row r="163" spans="1:8" s="1" customFormat="1" x14ac:dyDescent="0.25">
      <c r="A163" s="35">
        <f t="shared" si="23"/>
        <v>5</v>
      </c>
      <c r="B163" s="117" t="s">
        <v>164</v>
      </c>
      <c r="C163" s="118"/>
      <c r="D163" s="118"/>
      <c r="E163" s="118"/>
      <c r="F163" s="118"/>
      <c r="G163" s="118"/>
      <c r="H163" s="119"/>
    </row>
    <row r="164" spans="1:8" s="1" customFormat="1" x14ac:dyDescent="0.25">
      <c r="A164" s="35">
        <f t="shared" si="23"/>
        <v>6</v>
      </c>
      <c r="B164" s="117" t="s">
        <v>189</v>
      </c>
      <c r="C164" s="118"/>
      <c r="D164" s="118"/>
      <c r="E164" s="118"/>
      <c r="F164" s="118"/>
      <c r="G164" s="118"/>
      <c r="H164" s="119"/>
    </row>
    <row r="165" spans="1:8" s="1" customFormat="1" x14ac:dyDescent="0.25">
      <c r="A165" s="35">
        <f t="shared" si="23"/>
        <v>7</v>
      </c>
      <c r="B165" s="117" t="s">
        <v>137</v>
      </c>
      <c r="C165" s="118"/>
      <c r="D165" s="118"/>
      <c r="E165" s="118"/>
      <c r="F165" s="118"/>
      <c r="G165" s="118"/>
      <c r="H165" s="119"/>
    </row>
    <row r="166" spans="1:8" s="1" customFormat="1" x14ac:dyDescent="0.25">
      <c r="A166" s="35">
        <f t="shared" si="23"/>
        <v>8</v>
      </c>
      <c r="B166" s="117" t="s">
        <v>138</v>
      </c>
      <c r="C166" s="118"/>
      <c r="D166" s="118"/>
      <c r="E166" s="118"/>
      <c r="F166" s="118"/>
      <c r="G166" s="118"/>
      <c r="H166" s="119"/>
    </row>
    <row r="167" spans="1:8" s="1" customFormat="1" hidden="1" x14ac:dyDescent="0.25">
      <c r="A167" s="35">
        <f t="shared" si="23"/>
        <v>9</v>
      </c>
      <c r="B167" s="120" t="s">
        <v>206</v>
      </c>
      <c r="C167" s="121"/>
      <c r="D167" s="121"/>
      <c r="E167" s="121"/>
      <c r="F167" s="121"/>
      <c r="G167" s="121"/>
      <c r="H167" s="122"/>
    </row>
    <row r="168" spans="1:8" x14ac:dyDescent="0.25">
      <c r="A168" s="137" t="s">
        <v>68</v>
      </c>
      <c r="B168" s="137"/>
      <c r="C168" s="137"/>
      <c r="D168" s="137"/>
      <c r="E168" s="137"/>
      <c r="F168" s="137"/>
      <c r="G168" s="137"/>
      <c r="H168" s="137"/>
    </row>
    <row r="169" spans="1:8" x14ac:dyDescent="0.25">
      <c r="A169" s="61" t="s">
        <v>69</v>
      </c>
      <c r="B169" s="61"/>
      <c r="C169" s="61"/>
      <c r="D169" s="61"/>
      <c r="E169" s="61"/>
      <c r="F169" s="61"/>
      <c r="G169" s="61"/>
      <c r="H169" s="61"/>
    </row>
    <row r="170" spans="1:8" ht="15.75" customHeight="1" x14ac:dyDescent="0.25">
      <c r="A170" s="99" t="s">
        <v>70</v>
      </c>
      <c r="B170" s="99"/>
      <c r="C170" s="99"/>
      <c r="D170" s="99"/>
      <c r="E170" s="99"/>
      <c r="F170" s="99"/>
      <c r="G170" s="99"/>
      <c r="H170" s="99"/>
    </row>
    <row r="171" spans="1:8" x14ac:dyDescent="0.25">
      <c r="A171" s="61" t="s">
        <v>71</v>
      </c>
      <c r="B171" s="61"/>
      <c r="C171" s="61"/>
      <c r="D171" s="61"/>
      <c r="E171" s="61"/>
      <c r="F171" s="61"/>
      <c r="G171" s="61"/>
      <c r="H171" s="61"/>
    </row>
    <row r="172" spans="1:8" x14ac:dyDescent="0.25">
      <c r="A172" s="61" t="s">
        <v>72</v>
      </c>
      <c r="B172" s="61"/>
      <c r="C172" s="61"/>
      <c r="D172" s="61"/>
      <c r="E172" s="61"/>
      <c r="F172" s="61"/>
      <c r="G172" s="61"/>
      <c r="H172" s="61"/>
    </row>
    <row r="173" spans="1:8" x14ac:dyDescent="0.25">
      <c r="A173" s="61" t="s">
        <v>139</v>
      </c>
      <c r="B173" s="61"/>
      <c r="C173" s="61"/>
      <c r="D173" s="61"/>
      <c r="E173" s="61"/>
      <c r="F173" s="61"/>
      <c r="G173" s="61"/>
      <c r="H173" s="61"/>
    </row>
    <row r="174" spans="1:8" ht="35.25" customHeight="1" x14ac:dyDescent="0.25">
      <c r="A174" s="128" t="s">
        <v>140</v>
      </c>
      <c r="B174" s="128"/>
      <c r="C174" s="128"/>
      <c r="D174" s="128"/>
      <c r="E174" s="128"/>
      <c r="F174" s="128"/>
      <c r="G174" s="128"/>
      <c r="H174" s="128"/>
    </row>
    <row r="175" spans="1:8" x14ac:dyDescent="0.25">
      <c r="A175" s="124" t="s">
        <v>85</v>
      </c>
      <c r="B175" s="124"/>
      <c r="C175" s="124" t="s">
        <v>208</v>
      </c>
      <c r="D175" s="124"/>
      <c r="E175" s="124" t="s">
        <v>116</v>
      </c>
      <c r="F175" s="124"/>
      <c r="G175" s="124" t="s">
        <v>213</v>
      </c>
      <c r="H175" s="124"/>
    </row>
    <row r="176" spans="1:8" x14ac:dyDescent="0.25">
      <c r="A176" s="123" t="s">
        <v>87</v>
      </c>
      <c r="B176" s="123"/>
      <c r="C176" s="123"/>
      <c r="D176" s="123"/>
      <c r="E176" s="123"/>
      <c r="F176" s="123"/>
      <c r="G176" s="123"/>
      <c r="H176" s="123"/>
    </row>
    <row r="177" spans="1:8" x14ac:dyDescent="0.25">
      <c r="A177" s="123"/>
      <c r="B177" s="123"/>
      <c r="C177" s="123"/>
      <c r="D177" s="123"/>
      <c r="E177" s="123"/>
      <c r="F177" s="123"/>
      <c r="G177" s="123"/>
      <c r="H177" s="123"/>
    </row>
    <row r="178" spans="1:8" x14ac:dyDescent="0.25">
      <c r="A178" s="123"/>
      <c r="B178" s="123"/>
      <c r="C178" s="123"/>
      <c r="D178" s="123"/>
      <c r="E178" s="123"/>
      <c r="F178" s="123"/>
      <c r="G178" s="123"/>
      <c r="H178" s="123"/>
    </row>
    <row r="179" spans="1:8" x14ac:dyDescent="0.25">
      <c r="A179" s="123"/>
      <c r="B179" s="123"/>
      <c r="C179" s="123"/>
      <c r="D179" s="123"/>
      <c r="E179" s="123"/>
      <c r="F179" s="123"/>
      <c r="G179" s="123"/>
      <c r="H179" s="123"/>
    </row>
    <row r="180" spans="1:8" x14ac:dyDescent="0.25">
      <c r="A180" s="9" t="s">
        <v>73</v>
      </c>
      <c r="B180" s="10"/>
      <c r="C180" s="10"/>
      <c r="D180" s="9" t="str">
        <f>E8</f>
        <v>Arihant Amisha Phase II</v>
      </c>
      <c r="F180" s="10"/>
      <c r="G180" s="10"/>
      <c r="H180" s="10"/>
    </row>
    <row r="181" spans="1:8" x14ac:dyDescent="0.25">
      <c r="A181" s="10"/>
      <c r="B181" s="10"/>
      <c r="C181" s="10"/>
      <c r="D181" s="10"/>
      <c r="E181" s="10"/>
      <c r="F181" s="10"/>
      <c r="G181" s="10"/>
      <c r="H181" s="10"/>
    </row>
    <row r="182" spans="1:8" x14ac:dyDescent="0.25">
      <c r="A182" s="10"/>
      <c r="B182" s="10"/>
      <c r="C182" s="10"/>
      <c r="D182" s="10"/>
      <c r="E182" s="10"/>
      <c r="F182" s="10"/>
      <c r="G182" s="10"/>
      <c r="H182" s="10"/>
    </row>
    <row r="183" spans="1:8" ht="15" customHeight="1" x14ac:dyDescent="0.25"/>
    <row r="225" spans="1:1" x14ac:dyDescent="0.25">
      <c r="A225" s="12" t="s">
        <v>74</v>
      </c>
    </row>
  </sheetData>
  <mergeCells count="310">
    <mergeCell ref="A46:B46"/>
    <mergeCell ref="C46:H46"/>
    <mergeCell ref="B163:H163"/>
    <mergeCell ref="F80:H80"/>
    <mergeCell ref="A80:E80"/>
    <mergeCell ref="D98:D99"/>
    <mergeCell ref="A107:B107"/>
    <mergeCell ref="A101:B101"/>
    <mergeCell ref="A102:B102"/>
    <mergeCell ref="A103:B103"/>
    <mergeCell ref="A104:B104"/>
    <mergeCell ref="A105:B105"/>
    <mergeCell ref="A81:E81"/>
    <mergeCell ref="F81:H81"/>
    <mergeCell ref="A106:B106"/>
    <mergeCell ref="A75:B75"/>
    <mergeCell ref="C95:D95"/>
    <mergeCell ref="E95:F95"/>
    <mergeCell ref="G95:H95"/>
    <mergeCell ref="F83:H83"/>
    <mergeCell ref="A79:E79"/>
    <mergeCell ref="A100:H100"/>
    <mergeCell ref="A57:C57"/>
    <mergeCell ref="A58:C58"/>
    <mergeCell ref="L107:M107"/>
    <mergeCell ref="L106:M106"/>
    <mergeCell ref="L105:M105"/>
    <mergeCell ref="L104:M104"/>
    <mergeCell ref="L103:M103"/>
    <mergeCell ref="L102:M102"/>
    <mergeCell ref="L101:M101"/>
    <mergeCell ref="B161:H161"/>
    <mergeCell ref="B159:H159"/>
    <mergeCell ref="B160:H160"/>
    <mergeCell ref="A108:B108"/>
    <mergeCell ref="A112:B112"/>
    <mergeCell ref="A120:B120"/>
    <mergeCell ref="A132:B132"/>
    <mergeCell ref="A133:B133"/>
    <mergeCell ref="A134:B134"/>
    <mergeCell ref="A135:B135"/>
    <mergeCell ref="A136:B136"/>
    <mergeCell ref="A137:B137"/>
    <mergeCell ref="L119:M119"/>
    <mergeCell ref="L112:M112"/>
    <mergeCell ref="L113:M113"/>
    <mergeCell ref="L114:M114"/>
    <mergeCell ref="L115:M115"/>
    <mergeCell ref="A39:D39"/>
    <mergeCell ref="E39:H39"/>
    <mergeCell ref="F31:H31"/>
    <mergeCell ref="F32:H32"/>
    <mergeCell ref="C30:E30"/>
    <mergeCell ref="F33:H33"/>
    <mergeCell ref="F34:H34"/>
    <mergeCell ref="A36:B36"/>
    <mergeCell ref="E36:F36"/>
    <mergeCell ref="C36:D36"/>
    <mergeCell ref="G36:H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9:D9"/>
    <mergeCell ref="E9:H9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D55:H55"/>
    <mergeCell ref="A55:C55"/>
    <mergeCell ref="G48:H48"/>
    <mergeCell ref="A49:B50"/>
    <mergeCell ref="A74:B74"/>
    <mergeCell ref="A67:B67"/>
    <mergeCell ref="A70:B70"/>
    <mergeCell ref="A59:C59"/>
    <mergeCell ref="D59:H59"/>
    <mergeCell ref="A71:B71"/>
    <mergeCell ref="E67:F67"/>
    <mergeCell ref="A60:C60"/>
    <mergeCell ref="D60:H60"/>
    <mergeCell ref="A63:C63"/>
    <mergeCell ref="D63:H63"/>
    <mergeCell ref="A61:C61"/>
    <mergeCell ref="D61:H61"/>
    <mergeCell ref="D57:H57"/>
    <mergeCell ref="E68:F77"/>
    <mergeCell ref="G68:H77"/>
    <mergeCell ref="A76:B76"/>
    <mergeCell ref="A77:B77"/>
    <mergeCell ref="D58:H58"/>
    <mergeCell ref="A53:C53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B162:H162"/>
    <mergeCell ref="B164:H164"/>
    <mergeCell ref="A113:B113"/>
    <mergeCell ref="A114:B114"/>
    <mergeCell ref="A115:B115"/>
    <mergeCell ref="C66:H66"/>
    <mergeCell ref="A69:B69"/>
    <mergeCell ref="A151:B151"/>
    <mergeCell ref="A152:B152"/>
    <mergeCell ref="A153:B153"/>
    <mergeCell ref="A154:B154"/>
    <mergeCell ref="A155:B155"/>
    <mergeCell ref="G142:H157"/>
    <mergeCell ref="A150:B150"/>
    <mergeCell ref="A142:B142"/>
    <mergeCell ref="A143:B143"/>
    <mergeCell ref="A144:B144"/>
    <mergeCell ref="A145:B145"/>
    <mergeCell ref="A146:B146"/>
    <mergeCell ref="A140:B140"/>
    <mergeCell ref="A148:B148"/>
    <mergeCell ref="A149:B149"/>
    <mergeCell ref="G125:H140"/>
    <mergeCell ref="A83:E83"/>
    <mergeCell ref="A176:H179"/>
    <mergeCell ref="A175:B175"/>
    <mergeCell ref="E175:F175"/>
    <mergeCell ref="C175:D175"/>
    <mergeCell ref="G175:H175"/>
    <mergeCell ref="A90:H90"/>
    <mergeCell ref="A88:E88"/>
    <mergeCell ref="F88:H88"/>
    <mergeCell ref="A89:E89"/>
    <mergeCell ref="F89:H89"/>
    <mergeCell ref="A124:H124"/>
    <mergeCell ref="A95:B95"/>
    <mergeCell ref="A92:B92"/>
    <mergeCell ref="A171:H171"/>
    <mergeCell ref="A93:H93"/>
    <mergeCell ref="A174:H174"/>
    <mergeCell ref="A172:H172"/>
    <mergeCell ref="A158:H158"/>
    <mergeCell ref="C98:C99"/>
    <mergeCell ref="A141:H141"/>
    <mergeCell ref="E98:E99"/>
    <mergeCell ref="G98:H99"/>
    <mergeCell ref="B165:H165"/>
    <mergeCell ref="A168:H168"/>
    <mergeCell ref="A169:H169"/>
    <mergeCell ref="E94:F94"/>
    <mergeCell ref="E91:F91"/>
    <mergeCell ref="A96:H96"/>
    <mergeCell ref="A91:B91"/>
    <mergeCell ref="F84:H84"/>
    <mergeCell ref="C91:D91"/>
    <mergeCell ref="F87:H87"/>
    <mergeCell ref="F85:H85"/>
    <mergeCell ref="A97:H97"/>
    <mergeCell ref="G91:H91"/>
    <mergeCell ref="A86:E86"/>
    <mergeCell ref="C92:D92"/>
    <mergeCell ref="E92:F92"/>
    <mergeCell ref="B98:B99"/>
    <mergeCell ref="A98:A99"/>
    <mergeCell ref="B166:H166"/>
    <mergeCell ref="B167:H167"/>
    <mergeCell ref="A156:B156"/>
    <mergeCell ref="A147:B147"/>
    <mergeCell ref="F86:H86"/>
    <mergeCell ref="A87:E87"/>
    <mergeCell ref="A85:E85"/>
    <mergeCell ref="A157:B157"/>
    <mergeCell ref="L111:M111"/>
    <mergeCell ref="A138:B138"/>
    <mergeCell ref="A139:B139"/>
    <mergeCell ref="E40:H40"/>
    <mergeCell ref="A40:D40"/>
    <mergeCell ref="A173:H173"/>
    <mergeCell ref="A130:B130"/>
    <mergeCell ref="A170:H170"/>
    <mergeCell ref="A125:B125"/>
    <mergeCell ref="A94:B94"/>
    <mergeCell ref="G123:H123"/>
    <mergeCell ref="A73:B73"/>
    <mergeCell ref="F79:H79"/>
    <mergeCell ref="A78:H78"/>
    <mergeCell ref="G92:H92"/>
    <mergeCell ref="A47:B47"/>
    <mergeCell ref="C47:E47"/>
    <mergeCell ref="G47:H47"/>
    <mergeCell ref="G49:H49"/>
    <mergeCell ref="D53:H53"/>
    <mergeCell ref="C49:E49"/>
    <mergeCell ref="A56:C56"/>
    <mergeCell ref="A116:B116"/>
    <mergeCell ref="D56:H56"/>
    <mergeCell ref="L120:M120"/>
    <mergeCell ref="A121:B121"/>
    <mergeCell ref="L121:M121"/>
    <mergeCell ref="A122:B122"/>
    <mergeCell ref="L122:M122"/>
    <mergeCell ref="A131:B131"/>
    <mergeCell ref="L124:M124"/>
    <mergeCell ref="A129:B129"/>
    <mergeCell ref="A126:B126"/>
    <mergeCell ref="A127:B127"/>
    <mergeCell ref="A128:B128"/>
    <mergeCell ref="G101:H122"/>
    <mergeCell ref="L116:M116"/>
    <mergeCell ref="A117:B117"/>
    <mergeCell ref="L117:M117"/>
    <mergeCell ref="A118:B118"/>
    <mergeCell ref="L118:M118"/>
    <mergeCell ref="A119:B119"/>
    <mergeCell ref="L108:M108"/>
    <mergeCell ref="A109:B109"/>
    <mergeCell ref="L109:M109"/>
    <mergeCell ref="A110:B110"/>
    <mergeCell ref="L110:M110"/>
    <mergeCell ref="A111:B111"/>
    <mergeCell ref="C48:E48"/>
    <mergeCell ref="A51:B51"/>
    <mergeCell ref="C51:E51"/>
    <mergeCell ref="A48:B48"/>
    <mergeCell ref="A52:H52"/>
    <mergeCell ref="A54:C54"/>
    <mergeCell ref="D54:H54"/>
    <mergeCell ref="G51:H51"/>
    <mergeCell ref="C50:H50"/>
    <mergeCell ref="A84:E84"/>
    <mergeCell ref="C94:D94"/>
    <mergeCell ref="A62:C62"/>
    <mergeCell ref="D62:H62"/>
    <mergeCell ref="A68:B68"/>
    <mergeCell ref="G67:H67"/>
    <mergeCell ref="A66:B66"/>
    <mergeCell ref="A64:B64"/>
    <mergeCell ref="C64:H64"/>
    <mergeCell ref="A72:B72"/>
    <mergeCell ref="A82:E82"/>
    <mergeCell ref="F82:H82"/>
    <mergeCell ref="G94:H94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77" max="7" man="1"/>
    <brk id="179" max="16383" man="1"/>
    <brk id="22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5" sqref="B15"/>
    </sheetView>
  </sheetViews>
  <sheetFormatPr defaultColWidth="8.5703125" defaultRowHeight="15" x14ac:dyDescent="0.25"/>
  <cols>
    <col min="1" max="1" width="8.5703125" style="18"/>
    <col min="2" max="2" width="22.140625" style="18" customWidth="1"/>
    <col min="3" max="3" width="37" style="18" customWidth="1"/>
    <col min="4" max="5" width="11.42578125" style="18" customWidth="1"/>
    <col min="6" max="6" width="14" style="18" customWidth="1"/>
    <col min="7" max="7" width="20" style="18" customWidth="1"/>
    <col min="8" max="8" width="16.42578125" style="18" customWidth="1"/>
    <col min="9" max="16384" width="8.5703125" style="18"/>
  </cols>
  <sheetData>
    <row r="1" spans="1:9" ht="15" customHeight="1" x14ac:dyDescent="0.25"/>
    <row r="2" spans="1:9" ht="15" customHeight="1" x14ac:dyDescent="0.2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25">
      <c r="A3" s="19"/>
      <c r="B3" s="179" t="s">
        <v>117</v>
      </c>
      <c r="C3" s="179"/>
      <c r="D3" s="179"/>
      <c r="E3" s="179"/>
      <c r="F3" s="179"/>
      <c r="G3" s="179"/>
      <c r="H3" s="179"/>
    </row>
    <row r="4" spans="1:9" x14ac:dyDescent="0.25">
      <c r="A4" s="19"/>
      <c r="B4" s="20" t="s">
        <v>118</v>
      </c>
      <c r="C4" s="20" t="s">
        <v>119</v>
      </c>
      <c r="D4" s="20" t="s">
        <v>76</v>
      </c>
      <c r="E4" s="20" t="s">
        <v>120</v>
      </c>
      <c r="F4" s="20" t="s">
        <v>126</v>
      </c>
      <c r="G4" s="20" t="s">
        <v>127</v>
      </c>
      <c r="H4" s="20" t="s">
        <v>121</v>
      </c>
    </row>
    <row r="5" spans="1:9" ht="15" customHeight="1" x14ac:dyDescent="0.25">
      <c r="A5" s="19"/>
      <c r="B5" s="55" t="s">
        <v>123</v>
      </c>
      <c r="C5" s="23"/>
      <c r="D5" s="55" t="s">
        <v>195</v>
      </c>
      <c r="E5" s="22">
        <v>399</v>
      </c>
      <c r="F5" s="24">
        <f>E5*1.5</f>
        <v>598.5</v>
      </c>
      <c r="G5" s="24">
        <f>H5/F5</f>
        <v>4511.2781954887214</v>
      </c>
      <c r="H5" s="25">
        <v>2700000</v>
      </c>
    </row>
    <row r="6" spans="1:9" x14ac:dyDescent="0.25">
      <c r="A6" s="19"/>
      <c r="B6" s="22" t="s">
        <v>122</v>
      </c>
      <c r="C6" s="26"/>
      <c r="D6" s="55" t="s">
        <v>195</v>
      </c>
      <c r="E6" s="22">
        <v>399</v>
      </c>
      <c r="F6" s="24">
        <f>E6*1.5</f>
        <v>598.5</v>
      </c>
      <c r="G6" s="24">
        <f t="shared" ref="G6:G11" si="0">H6/F6</f>
        <v>3926.4828738512947</v>
      </c>
      <c r="H6" s="25">
        <v>2350000</v>
      </c>
    </row>
    <row r="7" spans="1:9" ht="15" customHeight="1" x14ac:dyDescent="0.25">
      <c r="A7" s="19"/>
      <c r="B7" s="22" t="s">
        <v>122</v>
      </c>
      <c r="C7" s="23"/>
      <c r="D7" s="22"/>
      <c r="E7" s="22"/>
      <c r="F7" s="24">
        <f t="shared" ref="F7:F11" si="1">E7*1.6</f>
        <v>0</v>
      </c>
      <c r="G7" s="24" t="e">
        <f t="shared" si="0"/>
        <v>#DIV/0!</v>
      </c>
      <c r="H7" s="25"/>
    </row>
    <row r="8" spans="1:9" x14ac:dyDescent="0.25">
      <c r="A8" s="19"/>
      <c r="B8" s="22" t="s">
        <v>122</v>
      </c>
      <c r="C8" s="26"/>
      <c r="D8" s="22"/>
      <c r="E8" s="22"/>
      <c r="F8" s="24">
        <f t="shared" si="1"/>
        <v>0</v>
      </c>
      <c r="G8" s="24" t="e">
        <f t="shared" si="0"/>
        <v>#DIV/0!</v>
      </c>
      <c r="H8" s="25"/>
    </row>
    <row r="9" spans="1:9" ht="15" customHeight="1" x14ac:dyDescent="0.25">
      <c r="A9" s="19"/>
      <c r="B9" s="22" t="s">
        <v>122</v>
      </c>
      <c r="C9" s="26"/>
      <c r="D9" s="22"/>
      <c r="E9" s="22"/>
      <c r="F9" s="24">
        <f t="shared" si="1"/>
        <v>0</v>
      </c>
      <c r="G9" s="24" t="e">
        <f t="shared" si="0"/>
        <v>#DIV/0!</v>
      </c>
      <c r="H9" s="25"/>
    </row>
    <row r="10" spans="1:9" ht="15" customHeight="1" x14ac:dyDescent="0.25">
      <c r="A10" s="19"/>
      <c r="B10" s="22" t="s">
        <v>123</v>
      </c>
      <c r="C10" s="23"/>
      <c r="D10" s="22"/>
      <c r="E10" s="22"/>
      <c r="F10" s="24">
        <f t="shared" si="1"/>
        <v>0</v>
      </c>
      <c r="G10" s="24" t="e">
        <f t="shared" si="0"/>
        <v>#DIV/0!</v>
      </c>
      <c r="H10" s="25"/>
    </row>
    <row r="11" spans="1:9" ht="15" customHeight="1" x14ac:dyDescent="0.25">
      <c r="A11" s="19"/>
      <c r="B11" s="22" t="s">
        <v>123</v>
      </c>
      <c r="C11" s="23"/>
      <c r="D11" s="22"/>
      <c r="E11" s="22"/>
      <c r="F11" s="24">
        <f t="shared" si="1"/>
        <v>0</v>
      </c>
      <c r="G11" s="24" t="e">
        <f t="shared" si="0"/>
        <v>#DIV/0!</v>
      </c>
      <c r="H11" s="25"/>
    </row>
    <row r="12" spans="1:9" ht="15" customHeight="1" x14ac:dyDescent="0.25">
      <c r="A12" s="19"/>
      <c r="B12" s="27" t="s">
        <v>124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25">
      <c r="B13" s="27" t="s">
        <v>125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2025-08-12T07:09:09Z</cp:lastPrinted>
  <dcterms:created xsi:type="dcterms:W3CDTF">2019-07-16T09:29:46Z</dcterms:created>
  <dcterms:modified xsi:type="dcterms:W3CDTF">2025-08-12T07:13:01Z</dcterms:modified>
</cp:coreProperties>
</file>