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8" i="1" l="1"/>
  <c r="A159" i="1" s="1"/>
  <c r="C14" i="1" l="1"/>
  <c r="C67" i="1"/>
  <c r="C69" i="1" s="1"/>
  <c r="C68" i="1" l="1"/>
  <c r="A140" i="1"/>
  <c r="A131" i="1"/>
  <c r="A104" i="1"/>
  <c r="D144" i="1" l="1"/>
  <c r="F144" i="1" s="1"/>
  <c r="D143" i="1"/>
  <c r="F143" i="1" s="1"/>
  <c r="D134" i="1"/>
  <c r="F134" i="1" s="1"/>
  <c r="D117" i="1"/>
  <c r="D116" i="1"/>
  <c r="D107" i="1"/>
  <c r="D136" i="1"/>
  <c r="F136" i="1" s="1"/>
  <c r="D133" i="1"/>
  <c r="F133" i="1" s="1"/>
  <c r="D124" i="1"/>
  <c r="F124" i="1" s="1"/>
  <c r="D127" i="1"/>
  <c r="D118" i="1"/>
  <c r="D115" i="1"/>
  <c r="D106" i="1"/>
  <c r="D137" i="1"/>
  <c r="F137" i="1" s="1"/>
  <c r="D132" i="1"/>
  <c r="F132" i="1" s="1"/>
  <c r="D128" i="1"/>
  <c r="F128" i="1" s="1"/>
  <c r="D123" i="1"/>
  <c r="D119" i="1"/>
  <c r="F119" i="1" s="1"/>
  <c r="D105" i="1"/>
  <c r="D138" i="1"/>
  <c r="F138" i="1" s="1"/>
  <c r="D131" i="1"/>
  <c r="F131" i="1" s="1"/>
  <c r="D129" i="1"/>
  <c r="F129" i="1" s="1"/>
  <c r="D122" i="1"/>
  <c r="D114" i="1"/>
  <c r="D120" i="1"/>
  <c r="F120" i="1" s="1"/>
  <c r="D113" i="1"/>
  <c r="D104" i="1"/>
  <c r="D110" i="1"/>
  <c r="F110" i="1" s="1"/>
  <c r="D109" i="1"/>
  <c r="D108" i="1"/>
  <c r="D111" i="1"/>
  <c r="F111" i="1" s="1"/>
  <c r="G140" i="1"/>
  <c r="A141" i="1"/>
  <c r="A142" i="1" s="1"/>
  <c r="A143" i="1" s="1"/>
  <c r="A144" i="1" s="1"/>
  <c r="A145" i="1" s="1"/>
  <c r="A146" i="1" s="1"/>
  <c r="A147" i="1" s="1"/>
  <c r="G131" i="1"/>
  <c r="A132" i="1"/>
  <c r="A133" i="1" s="1"/>
  <c r="A134" i="1" s="1"/>
  <c r="A135" i="1" s="1"/>
  <c r="A136" i="1" s="1"/>
  <c r="A137" i="1" s="1"/>
  <c r="A138" i="1" s="1"/>
  <c r="O122" i="1"/>
  <c r="O113" i="1"/>
  <c r="C93" i="1" l="1"/>
  <c r="E93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72" i="1"/>
  <c r="A150" i="1"/>
  <c r="A151" i="1" s="1"/>
  <c r="A152" i="1" s="1"/>
  <c r="A153" i="1" s="1"/>
  <c r="A154" i="1" s="1"/>
  <c r="A155" i="1" s="1"/>
  <c r="F127" i="1"/>
  <c r="F123" i="1"/>
  <c r="G122" i="1"/>
  <c r="F122" i="1"/>
  <c r="F118" i="1"/>
  <c r="F117" i="1"/>
  <c r="F116" i="1"/>
  <c r="F115" i="1"/>
  <c r="F114" i="1"/>
  <c r="G113" i="1"/>
  <c r="F113" i="1"/>
  <c r="F109" i="1"/>
  <c r="F108" i="1"/>
  <c r="F107" i="1"/>
  <c r="I107" i="1" s="1"/>
  <c r="F106" i="1"/>
  <c r="F105" i="1"/>
  <c r="I105" i="1" s="1"/>
  <c r="G104" i="1"/>
  <c r="F104" i="1"/>
  <c r="I104" i="1" s="1"/>
  <c r="A105" i="1"/>
  <c r="A106" i="1" s="1"/>
  <c r="A107" i="1" s="1"/>
  <c r="A108" i="1" s="1"/>
  <c r="A109" i="1" s="1"/>
  <c r="A110" i="1" s="1"/>
  <c r="A111" i="1" s="1"/>
  <c r="F90" i="1"/>
  <c r="J71" i="1"/>
  <c r="J70" i="1"/>
  <c r="J69" i="1"/>
  <c r="J68" i="1"/>
  <c r="C60" i="1"/>
  <c r="D57" i="1"/>
  <c r="G47" i="1"/>
  <c r="E41" i="1"/>
  <c r="E42" i="1" s="1"/>
  <c r="E25" i="1"/>
  <c r="E23" i="1"/>
  <c r="E7" i="1"/>
  <c r="E3" i="1"/>
  <c r="H61" i="1"/>
  <c r="P113" i="1"/>
  <c r="P122" i="1"/>
  <c r="I34" i="3" l="1"/>
  <c r="H34" i="3" s="1"/>
  <c r="G12" i="5"/>
  <c r="A157" i="1"/>
  <c r="G93" i="1"/>
  <c r="E34" i="3"/>
  <c r="D34" i="3" s="1"/>
  <c r="D36" i="3" s="1"/>
  <c r="L34" i="3"/>
  <c r="K34" i="3" s="1"/>
  <c r="J64" i="1"/>
  <c r="D73" i="1"/>
  <c r="D71" i="1"/>
  <c r="D69" i="1"/>
  <c r="D67" i="1"/>
  <c r="J65" i="1"/>
  <c r="J63" i="1"/>
  <c r="J66" i="1"/>
  <c r="J67" i="1" s="1"/>
  <c r="J72" i="1" s="1"/>
  <c r="J73" i="1" s="1"/>
  <c r="D72" i="1"/>
  <c r="D68" i="1"/>
  <c r="D70" i="1"/>
  <c r="D66" i="1"/>
  <c r="N113" i="1"/>
  <c r="A113" i="1" s="1"/>
  <c r="O114" i="1"/>
  <c r="P114" i="1"/>
  <c r="P115" i="1" s="1"/>
  <c r="P116" i="1" s="1"/>
  <c r="P117" i="1" s="1"/>
  <c r="P118" i="1" s="1"/>
  <c r="P119" i="1" s="1"/>
  <c r="P120" i="1" s="1"/>
  <c r="P123" i="1"/>
  <c r="P124" i="1" s="1"/>
  <c r="P125" i="1" s="1"/>
  <c r="P126" i="1" s="1"/>
  <c r="P127" i="1" s="1"/>
  <c r="P128" i="1" s="1"/>
  <c r="P129" i="1" s="1"/>
  <c r="N122" i="1"/>
  <c r="A122" i="1" s="1"/>
  <c r="O123" i="1"/>
  <c r="E36" i="3" l="1"/>
  <c r="D64" i="1"/>
  <c r="E64" i="1"/>
  <c r="D65" i="1"/>
  <c r="N123" i="1"/>
  <c r="A123" i="1" s="1"/>
  <c r="O124" i="1"/>
  <c r="N114" i="1"/>
  <c r="A114" i="1" s="1"/>
  <c r="O115" i="1"/>
  <c r="G64" i="1"/>
  <c r="D59" i="1" s="1"/>
  <c r="F74" i="1" s="1"/>
  <c r="I60" i="1" l="1"/>
  <c r="C62" i="1" s="1"/>
  <c r="N115" i="1"/>
  <c r="A115" i="1" s="1"/>
  <c r="O116" i="1"/>
  <c r="N124" i="1"/>
  <c r="A124" i="1" s="1"/>
  <c r="O125" i="1"/>
  <c r="N125" i="1" l="1"/>
  <c r="A125" i="1" s="1"/>
  <c r="O126" i="1"/>
  <c r="N116" i="1"/>
  <c r="A116" i="1" s="1"/>
  <c r="O117" i="1"/>
  <c r="N117" i="1" l="1"/>
  <c r="A117" i="1" s="1"/>
  <c r="O118" i="1"/>
  <c r="N126" i="1"/>
  <c r="A126" i="1" s="1"/>
  <c r="O127" i="1"/>
  <c r="N127" i="1" l="1"/>
  <c r="A127" i="1" s="1"/>
  <c r="O128" i="1"/>
  <c r="N118" i="1"/>
  <c r="A118" i="1" s="1"/>
  <c r="O119" i="1"/>
  <c r="O129" i="1" l="1"/>
  <c r="N128" i="1"/>
  <c r="A128" i="1" s="1"/>
  <c r="N119" i="1"/>
  <c r="A119" i="1" s="1"/>
  <c r="O120" i="1"/>
  <c r="N120" i="1" s="1"/>
  <c r="A120" i="1" s="1"/>
  <c r="N129" i="1" l="1"/>
  <c r="A129" i="1" s="1"/>
</calcChain>
</file>

<file path=xl/sharedStrings.xml><?xml version="1.0" encoding="utf-8"?>
<sst xmlns="http://schemas.openxmlformats.org/spreadsheetml/2006/main" count="331" uniqueCount="249">
  <si>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</si>
  <si>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</si>
  <si>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</si>
  <si>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</si>
  <si>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</si>
  <si>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</si>
  <si>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</si>
  <si>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</si>
  <si>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</si>
  <si>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</si>
  <si>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</si>
  <si>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</si>
  <si>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</si>
  <si>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</si>
  <si>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</si>
  <si>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</si>
  <si>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</si>
  <si>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</si>
  <si>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</si>
  <si>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</si>
  <si>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</si>
  <si>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</si>
  <si>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</si>
  <si>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</si>
  <si>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</si>
  <si>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</si>
  <si>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</si>
  <si>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</si>
  <si>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</si>
  <si>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</si>
  <si>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</si>
  <si>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</si>
  <si>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</si>
  <si>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</si>
  <si>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</si>
  <si>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</si>
  <si>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</si>
  <si>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</si>
  <si>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</si>
  <si>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</si>
  <si>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</si>
  <si>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</si>
  <si>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</si>
  <si>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</si>
  <si>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</si>
  <si>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</si>
  <si>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</si>
  <si>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</si>
  <si>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</si>
  <si>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</si>
  <si>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</si>
  <si>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</si>
  <si>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</si>
  <si>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</si>
  <si>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</si>
  <si>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</si>
  <si>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</si>
  <si>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</si>
  <si>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</si>
  <si>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</si>
  <si>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</si>
  <si>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</si>
  <si>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</si>
  <si>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</si>
  <si>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</si>
  <si>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</si>
  <si>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</si>
  <si>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</si>
  <si>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</si>
  <si>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</si>
  <si>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</si>
  <si>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</si>
  <si>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</si>
  <si>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</si>
  <si>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</si>
  <si>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</si>
  <si>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</si>
  <si>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</si>
  <si>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</si>
  <si>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</si>
  <si>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</si>
  <si>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</si>
  <si>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</si>
  <si>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</si>
  <si>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</si>
  <si>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</si>
  <si>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</si>
  <si>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</si>
  <si>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</si>
  <si>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</si>
  <si>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</si>
  <si>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</si>
  <si>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</si>
  <si>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</si>
  <si>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</si>
  <si>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</si>
  <si>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</si>
  <si>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</si>
  <si>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</si>
  <si>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</si>
  <si>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</si>
  <si>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</si>
  <si>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</si>
  <si>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</si>
  <si>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</si>
  <si>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</si>
  <si>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</si>
  <si>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</si>
  <si>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</si>
  <si>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</si>
  <si>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</si>
  <si>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</si>
  <si>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</si>
  <si>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</si>
  <si>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</si>
  <si>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</si>
  <si>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</si>
  <si>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</si>
  <si>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</si>
  <si>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</si>
  <si>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</si>
  <si>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</si>
  <si>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</si>
  <si>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</si>
  <si>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</si>
  <si>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</si>
  <si>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</si>
  <si>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</si>
  <si>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</si>
  <si>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</si>
  <si>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</si>
  <si>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</si>
  <si>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</si>
  <si>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</si>
  <si>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</si>
  <si>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</si>
  <si>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</si>
  <si>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</si>
  <si>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</si>
  <si>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</si>
  <si>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</si>
  <si>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</si>
  <si>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</si>
  <si>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</si>
  <si>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</si>
  <si>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</si>
  <si>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</si>
  <si>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</si>
  <si>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</si>
  <si>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</si>
  <si>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</si>
  <si>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</si>
  <si>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</si>
  <si>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</si>
  <si>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</si>
  <si>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</si>
  <si>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</si>
  <si>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</si>
  <si>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</si>
  <si>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</si>
  <si>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</si>
  <si>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</si>
  <si>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</si>
  <si>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</si>
  <si>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</si>
  <si>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</si>
  <si>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</si>
  <si>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</si>
  <si>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</si>
  <si>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</si>
  <si>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</si>
  <si>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</si>
  <si>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</si>
  <si>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</si>
  <si>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</si>
  <si>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</si>
  <si>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</si>
  <si>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</si>
  <si>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</si>
  <si>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</si>
  <si>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</si>
  <si>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</si>
  <si>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</si>
  <si>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</si>
  <si>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</si>
  <si>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</si>
  <si>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</si>
  <si>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</si>
  <si>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</si>
  <si>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</si>
  <si>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</si>
  <si>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 xml:space="preserve">P51800030227
</t>
  </si>
  <si>
    <t>M/s.Vishal Construction</t>
  </si>
  <si>
    <t>Ajmera Arham</t>
  </si>
  <si>
    <t>9987632209/022-266984000</t>
  </si>
  <si>
    <t>Malad</t>
  </si>
  <si>
    <t>Borivali</t>
  </si>
  <si>
    <t>Mumbai</t>
  </si>
  <si>
    <t>As per RERA - 31/07/2026</t>
  </si>
  <si>
    <t xml:space="preserve">Adinath Avenuen </t>
  </si>
  <si>
    <t>Siddharth Apartments</t>
  </si>
  <si>
    <t>Nandanvan CHS</t>
  </si>
  <si>
    <t>1.2 KM from Malad Railway Station</t>
  </si>
  <si>
    <t>Sthanakwasi Jain Upashraya</t>
  </si>
  <si>
    <t>Narsing Lane</t>
  </si>
  <si>
    <t>Ground Floor For Parking</t>
  </si>
  <si>
    <t>1st Podium Floor For Parking</t>
  </si>
  <si>
    <t>2nd &amp; 3rd Podium Floor For Parking</t>
  </si>
  <si>
    <t>4th Podium Floor For Parking And Aminities</t>
  </si>
  <si>
    <t>2BHK</t>
  </si>
  <si>
    <t>Terrace Area</t>
  </si>
  <si>
    <t>23rd Floor (Part Terrace Area)</t>
  </si>
  <si>
    <t>Refuge Area</t>
  </si>
  <si>
    <t>7th &amp; 14th Floor (Part Refuge Area)</t>
  </si>
  <si>
    <t>21st Floor (Part Refuge Area)</t>
  </si>
  <si>
    <t>5th Floor For Residential</t>
  </si>
  <si>
    <t>Flats</t>
  </si>
  <si>
    <t xml:space="preserve">Residential </t>
  </si>
  <si>
    <t>Flats - 141</t>
  </si>
  <si>
    <t>CTS No</t>
  </si>
  <si>
    <t>CHE/WSII/3637/P/N/337(NEW)</t>
  </si>
  <si>
    <t>512B and 514</t>
  </si>
  <si>
    <t>Adinath Avenuen</t>
  </si>
  <si>
    <t>Approved Plans, CC, Sale Plans, Cost Sheet</t>
  </si>
  <si>
    <t>Malad West</t>
  </si>
  <si>
    <t>Building No.3</t>
  </si>
  <si>
    <t>6th, 8th to 13th, 15th to 20th, 22nd Floor</t>
  </si>
  <si>
    <t>We considered  Saleable area as per our calculation.</t>
  </si>
  <si>
    <t>7,00,000/-</t>
  </si>
  <si>
    <t>We have updated the revised approved C.C. from the MCGM site (on 04/11/2022)</t>
  </si>
  <si>
    <t>Site Person - Contact Details ( Name &amp; Contact No.)</t>
  </si>
  <si>
    <t>On Site, we meet Mr. Nandkumar Naik - 9987632209 .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</si>
  <si>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</si>
  <si>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Location Link</t>
  </si>
  <si>
    <t>https://goo.gl/maps/snJBKXfCXAsPHkSF8</t>
  </si>
  <si>
    <t>Building No.3 = G + 1st to 4th Podium + 5th to 23th Floor</t>
  </si>
  <si>
    <t>Building No.3 = G + 1st to 4th Podium + 5th to 33rd Floor</t>
  </si>
  <si>
    <t>Latitude,Longitude</t>
  </si>
  <si>
    <t>19.193671,72.844727</t>
  </si>
  <si>
    <t>Sanket Salvi</t>
  </si>
  <si>
    <t>CHE/WSII/3637/P/N/337(NEW)/FCC/1/Amend</t>
  </si>
  <si>
    <t>This C.C. is granted for the work of building No.3 comprising of Basement (part) for ancillary user + Stilt + 1st to 3rd Podium Level + 4th (part) Podium Level + 5th (part) Podium Level + 6th(part) Podium + 1st to 26th upper floors + 27th (part) upper floors as per approved amended plan dated 02.04.2025 by restricting CC for Podium at 4th &amp; 5th floor(pt), Flat No. 1, 2, 6 &amp; 8 on 27th upper floor and entire 28th &amp; 29th upper floor for residential user.</t>
  </si>
  <si>
    <t>Construction work is the same as last visit (dtd.14/11/2024).</t>
  </si>
  <si>
    <t>Miss. Prachi Sharma 8654316885</t>
  </si>
  <si>
    <t>Shruti Tathare</t>
  </si>
  <si>
    <t>Construction work is in process at the time of visit. Internal visit was not allowed.</t>
  </si>
  <si>
    <t>We have updated latest CC from MCGM site (On 08/11/2023 &amp; 13/05/2025).</t>
  </si>
  <si>
    <t>Validity of CC is expired on 14/07/2025. Please provide revised CC.</t>
  </si>
  <si>
    <t>Please provide revised approved plans dtd. 02/04/2025.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</si>
</sst>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1.5"/>
      <color rgb="FF000000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8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0" fontId="8" fillId="0" borderId="11" xfId="1" applyFont="1" applyBorder="1" applyProtection="1">
      <protection hidden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7" fillId="0" borderId="3" xfId="1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center" vertical="top"/>
      <protection locked="0"/>
    </xf>
    <xf numFmtId="0" fontId="16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6" fillId="0" borderId="13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8" fillId="0" borderId="7" xfId="1" applyFont="1" applyBorder="1" applyAlignment="1" applyProtection="1">
      <alignment horizontal="center" wrapText="1"/>
      <protection locked="0"/>
    </xf>
    <xf numFmtId="0" fontId="16" fillId="0" borderId="14" xfId="0" applyFont="1" applyBorder="1" applyProtection="1">
      <protection hidden="1"/>
    </xf>
    <xf numFmtId="1" fontId="22" fillId="0" borderId="15" xfId="0" applyNumberFormat="1" applyFont="1" applyBorder="1"/>
    <xf numFmtId="0" fontId="1" fillId="0" borderId="1" xfId="5" applyFont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11" fillId="0" borderId="9" xfId="0" applyNumberFormat="1" applyFont="1" applyBorder="1" applyAlignment="1" applyProtection="1">
      <alignment vertical="top" wrapText="1"/>
      <protection locked="0"/>
    </xf>
    <xf numFmtId="1" fontId="11" fillId="0" borderId="24" xfId="0" applyNumberFormat="1" applyFont="1" applyBorder="1" applyAlignment="1" applyProtection="1">
      <alignment vertical="top" wrapText="1"/>
      <protection locked="0"/>
    </xf>
    <xf numFmtId="1" fontId="11" fillId="0" borderId="10" xfId="0" applyNumberFormat="1" applyFont="1" applyBorder="1" applyAlignment="1" applyProtection="1">
      <alignment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25" fillId="0" borderId="9" xfId="9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 applyProtection="1">
      <alignment horizontal="center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3" fillId="0" borderId="9" xfId="0" applyFont="1" applyBorder="1" applyAlignment="1" applyProtection="1">
      <alignment horizontal="center" vertical="top" wrapText="1"/>
      <protection locked="0"/>
    </xf>
    <xf numFmtId="0" fontId="23" fillId="0" borderId="24" xfId="0" applyFont="1" applyBorder="1" applyAlignment="1" applyProtection="1">
      <alignment horizontal="center" vertical="top" wrapText="1"/>
      <protection locked="0"/>
    </xf>
    <xf numFmtId="0" fontId="23" fillId="0" borderId="10" xfId="0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167" fontId="24" fillId="0" borderId="9" xfId="0" applyNumberFormat="1" applyFont="1" applyBorder="1" applyAlignment="1" applyProtection="1">
      <alignment horizontal="left" vertical="top"/>
      <protection locked="0"/>
    </xf>
    <xf numFmtId="167" fontId="24" fillId="0" borderId="24" xfId="0" applyNumberFormat="1" applyFont="1" applyBorder="1" applyAlignment="1" applyProtection="1">
      <alignment horizontal="left" vertical="top"/>
      <protection locked="0"/>
    </xf>
    <xf numFmtId="167" fontId="24" fillId="0" borderId="10" xfId="0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0" xfId="1" applyFont="1" applyAlignment="1">
      <alignment horizontal="center" vertical="center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611612</xdr:colOff>
      <xdr:row>235</xdr:row>
      <xdr:rowOff>19050</xdr:rowOff>
    </xdr:from>
    <xdr:to>
      <xdr:col>7</xdr:col>
      <xdr:colOff>247405</xdr:colOff>
      <xdr:row>253</xdr:row>
      <xdr:rowOff>9577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1612" y="45979682"/>
          <a:ext cx="577189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611612</xdr:colOff>
      <xdr:row>216</xdr:row>
      <xdr:rowOff>0</xdr:rowOff>
    </xdr:from>
    <xdr:to>
      <xdr:col>7</xdr:col>
      <xdr:colOff>247405</xdr:colOff>
      <xdr:row>233</xdr:row>
      <xdr:rowOff>191054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1612" y="42150632"/>
          <a:ext cx="577189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704850</xdr:colOff>
      <xdr:row>48</xdr:row>
      <xdr:rowOff>161925</xdr:rowOff>
    </xdr:from>
    <xdr:to>
      <xdr:col>22</xdr:col>
      <xdr:colOff>448725</xdr:colOff>
      <xdr:row>48</xdr:row>
      <xdr:rowOff>2143402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CF6B51B-B56E-4F3B-80EB-68D2568A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10772775"/>
          <a:ext cx="7525800" cy="1981477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172</xdr:row>
      <xdr:rowOff>76200</xdr:rowOff>
    </xdr:from>
    <xdr:to>
      <xdr:col>7</xdr:col>
      <xdr:colOff>742950</xdr:colOff>
      <xdr:row>207</xdr:row>
      <xdr:rowOff>0</xdr:rowOff>
    </xdr:to>
    <xdr:grpSp>
      <xdr:nvGrpSpPr>
        <xdr:cNvPr id="4" name="Group 3"/>
        <xdr:cNvGrpSpPr/>
      </xdr:nvGrpSpPr>
      <xdr:grpSpPr>
        <a:xfrm>
          <a:off x="85725" y="36242625"/>
          <a:ext cx="6353175" cy="6915150"/>
          <a:chOff x="85725" y="35537775"/>
          <a:chExt cx="6353175" cy="6915150"/>
        </a:xfrm>
      </xdr:grpSpPr>
      <xdr:pic>
        <xdr:nvPicPr>
          <xdr:cNvPr id="29" name="Picture 28" descr="https://vsjcllp.vsjadon.com/upload/insp-24323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14825" y="39804975"/>
            <a:ext cx="1983894" cy="2647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23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39804975"/>
            <a:ext cx="1983894" cy="2647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23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35537775"/>
            <a:ext cx="3133725" cy="41826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323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35537775"/>
            <a:ext cx="3133725" cy="41826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230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900" y="39804975"/>
            <a:ext cx="1983894" cy="2647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4</xdr:col>
      <xdr:colOff>417980</xdr:colOff>
      <xdr:row>30</xdr:row>
      <xdr:rowOff>22500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3" y="2865783"/>
          <a:ext cx="5122501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11</xdr:col>
      <xdr:colOff>20414</xdr:colOff>
      <xdr:row>30</xdr:row>
      <xdr:rowOff>22500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304" y="2865783"/>
          <a:ext cx="5122501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nJBKXfCXAsPHkSF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15"/>
  <sheetViews>
    <sheetView tabSelected="1" view="pageBreakPreview" topLeftCell="A153" zoomScaleNormal="100" zoomScaleSheetLayoutView="100" workbookViewId="0">
      <selection activeCell="I168" sqref="I168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40" t="s">
        <v>232</v>
      </c>
      <c r="B1" s="141"/>
      <c r="C1" s="141"/>
      <c r="D1" s="141"/>
      <c r="E1" s="141"/>
      <c r="F1" s="141"/>
      <c r="G1" s="141"/>
      <c r="H1" s="142"/>
    </row>
    <row r="2" spans="1:8" ht="16.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 x14ac:dyDescent="0.25">
      <c r="A3" s="68" t="s">
        <v>1</v>
      </c>
      <c r="B3" s="68"/>
      <c r="C3" s="68"/>
      <c r="D3" s="68"/>
      <c r="E3" s="143" t="str">
        <f ca="1">TEXT(TODAY(),"DD/MM/YYYY")</f>
        <v>12/08/2025</v>
      </c>
      <c r="F3" s="143"/>
      <c r="G3" s="143"/>
      <c r="H3" s="143"/>
    </row>
    <row r="4" spans="1:8" ht="15" customHeight="1" x14ac:dyDescent="0.25">
      <c r="A4" s="137" t="s">
        <v>2</v>
      </c>
      <c r="B4" s="137"/>
      <c r="C4" s="137"/>
      <c r="D4" s="137"/>
      <c r="E4" s="144" t="s">
        <v>190</v>
      </c>
      <c r="F4" s="144"/>
      <c r="G4" s="144"/>
      <c r="H4" s="144"/>
    </row>
    <row r="5" spans="1:8" x14ac:dyDescent="0.25">
      <c r="A5" s="68" t="s">
        <v>3</v>
      </c>
      <c r="B5" s="68"/>
      <c r="C5" s="68"/>
      <c r="D5" s="68"/>
      <c r="E5" s="145">
        <v>45880</v>
      </c>
      <c r="F5" s="146"/>
      <c r="G5" s="146"/>
      <c r="H5" s="147"/>
    </row>
    <row r="6" spans="1:8" ht="16.5" customHeight="1" x14ac:dyDescent="0.25">
      <c r="A6" s="68" t="s">
        <v>4</v>
      </c>
      <c r="B6" s="68"/>
      <c r="C6" s="68"/>
      <c r="D6" s="68"/>
      <c r="E6" s="91" t="s">
        <v>192</v>
      </c>
      <c r="F6" s="91"/>
      <c r="G6" s="91"/>
      <c r="H6" s="91"/>
    </row>
    <row r="7" spans="1:8" ht="15" customHeight="1" x14ac:dyDescent="0.25">
      <c r="A7" s="68" t="s">
        <v>5</v>
      </c>
      <c r="B7" s="68"/>
      <c r="C7" s="68"/>
      <c r="D7" s="68"/>
      <c r="E7" s="91" t="str">
        <f>E6</f>
        <v>M/s.Vishal Construction</v>
      </c>
      <c r="F7" s="91"/>
      <c r="G7" s="91"/>
      <c r="H7" s="91"/>
    </row>
    <row r="8" spans="1:8" x14ac:dyDescent="0.25">
      <c r="A8" s="68" t="s">
        <v>6</v>
      </c>
      <c r="B8" s="68"/>
      <c r="C8" s="68"/>
      <c r="D8" s="68"/>
      <c r="E8" s="90" t="s">
        <v>193</v>
      </c>
      <c r="F8" s="90"/>
      <c r="G8" s="90"/>
      <c r="H8" s="90"/>
    </row>
    <row r="9" spans="1:8" x14ac:dyDescent="0.25">
      <c r="A9" s="68" t="s">
        <v>160</v>
      </c>
      <c r="B9" s="68"/>
      <c r="C9" s="68"/>
      <c r="D9" s="68"/>
      <c r="E9" s="68" t="s">
        <v>194</v>
      </c>
      <c r="F9" s="68"/>
      <c r="G9" s="68"/>
      <c r="H9" s="68"/>
    </row>
    <row r="10" spans="1:8" x14ac:dyDescent="0.25">
      <c r="A10" s="68" t="s">
        <v>230</v>
      </c>
      <c r="B10" s="68"/>
      <c r="C10" s="68"/>
      <c r="D10" s="68"/>
      <c r="E10" s="68" t="s">
        <v>243</v>
      </c>
      <c r="F10" s="68"/>
      <c r="G10" s="68"/>
      <c r="H10" s="68"/>
    </row>
    <row r="11" spans="1:8" x14ac:dyDescent="0.25">
      <c r="A11" s="96" t="s">
        <v>7</v>
      </c>
      <c r="B11" s="96"/>
      <c r="C11" s="96"/>
      <c r="D11" s="96"/>
      <c r="E11" s="96" t="s">
        <v>225</v>
      </c>
      <c r="F11" s="96"/>
      <c r="G11" s="96"/>
      <c r="H11" s="96"/>
    </row>
    <row r="12" spans="1:8" ht="16.5" customHeight="1" x14ac:dyDescent="0.25">
      <c r="A12" s="137" t="s">
        <v>8</v>
      </c>
      <c r="B12" s="137"/>
      <c r="C12" s="137"/>
      <c r="D12" s="137"/>
      <c r="E12" s="148" t="s">
        <v>223</v>
      </c>
      <c r="F12" s="148"/>
      <c r="G12" s="148"/>
      <c r="H12" s="148"/>
    </row>
    <row r="13" spans="1:8" x14ac:dyDescent="0.25">
      <c r="A13" s="137" t="s">
        <v>9</v>
      </c>
      <c r="B13" s="137"/>
      <c r="C13" s="137"/>
      <c r="D13" s="137"/>
      <c r="E13" s="148" t="s">
        <v>191</v>
      </c>
      <c r="F13" s="137"/>
      <c r="G13" s="137"/>
      <c r="H13" s="137"/>
    </row>
    <row r="14" spans="1:8" ht="32.25" customHeight="1" x14ac:dyDescent="0.25">
      <c r="A14" s="91" t="s">
        <v>10</v>
      </c>
      <c r="B14" s="91"/>
      <c r="C14" s="9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Ajmera Arham, CTS No.512B and 514, near Adinath Avenuen, Narsing Lane, Malad, Malad West, Borivali, Mumbai - 400064.</v>
      </c>
      <c r="D14" s="91"/>
      <c r="E14" s="91"/>
      <c r="F14" s="91"/>
      <c r="G14" s="91"/>
      <c r="H14" s="91"/>
    </row>
    <row r="15" spans="1:8" x14ac:dyDescent="0.25">
      <c r="A15" s="148" t="s">
        <v>219</v>
      </c>
      <c r="B15" s="148"/>
      <c r="C15" s="148" t="s">
        <v>221</v>
      </c>
      <c r="D15" s="148"/>
      <c r="E15" s="148"/>
      <c r="F15" s="148"/>
      <c r="G15" s="148"/>
      <c r="H15" s="148"/>
    </row>
    <row r="16" spans="1:8" ht="15.75" customHeight="1" x14ac:dyDescent="0.25">
      <c r="A16" s="91" t="s">
        <v>11</v>
      </c>
      <c r="B16" s="91"/>
      <c r="C16" s="96" t="s">
        <v>204</v>
      </c>
      <c r="D16" s="96"/>
      <c r="E16" s="91" t="s">
        <v>102</v>
      </c>
      <c r="F16" s="91"/>
      <c r="G16" s="101" t="s">
        <v>195</v>
      </c>
      <c r="H16" s="101"/>
    </row>
    <row r="17" spans="1:8" x14ac:dyDescent="0.25">
      <c r="A17" s="68" t="s">
        <v>13</v>
      </c>
      <c r="B17" s="68"/>
      <c r="C17" s="101" t="s">
        <v>224</v>
      </c>
      <c r="D17" s="101"/>
      <c r="E17" s="91" t="s">
        <v>12</v>
      </c>
      <c r="F17" s="91"/>
      <c r="G17" s="149" t="s">
        <v>197</v>
      </c>
      <c r="H17" s="149"/>
    </row>
    <row r="18" spans="1:8" x14ac:dyDescent="0.25">
      <c r="A18" s="68" t="s">
        <v>103</v>
      </c>
      <c r="B18" s="68"/>
      <c r="C18" s="101" t="s">
        <v>196</v>
      </c>
      <c r="D18" s="101"/>
      <c r="E18" s="91" t="s">
        <v>14</v>
      </c>
      <c r="F18" s="91"/>
      <c r="G18" s="101">
        <v>400064</v>
      </c>
      <c r="H18" s="101"/>
    </row>
    <row r="19" spans="1:8" ht="32.25" customHeight="1" x14ac:dyDescent="0.25">
      <c r="A19" s="137" t="s">
        <v>163</v>
      </c>
      <c r="B19" s="137"/>
      <c r="C19" s="150" t="s">
        <v>222</v>
      </c>
      <c r="D19" s="150"/>
      <c r="E19" s="148" t="s">
        <v>15</v>
      </c>
      <c r="F19" s="148"/>
      <c r="G19" s="148" t="s">
        <v>202</v>
      </c>
      <c r="H19" s="148"/>
    </row>
    <row r="20" spans="1:8" x14ac:dyDescent="0.25">
      <c r="A20" s="91" t="s">
        <v>107</v>
      </c>
      <c r="B20" s="91"/>
      <c r="C20" s="91"/>
      <c r="D20" s="91"/>
      <c r="E20" s="96" t="s">
        <v>16</v>
      </c>
      <c r="F20" s="96"/>
      <c r="G20" s="96"/>
      <c r="H20" s="96"/>
    </row>
    <row r="21" spans="1:8" x14ac:dyDescent="0.25">
      <c r="A21" s="91"/>
      <c r="B21" s="91"/>
      <c r="C21" s="91"/>
      <c r="D21" s="91"/>
      <c r="E21" s="96"/>
      <c r="F21" s="96"/>
      <c r="G21" s="96"/>
      <c r="H21" s="96"/>
    </row>
    <row r="22" spans="1:8" x14ac:dyDescent="0.25">
      <c r="A22" s="91" t="s">
        <v>17</v>
      </c>
      <c r="B22" s="91"/>
      <c r="C22" s="91"/>
      <c r="D22" s="91"/>
      <c r="E22" s="101" t="s">
        <v>18</v>
      </c>
      <c r="F22" s="101"/>
      <c r="G22" s="101"/>
      <c r="H22" s="101"/>
    </row>
    <row r="23" spans="1:8" x14ac:dyDescent="0.25">
      <c r="A23" s="68" t="s">
        <v>19</v>
      </c>
      <c r="B23" s="68"/>
      <c r="C23" s="68"/>
      <c r="D23" s="68"/>
      <c r="E23" s="101" t="str">
        <f>IF(AND(G17="Mumbai"),"Upper Class","Middle Class")</f>
        <v>Upper Class</v>
      </c>
      <c r="F23" s="101"/>
      <c r="G23" s="101"/>
      <c r="H23" s="101"/>
    </row>
    <row r="24" spans="1:8" x14ac:dyDescent="0.25">
      <c r="A24" s="68" t="s">
        <v>20</v>
      </c>
      <c r="B24" s="68"/>
      <c r="C24" s="68"/>
      <c r="D24" s="68"/>
      <c r="E24" s="101" t="s">
        <v>21</v>
      </c>
      <c r="F24" s="101"/>
      <c r="G24" s="101"/>
      <c r="H24" s="101"/>
    </row>
    <row r="25" spans="1:8" x14ac:dyDescent="0.25">
      <c r="A25" s="68" t="s">
        <v>22</v>
      </c>
      <c r="B25" s="68"/>
      <c r="C25" s="68"/>
      <c r="D25" s="68"/>
      <c r="E25" s="101" t="str">
        <f>IF(AND(G17="Mumbai"),"Developed","Developing")</f>
        <v>Developed</v>
      </c>
      <c r="F25" s="101"/>
      <c r="G25" s="101"/>
      <c r="H25" s="101"/>
    </row>
    <row r="26" spans="1:8" x14ac:dyDescent="0.25">
      <c r="A26" s="68" t="s">
        <v>23</v>
      </c>
      <c r="B26" s="68"/>
      <c r="C26" s="68"/>
      <c r="D26" s="68"/>
      <c r="E26" s="101" t="s">
        <v>24</v>
      </c>
      <c r="F26" s="101"/>
      <c r="G26" s="101"/>
      <c r="H26" s="101"/>
    </row>
    <row r="27" spans="1:8" x14ac:dyDescent="0.25">
      <c r="A27" s="68" t="s">
        <v>114</v>
      </c>
      <c r="B27" s="68"/>
      <c r="C27" s="68"/>
      <c r="D27" s="68"/>
      <c r="E27" s="101" t="s">
        <v>115</v>
      </c>
      <c r="F27" s="101"/>
      <c r="G27" s="101"/>
      <c r="H27" s="101"/>
    </row>
    <row r="28" spans="1:8" x14ac:dyDescent="0.25">
      <c r="A28" s="148" t="s">
        <v>33</v>
      </c>
      <c r="B28" s="148"/>
      <c r="C28" s="148"/>
      <c r="D28" s="148"/>
      <c r="E28" s="144" t="s">
        <v>217</v>
      </c>
      <c r="F28" s="144"/>
      <c r="G28" s="144"/>
      <c r="H28" s="144"/>
    </row>
    <row r="29" spans="1:8" x14ac:dyDescent="0.25">
      <c r="A29" s="91" t="s">
        <v>126</v>
      </c>
      <c r="B29" s="91"/>
      <c r="C29" s="91"/>
      <c r="D29" s="91"/>
      <c r="E29" s="91" t="s">
        <v>34</v>
      </c>
      <c r="F29" s="91"/>
      <c r="G29" s="91"/>
      <c r="H29" s="91"/>
    </row>
    <row r="30" spans="1:8" s="11" customFormat="1" x14ac:dyDescent="0.25">
      <c r="A30" s="155" t="s">
        <v>127</v>
      </c>
      <c r="B30" s="155"/>
      <c r="C30" s="154" t="s">
        <v>29</v>
      </c>
      <c r="D30" s="154"/>
      <c r="E30" s="154"/>
      <c r="F30" s="154" t="s">
        <v>31</v>
      </c>
      <c r="G30" s="154"/>
      <c r="H30" s="154"/>
    </row>
    <row r="31" spans="1:8" s="11" customFormat="1" x14ac:dyDescent="0.25">
      <c r="A31" s="151" t="s">
        <v>25</v>
      </c>
      <c r="B31" s="151" t="s">
        <v>30</v>
      </c>
      <c r="C31" s="152" t="s">
        <v>30</v>
      </c>
      <c r="D31" s="152"/>
      <c r="E31" s="152"/>
      <c r="F31" s="152" t="s">
        <v>200</v>
      </c>
      <c r="G31" s="152"/>
      <c r="H31" s="152"/>
    </row>
    <row r="32" spans="1:8" x14ac:dyDescent="0.25">
      <c r="A32" s="151" t="s">
        <v>26</v>
      </c>
      <c r="B32" s="151" t="s">
        <v>30</v>
      </c>
      <c r="C32" s="152" t="s">
        <v>30</v>
      </c>
      <c r="D32" s="152"/>
      <c r="E32" s="152"/>
      <c r="F32" s="152" t="s">
        <v>201</v>
      </c>
      <c r="G32" s="152"/>
      <c r="H32" s="152"/>
    </row>
    <row r="33" spans="1:8" s="11" customFormat="1" x14ac:dyDescent="0.25">
      <c r="A33" s="151" t="s">
        <v>28</v>
      </c>
      <c r="B33" s="151" t="s">
        <v>30</v>
      </c>
      <c r="C33" s="152" t="s">
        <v>30</v>
      </c>
      <c r="D33" s="152"/>
      <c r="E33" s="152"/>
      <c r="F33" s="152" t="s">
        <v>199</v>
      </c>
      <c r="G33" s="152"/>
      <c r="H33" s="152"/>
    </row>
    <row r="34" spans="1:8" x14ac:dyDescent="0.25">
      <c r="A34" s="151" t="s">
        <v>27</v>
      </c>
      <c r="B34" s="151" t="s">
        <v>30</v>
      </c>
      <c r="C34" s="152" t="s">
        <v>30</v>
      </c>
      <c r="D34" s="152"/>
      <c r="E34" s="152"/>
      <c r="F34" s="152" t="s">
        <v>203</v>
      </c>
      <c r="G34" s="152"/>
      <c r="H34" s="152"/>
    </row>
    <row r="35" spans="1:8" x14ac:dyDescent="0.25">
      <c r="A35" s="68" t="s">
        <v>32</v>
      </c>
      <c r="B35" s="68"/>
      <c r="C35" s="68"/>
      <c r="D35" s="68"/>
      <c r="E35" s="68"/>
      <c r="F35" s="68"/>
      <c r="G35" s="68"/>
      <c r="H35" s="68"/>
    </row>
    <row r="36" spans="1:8" ht="15.75" customHeight="1" x14ac:dyDescent="0.25">
      <c r="A36" s="68" t="s">
        <v>237</v>
      </c>
      <c r="B36" s="68"/>
      <c r="C36" s="156" t="s">
        <v>238</v>
      </c>
      <c r="D36" s="157"/>
      <c r="E36" s="157"/>
      <c r="F36" s="157"/>
      <c r="G36" s="157"/>
      <c r="H36" s="158"/>
    </row>
    <row r="37" spans="1:8" ht="15.75" customHeight="1" x14ac:dyDescent="0.25">
      <c r="A37" s="68" t="s">
        <v>233</v>
      </c>
      <c r="B37" s="68"/>
      <c r="C37" s="69" t="s">
        <v>234</v>
      </c>
      <c r="D37" s="70"/>
      <c r="E37" s="70"/>
      <c r="F37" s="70"/>
      <c r="G37" s="70"/>
      <c r="H37" s="71"/>
    </row>
    <row r="38" spans="1:8" x14ac:dyDescent="0.25">
      <c r="A38" s="90" t="s">
        <v>35</v>
      </c>
      <c r="B38" s="90"/>
      <c r="C38" s="90"/>
      <c r="D38" s="90"/>
      <c r="E38" s="90"/>
      <c r="F38" s="90"/>
      <c r="G38" s="90"/>
      <c r="H38" s="90"/>
    </row>
    <row r="39" spans="1:8" x14ac:dyDescent="0.25">
      <c r="A39" s="68" t="s">
        <v>36</v>
      </c>
      <c r="B39" s="68"/>
      <c r="C39" s="68"/>
      <c r="D39" s="68"/>
      <c r="E39" s="153">
        <v>9978.7099999999991</v>
      </c>
      <c r="F39" s="153"/>
      <c r="G39" s="153"/>
      <c r="H39" s="153"/>
    </row>
    <row r="40" spans="1:8" x14ac:dyDescent="0.25">
      <c r="A40" s="68" t="s">
        <v>37</v>
      </c>
      <c r="B40" s="68"/>
      <c r="C40" s="68"/>
      <c r="D40" s="68"/>
      <c r="E40" s="76">
        <v>1</v>
      </c>
      <c r="F40" s="76"/>
      <c r="G40" s="76"/>
      <c r="H40" s="76"/>
    </row>
    <row r="41" spans="1:8" x14ac:dyDescent="0.25">
      <c r="A41" s="68" t="s">
        <v>38</v>
      </c>
      <c r="B41" s="68"/>
      <c r="C41" s="68"/>
      <c r="D41" s="68"/>
      <c r="E41" s="76">
        <f>E43/E39-E40</f>
        <v>1.0191948658694363</v>
      </c>
      <c r="F41" s="76"/>
      <c r="G41" s="76"/>
      <c r="H41" s="76"/>
    </row>
    <row r="42" spans="1:8" x14ac:dyDescent="0.25">
      <c r="A42" s="68" t="s">
        <v>39</v>
      </c>
      <c r="B42" s="68"/>
      <c r="C42" s="68"/>
      <c r="D42" s="68"/>
      <c r="E42" s="76">
        <f>E40+E41</f>
        <v>2.0191948658694363</v>
      </c>
      <c r="F42" s="76"/>
      <c r="G42" s="76"/>
      <c r="H42" s="76"/>
    </row>
    <row r="43" spans="1:8" x14ac:dyDescent="0.25">
      <c r="A43" s="68" t="s">
        <v>125</v>
      </c>
      <c r="B43" s="68"/>
      <c r="C43" s="68"/>
      <c r="D43" s="68"/>
      <c r="E43" s="136">
        <v>20148.96</v>
      </c>
      <c r="F43" s="136"/>
      <c r="G43" s="136"/>
      <c r="H43" s="136"/>
    </row>
    <row r="44" spans="1:8" x14ac:dyDescent="0.25">
      <c r="A44" s="137" t="s">
        <v>40</v>
      </c>
      <c r="B44" s="137"/>
      <c r="C44" s="137"/>
      <c r="D44" s="137"/>
      <c r="E44" s="137" t="s">
        <v>161</v>
      </c>
      <c r="F44" s="137"/>
      <c r="G44" s="137"/>
      <c r="H44" s="137"/>
    </row>
    <row r="45" spans="1:8" x14ac:dyDescent="0.25">
      <c r="A45" s="90" t="s">
        <v>41</v>
      </c>
      <c r="B45" s="90"/>
      <c r="C45" s="90"/>
      <c r="D45" s="90"/>
      <c r="E45" s="90"/>
      <c r="F45" s="90"/>
      <c r="G45" s="90"/>
      <c r="H45" s="90"/>
    </row>
    <row r="46" spans="1:8" x14ac:dyDescent="0.25">
      <c r="A46" s="91" t="s">
        <v>42</v>
      </c>
      <c r="B46" s="91"/>
      <c r="C46" s="92" t="s">
        <v>220</v>
      </c>
      <c r="D46" s="92"/>
      <c r="E46" s="92"/>
      <c r="F46" s="62" t="s">
        <v>43</v>
      </c>
      <c r="G46" s="93">
        <v>44356</v>
      </c>
      <c r="H46" s="93"/>
    </row>
    <row r="47" spans="1:8" x14ac:dyDescent="0.25">
      <c r="A47" s="68" t="s">
        <v>44</v>
      </c>
      <c r="B47" s="68"/>
      <c r="C47" s="92" t="s">
        <v>220</v>
      </c>
      <c r="D47" s="92"/>
      <c r="E47" s="92"/>
      <c r="F47" s="62" t="s">
        <v>43</v>
      </c>
      <c r="G47" s="93">
        <f>G46</f>
        <v>44356</v>
      </c>
      <c r="H47" s="93"/>
    </row>
    <row r="48" spans="1:8" s="10" customFormat="1" ht="30.75" customHeight="1" x14ac:dyDescent="0.25">
      <c r="A48" s="101" t="s">
        <v>45</v>
      </c>
      <c r="B48" s="101"/>
      <c r="C48" s="92" t="s">
        <v>240</v>
      </c>
      <c r="D48" s="88"/>
      <c r="E48" s="88"/>
      <c r="F48" s="13" t="s">
        <v>43</v>
      </c>
      <c r="G48" s="93">
        <v>45750</v>
      </c>
      <c r="H48" s="93"/>
    </row>
    <row r="49" spans="1:14" s="10" customFormat="1" ht="174" customHeight="1" x14ac:dyDescent="0.25">
      <c r="A49" s="101"/>
      <c r="B49" s="101"/>
      <c r="C49" s="92" t="s">
        <v>241</v>
      </c>
      <c r="D49" s="88"/>
      <c r="E49" s="88"/>
      <c r="F49" s="38" t="s">
        <v>162</v>
      </c>
      <c r="G49" s="93">
        <v>45852</v>
      </c>
      <c r="H49" s="93"/>
    </row>
    <row r="50" spans="1:14" x14ac:dyDescent="0.25">
      <c r="A50" s="97" t="s">
        <v>46</v>
      </c>
      <c r="B50" s="97"/>
      <c r="C50" s="98" t="s">
        <v>142</v>
      </c>
      <c r="D50" s="99"/>
      <c r="E50" s="99" t="s">
        <v>47</v>
      </c>
      <c r="F50" s="46" t="s">
        <v>43</v>
      </c>
      <c r="G50" s="75" t="s">
        <v>30</v>
      </c>
      <c r="H50" s="75"/>
    </row>
    <row r="51" spans="1:14" x14ac:dyDescent="0.25">
      <c r="A51" s="100" t="s">
        <v>49</v>
      </c>
      <c r="B51" s="100"/>
      <c r="C51" s="100"/>
      <c r="D51" s="100"/>
      <c r="E51" s="100"/>
      <c r="F51" s="100"/>
      <c r="G51" s="100"/>
      <c r="H51" s="100"/>
    </row>
    <row r="52" spans="1:14" x14ac:dyDescent="0.25">
      <c r="A52" s="91" t="s">
        <v>124</v>
      </c>
      <c r="B52" s="91"/>
      <c r="C52" s="91"/>
      <c r="D52" s="68">
        <v>9973.17</v>
      </c>
      <c r="E52" s="68"/>
      <c r="F52" s="68"/>
      <c r="G52" s="68"/>
      <c r="H52" s="68"/>
    </row>
    <row r="53" spans="1:14" x14ac:dyDescent="0.25">
      <c r="A53" s="101" t="s">
        <v>50</v>
      </c>
      <c r="B53" s="96"/>
      <c r="C53" s="96"/>
      <c r="D53" s="96" t="s">
        <v>218</v>
      </c>
      <c r="E53" s="96"/>
      <c r="F53" s="96"/>
      <c r="G53" s="96"/>
      <c r="H53" s="96"/>
      <c r="I53" s="40"/>
    </row>
    <row r="54" spans="1:14" ht="15.75" customHeight="1" x14ac:dyDescent="0.25">
      <c r="A54" s="94" t="s">
        <v>51</v>
      </c>
      <c r="B54" s="95"/>
      <c r="C54" s="139"/>
      <c r="D54" s="138" t="s">
        <v>235</v>
      </c>
      <c r="E54" s="138"/>
      <c r="F54" s="138"/>
      <c r="G54" s="138"/>
      <c r="H54" s="138"/>
    </row>
    <row r="55" spans="1:14" ht="15.75" customHeight="1" x14ac:dyDescent="0.25">
      <c r="A55" s="94" t="s">
        <v>122</v>
      </c>
      <c r="B55" s="95"/>
      <c r="C55" s="95"/>
      <c r="D55" s="96" t="s">
        <v>236</v>
      </c>
      <c r="E55" s="96"/>
      <c r="F55" s="96"/>
      <c r="G55" s="96"/>
      <c r="H55" s="96"/>
    </row>
    <row r="56" spans="1:14" ht="15.75" customHeight="1" x14ac:dyDescent="0.25">
      <c r="A56" s="68" t="s">
        <v>48</v>
      </c>
      <c r="B56" s="68"/>
      <c r="C56" s="68"/>
      <c r="D56" s="128" t="s">
        <v>198</v>
      </c>
      <c r="E56" s="128"/>
      <c r="F56" s="128"/>
      <c r="G56" s="128"/>
      <c r="H56" s="128"/>
      <c r="J56" s="39"/>
      <c r="K56" s="40"/>
      <c r="N56" s="40"/>
    </row>
    <row r="57" spans="1:14" ht="15.75" customHeight="1" x14ac:dyDescent="0.25">
      <c r="A57" s="68" t="s">
        <v>120</v>
      </c>
      <c r="B57" s="68"/>
      <c r="C57" s="68"/>
      <c r="D57" s="135" t="str">
        <f>(IF(G50="NA","60 Years After Completion",IF(G50&lt;&gt;"NA",""&amp;60-ROUNDDOWN((E3-G50)/360,0)&amp;" Years"," ")))</f>
        <v>60 Years After Completion</v>
      </c>
      <c r="E57" s="135"/>
      <c r="F57" s="135"/>
      <c r="G57" s="135"/>
      <c r="H57" s="135"/>
      <c r="N57" s="40"/>
    </row>
    <row r="58" spans="1:14" ht="15.75" customHeight="1" x14ac:dyDescent="0.25">
      <c r="A58" s="68" t="s">
        <v>121</v>
      </c>
      <c r="B58" s="68"/>
      <c r="C58" s="68"/>
      <c r="D58" s="91" t="s">
        <v>24</v>
      </c>
      <c r="E58" s="91"/>
      <c r="F58" s="91"/>
      <c r="G58" s="91"/>
      <c r="H58" s="91"/>
      <c r="J58" s="18"/>
      <c r="K58" s="18"/>
    </row>
    <row r="59" spans="1:14" ht="15.75" customHeight="1" thickBot="1" x14ac:dyDescent="0.3">
      <c r="A59" s="118" t="s">
        <v>119</v>
      </c>
      <c r="B59" s="118"/>
      <c r="C59" s="118"/>
      <c r="D59" s="119" t="str">
        <f ca="1">(IF(G64&gt;95%,"Nothing",IF(G64&gt;0%,"Cement, Aggregate, Steel, etc",IF(G64=0%,"Work not yet Started"))))</f>
        <v>Cement, Aggregate, Steel, etc</v>
      </c>
      <c r="E59" s="119"/>
      <c r="F59" s="119"/>
      <c r="G59" s="119"/>
      <c r="H59" s="119"/>
      <c r="J59" s="18"/>
    </row>
    <row r="60" spans="1:14" ht="15.75" customHeight="1" x14ac:dyDescent="0.25">
      <c r="A60" s="123" t="s">
        <v>182</v>
      </c>
      <c r="B60" s="124"/>
      <c r="C60" s="125" t="str">
        <f>D55</f>
        <v>Building No.3 = G + 1st to 4th Podium + 5th to 33rd Floor</v>
      </c>
      <c r="D60" s="126"/>
      <c r="E60" s="126"/>
      <c r="F60" s="126"/>
      <c r="G60" s="126"/>
      <c r="H60" s="127"/>
      <c r="I60" s="41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upto 26 Slab, Brickwork upto 25 Floor, Internal Plaster upto 18.75 Floor, External Plaster upto 17.5 Floor Completed</v>
      </c>
      <c r="J60" s="20"/>
    </row>
    <row r="61" spans="1:14" x14ac:dyDescent="0.25">
      <c r="A61" s="49" t="s">
        <v>184</v>
      </c>
      <c r="B61" s="50">
        <v>0</v>
      </c>
      <c r="C61" s="50" t="s">
        <v>101</v>
      </c>
      <c r="D61" s="50">
        <v>1</v>
      </c>
      <c r="E61" s="50" t="s">
        <v>100</v>
      </c>
      <c r="F61" s="50">
        <v>0</v>
      </c>
      <c r="G61" s="50" t="s">
        <v>113</v>
      </c>
      <c r="H61" s="51">
        <f ca="1">--TRIM(RIGHT(SUBSTITUTE(LEFT(C60,_xlfn.AGGREGATE(16,6,FIND({0,1,2,3,4,5,6,7,8,9},C60,ROW(INDIRECT("1:"&amp;LEN(C60)))),1))," ",REPT(" ",LEN(C60))),LEN(C60)))</f>
        <v>33</v>
      </c>
      <c r="I61" s="18"/>
      <c r="J61" s="21"/>
    </row>
    <row r="62" spans="1:14" ht="51" customHeight="1" x14ac:dyDescent="0.25">
      <c r="A62" s="121" t="s">
        <v>123</v>
      </c>
      <c r="B62" s="122"/>
      <c r="C62" s="97" t="str">
        <f ca="1">I60</f>
        <v>Excavation work Completed. Plinth work completed, RCC upto 26 Slab, Brickwork upto 25 Floor, Internal Plaster upto 18.75 Floor, External Plaster upto 17.5 Floor Completed</v>
      </c>
      <c r="D62" s="97"/>
      <c r="E62" s="97"/>
      <c r="F62" s="97"/>
      <c r="G62" s="97"/>
      <c r="H62" s="117"/>
      <c r="I62" s="18" t="s">
        <v>141</v>
      </c>
      <c r="J62" s="21"/>
    </row>
    <row r="63" spans="1:14" ht="15.75" customHeight="1" x14ac:dyDescent="0.25">
      <c r="A63" s="66" t="s">
        <v>52</v>
      </c>
      <c r="B63" s="67"/>
      <c r="C63" s="43" t="s">
        <v>181</v>
      </c>
      <c r="D63" s="43" t="s">
        <v>116</v>
      </c>
      <c r="E63" s="67" t="s">
        <v>118</v>
      </c>
      <c r="F63" s="67"/>
      <c r="G63" s="67" t="s">
        <v>117</v>
      </c>
      <c r="H63" s="120"/>
      <c r="I63" s="52" t="s">
        <v>183</v>
      </c>
      <c r="J63" s="22">
        <f ca="1">H61*25%</f>
        <v>8.25</v>
      </c>
    </row>
    <row r="64" spans="1:14" x14ac:dyDescent="0.25">
      <c r="A64" s="66" t="s">
        <v>170</v>
      </c>
      <c r="B64" s="67"/>
      <c r="C64" s="55">
        <v>33</v>
      </c>
      <c r="D64" s="44">
        <f ca="1">((100/H61)*C64)/100</f>
        <v>1</v>
      </c>
      <c r="E64" s="129">
        <f ca="1">(((C65/H61*10)+(40/(D61+F61+H61)*C66)+(7.5/(H61)*C67)+(7.5/(H61)*C68)+(10/H61*C69)+(10/H61*C70)+(5/H61*C71)+(5/H61*C72)+(5/H61*C73))/100)</f>
        <v>0.55834447415329769</v>
      </c>
      <c r="F64" s="129"/>
      <c r="G64" s="129">
        <f ca="1">((((C64/H61)*20)+((C65/H61)*25)+(30/(H61+F61+D61)*C66)+(5/H61*C67)+(5/H61*C68)+(5/H61*C69)+(5/H61*C70)+(0/H61*C71)+(0/H61*C72)+(5/H61*C73))/100)</f>
        <v>0.77221479500891266</v>
      </c>
      <c r="H64" s="131"/>
      <c r="I64" s="52" t="s">
        <v>136</v>
      </c>
      <c r="J64" s="54">
        <f ca="1">H61*50%</f>
        <v>16.5</v>
      </c>
    </row>
    <row r="65" spans="1:10" x14ac:dyDescent="0.25">
      <c r="A65" s="66" t="s">
        <v>53</v>
      </c>
      <c r="B65" s="67"/>
      <c r="C65" s="55">
        <v>33</v>
      </c>
      <c r="D65" s="44">
        <f ca="1">((100/H61)*C65)/100</f>
        <v>1</v>
      </c>
      <c r="E65" s="129"/>
      <c r="F65" s="129"/>
      <c r="G65" s="129"/>
      <c r="H65" s="131"/>
      <c r="I65" s="52" t="s">
        <v>137</v>
      </c>
      <c r="J65" s="54">
        <f ca="1">H61</f>
        <v>33</v>
      </c>
    </row>
    <row r="66" spans="1:10" ht="15.75" customHeight="1" x14ac:dyDescent="0.25">
      <c r="A66" s="66" t="s">
        <v>171</v>
      </c>
      <c r="B66" s="67"/>
      <c r="C66" s="55">
        <v>26</v>
      </c>
      <c r="D66" s="44">
        <f ca="1">((100/(D61+F61+H61))*C66)/100</f>
        <v>0.76470588235294112</v>
      </c>
      <c r="E66" s="129"/>
      <c r="F66" s="129"/>
      <c r="G66" s="129"/>
      <c r="H66" s="131"/>
      <c r="I66" s="52" t="s">
        <v>138</v>
      </c>
      <c r="J66" s="56">
        <f ca="1">(IF(B61&gt;1,(H61/(B61+2)),H61/4))</f>
        <v>8.25</v>
      </c>
    </row>
    <row r="67" spans="1:10" ht="15.75" customHeight="1" x14ac:dyDescent="0.25">
      <c r="A67" s="66" t="s">
        <v>178</v>
      </c>
      <c r="B67" s="67" t="s">
        <v>172</v>
      </c>
      <c r="C67" s="55">
        <f>C66-1</f>
        <v>25</v>
      </c>
      <c r="D67" s="44">
        <f ca="1">((100/H61)*C67)/100</f>
        <v>0.75757575757575746</v>
      </c>
      <c r="E67" s="129"/>
      <c r="F67" s="129"/>
      <c r="G67" s="129"/>
      <c r="H67" s="131"/>
      <c r="I67" s="52" t="s">
        <v>139</v>
      </c>
      <c r="J67" s="56">
        <f ca="1">(IF(B61&gt;1,(H61/(B61+2)+J66),H61/4+J66))</f>
        <v>16.5</v>
      </c>
    </row>
    <row r="68" spans="1:10" ht="15.75" customHeight="1" x14ac:dyDescent="0.25">
      <c r="A68" s="66" t="s">
        <v>179</v>
      </c>
      <c r="B68" s="67" t="s">
        <v>172</v>
      </c>
      <c r="C68" s="55">
        <f>C67*0.75</f>
        <v>18.75</v>
      </c>
      <c r="D68" s="44">
        <f ca="1">((100/H61)*C68)/100</f>
        <v>0.56818181818181823</v>
      </c>
      <c r="E68" s="129"/>
      <c r="F68" s="129"/>
      <c r="G68" s="129"/>
      <c r="H68" s="131"/>
      <c r="I68" s="52" t="s">
        <v>188</v>
      </c>
      <c r="J68" s="56">
        <f>(IF(B61&gt;1,(H61/(B61+2)+J67),0))</f>
        <v>0</v>
      </c>
    </row>
    <row r="69" spans="1:10" ht="15" customHeight="1" x14ac:dyDescent="0.25">
      <c r="A69" s="66" t="s">
        <v>177</v>
      </c>
      <c r="B69" s="67" t="s">
        <v>174</v>
      </c>
      <c r="C69" s="55">
        <f>C67*0.7</f>
        <v>17.5</v>
      </c>
      <c r="D69" s="44">
        <f ca="1">((100/(H61))*C69)/100</f>
        <v>0.53030303030303028</v>
      </c>
      <c r="E69" s="129"/>
      <c r="F69" s="129"/>
      <c r="G69" s="129"/>
      <c r="H69" s="131"/>
      <c r="I69" s="52" t="s">
        <v>185</v>
      </c>
      <c r="J69" s="56">
        <f>(IF(B61&gt;2,(H61/(B61+2)+J68),0))</f>
        <v>0</v>
      </c>
    </row>
    <row r="70" spans="1:10" ht="15.75" customHeight="1" x14ac:dyDescent="0.25">
      <c r="A70" s="66" t="s">
        <v>173</v>
      </c>
      <c r="B70" s="67" t="s">
        <v>173</v>
      </c>
      <c r="C70" s="53">
        <v>0</v>
      </c>
      <c r="D70" s="44">
        <f ca="1">((100/H61)*C70)/100</f>
        <v>0</v>
      </c>
      <c r="E70" s="129"/>
      <c r="F70" s="129"/>
      <c r="G70" s="129"/>
      <c r="H70" s="131"/>
      <c r="I70" s="52" t="s">
        <v>186</v>
      </c>
      <c r="J70" s="57">
        <f>(IF(B61&gt;3,(H61/(B61+2)+J69),0))</f>
        <v>0</v>
      </c>
    </row>
    <row r="71" spans="1:10" ht="15.75" customHeight="1" x14ac:dyDescent="0.25">
      <c r="A71" s="66" t="s">
        <v>180</v>
      </c>
      <c r="B71" s="67"/>
      <c r="C71" s="53">
        <v>0</v>
      </c>
      <c r="D71" s="44">
        <f ca="1">((100/H61)*C71)/100</f>
        <v>0</v>
      </c>
      <c r="E71" s="129"/>
      <c r="F71" s="129"/>
      <c r="G71" s="129"/>
      <c r="H71" s="131"/>
      <c r="I71" s="52" t="s">
        <v>187</v>
      </c>
      <c r="J71" s="56">
        <f>(IF(B61&gt;4,(H61/(B61+2)+J70),0))</f>
        <v>0</v>
      </c>
    </row>
    <row r="72" spans="1:10" ht="15.75" customHeight="1" x14ac:dyDescent="0.25">
      <c r="A72" s="66" t="s">
        <v>175</v>
      </c>
      <c r="B72" s="67" t="s">
        <v>175</v>
      </c>
      <c r="C72" s="53">
        <v>0</v>
      </c>
      <c r="D72" s="44">
        <f ca="1">((100/(H61))*C72)/100</f>
        <v>0</v>
      </c>
      <c r="E72" s="129"/>
      <c r="F72" s="129"/>
      <c r="G72" s="129"/>
      <c r="H72" s="131"/>
      <c r="I72" s="52" t="s">
        <v>189</v>
      </c>
      <c r="J72" s="56">
        <f ca="1">(IF(B61=1,(H61/(B61+3)+J67),IF(B61=0,(H61/4+J67),IF(B61&gt;1,0))))</f>
        <v>24.75</v>
      </c>
    </row>
    <row r="73" spans="1:10" ht="16.5" thickBot="1" x14ac:dyDescent="0.3">
      <c r="A73" s="133" t="s">
        <v>176</v>
      </c>
      <c r="B73" s="134"/>
      <c r="C73" s="58">
        <v>0</v>
      </c>
      <c r="D73" s="45">
        <f ca="1">((100/(H61))*C73)/100</f>
        <v>0</v>
      </c>
      <c r="E73" s="130"/>
      <c r="F73" s="130"/>
      <c r="G73" s="130"/>
      <c r="H73" s="132"/>
      <c r="I73" s="59" t="s">
        <v>140</v>
      </c>
      <c r="J73" s="60">
        <f ca="1">(IF(B61&gt;1.5,(H61/(B61+2)+J67+MAX(0,J68-J67)+MAX(0,J69-J68)+MAX(0,J70-J69)+MAX(0,J71-J70)+MAX(0,J72-J71)),IF(B61=1,(H61/(B61+3)+J72),IF(B61=0,H61/4+J72))))</f>
        <v>33</v>
      </c>
    </row>
    <row r="74" spans="1:10" x14ac:dyDescent="0.25">
      <c r="A74" s="163" t="s">
        <v>156</v>
      </c>
      <c r="B74" s="164"/>
      <c r="C74" s="164"/>
      <c r="D74" s="164"/>
      <c r="E74" s="165"/>
      <c r="F74" s="163" t="str">
        <f ca="1">(IF(D59="Nothing","Yes",IF(D59="Cement, Aggregate, Steel, etc","Under Construction",IF(D59="Work not yet Started","Work not yet Started"))))</f>
        <v>Under Construction</v>
      </c>
      <c r="G74" s="164"/>
      <c r="H74" s="165"/>
    </row>
    <row r="75" spans="1:10" x14ac:dyDescent="0.25">
      <c r="A75" s="68" t="s">
        <v>54</v>
      </c>
      <c r="B75" s="68"/>
      <c r="C75" s="68"/>
      <c r="D75" s="68"/>
      <c r="E75" s="68"/>
      <c r="F75" s="68"/>
      <c r="G75" s="68"/>
      <c r="H75" s="68"/>
    </row>
    <row r="76" spans="1:10" ht="15" customHeight="1" x14ac:dyDescent="0.25">
      <c r="A76" s="89" t="s">
        <v>104</v>
      </c>
      <c r="B76" s="89"/>
      <c r="C76" s="161" t="s">
        <v>105</v>
      </c>
      <c r="D76" s="161"/>
      <c r="E76" s="161"/>
      <c r="F76" s="161"/>
      <c r="G76" s="161"/>
      <c r="H76" s="161"/>
    </row>
    <row r="77" spans="1:10" x14ac:dyDescent="0.25">
      <c r="A77" s="90" t="s">
        <v>55</v>
      </c>
      <c r="B77" s="90"/>
      <c r="C77" s="90"/>
      <c r="D77" s="90"/>
      <c r="E77" s="90"/>
      <c r="F77" s="90"/>
      <c r="G77" s="90"/>
      <c r="H77" s="90"/>
    </row>
    <row r="78" spans="1:10" x14ac:dyDescent="0.25">
      <c r="A78" s="68" t="s">
        <v>106</v>
      </c>
      <c r="B78" s="68"/>
      <c r="C78" s="68"/>
      <c r="D78" s="68"/>
      <c r="E78" s="68"/>
      <c r="F78" s="88">
        <v>16500</v>
      </c>
      <c r="G78" s="88"/>
      <c r="H78" s="88"/>
    </row>
    <row r="79" spans="1:10" hidden="1" x14ac:dyDescent="0.25">
      <c r="A79" s="68" t="s">
        <v>111</v>
      </c>
      <c r="B79" s="68"/>
      <c r="C79" s="68"/>
      <c r="D79" s="68"/>
      <c r="E79" s="68"/>
      <c r="F79" s="88"/>
      <c r="G79" s="88"/>
      <c r="H79" s="88"/>
    </row>
    <row r="80" spans="1:10" hidden="1" x14ac:dyDescent="0.25">
      <c r="A80" s="68" t="s">
        <v>112</v>
      </c>
      <c r="B80" s="68"/>
      <c r="C80" s="68"/>
      <c r="D80" s="68"/>
      <c r="E80" s="68"/>
      <c r="F80" s="88"/>
      <c r="G80" s="88"/>
      <c r="H80" s="88"/>
    </row>
    <row r="81" spans="1:9" s="12" customFormat="1" hidden="1" x14ac:dyDescent="0.25">
      <c r="A81" s="68" t="s">
        <v>128</v>
      </c>
      <c r="B81" s="68"/>
      <c r="C81" s="68"/>
      <c r="D81" s="68"/>
      <c r="E81" s="68"/>
      <c r="F81" s="88" t="s">
        <v>30</v>
      </c>
      <c r="G81" s="88"/>
      <c r="H81" s="88"/>
    </row>
    <row r="82" spans="1:9" s="12" customFormat="1" hidden="1" x14ac:dyDescent="0.25">
      <c r="A82" s="68" t="s">
        <v>129</v>
      </c>
      <c r="B82" s="68"/>
      <c r="C82" s="68"/>
      <c r="D82" s="68"/>
      <c r="E82" s="68"/>
      <c r="F82" s="88" t="s">
        <v>30</v>
      </c>
      <c r="G82" s="88"/>
      <c r="H82" s="88"/>
    </row>
    <row r="83" spans="1:9" s="12" customFormat="1" hidden="1" x14ac:dyDescent="0.25">
      <c r="A83" s="68" t="s">
        <v>130</v>
      </c>
      <c r="B83" s="68"/>
      <c r="C83" s="68"/>
      <c r="D83" s="68"/>
      <c r="E83" s="68"/>
      <c r="F83" s="88" t="s">
        <v>30</v>
      </c>
      <c r="G83" s="88"/>
      <c r="H83" s="88"/>
    </row>
    <row r="84" spans="1:9" s="12" customFormat="1" hidden="1" x14ac:dyDescent="0.25">
      <c r="A84" s="68" t="s">
        <v>131</v>
      </c>
      <c r="B84" s="68"/>
      <c r="C84" s="68"/>
      <c r="D84" s="68"/>
      <c r="E84" s="68"/>
      <c r="F84" s="88" t="s">
        <v>30</v>
      </c>
      <c r="G84" s="88"/>
      <c r="H84" s="88"/>
    </row>
    <row r="85" spans="1:9" s="12" customFormat="1" hidden="1" x14ac:dyDescent="0.25">
      <c r="A85" s="68" t="s">
        <v>132</v>
      </c>
      <c r="B85" s="68"/>
      <c r="C85" s="68"/>
      <c r="D85" s="68"/>
      <c r="E85" s="68"/>
      <c r="F85" s="88" t="s">
        <v>30</v>
      </c>
      <c r="G85" s="88"/>
      <c r="H85" s="88"/>
    </row>
    <row r="86" spans="1:9" s="12" customFormat="1" hidden="1" x14ac:dyDescent="0.25">
      <c r="A86" s="68" t="s">
        <v>133</v>
      </c>
      <c r="B86" s="68"/>
      <c r="C86" s="68"/>
      <c r="D86" s="68"/>
      <c r="E86" s="68"/>
      <c r="F86" s="88" t="s">
        <v>30</v>
      </c>
      <c r="G86" s="88"/>
      <c r="H86" s="88"/>
    </row>
    <row r="87" spans="1:9" s="12" customFormat="1" hidden="1" x14ac:dyDescent="0.25">
      <c r="A87" s="68" t="s">
        <v>134</v>
      </c>
      <c r="B87" s="68"/>
      <c r="C87" s="68"/>
      <c r="D87" s="68"/>
      <c r="E87" s="68"/>
      <c r="F87" s="88" t="s">
        <v>30</v>
      </c>
      <c r="G87" s="88"/>
      <c r="H87" s="88"/>
    </row>
    <row r="88" spans="1:9" s="12" customFormat="1" hidden="1" x14ac:dyDescent="0.25">
      <c r="A88" s="68" t="s">
        <v>135</v>
      </c>
      <c r="B88" s="68"/>
      <c r="C88" s="68"/>
      <c r="D88" s="68"/>
      <c r="E88" s="68"/>
      <c r="F88" s="88" t="s">
        <v>30</v>
      </c>
      <c r="G88" s="88"/>
      <c r="H88" s="88"/>
    </row>
    <row r="89" spans="1:9" x14ac:dyDescent="0.25">
      <c r="A89" s="68" t="s">
        <v>56</v>
      </c>
      <c r="B89" s="68"/>
      <c r="C89" s="68"/>
      <c r="D89" s="68"/>
      <c r="E89" s="68"/>
      <c r="F89" s="92" t="s">
        <v>228</v>
      </c>
      <c r="G89" s="92"/>
      <c r="H89" s="92"/>
    </row>
    <row r="90" spans="1:9" s="9" customFormat="1" x14ac:dyDescent="0.25">
      <c r="A90" s="90" t="s">
        <v>57</v>
      </c>
      <c r="B90" s="90"/>
      <c r="C90" s="90"/>
      <c r="D90" s="90"/>
      <c r="E90" s="90"/>
      <c r="F90" s="88">
        <f>F78*0.8</f>
        <v>13200</v>
      </c>
      <c r="G90" s="88"/>
      <c r="H90" s="88"/>
    </row>
    <row r="91" spans="1:9" s="1" customFormat="1" x14ac:dyDescent="0.25">
      <c r="A91" s="107" t="s">
        <v>99</v>
      </c>
      <c r="B91" s="107"/>
      <c r="C91" s="107"/>
      <c r="D91" s="107"/>
      <c r="E91" s="107"/>
      <c r="F91" s="107"/>
      <c r="G91" s="107"/>
      <c r="H91" s="107"/>
    </row>
    <row r="92" spans="1:9" s="1" customFormat="1" ht="15.75" customHeight="1" x14ac:dyDescent="0.25">
      <c r="A92" s="79" t="s">
        <v>58</v>
      </c>
      <c r="B92" s="79"/>
      <c r="C92" s="162" t="s">
        <v>109</v>
      </c>
      <c r="D92" s="162"/>
      <c r="E92" s="112" t="s">
        <v>59</v>
      </c>
      <c r="F92" s="112"/>
      <c r="G92" s="79" t="s">
        <v>60</v>
      </c>
      <c r="H92" s="79"/>
    </row>
    <row r="93" spans="1:9" s="1" customFormat="1" x14ac:dyDescent="0.25">
      <c r="A93" s="104" t="s">
        <v>216</v>
      </c>
      <c r="B93" s="104"/>
      <c r="C93" s="159">
        <f>COUNT(D104:D111)+COUNT(D113:D120)*14+COUNT(D122:D124,D127:D129)*2+COUNT(D131:D134,D136:D138)+COUNT(D143:D144)</f>
        <v>141</v>
      </c>
      <c r="D93" s="159"/>
      <c r="E93" s="160">
        <f>SUM(D104:D111)+SUM(D113:D120)*14+SUM(D122:D124,D127:D129)*2+SUM(D131:D134,D136:D138)+SUM(D143:D144)</f>
        <v>117781.19496000001</v>
      </c>
      <c r="F93" s="160"/>
      <c r="G93" s="160">
        <f>SUM(F104:F111)+SUM(F113:F120)*14+SUM(F122:F124,F127:F129)*2+SUM(F131:F134,F136:F138)+SUM(F143:F144)</f>
        <v>188449.91193599996</v>
      </c>
      <c r="H93" s="160"/>
    </row>
    <row r="94" spans="1:9" s="9" customFormat="1" x14ac:dyDescent="0.25">
      <c r="A94" s="113" t="s">
        <v>63</v>
      </c>
      <c r="B94" s="113"/>
      <c r="C94" s="113"/>
      <c r="D94" s="113"/>
      <c r="E94" s="113"/>
      <c r="F94" s="113"/>
      <c r="G94" s="113"/>
      <c r="H94" s="113"/>
    </row>
    <row r="95" spans="1:9" x14ac:dyDescent="0.25">
      <c r="A95" s="113" t="s">
        <v>64</v>
      </c>
      <c r="B95" s="113"/>
      <c r="C95" s="113"/>
      <c r="D95" s="113"/>
      <c r="E95" s="113"/>
      <c r="F95" s="113"/>
      <c r="G95" s="113"/>
      <c r="H95" s="113"/>
    </row>
    <row r="96" spans="1:9" ht="47.25" customHeight="1" x14ac:dyDescent="0.25">
      <c r="A96" s="84" t="s">
        <v>158</v>
      </c>
      <c r="B96" s="84" t="s">
        <v>159</v>
      </c>
      <c r="C96" s="80" t="s">
        <v>65</v>
      </c>
      <c r="D96" s="80" t="s">
        <v>66</v>
      </c>
      <c r="E96" s="82" t="s">
        <v>67</v>
      </c>
      <c r="F96" s="37" t="s">
        <v>157</v>
      </c>
      <c r="G96" s="84" t="s">
        <v>68</v>
      </c>
      <c r="H96" s="85"/>
      <c r="I96" s="36"/>
    </row>
    <row r="97" spans="1:14" s="2" customFormat="1" x14ac:dyDescent="0.25">
      <c r="A97" s="86"/>
      <c r="B97" s="86"/>
      <c r="C97" s="81"/>
      <c r="D97" s="81"/>
      <c r="E97" s="83"/>
      <c r="F97" s="35">
        <v>0.6</v>
      </c>
      <c r="G97" s="86"/>
      <c r="H97" s="87"/>
      <c r="I97" s="36"/>
    </row>
    <row r="98" spans="1:14" s="2" customFormat="1" x14ac:dyDescent="0.25">
      <c r="A98" s="109" t="s">
        <v>225</v>
      </c>
      <c r="B98" s="110"/>
      <c r="C98" s="110"/>
      <c r="D98" s="110"/>
      <c r="E98" s="110"/>
      <c r="F98" s="110"/>
      <c r="G98" s="110"/>
      <c r="H98" s="111"/>
    </row>
    <row r="99" spans="1:14" s="2" customFormat="1" x14ac:dyDescent="0.25">
      <c r="A99" s="109" t="s">
        <v>205</v>
      </c>
      <c r="B99" s="110"/>
      <c r="C99" s="110"/>
      <c r="D99" s="110"/>
      <c r="E99" s="110"/>
      <c r="F99" s="110"/>
      <c r="G99" s="110"/>
      <c r="H99" s="111"/>
    </row>
    <row r="100" spans="1:14" s="2" customFormat="1" x14ac:dyDescent="0.25">
      <c r="A100" s="109" t="s">
        <v>206</v>
      </c>
      <c r="B100" s="110"/>
      <c r="C100" s="110"/>
      <c r="D100" s="110"/>
      <c r="E100" s="110"/>
      <c r="F100" s="110"/>
      <c r="G100" s="110"/>
      <c r="H100" s="111"/>
    </row>
    <row r="101" spans="1:14" s="2" customFormat="1" x14ac:dyDescent="0.25">
      <c r="A101" s="109" t="s">
        <v>207</v>
      </c>
      <c r="B101" s="110"/>
      <c r="C101" s="110"/>
      <c r="D101" s="110"/>
      <c r="E101" s="110"/>
      <c r="F101" s="110"/>
      <c r="G101" s="110"/>
      <c r="H101" s="111"/>
    </row>
    <row r="102" spans="1:14" s="2" customFormat="1" x14ac:dyDescent="0.25">
      <c r="A102" s="109" t="s">
        <v>208</v>
      </c>
      <c r="B102" s="110"/>
      <c r="C102" s="110"/>
      <c r="D102" s="110"/>
      <c r="E102" s="110"/>
      <c r="F102" s="110"/>
      <c r="G102" s="110"/>
      <c r="H102" s="111"/>
    </row>
    <row r="103" spans="1:14" s="2" customFormat="1" x14ac:dyDescent="0.25">
      <c r="A103" s="103" t="s">
        <v>215</v>
      </c>
      <c r="B103" s="103"/>
      <c r="C103" s="103"/>
      <c r="D103" s="103"/>
      <c r="E103" s="103"/>
      <c r="F103" s="103"/>
      <c r="G103" s="103"/>
      <c r="H103" s="103"/>
      <c r="I103" s="36"/>
      <c r="L103" s="166"/>
      <c r="M103" s="166"/>
    </row>
    <row r="104" spans="1:14" s="2" customFormat="1" ht="15.75" customHeight="1" x14ac:dyDescent="0.25">
      <c r="A104" s="77">
        <f>LEFT(A103,SUM(LEN(A103)-LEN(SUBSTITUTE(A103,{"0","1","3","4","5","6","7","8","9"},""))))*100+1</f>
        <v>501</v>
      </c>
      <c r="B104" s="77"/>
      <c r="C104" s="19" t="s">
        <v>209</v>
      </c>
      <c r="D104" s="19">
        <f>71.3*10.764</f>
        <v>767.47319999999991</v>
      </c>
      <c r="E104" s="19">
        <v>0</v>
      </c>
      <c r="F104" s="19">
        <f t="shared" ref="F104:F109" si="0">D104*(($F$97)+1)+E104</f>
        <v>1227.95712</v>
      </c>
      <c r="G104" s="167" t="str">
        <f>A103</f>
        <v>5th Floor For Residential</v>
      </c>
      <c r="H104" s="168"/>
      <c r="I104" s="36">
        <f>19400000/F104</f>
        <v>15798.597266979485</v>
      </c>
      <c r="N104" s="36"/>
    </row>
    <row r="105" spans="1:14" s="2" customFormat="1" ht="15.75" customHeight="1" x14ac:dyDescent="0.25">
      <c r="A105" s="77">
        <f t="shared" ref="A105:A111" si="1">A104+1</f>
        <v>502</v>
      </c>
      <c r="B105" s="77"/>
      <c r="C105" s="19" t="s">
        <v>150</v>
      </c>
      <c r="D105" s="19">
        <f>98.03*10.764</f>
        <v>1055.1949199999999</v>
      </c>
      <c r="E105" s="19">
        <v>0</v>
      </c>
      <c r="F105" s="19">
        <f t="shared" si="0"/>
        <v>1688.311872</v>
      </c>
      <c r="G105" s="169"/>
      <c r="H105" s="170"/>
      <c r="I105" s="36">
        <f>28100000/F105</f>
        <v>16643.84434299589</v>
      </c>
      <c r="N105" s="36"/>
    </row>
    <row r="106" spans="1:14" s="2" customFormat="1" ht="15.75" customHeight="1" x14ac:dyDescent="0.25">
      <c r="A106" s="77">
        <f t="shared" si="1"/>
        <v>503</v>
      </c>
      <c r="B106" s="77"/>
      <c r="C106" s="19" t="s">
        <v>209</v>
      </c>
      <c r="D106" s="19">
        <f>70.47*10.764</f>
        <v>758.5390799999999</v>
      </c>
      <c r="E106" s="19">
        <v>0</v>
      </c>
      <c r="F106" s="19">
        <f t="shared" si="0"/>
        <v>1213.6625279999998</v>
      </c>
      <c r="G106" s="169"/>
      <c r="H106" s="170"/>
      <c r="I106" s="36"/>
      <c r="N106" s="36"/>
    </row>
    <row r="107" spans="1:14" s="2" customFormat="1" ht="15.75" customHeight="1" x14ac:dyDescent="0.25">
      <c r="A107" s="77">
        <f t="shared" si="1"/>
        <v>504</v>
      </c>
      <c r="B107" s="77"/>
      <c r="C107" s="19" t="s">
        <v>209</v>
      </c>
      <c r="D107" s="19">
        <f>69.98*10.764</f>
        <v>753.26472000000001</v>
      </c>
      <c r="E107" s="19">
        <v>0</v>
      </c>
      <c r="F107" s="19">
        <f t="shared" si="0"/>
        <v>1205.2235520000002</v>
      </c>
      <c r="G107" s="169"/>
      <c r="H107" s="170"/>
      <c r="I107" s="36">
        <f>19900000/F107</f>
        <v>16511.459610108912</v>
      </c>
      <c r="N107" s="36"/>
    </row>
    <row r="108" spans="1:14" s="2" customFormat="1" ht="15.75" customHeight="1" x14ac:dyDescent="0.25">
      <c r="A108" s="77">
        <f t="shared" si="1"/>
        <v>505</v>
      </c>
      <c r="B108" s="77"/>
      <c r="C108" s="19" t="s">
        <v>209</v>
      </c>
      <c r="D108" s="19">
        <f>69.98*10.764</f>
        <v>753.26472000000001</v>
      </c>
      <c r="E108" s="19">
        <v>0</v>
      </c>
      <c r="F108" s="19">
        <f t="shared" si="0"/>
        <v>1205.2235520000002</v>
      </c>
      <c r="G108" s="169"/>
      <c r="H108" s="170"/>
      <c r="I108" s="36"/>
      <c r="N108" s="36"/>
    </row>
    <row r="109" spans="1:14" s="2" customFormat="1" ht="15.75" customHeight="1" x14ac:dyDescent="0.25">
      <c r="A109" s="77">
        <f t="shared" si="1"/>
        <v>506</v>
      </c>
      <c r="B109" s="77"/>
      <c r="C109" s="19" t="s">
        <v>209</v>
      </c>
      <c r="D109" s="19">
        <f>70.47*10.764</f>
        <v>758.5390799999999</v>
      </c>
      <c r="E109" s="19">
        <v>0</v>
      </c>
      <c r="F109" s="19">
        <f t="shared" si="0"/>
        <v>1213.6625279999998</v>
      </c>
      <c r="G109" s="169"/>
      <c r="H109" s="170"/>
      <c r="I109" s="36"/>
      <c r="N109" s="36"/>
    </row>
    <row r="110" spans="1:14" s="2" customFormat="1" ht="15.75" customHeight="1" x14ac:dyDescent="0.25">
      <c r="A110" s="77">
        <f t="shared" si="1"/>
        <v>507</v>
      </c>
      <c r="B110" s="77"/>
      <c r="C110" s="19" t="s">
        <v>150</v>
      </c>
      <c r="D110" s="19">
        <f>98.03*10.764</f>
        <v>1055.1949199999999</v>
      </c>
      <c r="E110" s="19">
        <v>0</v>
      </c>
      <c r="F110" s="19">
        <f>D110*(($F$97)+1)+E110</f>
        <v>1688.311872</v>
      </c>
      <c r="G110" s="169"/>
      <c r="H110" s="170"/>
      <c r="I110" s="36"/>
      <c r="N110" s="36"/>
    </row>
    <row r="111" spans="1:14" s="2" customFormat="1" ht="15.75" customHeight="1" x14ac:dyDescent="0.25">
      <c r="A111" s="77">
        <f t="shared" si="1"/>
        <v>508</v>
      </c>
      <c r="B111" s="77"/>
      <c r="C111" s="19" t="s">
        <v>209</v>
      </c>
      <c r="D111" s="19">
        <f>71.3*10.764</f>
        <v>767.47319999999991</v>
      </c>
      <c r="E111" s="19">
        <v>0</v>
      </c>
      <c r="F111" s="19">
        <f>D111*(($F$97)+1)+E111</f>
        <v>1227.95712</v>
      </c>
      <c r="G111" s="171"/>
      <c r="H111" s="172"/>
      <c r="I111" s="36"/>
      <c r="N111" s="36"/>
    </row>
    <row r="112" spans="1:14" s="2" customFormat="1" ht="15.75" customHeight="1" x14ac:dyDescent="0.25">
      <c r="A112" s="109" t="s">
        <v>226</v>
      </c>
      <c r="B112" s="110"/>
      <c r="C112" s="110"/>
      <c r="D112" s="110"/>
      <c r="E112" s="110"/>
      <c r="F112" s="110"/>
      <c r="G112" s="110"/>
      <c r="H112" s="111"/>
      <c r="I112" s="36"/>
    </row>
    <row r="113" spans="1:16" s="2" customFormat="1" ht="15.75" customHeight="1" x14ac:dyDescent="0.25">
      <c r="A113" s="105" t="str">
        <f t="shared" ref="A113:A118" ca="1" si="2">N113</f>
        <v>601,..,2201</v>
      </c>
      <c r="B113" s="106"/>
      <c r="C113" s="19" t="s">
        <v>209</v>
      </c>
      <c r="D113" s="19">
        <f>71.3*10.764</f>
        <v>767.47319999999991</v>
      </c>
      <c r="E113" s="19">
        <v>0</v>
      </c>
      <c r="F113" s="19">
        <f t="shared" ref="F113:F118" si="3">D113*(($F$97)+1)+E113</f>
        <v>1227.95712</v>
      </c>
      <c r="G113" s="167" t="str">
        <f>A112</f>
        <v>6th, 8th to 13th, 15th to 20th, 22nd Floor</v>
      </c>
      <c r="H113" s="168"/>
      <c r="I113" s="36"/>
      <c r="N113" s="2" t="str">
        <f t="shared" ref="N113:N118" ca="1" si="4">O113&amp;""&amp;",..,"&amp;""&amp;P113</f>
        <v>601,..,2201</v>
      </c>
      <c r="O113" s="2">
        <f ca="1">(SUMPRODUCT(MID(0&amp;(LEFT(A112,SUM(LEN(A112)-LEN(SUBSTITUTE(A112,{"0","1"},""))))), LARGE(INDEX(ISNUMBER(--MID((LEFT(A112,SUM(LEN(A112)-LEN(SUBSTITUTE(A112,{"0","1"},""))))), ROW(INDIRECT("1:"&amp;LEN((LEFT(A112,SUM(LEN(A112)-LEN(SUBSTITUTE(A112,{"0","1"},"")))))))), 1)) * ROW(INDIRECT("1:"&amp;LEN((LEFT(A112,SUM(LEN(A112)-LEN(SUBSTITUTE(A112,{"0","1"},"")))))))), 0), ROW(INDIRECT("1:"&amp;LEN((LEFT(A112,SUM(LEN(A112)-LEN(SUBSTITUTE(A112,{"0","1"},"")))))))))+1, 1) * 10^ROW(INDIRECT("1:"&amp;LEN((LEFT(A112,SUM(LEN(A112)-LEN(SUBSTITUTE(A112,{"0","1"},""))))))))/10))*100+1</f>
        <v>601</v>
      </c>
      <c r="P113" s="2">
        <f ca="1">(SUMPRODUCT(MID(0&amp;(--TRIM(RIGHT(SUBSTITUTE(LEFT(A112,_xlfn.AGGREGATE(16,6,FIND({0,1,2,3,4,5,6,7,8,9},A112,ROW(INDIRECT("1:"&amp;LEN(A112)))),1))," ",REPT(" ",LEN(A112))),LEN(A112)))), LARGE(INDEX(ISNUMBER(--MID((--TRIM(RIGHT(SUBSTITUTE(LEFT(A112,_xlfn.AGGREGATE(16,6,FIND({0,1,2,3,4,5,6,7,8,9},A112,ROW(INDIRECT("1:"&amp;LEN(A112)))),1))," ",REPT(" ",LEN(A112))),LEN(A112)))), ROW(INDIRECT("1:"&amp;LEN((--TRIM(RIGHT(SUBSTITUTE(LEFT(A112,_xlfn.AGGREGATE(16,6,FIND({0,1,2,3,4,5,6,7,8,9},A112,ROW(INDIRECT("1:"&amp;LEN(A112)))),1))," ",REPT(" ",LEN(A112))),LEN(A112))))))), 1)) * ROW(INDIRECT("1:"&amp;LEN((--TRIM(RIGHT(SUBSTITUTE(LEFT(A112,_xlfn.AGGREGATE(16,6,FIND({0,1,2,3,4,5,6,7,8,9},A112,ROW(INDIRECT("1:"&amp;LEN(A112)))),1))," ",REPT(" ",LEN(A112))),LEN(A112))))))), 0), ROW(INDIRECT("1:"&amp;LEN((--TRIM(RIGHT(SUBSTITUTE(LEFT(A112,_xlfn.AGGREGATE(16,6,FIND({0,1,2,3,4,5,6,7,8,9},A112,ROW(INDIRECT("1:"&amp;LEN(A112)))),1))," ",REPT(" ",LEN(A112))),LEN(A112))))))))+1, 1) * 10^ROW(INDIRECT("1:"&amp;LEN((--TRIM(RIGHT(SUBSTITUTE(LEFT(A112,_xlfn.AGGREGATE(16,6,FIND({0,1,2,3,4,5,6,7,8,9},A112,ROW(INDIRECT("1:"&amp;LEN(A112)))),1))," ",REPT(" ",LEN(A112))),LEN(A112)))))))/10))*100+1</f>
        <v>2201</v>
      </c>
    </row>
    <row r="114" spans="1:16" s="2" customFormat="1" ht="15.75" customHeight="1" x14ac:dyDescent="0.25">
      <c r="A114" s="105" t="str">
        <f t="shared" ca="1" si="2"/>
        <v>602,..,2202</v>
      </c>
      <c r="B114" s="106"/>
      <c r="C114" s="19" t="s">
        <v>150</v>
      </c>
      <c r="D114" s="19">
        <f>98.03*10.764</f>
        <v>1055.1949199999999</v>
      </c>
      <c r="E114" s="19">
        <v>0</v>
      </c>
      <c r="F114" s="19">
        <f t="shared" si="3"/>
        <v>1688.311872</v>
      </c>
      <c r="G114" s="169"/>
      <c r="H114" s="170"/>
      <c r="I114" s="36"/>
      <c r="N114" s="2" t="str">
        <f t="shared" ca="1" si="4"/>
        <v>602,..,2202</v>
      </c>
      <c r="O114" s="2">
        <f t="shared" ref="O114:P117" ca="1" si="5">O113+1</f>
        <v>602</v>
      </c>
      <c r="P114" s="2">
        <f t="shared" ca="1" si="5"/>
        <v>2202</v>
      </c>
    </row>
    <row r="115" spans="1:16" s="2" customFormat="1" ht="15.75" customHeight="1" x14ac:dyDescent="0.25">
      <c r="A115" s="105" t="str">
        <f t="shared" ca="1" si="2"/>
        <v>603,..,2203</v>
      </c>
      <c r="B115" s="106"/>
      <c r="C115" s="19" t="s">
        <v>209</v>
      </c>
      <c r="D115" s="19">
        <f>70.47*10.764</f>
        <v>758.5390799999999</v>
      </c>
      <c r="E115" s="19">
        <v>0</v>
      </c>
      <c r="F115" s="19">
        <f t="shared" si="3"/>
        <v>1213.6625279999998</v>
      </c>
      <c r="G115" s="169"/>
      <c r="H115" s="170"/>
      <c r="I115" s="36"/>
      <c r="N115" s="2" t="str">
        <f t="shared" ca="1" si="4"/>
        <v>603,..,2203</v>
      </c>
      <c r="O115" s="2">
        <f t="shared" ca="1" si="5"/>
        <v>603</v>
      </c>
      <c r="P115" s="2">
        <f t="shared" ca="1" si="5"/>
        <v>2203</v>
      </c>
    </row>
    <row r="116" spans="1:16" s="2" customFormat="1" ht="15.75" customHeight="1" x14ac:dyDescent="0.25">
      <c r="A116" s="105" t="str">
        <f t="shared" ca="1" si="2"/>
        <v>604,..,2204</v>
      </c>
      <c r="B116" s="106"/>
      <c r="C116" s="19" t="s">
        <v>209</v>
      </c>
      <c r="D116" s="19">
        <f>69.98*10.764</f>
        <v>753.26472000000001</v>
      </c>
      <c r="E116" s="19">
        <v>0</v>
      </c>
      <c r="F116" s="19">
        <f t="shared" si="3"/>
        <v>1205.2235520000002</v>
      </c>
      <c r="G116" s="169"/>
      <c r="H116" s="170"/>
      <c r="I116" s="36"/>
      <c r="N116" s="2" t="str">
        <f t="shared" ca="1" si="4"/>
        <v>604,..,2204</v>
      </c>
      <c r="O116" s="2">
        <f t="shared" ca="1" si="5"/>
        <v>604</v>
      </c>
      <c r="P116" s="2">
        <f t="shared" ca="1" si="5"/>
        <v>2204</v>
      </c>
    </row>
    <row r="117" spans="1:16" s="2" customFormat="1" ht="15.75" customHeight="1" x14ac:dyDescent="0.25">
      <c r="A117" s="105" t="str">
        <f t="shared" ca="1" si="2"/>
        <v>605,..,2205</v>
      </c>
      <c r="B117" s="106"/>
      <c r="C117" s="19" t="s">
        <v>209</v>
      </c>
      <c r="D117" s="19">
        <f>69.98*10.764</f>
        <v>753.26472000000001</v>
      </c>
      <c r="E117" s="19">
        <v>0</v>
      </c>
      <c r="F117" s="19">
        <f t="shared" si="3"/>
        <v>1205.2235520000002</v>
      </c>
      <c r="G117" s="169"/>
      <c r="H117" s="170"/>
      <c r="I117" s="36"/>
      <c r="N117" s="2" t="str">
        <f t="shared" ca="1" si="4"/>
        <v>605,..,2205</v>
      </c>
      <c r="O117" s="2">
        <f t="shared" ca="1" si="5"/>
        <v>605</v>
      </c>
      <c r="P117" s="2">
        <f t="shared" ca="1" si="5"/>
        <v>2205</v>
      </c>
    </row>
    <row r="118" spans="1:16" s="2" customFormat="1" ht="15.75" customHeight="1" x14ac:dyDescent="0.25">
      <c r="A118" s="105" t="str">
        <f t="shared" ca="1" si="2"/>
        <v>606,..,2206</v>
      </c>
      <c r="B118" s="106"/>
      <c r="C118" s="19" t="s">
        <v>209</v>
      </c>
      <c r="D118" s="19">
        <f>70.47*10.764</f>
        <v>758.5390799999999</v>
      </c>
      <c r="E118" s="19">
        <v>0</v>
      </c>
      <c r="F118" s="19">
        <f t="shared" si="3"/>
        <v>1213.6625279999998</v>
      </c>
      <c r="G118" s="169"/>
      <c r="H118" s="170"/>
      <c r="I118" s="36"/>
      <c r="N118" s="2" t="str">
        <f t="shared" ca="1" si="4"/>
        <v>606,..,2206</v>
      </c>
      <c r="O118" s="2">
        <f t="shared" ref="O118:P120" ca="1" si="6">O117+1</f>
        <v>606</v>
      </c>
      <c r="P118" s="2">
        <f t="shared" ca="1" si="6"/>
        <v>2206</v>
      </c>
    </row>
    <row r="119" spans="1:16" s="2" customFormat="1" ht="15.75" customHeight="1" x14ac:dyDescent="0.25">
      <c r="A119" s="105" t="str">
        <f ca="1">N119</f>
        <v>607,..,2207</v>
      </c>
      <c r="B119" s="106"/>
      <c r="C119" s="19" t="s">
        <v>150</v>
      </c>
      <c r="D119" s="19">
        <f>98.03*10.764</f>
        <v>1055.1949199999999</v>
      </c>
      <c r="E119" s="19">
        <v>0</v>
      </c>
      <c r="F119" s="19">
        <f>D119*(($F$97)+1)+E119</f>
        <v>1688.311872</v>
      </c>
      <c r="G119" s="169"/>
      <c r="H119" s="170"/>
      <c r="I119" s="36"/>
      <c r="N119" s="2" t="str">
        <f ca="1">O119&amp;""&amp;",..,"&amp;""&amp;P119</f>
        <v>607,..,2207</v>
      </c>
      <c r="O119" s="2">
        <f t="shared" ca="1" si="6"/>
        <v>607</v>
      </c>
      <c r="P119" s="2">
        <f t="shared" ca="1" si="6"/>
        <v>2207</v>
      </c>
    </row>
    <row r="120" spans="1:16" s="2" customFormat="1" ht="15.75" customHeight="1" x14ac:dyDescent="0.25">
      <c r="A120" s="105" t="str">
        <f ca="1">N120</f>
        <v>608,..,2208</v>
      </c>
      <c r="B120" s="106"/>
      <c r="C120" s="19" t="s">
        <v>209</v>
      </c>
      <c r="D120" s="19">
        <f>71.3*10.764</f>
        <v>767.47319999999991</v>
      </c>
      <c r="E120" s="19">
        <v>0</v>
      </c>
      <c r="F120" s="19">
        <f>D120*(($F$97)+1)+E120</f>
        <v>1227.95712</v>
      </c>
      <c r="G120" s="171"/>
      <c r="H120" s="172"/>
      <c r="I120" s="36"/>
      <c r="N120" s="2" t="str">
        <f ca="1">O120&amp;""&amp;",..,"&amp;""&amp;P120</f>
        <v>608,..,2208</v>
      </c>
      <c r="O120" s="2">
        <f t="shared" ca="1" si="6"/>
        <v>608</v>
      </c>
      <c r="P120" s="2">
        <f t="shared" ca="1" si="6"/>
        <v>2208</v>
      </c>
    </row>
    <row r="121" spans="1:16" s="2" customFormat="1" x14ac:dyDescent="0.25">
      <c r="A121" s="109" t="s">
        <v>213</v>
      </c>
      <c r="B121" s="110"/>
      <c r="C121" s="110"/>
      <c r="D121" s="110"/>
      <c r="E121" s="110"/>
      <c r="F121" s="110"/>
      <c r="G121" s="110"/>
      <c r="H121" s="111"/>
      <c r="I121" s="36"/>
    </row>
    <row r="122" spans="1:16" s="2" customFormat="1" ht="15.75" customHeight="1" x14ac:dyDescent="0.25">
      <c r="A122" s="105" t="str">
        <f t="shared" ref="A122:A127" ca="1" si="7">N122</f>
        <v>701 &amp; 1401</v>
      </c>
      <c r="B122" s="106"/>
      <c r="C122" s="19" t="s">
        <v>209</v>
      </c>
      <c r="D122" s="19">
        <f>71.3*10.764</f>
        <v>767.47319999999991</v>
      </c>
      <c r="E122" s="19">
        <v>0</v>
      </c>
      <c r="F122" s="19">
        <f>D122*(($F$97)+1)+E122</f>
        <v>1227.95712</v>
      </c>
      <c r="G122" s="167" t="str">
        <f>A121</f>
        <v>7th &amp; 14th Floor (Part Refuge Area)</v>
      </c>
      <c r="H122" s="168"/>
      <c r="I122" s="36"/>
      <c r="N122" s="2" t="str">
        <f t="shared" ref="N122:N127" ca="1" si="8">O122&amp;""&amp;" &amp; "&amp;""&amp;P122</f>
        <v>701 &amp; 1401</v>
      </c>
      <c r="O122" s="2">
        <f ca="1">(SUMPRODUCT(MID(0&amp;(LEFT(A121,SUM(LEN(A121)-LEN(SUBSTITUTE(A121,{"0","1"},""))))), LARGE(INDEX(ISNUMBER(--MID((LEFT(A121,SUM(LEN(A121)-LEN(SUBSTITUTE(A121,{"0","1"},""))))), ROW(INDIRECT("1:"&amp;LEN((LEFT(A121,SUM(LEN(A121)-LEN(SUBSTITUTE(A121,{"0","1"},"")))))))), 1)) * ROW(INDIRECT("1:"&amp;LEN((LEFT(A121,SUM(LEN(A121)-LEN(SUBSTITUTE(A121,{"0","1"},"")))))))), 0), ROW(INDIRECT("1:"&amp;LEN((LEFT(A121,SUM(LEN(A121)-LEN(SUBSTITUTE(A121,{"0","1"},"")))))))))+1, 1) * 10^ROW(INDIRECT("1:"&amp;LEN((LEFT(A121,SUM(LEN(A121)-LEN(SUBSTITUTE(A121,{"0","1"},""))))))))/10))*100+1</f>
        <v>701</v>
      </c>
      <c r="P122" s="2">
        <f ca="1">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",LEN(A121))),LEN(A121)))))))/10))*100+1</f>
        <v>1401</v>
      </c>
    </row>
    <row r="123" spans="1:16" s="2" customFormat="1" ht="15.75" customHeight="1" x14ac:dyDescent="0.25">
      <c r="A123" s="167" t="str">
        <f t="shared" ca="1" si="7"/>
        <v>702 &amp; 1402</v>
      </c>
      <c r="B123" s="168"/>
      <c r="C123" s="47" t="s">
        <v>150</v>
      </c>
      <c r="D123" s="47">
        <f>98.03*10.764</f>
        <v>1055.1949199999999</v>
      </c>
      <c r="E123" s="47">
        <v>0</v>
      </c>
      <c r="F123" s="47">
        <f>D123*(($F$97)+1)+E123</f>
        <v>1688.311872</v>
      </c>
      <c r="G123" s="169"/>
      <c r="H123" s="170"/>
      <c r="I123" s="36"/>
      <c r="N123" s="2" t="str">
        <f t="shared" ca="1" si="8"/>
        <v>702 &amp; 1402</v>
      </c>
      <c r="O123" s="2">
        <f t="shared" ref="O123:P127" ca="1" si="9">O122+1</f>
        <v>702</v>
      </c>
      <c r="P123" s="2">
        <f t="shared" ca="1" si="9"/>
        <v>1402</v>
      </c>
    </row>
    <row r="124" spans="1:16" s="2" customFormat="1" ht="15.75" customHeight="1" x14ac:dyDescent="0.25">
      <c r="A124" s="77" t="str">
        <f t="shared" ca="1" si="7"/>
        <v>703 &amp; 1403</v>
      </c>
      <c r="B124" s="77"/>
      <c r="C124" s="19" t="s">
        <v>209</v>
      </c>
      <c r="D124" s="19">
        <f>70.47*10.764</f>
        <v>758.5390799999999</v>
      </c>
      <c r="E124" s="19">
        <v>0</v>
      </c>
      <c r="F124" s="19">
        <f>D124*(($F$97)+1)+E124</f>
        <v>1213.6625279999998</v>
      </c>
      <c r="G124" s="169"/>
      <c r="H124" s="170"/>
      <c r="I124" s="36"/>
      <c r="N124" s="2" t="str">
        <f t="shared" ca="1" si="8"/>
        <v>703 &amp; 1403</v>
      </c>
      <c r="O124" s="2">
        <f t="shared" ca="1" si="9"/>
        <v>703</v>
      </c>
      <c r="P124" s="2">
        <f t="shared" ca="1" si="9"/>
        <v>1403</v>
      </c>
    </row>
    <row r="125" spans="1:16" s="2" customFormat="1" ht="15.75" customHeight="1" x14ac:dyDescent="0.25">
      <c r="A125" s="105" t="str">
        <f t="shared" ca="1" si="7"/>
        <v>704 &amp; 1404</v>
      </c>
      <c r="B125" s="106"/>
      <c r="C125" s="167" t="s">
        <v>212</v>
      </c>
      <c r="D125" s="173"/>
      <c r="E125" s="173"/>
      <c r="F125" s="168"/>
      <c r="G125" s="169"/>
      <c r="H125" s="170"/>
      <c r="I125" s="36"/>
      <c r="N125" s="2" t="str">
        <f t="shared" ca="1" si="8"/>
        <v>704 &amp; 1404</v>
      </c>
      <c r="O125" s="2">
        <f t="shared" ca="1" si="9"/>
        <v>704</v>
      </c>
      <c r="P125" s="2">
        <f t="shared" ca="1" si="9"/>
        <v>1404</v>
      </c>
    </row>
    <row r="126" spans="1:16" s="2" customFormat="1" ht="15.75" customHeight="1" x14ac:dyDescent="0.25">
      <c r="A126" s="105" t="str">
        <f t="shared" ca="1" si="7"/>
        <v>705 &amp; 1405</v>
      </c>
      <c r="B126" s="106"/>
      <c r="C126" s="171"/>
      <c r="D126" s="175"/>
      <c r="E126" s="175"/>
      <c r="F126" s="172"/>
      <c r="G126" s="169"/>
      <c r="H126" s="170"/>
      <c r="I126" s="36"/>
      <c r="N126" s="2" t="str">
        <f t="shared" ca="1" si="8"/>
        <v>705 &amp; 1405</v>
      </c>
      <c r="O126" s="2">
        <f t="shared" ca="1" si="9"/>
        <v>705</v>
      </c>
      <c r="P126" s="2">
        <f t="shared" ca="1" si="9"/>
        <v>1405</v>
      </c>
    </row>
    <row r="127" spans="1:16" s="2" customFormat="1" ht="15.75" customHeight="1" x14ac:dyDescent="0.25">
      <c r="A127" s="105" t="str">
        <f t="shared" ca="1" si="7"/>
        <v>706 &amp; 1406</v>
      </c>
      <c r="B127" s="106"/>
      <c r="C127" s="19" t="s">
        <v>209</v>
      </c>
      <c r="D127" s="19">
        <f>70.47*10.764</f>
        <v>758.5390799999999</v>
      </c>
      <c r="E127" s="19">
        <v>0</v>
      </c>
      <c r="F127" s="19">
        <f>D127*(($F$97)+1)+E127</f>
        <v>1213.6625279999998</v>
      </c>
      <c r="G127" s="169"/>
      <c r="H127" s="170"/>
      <c r="I127" s="36"/>
      <c r="N127" s="2" t="str">
        <f t="shared" ca="1" si="8"/>
        <v>706 &amp; 1406</v>
      </c>
      <c r="O127" s="2">
        <f t="shared" ca="1" si="9"/>
        <v>706</v>
      </c>
      <c r="P127" s="2">
        <f t="shared" ca="1" si="9"/>
        <v>1406</v>
      </c>
    </row>
    <row r="128" spans="1:16" s="2" customFormat="1" ht="15.75" customHeight="1" x14ac:dyDescent="0.25">
      <c r="A128" s="105" t="str">
        <f ca="1">N128</f>
        <v>707 &amp; 1407</v>
      </c>
      <c r="B128" s="106"/>
      <c r="C128" s="19" t="s">
        <v>150</v>
      </c>
      <c r="D128" s="19">
        <f>98.03*10.764</f>
        <v>1055.1949199999999</v>
      </c>
      <c r="E128" s="19">
        <v>0</v>
      </c>
      <c r="F128" s="19">
        <f>D128*(($F$97)+1)+E128</f>
        <v>1688.311872</v>
      </c>
      <c r="G128" s="169"/>
      <c r="H128" s="170"/>
      <c r="I128" s="36"/>
      <c r="N128" s="2" t="str">
        <f ca="1">O128&amp;""&amp;" &amp; "&amp;""&amp;P128</f>
        <v>707 &amp; 1407</v>
      </c>
      <c r="O128" s="2">
        <f ca="1">O127+1</f>
        <v>707</v>
      </c>
      <c r="P128" s="2">
        <f ca="1">P127+1</f>
        <v>1407</v>
      </c>
    </row>
    <row r="129" spans="1:16" s="2" customFormat="1" ht="15.75" customHeight="1" x14ac:dyDescent="0.25">
      <c r="A129" s="105" t="str">
        <f ca="1">N129</f>
        <v>708 &amp; 1408</v>
      </c>
      <c r="B129" s="106"/>
      <c r="C129" s="19" t="s">
        <v>209</v>
      </c>
      <c r="D129" s="19">
        <f>71.3*10.764</f>
        <v>767.47319999999991</v>
      </c>
      <c r="E129" s="19">
        <v>0</v>
      </c>
      <c r="F129" s="19">
        <f>D129*(($F$97)+1)+E129</f>
        <v>1227.95712</v>
      </c>
      <c r="G129" s="171"/>
      <c r="H129" s="172"/>
      <c r="I129" s="36"/>
      <c r="N129" s="2" t="str">
        <f ca="1">O129&amp;""&amp;" &amp; "&amp;""&amp;P129</f>
        <v>708 &amp; 1408</v>
      </c>
      <c r="O129" s="2">
        <f ca="1">O128+1</f>
        <v>708</v>
      </c>
      <c r="P129" s="2">
        <f ca="1">P128+1</f>
        <v>1408</v>
      </c>
    </row>
    <row r="130" spans="1:16" s="2" customFormat="1" x14ac:dyDescent="0.25">
      <c r="A130" s="103" t="s">
        <v>214</v>
      </c>
      <c r="B130" s="103"/>
      <c r="C130" s="103"/>
      <c r="D130" s="103"/>
      <c r="E130" s="103"/>
      <c r="F130" s="103"/>
      <c r="G130" s="103"/>
      <c r="H130" s="103"/>
      <c r="I130" s="36"/>
      <c r="L130" s="166"/>
      <c r="M130" s="166"/>
    </row>
    <row r="131" spans="1:16" s="2" customFormat="1" ht="15.75" customHeight="1" x14ac:dyDescent="0.25">
      <c r="A131" s="77">
        <f>LEFT(A130,SUM(LEN(A130)-LEN(SUBSTITUTE(A130,{"0","1","2","3","4","5","6","7","8","9"},""))))*100+1</f>
        <v>2101</v>
      </c>
      <c r="B131" s="77"/>
      <c r="C131" s="19" t="s">
        <v>209</v>
      </c>
      <c r="D131" s="19">
        <f>71.3*10.764</f>
        <v>767.47319999999991</v>
      </c>
      <c r="E131" s="19">
        <v>0</v>
      </c>
      <c r="F131" s="19">
        <f>D131*(($F$97)+1)+E131</f>
        <v>1227.95712</v>
      </c>
      <c r="G131" s="167" t="str">
        <f>A130</f>
        <v>21st Floor (Part Refuge Area)</v>
      </c>
      <c r="H131" s="168"/>
      <c r="I131" s="36"/>
      <c r="N131" s="36"/>
    </row>
    <row r="132" spans="1:16" s="2" customFormat="1" ht="15.75" customHeight="1" x14ac:dyDescent="0.25">
      <c r="A132" s="77">
        <f t="shared" ref="A132:A138" si="10">A131+1</f>
        <v>2102</v>
      </c>
      <c r="B132" s="77"/>
      <c r="C132" s="19" t="s">
        <v>150</v>
      </c>
      <c r="D132" s="19">
        <f>98.03*10.764</f>
        <v>1055.1949199999999</v>
      </c>
      <c r="E132" s="19">
        <v>0</v>
      </c>
      <c r="F132" s="19">
        <f>D132*(($F$97)+1)+E132</f>
        <v>1688.311872</v>
      </c>
      <c r="G132" s="169"/>
      <c r="H132" s="170"/>
      <c r="I132" s="36"/>
      <c r="N132" s="36"/>
    </row>
    <row r="133" spans="1:16" s="2" customFormat="1" ht="15.75" customHeight="1" x14ac:dyDescent="0.25">
      <c r="A133" s="77">
        <f t="shared" si="10"/>
        <v>2103</v>
      </c>
      <c r="B133" s="77"/>
      <c r="C133" s="19" t="s">
        <v>209</v>
      </c>
      <c r="D133" s="19">
        <f>70.47*10.764</f>
        <v>758.5390799999999</v>
      </c>
      <c r="E133" s="19">
        <v>0</v>
      </c>
      <c r="F133" s="19">
        <f>D133*(($F$97)+1)+E133</f>
        <v>1213.6625279999998</v>
      </c>
      <c r="G133" s="169"/>
      <c r="H133" s="170"/>
      <c r="I133" s="36"/>
      <c r="N133" s="36"/>
    </row>
    <row r="134" spans="1:16" s="2" customFormat="1" ht="15.75" customHeight="1" x14ac:dyDescent="0.25">
      <c r="A134" s="77">
        <f t="shared" si="10"/>
        <v>2104</v>
      </c>
      <c r="B134" s="77"/>
      <c r="C134" s="19" t="s">
        <v>209</v>
      </c>
      <c r="D134" s="19">
        <f>69.98*10.764</f>
        <v>753.26472000000001</v>
      </c>
      <c r="E134" s="19">
        <v>0</v>
      </c>
      <c r="F134" s="19">
        <f>D134*(($F$97)+1)+E134</f>
        <v>1205.2235520000002</v>
      </c>
      <c r="G134" s="169"/>
      <c r="H134" s="170"/>
      <c r="I134" s="36"/>
      <c r="N134" s="36"/>
    </row>
    <row r="135" spans="1:16" s="2" customFormat="1" ht="15.75" customHeight="1" x14ac:dyDescent="0.25">
      <c r="A135" s="77">
        <f t="shared" si="10"/>
        <v>2105</v>
      </c>
      <c r="B135" s="77"/>
      <c r="C135" s="105" t="s">
        <v>212</v>
      </c>
      <c r="D135" s="176"/>
      <c r="E135" s="176"/>
      <c r="F135" s="106"/>
      <c r="G135" s="169"/>
      <c r="H135" s="170"/>
      <c r="I135" s="36"/>
      <c r="N135" s="36"/>
    </row>
    <row r="136" spans="1:16" s="2" customFormat="1" ht="15.75" customHeight="1" x14ac:dyDescent="0.25">
      <c r="A136" s="77">
        <f t="shared" si="10"/>
        <v>2106</v>
      </c>
      <c r="B136" s="77"/>
      <c r="C136" s="19" t="s">
        <v>209</v>
      </c>
      <c r="D136" s="19">
        <f>70.47*10.764</f>
        <v>758.5390799999999</v>
      </c>
      <c r="E136" s="19">
        <v>0</v>
      </c>
      <c r="F136" s="19">
        <f>D136*(($F$97)+1)+E136</f>
        <v>1213.6625279999998</v>
      </c>
      <c r="G136" s="169"/>
      <c r="H136" s="170"/>
      <c r="I136" s="36"/>
      <c r="N136" s="36"/>
    </row>
    <row r="137" spans="1:16" s="2" customFormat="1" ht="15.75" customHeight="1" x14ac:dyDescent="0.25">
      <c r="A137" s="77">
        <f t="shared" si="10"/>
        <v>2107</v>
      </c>
      <c r="B137" s="77"/>
      <c r="C137" s="19" t="s">
        <v>150</v>
      </c>
      <c r="D137" s="19">
        <f>98.03*10.764</f>
        <v>1055.1949199999999</v>
      </c>
      <c r="E137" s="19">
        <v>0</v>
      </c>
      <c r="F137" s="19">
        <f>D137*(($F$97)+1)+E137</f>
        <v>1688.311872</v>
      </c>
      <c r="G137" s="169"/>
      <c r="H137" s="170"/>
      <c r="I137" s="36"/>
      <c r="N137" s="36"/>
    </row>
    <row r="138" spans="1:16" s="2" customFormat="1" ht="15.75" customHeight="1" x14ac:dyDescent="0.25">
      <c r="A138" s="77">
        <f t="shared" si="10"/>
        <v>2108</v>
      </c>
      <c r="B138" s="77"/>
      <c r="C138" s="19" t="s">
        <v>209</v>
      </c>
      <c r="D138" s="19">
        <f>71.3*10.764</f>
        <v>767.47319999999991</v>
      </c>
      <c r="E138" s="19">
        <v>0</v>
      </c>
      <c r="F138" s="19">
        <f>D138*(($F$97)+1)+E138</f>
        <v>1227.95712</v>
      </c>
      <c r="G138" s="171"/>
      <c r="H138" s="172"/>
      <c r="I138" s="36"/>
      <c r="N138" s="36"/>
    </row>
    <row r="139" spans="1:16" s="2" customFormat="1" x14ac:dyDescent="0.25">
      <c r="A139" s="103" t="s">
        <v>211</v>
      </c>
      <c r="B139" s="103"/>
      <c r="C139" s="103"/>
      <c r="D139" s="103"/>
      <c r="E139" s="103"/>
      <c r="F139" s="103"/>
      <c r="G139" s="103"/>
      <c r="H139" s="103"/>
      <c r="I139" s="36"/>
      <c r="L139" s="166"/>
      <c r="M139" s="166"/>
    </row>
    <row r="140" spans="1:16" s="2" customFormat="1" ht="15.75" customHeight="1" x14ac:dyDescent="0.25">
      <c r="A140" s="77">
        <f>LEFT(A139,SUM(LEN(A139)-LEN(SUBSTITUTE(A139,{"0","1","2","3","4","5","6","7","8","9"},""))))*100+1</f>
        <v>2301</v>
      </c>
      <c r="B140" s="77"/>
      <c r="C140" s="167" t="s">
        <v>210</v>
      </c>
      <c r="D140" s="173"/>
      <c r="E140" s="173"/>
      <c r="F140" s="168"/>
      <c r="G140" s="167" t="str">
        <f>A139</f>
        <v>23rd Floor (Part Terrace Area)</v>
      </c>
      <c r="H140" s="168"/>
      <c r="I140" s="36"/>
      <c r="N140" s="36"/>
    </row>
    <row r="141" spans="1:16" s="2" customFormat="1" ht="15.75" customHeight="1" x14ac:dyDescent="0.25">
      <c r="A141" s="77">
        <f t="shared" ref="A141:A147" si="11">A140+1</f>
        <v>2302</v>
      </c>
      <c r="B141" s="77"/>
      <c r="C141" s="169"/>
      <c r="D141" s="174"/>
      <c r="E141" s="174"/>
      <c r="F141" s="170"/>
      <c r="G141" s="169"/>
      <c r="H141" s="170"/>
      <c r="I141" s="36"/>
      <c r="N141" s="36"/>
    </row>
    <row r="142" spans="1:16" s="2" customFormat="1" ht="15.75" customHeight="1" x14ac:dyDescent="0.25">
      <c r="A142" s="77">
        <f t="shared" si="11"/>
        <v>2303</v>
      </c>
      <c r="B142" s="77"/>
      <c r="C142" s="171"/>
      <c r="D142" s="175"/>
      <c r="E142" s="175"/>
      <c r="F142" s="172"/>
      <c r="G142" s="169"/>
      <c r="H142" s="170"/>
      <c r="I142" s="36"/>
      <c r="N142" s="36"/>
    </row>
    <row r="143" spans="1:16" s="2" customFormat="1" ht="15.75" customHeight="1" x14ac:dyDescent="0.25">
      <c r="A143" s="77">
        <f t="shared" si="11"/>
        <v>2304</v>
      </c>
      <c r="B143" s="77"/>
      <c r="C143" s="19" t="s">
        <v>209</v>
      </c>
      <c r="D143" s="19">
        <f>69.98*10.764</f>
        <v>753.26472000000001</v>
      </c>
      <c r="E143" s="19">
        <v>0</v>
      </c>
      <c r="F143" s="19">
        <f>D143*(($F$97)+1)+E143</f>
        <v>1205.2235520000002</v>
      </c>
      <c r="G143" s="169"/>
      <c r="H143" s="170"/>
      <c r="I143" s="36"/>
      <c r="N143" s="36"/>
    </row>
    <row r="144" spans="1:16" s="2" customFormat="1" ht="15.75" customHeight="1" x14ac:dyDescent="0.25">
      <c r="A144" s="77">
        <f t="shared" si="11"/>
        <v>2305</v>
      </c>
      <c r="B144" s="77"/>
      <c r="C144" s="19" t="s">
        <v>209</v>
      </c>
      <c r="D144" s="19">
        <f>69.98*10.764</f>
        <v>753.26472000000001</v>
      </c>
      <c r="E144" s="19">
        <v>0</v>
      </c>
      <c r="F144" s="19">
        <f>D144*(($F$97)+1)+E144</f>
        <v>1205.2235520000002</v>
      </c>
      <c r="G144" s="169"/>
      <c r="H144" s="170"/>
      <c r="I144" s="36"/>
      <c r="N144" s="36"/>
    </row>
    <row r="145" spans="1:14" s="2" customFormat="1" ht="15.75" customHeight="1" x14ac:dyDescent="0.25">
      <c r="A145" s="77">
        <f t="shared" si="11"/>
        <v>2306</v>
      </c>
      <c r="B145" s="77"/>
      <c r="C145" s="167" t="s">
        <v>210</v>
      </c>
      <c r="D145" s="173"/>
      <c r="E145" s="173"/>
      <c r="F145" s="168"/>
      <c r="G145" s="169"/>
      <c r="H145" s="170"/>
      <c r="I145" s="36"/>
      <c r="N145" s="36"/>
    </row>
    <row r="146" spans="1:14" s="2" customFormat="1" ht="15.75" customHeight="1" x14ac:dyDescent="0.25">
      <c r="A146" s="77">
        <f t="shared" si="11"/>
        <v>2307</v>
      </c>
      <c r="B146" s="77"/>
      <c r="C146" s="169"/>
      <c r="D146" s="174"/>
      <c r="E146" s="174"/>
      <c r="F146" s="170"/>
      <c r="G146" s="169"/>
      <c r="H146" s="170"/>
      <c r="I146" s="36"/>
      <c r="N146" s="36"/>
    </row>
    <row r="147" spans="1:14" s="2" customFormat="1" ht="15.75" customHeight="1" x14ac:dyDescent="0.25">
      <c r="A147" s="77">
        <f t="shared" si="11"/>
        <v>2308</v>
      </c>
      <c r="B147" s="77"/>
      <c r="C147" s="171"/>
      <c r="D147" s="175"/>
      <c r="E147" s="175"/>
      <c r="F147" s="172"/>
      <c r="G147" s="171"/>
      <c r="H147" s="172"/>
      <c r="I147" s="36"/>
      <c r="N147" s="36"/>
    </row>
    <row r="148" spans="1:14" s="1" customFormat="1" ht="15" customHeight="1" x14ac:dyDescent="0.25">
      <c r="A148" s="108" t="s">
        <v>76</v>
      </c>
      <c r="B148" s="108"/>
      <c r="C148" s="108"/>
      <c r="D148" s="108"/>
      <c r="E148" s="108"/>
      <c r="F148" s="108"/>
      <c r="G148" s="108"/>
      <c r="H148" s="108"/>
    </row>
    <row r="149" spans="1:14" s="1" customFormat="1" x14ac:dyDescent="0.25">
      <c r="A149" s="48">
        <v>1</v>
      </c>
      <c r="B149" s="63" t="s">
        <v>245</v>
      </c>
      <c r="C149" s="64"/>
      <c r="D149" s="64"/>
      <c r="E149" s="64"/>
      <c r="F149" s="64"/>
      <c r="G149" s="64"/>
      <c r="H149" s="65"/>
      <c r="I149" s="1" t="s">
        <v>242</v>
      </c>
    </row>
    <row r="150" spans="1:14" s="1" customFormat="1" x14ac:dyDescent="0.25">
      <c r="A150" s="48">
        <f t="shared" ref="A150:A159" si="12">A149+1</f>
        <v>2</v>
      </c>
      <c r="B150" s="63" t="s">
        <v>227</v>
      </c>
      <c r="C150" s="64"/>
      <c r="D150" s="64"/>
      <c r="E150" s="64"/>
      <c r="F150" s="64"/>
      <c r="G150" s="64"/>
      <c r="H150" s="65"/>
    </row>
    <row r="151" spans="1:14" s="1" customFormat="1" x14ac:dyDescent="0.25">
      <c r="A151" s="42">
        <f t="shared" si="12"/>
        <v>3</v>
      </c>
      <c r="B151" s="114" t="s">
        <v>164</v>
      </c>
      <c r="C151" s="115"/>
      <c r="D151" s="115"/>
      <c r="E151" s="115"/>
      <c r="F151" s="115"/>
      <c r="G151" s="115"/>
      <c r="H151" s="116"/>
    </row>
    <row r="152" spans="1:14" s="1" customFormat="1" x14ac:dyDescent="0.25">
      <c r="A152" s="42">
        <f t="shared" si="12"/>
        <v>4</v>
      </c>
      <c r="B152" s="114" t="s">
        <v>165</v>
      </c>
      <c r="C152" s="115"/>
      <c r="D152" s="115"/>
      <c r="E152" s="115"/>
      <c r="F152" s="115"/>
      <c r="G152" s="115"/>
      <c r="H152" s="116"/>
    </row>
    <row r="153" spans="1:14" s="1" customFormat="1" x14ac:dyDescent="0.25">
      <c r="A153" s="42">
        <f t="shared" si="12"/>
        <v>5</v>
      </c>
      <c r="B153" s="114" t="s">
        <v>166</v>
      </c>
      <c r="C153" s="115"/>
      <c r="D153" s="115"/>
      <c r="E153" s="115"/>
      <c r="F153" s="115"/>
      <c r="G153" s="115"/>
      <c r="H153" s="116"/>
    </row>
    <row r="154" spans="1:14" s="1" customFormat="1" x14ac:dyDescent="0.25">
      <c r="A154" s="42">
        <f t="shared" si="12"/>
        <v>6</v>
      </c>
      <c r="B154" s="114" t="s">
        <v>167</v>
      </c>
      <c r="C154" s="115"/>
      <c r="D154" s="115"/>
      <c r="E154" s="115"/>
      <c r="F154" s="115"/>
      <c r="G154" s="115"/>
      <c r="H154" s="116"/>
    </row>
    <row r="155" spans="1:14" s="1" customFormat="1" hidden="1" x14ac:dyDescent="0.25">
      <c r="A155" s="48">
        <f t="shared" si="12"/>
        <v>7</v>
      </c>
      <c r="B155" s="63" t="s">
        <v>231</v>
      </c>
      <c r="C155" s="64"/>
      <c r="D155" s="64"/>
      <c r="E155" s="64"/>
      <c r="F155" s="64"/>
      <c r="G155" s="64"/>
      <c r="H155" s="65"/>
    </row>
    <row r="156" spans="1:14" s="1" customFormat="1" x14ac:dyDescent="0.25">
      <c r="A156" s="48">
        <v>7</v>
      </c>
      <c r="B156" s="63" t="s">
        <v>229</v>
      </c>
      <c r="C156" s="64"/>
      <c r="D156" s="64"/>
      <c r="E156" s="64"/>
      <c r="F156" s="64"/>
      <c r="G156" s="64"/>
      <c r="H156" s="65"/>
    </row>
    <row r="157" spans="1:14" s="1" customFormat="1" x14ac:dyDescent="0.25">
      <c r="A157" s="48">
        <f t="shared" si="12"/>
        <v>8</v>
      </c>
      <c r="B157" s="63" t="s">
        <v>246</v>
      </c>
      <c r="C157" s="64"/>
      <c r="D157" s="64"/>
      <c r="E157" s="64"/>
      <c r="F157" s="64"/>
      <c r="G157" s="64"/>
      <c r="H157" s="65"/>
    </row>
    <row r="158" spans="1:14" s="1" customFormat="1" x14ac:dyDescent="0.25">
      <c r="A158" s="48">
        <f t="shared" si="12"/>
        <v>9</v>
      </c>
      <c r="B158" s="63" t="s">
        <v>247</v>
      </c>
      <c r="C158" s="64"/>
      <c r="D158" s="64"/>
      <c r="E158" s="64"/>
      <c r="F158" s="64"/>
      <c r="G158" s="64"/>
      <c r="H158" s="65"/>
    </row>
    <row r="159" spans="1:14" s="1" customFormat="1" x14ac:dyDescent="0.25">
      <c r="A159" s="48">
        <f t="shared" si="12"/>
        <v>10</v>
      </c>
      <c r="B159" s="63" t="s">
        <v>248</v>
      </c>
      <c r="C159" s="64"/>
      <c r="D159" s="64"/>
      <c r="E159" s="64"/>
      <c r="F159" s="64"/>
      <c r="G159" s="64"/>
      <c r="H159" s="65"/>
    </row>
    <row r="160" spans="1:14" x14ac:dyDescent="0.25">
      <c r="A160" s="100" t="s">
        <v>69</v>
      </c>
      <c r="B160" s="100"/>
      <c r="C160" s="100"/>
      <c r="D160" s="100"/>
      <c r="E160" s="100"/>
      <c r="F160" s="100"/>
      <c r="G160" s="100"/>
      <c r="H160" s="100"/>
    </row>
    <row r="161" spans="1:8" x14ac:dyDescent="0.25">
      <c r="A161" s="68" t="s">
        <v>70</v>
      </c>
      <c r="B161" s="68"/>
      <c r="C161" s="68"/>
      <c r="D161" s="68"/>
      <c r="E161" s="68"/>
      <c r="F161" s="68"/>
      <c r="G161" s="68"/>
      <c r="H161" s="68"/>
    </row>
    <row r="162" spans="1:8" ht="15.75" customHeight="1" x14ac:dyDescent="0.25">
      <c r="A162" s="78" t="s">
        <v>71</v>
      </c>
      <c r="B162" s="78"/>
      <c r="C162" s="78"/>
      <c r="D162" s="78"/>
      <c r="E162" s="78"/>
      <c r="F162" s="78"/>
      <c r="G162" s="78"/>
      <c r="H162" s="78"/>
    </row>
    <row r="163" spans="1:8" x14ac:dyDescent="0.25">
      <c r="A163" s="68" t="s">
        <v>72</v>
      </c>
      <c r="B163" s="68"/>
      <c r="C163" s="68"/>
      <c r="D163" s="68"/>
      <c r="E163" s="68"/>
      <c r="F163" s="68"/>
      <c r="G163" s="68"/>
      <c r="H163" s="68"/>
    </row>
    <row r="164" spans="1:8" x14ac:dyDescent="0.25">
      <c r="A164" s="68" t="s">
        <v>73</v>
      </c>
      <c r="B164" s="68"/>
      <c r="C164" s="68"/>
      <c r="D164" s="68"/>
      <c r="E164" s="68"/>
      <c r="F164" s="68"/>
      <c r="G164" s="68"/>
      <c r="H164" s="68"/>
    </row>
    <row r="165" spans="1:8" x14ac:dyDescent="0.25">
      <c r="A165" s="68" t="s">
        <v>168</v>
      </c>
      <c r="B165" s="68"/>
      <c r="C165" s="68"/>
      <c r="D165" s="68"/>
      <c r="E165" s="68"/>
      <c r="F165" s="68"/>
      <c r="G165" s="68"/>
      <c r="H165" s="68"/>
    </row>
    <row r="166" spans="1:8" ht="32.25" customHeight="1" x14ac:dyDescent="0.25">
      <c r="A166" s="91" t="s">
        <v>169</v>
      </c>
      <c r="B166" s="91"/>
      <c r="C166" s="91"/>
      <c r="D166" s="91"/>
      <c r="E166" s="91"/>
      <c r="F166" s="91"/>
      <c r="G166" s="91"/>
      <c r="H166" s="91"/>
    </row>
    <row r="167" spans="1:8" x14ac:dyDescent="0.25">
      <c r="A167" s="72" t="s">
        <v>108</v>
      </c>
      <c r="B167" s="72"/>
      <c r="C167" s="72" t="s">
        <v>239</v>
      </c>
      <c r="D167" s="72"/>
      <c r="E167" s="72" t="s">
        <v>143</v>
      </c>
      <c r="F167" s="72"/>
      <c r="G167" s="73" t="s">
        <v>244</v>
      </c>
      <c r="H167" s="74"/>
    </row>
    <row r="168" spans="1:8" x14ac:dyDescent="0.25">
      <c r="A168" s="102" t="s">
        <v>110</v>
      </c>
      <c r="B168" s="102"/>
      <c r="C168" s="102"/>
      <c r="D168" s="102"/>
      <c r="E168" s="102"/>
      <c r="F168" s="102"/>
      <c r="G168" s="102"/>
      <c r="H168" s="102"/>
    </row>
    <row r="169" spans="1:8" x14ac:dyDescent="0.25">
      <c r="A169" s="102"/>
      <c r="B169" s="102"/>
      <c r="C169" s="102"/>
      <c r="D169" s="102"/>
      <c r="E169" s="102"/>
      <c r="F169" s="102"/>
      <c r="G169" s="102"/>
      <c r="H169" s="102"/>
    </row>
    <row r="170" spans="1:8" ht="13.5" customHeight="1" x14ac:dyDescent="0.25">
      <c r="A170" s="102"/>
      <c r="B170" s="102"/>
      <c r="C170" s="102"/>
      <c r="D170" s="102"/>
      <c r="E170" s="102"/>
      <c r="F170" s="102"/>
      <c r="G170" s="102"/>
      <c r="H170" s="102"/>
    </row>
    <row r="171" spans="1:8" ht="10.5" customHeight="1" x14ac:dyDescent="0.25">
      <c r="A171" s="102"/>
      <c r="B171" s="102"/>
      <c r="C171" s="102"/>
      <c r="D171" s="102"/>
      <c r="E171" s="102"/>
      <c r="F171" s="102"/>
      <c r="G171" s="102"/>
      <c r="H171" s="102"/>
    </row>
    <row r="172" spans="1:8" x14ac:dyDescent="0.25">
      <c r="A172" s="14" t="s">
        <v>74</v>
      </c>
      <c r="B172" s="15"/>
      <c r="C172" s="15"/>
      <c r="D172" s="14" t="str">
        <f>E8</f>
        <v>Ajmera Arham</v>
      </c>
      <c r="F172" s="15"/>
      <c r="G172" s="15"/>
      <c r="H172" s="15"/>
    </row>
    <row r="173" spans="1:8" x14ac:dyDescent="0.25">
      <c r="A173" s="15"/>
      <c r="B173" s="15"/>
      <c r="C173" s="15"/>
      <c r="D173" s="15"/>
      <c r="E173" s="15"/>
      <c r="F173" s="15"/>
      <c r="G173" s="15"/>
      <c r="H173" s="15"/>
    </row>
    <row r="174" spans="1:8" x14ac:dyDescent="0.25">
      <c r="A174" s="15"/>
      <c r="B174" s="15"/>
      <c r="C174" s="15"/>
      <c r="D174" s="15"/>
      <c r="E174" s="15"/>
      <c r="F174" s="15"/>
      <c r="G174" s="15"/>
      <c r="H174" s="15"/>
    </row>
    <row r="175" spans="1:8" ht="15" customHeight="1" x14ac:dyDescent="0.25"/>
    <row r="215" spans="1:1" x14ac:dyDescent="0.25">
      <c r="A215" s="17" t="s">
        <v>75</v>
      </c>
    </row>
  </sheetData>
  <mergeCells count="281">
    <mergeCell ref="B157:H157"/>
    <mergeCell ref="B156:H156"/>
    <mergeCell ref="A9:D9"/>
    <mergeCell ref="E9:H9"/>
    <mergeCell ref="L130:M130"/>
    <mergeCell ref="A131:B131"/>
    <mergeCell ref="A132:B132"/>
    <mergeCell ref="A133:B133"/>
    <mergeCell ref="A134:B134"/>
    <mergeCell ref="G131:H138"/>
    <mergeCell ref="A144:B144"/>
    <mergeCell ref="A145:B145"/>
    <mergeCell ref="A146:B146"/>
    <mergeCell ref="L139:M139"/>
    <mergeCell ref="A140:B140"/>
    <mergeCell ref="A141:B141"/>
    <mergeCell ref="A142:B142"/>
    <mergeCell ref="C140:F142"/>
    <mergeCell ref="G140:H147"/>
    <mergeCell ref="A128:B128"/>
    <mergeCell ref="A124:B124"/>
    <mergeCell ref="A121:H121"/>
    <mergeCell ref="A122:B122"/>
    <mergeCell ref="A123:B123"/>
    <mergeCell ref="C125:F126"/>
    <mergeCell ref="A127:B127"/>
    <mergeCell ref="A125:B125"/>
    <mergeCell ref="G122:H129"/>
    <mergeCell ref="A84:E84"/>
    <mergeCell ref="A86:E86"/>
    <mergeCell ref="F80:H80"/>
    <mergeCell ref="A85:E85"/>
    <mergeCell ref="A110:B110"/>
    <mergeCell ref="A111:B111"/>
    <mergeCell ref="A119:B119"/>
    <mergeCell ref="G104:H111"/>
    <mergeCell ref="A98:H98"/>
    <mergeCell ref="A95:H95"/>
    <mergeCell ref="A87:E87"/>
    <mergeCell ref="F86:H86"/>
    <mergeCell ref="B151:H151"/>
    <mergeCell ref="B152:H152"/>
    <mergeCell ref="B153:H153"/>
    <mergeCell ref="A129:B129"/>
    <mergeCell ref="A130:H130"/>
    <mergeCell ref="A135:B135"/>
    <mergeCell ref="A136:B136"/>
    <mergeCell ref="A137:B137"/>
    <mergeCell ref="A147:B147"/>
    <mergeCell ref="C145:F147"/>
    <mergeCell ref="A138:B138"/>
    <mergeCell ref="A139:H139"/>
    <mergeCell ref="C135:F135"/>
    <mergeCell ref="A143:B143"/>
    <mergeCell ref="L103:M103"/>
    <mergeCell ref="A96:A97"/>
    <mergeCell ref="A108:B108"/>
    <mergeCell ref="A105:B105"/>
    <mergeCell ref="A106:B106"/>
    <mergeCell ref="A107:B107"/>
    <mergeCell ref="A118:B118"/>
    <mergeCell ref="A117:B117"/>
    <mergeCell ref="A116:B116"/>
    <mergeCell ref="A113:B113"/>
    <mergeCell ref="C96:C97"/>
    <mergeCell ref="A99:H99"/>
    <mergeCell ref="A100:H100"/>
    <mergeCell ref="A101:H101"/>
    <mergeCell ref="A102:H102"/>
    <mergeCell ref="G113:H120"/>
    <mergeCell ref="A120:B120"/>
    <mergeCell ref="A114:B114"/>
    <mergeCell ref="A74:E74"/>
    <mergeCell ref="F74:H74"/>
    <mergeCell ref="F85:H85"/>
    <mergeCell ref="F81:H81"/>
    <mergeCell ref="F88:H88"/>
    <mergeCell ref="F87:H87"/>
    <mergeCell ref="A81:E81"/>
    <mergeCell ref="A83:E83"/>
    <mergeCell ref="F83:H83"/>
    <mergeCell ref="C93:D93"/>
    <mergeCell ref="E93:F93"/>
    <mergeCell ref="G93:H93"/>
    <mergeCell ref="F84:H84"/>
    <mergeCell ref="A78:E78"/>
    <mergeCell ref="C76:H76"/>
    <mergeCell ref="F79:H79"/>
    <mergeCell ref="A79:E79"/>
    <mergeCell ref="A88:E88"/>
    <mergeCell ref="A80:E80"/>
    <mergeCell ref="C92:D92"/>
    <mergeCell ref="G92:H92"/>
    <mergeCell ref="A82:E82"/>
    <mergeCell ref="F82:H82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D54:H54"/>
    <mergeCell ref="A54:C54"/>
    <mergeCell ref="G47:H47"/>
    <mergeCell ref="A48:B49"/>
    <mergeCell ref="A70:B70"/>
    <mergeCell ref="A63:B63"/>
    <mergeCell ref="A66:B6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59:C59"/>
    <mergeCell ref="D59:H59"/>
    <mergeCell ref="A64:B64"/>
    <mergeCell ref="G63:H63"/>
    <mergeCell ref="A62:B62"/>
    <mergeCell ref="A60:B60"/>
    <mergeCell ref="C60:H60"/>
    <mergeCell ref="A56:C56"/>
    <mergeCell ref="A57:C57"/>
    <mergeCell ref="D56:H56"/>
    <mergeCell ref="E64:F73"/>
    <mergeCell ref="G64:H73"/>
    <mergeCell ref="A72:B72"/>
    <mergeCell ref="A73:B73"/>
    <mergeCell ref="D57:H57"/>
    <mergeCell ref="A71:B71"/>
    <mergeCell ref="A168:H171"/>
    <mergeCell ref="A89:E89"/>
    <mergeCell ref="F89:H89"/>
    <mergeCell ref="A90:E90"/>
    <mergeCell ref="F90:H90"/>
    <mergeCell ref="A103:H103"/>
    <mergeCell ref="A93:B93"/>
    <mergeCell ref="A115:B115"/>
    <mergeCell ref="A163:H163"/>
    <mergeCell ref="A91:H91"/>
    <mergeCell ref="A166:H166"/>
    <mergeCell ref="A164:H164"/>
    <mergeCell ref="A148:H148"/>
    <mergeCell ref="B96:B97"/>
    <mergeCell ref="A112:H112"/>
    <mergeCell ref="A160:H160"/>
    <mergeCell ref="A161:H161"/>
    <mergeCell ref="E92:F92"/>
    <mergeCell ref="A94:H94"/>
    <mergeCell ref="B154:H154"/>
    <mergeCell ref="B155:H155"/>
    <mergeCell ref="A126:B126"/>
    <mergeCell ref="B149:H149"/>
    <mergeCell ref="B150:H150"/>
    <mergeCell ref="A77:H77"/>
    <mergeCell ref="A46:B46"/>
    <mergeCell ref="C46:E46"/>
    <mergeCell ref="C49:E49"/>
    <mergeCell ref="G49:H49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D58:H58"/>
    <mergeCell ref="C62:H62"/>
    <mergeCell ref="A65:B65"/>
    <mergeCell ref="A67:B67"/>
    <mergeCell ref="E63:F63"/>
    <mergeCell ref="B158:H158"/>
    <mergeCell ref="A68:B68"/>
    <mergeCell ref="A58:C58"/>
    <mergeCell ref="C37:H37"/>
    <mergeCell ref="B159:H159"/>
    <mergeCell ref="A167:B167"/>
    <mergeCell ref="C167:D167"/>
    <mergeCell ref="E167:F167"/>
    <mergeCell ref="G167:H167"/>
    <mergeCell ref="G50:H50"/>
    <mergeCell ref="E40:H40"/>
    <mergeCell ref="A40:D40"/>
    <mergeCell ref="A165:H165"/>
    <mergeCell ref="A109:B109"/>
    <mergeCell ref="A162:H162"/>
    <mergeCell ref="A104:B104"/>
    <mergeCell ref="A92:B92"/>
    <mergeCell ref="D96:D97"/>
    <mergeCell ref="E96:E97"/>
    <mergeCell ref="G96:H97"/>
    <mergeCell ref="A69:B69"/>
    <mergeCell ref="F78:H78"/>
    <mergeCell ref="A75:H75"/>
    <mergeCell ref="A76:B76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&amp;P</oddFooter>
  </headerFooter>
  <rowBreaks count="2" manualBreakCount="2">
    <brk id="171" max="16383" man="1"/>
    <brk id="2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77"/>
      <c r="D2" s="177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78" t="s">
        <v>80</v>
      </c>
      <c r="D4" s="178"/>
      <c r="E4" s="178"/>
      <c r="F4" s="6"/>
      <c r="G4" s="178" t="s">
        <v>81</v>
      </c>
      <c r="H4" s="178"/>
      <c r="I4" s="178"/>
      <c r="J4" s="178" t="s">
        <v>82</v>
      </c>
      <c r="K4" s="178"/>
      <c r="L4" s="178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F16" sqref="F16"/>
    </sheetView>
  </sheetViews>
  <sheetFormatPr defaultColWidth="8.7109375" defaultRowHeight="15" x14ac:dyDescent="0.25"/>
  <cols>
    <col min="1" max="1" width="8.710937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7109375" style="23"/>
  </cols>
  <sheetData>
    <row r="1" spans="1:9" ht="15" customHeight="1" x14ac:dyDescent="0.25"/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179" t="s">
        <v>144</v>
      </c>
      <c r="C3" s="179"/>
      <c r="D3" s="179"/>
      <c r="E3" s="179"/>
      <c r="F3" s="179"/>
      <c r="G3" s="179"/>
      <c r="H3" s="179"/>
    </row>
    <row r="4" spans="1:9" x14ac:dyDescent="0.25">
      <c r="A4" s="24"/>
      <c r="B4" s="25" t="s">
        <v>145</v>
      </c>
      <c r="C4" s="25" t="s">
        <v>146</v>
      </c>
      <c r="D4" s="25" t="s">
        <v>78</v>
      </c>
      <c r="E4" s="25" t="s">
        <v>147</v>
      </c>
      <c r="F4" s="25" t="s">
        <v>154</v>
      </c>
      <c r="G4" s="25" t="s">
        <v>155</v>
      </c>
      <c r="H4" s="25" t="s">
        <v>148</v>
      </c>
    </row>
    <row r="5" spans="1:9" ht="15" customHeight="1" x14ac:dyDescent="0.25">
      <c r="A5" s="24"/>
      <c r="B5" s="27" t="s">
        <v>149</v>
      </c>
      <c r="C5" s="28"/>
      <c r="D5" s="27" t="s">
        <v>150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25">
      <c r="A6" s="24"/>
      <c r="B6" s="27" t="s">
        <v>149</v>
      </c>
      <c r="C6" s="31"/>
      <c r="D6" s="27"/>
      <c r="E6" s="27"/>
      <c r="F6" s="29">
        <f t="shared" ref="F6:F11" si="0">E6*1.6</f>
        <v>0</v>
      </c>
      <c r="G6" s="29" t="e">
        <f t="shared" ref="G6:G10" si="1">H6/F6</f>
        <v>#DIV/0!</v>
      </c>
      <c r="H6" s="30"/>
    </row>
    <row r="7" spans="1:9" ht="15" customHeight="1" x14ac:dyDescent="0.25">
      <c r="A7" s="24"/>
      <c r="B7" s="27" t="s">
        <v>149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25">
      <c r="A8" s="24"/>
      <c r="B8" s="27" t="s">
        <v>149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149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25">
      <c r="A10" s="24"/>
      <c r="B10" s="27" t="s">
        <v>151</v>
      </c>
      <c r="C10" s="28"/>
      <c r="D10" s="61" t="s">
        <v>209</v>
      </c>
      <c r="E10" s="27">
        <v>767</v>
      </c>
      <c r="F10" s="29">
        <f t="shared" si="0"/>
        <v>1227.2</v>
      </c>
      <c r="G10" s="29">
        <f t="shared" si="1"/>
        <v>16215.775749674054</v>
      </c>
      <c r="H10" s="30">
        <v>19900000</v>
      </c>
    </row>
    <row r="11" spans="1:9" ht="15" customHeight="1" x14ac:dyDescent="0.25">
      <c r="A11" s="24"/>
      <c r="B11" s="27" t="s">
        <v>151</v>
      </c>
      <c r="C11" s="28"/>
      <c r="D11" s="61" t="s">
        <v>150</v>
      </c>
      <c r="E11" s="27">
        <v>1055</v>
      </c>
      <c r="F11" s="29">
        <f t="shared" si="0"/>
        <v>1688</v>
      </c>
      <c r="G11" s="29">
        <f>H11/F11</f>
        <v>12914.691943127962</v>
      </c>
      <c r="H11" s="30">
        <v>21800000</v>
      </c>
    </row>
    <row r="12" spans="1:9" ht="15" customHeight="1" x14ac:dyDescent="0.25">
      <c r="A12" s="24"/>
      <c r="B12" s="32" t="s">
        <v>152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B13" s="32" t="s">
        <v>153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2025-08-12T06:39:11Z</cp:lastPrinted>
  <dcterms:created xsi:type="dcterms:W3CDTF">2019-07-16T09:29:46Z</dcterms:created>
  <dcterms:modified xsi:type="dcterms:W3CDTF">2025-08-12T06:41:22Z</dcterms:modified>
</cp:coreProperties>
</file>