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-105" yWindow="-105" windowWidth="21840" windowHeight="1245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Report!$A$1:$H$369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1" l="1"/>
  <c r="C52" i="1"/>
  <c r="A217" i="1" l="1"/>
  <c r="A218" i="1" s="1"/>
  <c r="A219" i="1" s="1"/>
  <c r="A220" i="1" s="1"/>
  <c r="A221" i="1" s="1"/>
  <c r="A222" i="1" s="1"/>
  <c r="A223" i="1" s="1"/>
  <c r="A224" i="1" s="1"/>
  <c r="A225" i="1" s="1"/>
  <c r="A226" i="1" s="1"/>
  <c r="D226" i="1"/>
  <c r="F226" i="1" s="1"/>
  <c r="D225" i="1"/>
  <c r="F225" i="1" s="1"/>
  <c r="D224" i="1"/>
  <c r="F224" i="1" s="1"/>
  <c r="D223" i="1"/>
  <c r="F223" i="1" s="1"/>
  <c r="D222" i="1"/>
  <c r="F222" i="1" s="1"/>
  <c r="D221" i="1"/>
  <c r="F221" i="1" s="1"/>
  <c r="D220" i="1"/>
  <c r="F220" i="1" s="1"/>
  <c r="D219" i="1"/>
  <c r="F219" i="1" s="1"/>
  <c r="D217" i="1"/>
  <c r="F217" i="1" s="1"/>
  <c r="G216" i="1"/>
  <c r="D216" i="1"/>
  <c r="F216" i="1" s="1"/>
  <c r="A185" i="1"/>
  <c r="A186" i="1" s="1"/>
  <c r="A187" i="1" s="1"/>
  <c r="A188" i="1" s="1"/>
  <c r="A189" i="1" s="1"/>
  <c r="D189" i="1"/>
  <c r="F189" i="1" s="1"/>
  <c r="D188" i="1"/>
  <c r="F188" i="1" s="1"/>
  <c r="D187" i="1"/>
  <c r="F187" i="1" s="1"/>
  <c r="D185" i="1"/>
  <c r="F185" i="1" s="1"/>
  <c r="G184" i="1"/>
  <c r="D184" i="1"/>
  <c r="F184" i="1" s="1"/>
  <c r="A204" i="1"/>
  <c r="D214" i="1" l="1"/>
  <c r="D213" i="1"/>
  <c r="D212" i="1"/>
  <c r="D211" i="1"/>
  <c r="D210" i="1"/>
  <c r="D209" i="1"/>
  <c r="D208" i="1"/>
  <c r="D207" i="1"/>
  <c r="D206" i="1"/>
  <c r="D205" i="1"/>
  <c r="D204" i="1"/>
  <c r="D182" i="1"/>
  <c r="D181" i="1"/>
  <c r="D180" i="1"/>
  <c r="D179" i="1"/>
  <c r="D178" i="1"/>
  <c r="D177" i="1"/>
  <c r="D202" i="1"/>
  <c r="D175" i="1"/>
  <c r="D174" i="1"/>
  <c r="D170" i="1"/>
  <c r="D145" i="1"/>
  <c r="E46" i="1"/>
  <c r="I46" i="1"/>
  <c r="A205" i="1"/>
  <c r="C89" i="1" l="1"/>
  <c r="C74" i="1"/>
  <c r="J100" i="1"/>
  <c r="J99" i="1"/>
  <c r="J98" i="1"/>
  <c r="J97" i="1"/>
  <c r="F214" i="1"/>
  <c r="F212" i="1"/>
  <c r="F209" i="1"/>
  <c r="F202" i="1"/>
  <c r="D201" i="1"/>
  <c r="F201" i="1" s="1"/>
  <c r="D200" i="1"/>
  <c r="F200" i="1" s="1"/>
  <c r="D193" i="1"/>
  <c r="F193" i="1" s="1"/>
  <c r="F213" i="1"/>
  <c r="F211" i="1"/>
  <c r="F210" i="1"/>
  <c r="D199" i="1"/>
  <c r="F199" i="1" s="1"/>
  <c r="D198" i="1"/>
  <c r="F198" i="1" s="1"/>
  <c r="F208" i="1"/>
  <c r="F207" i="1"/>
  <c r="F206" i="1"/>
  <c r="F205" i="1"/>
  <c r="G204" i="1"/>
  <c r="F204" i="1"/>
  <c r="D194" i="1"/>
  <c r="G192" i="1"/>
  <c r="D192" i="1"/>
  <c r="A192" i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F178" i="1"/>
  <c r="F182" i="1"/>
  <c r="F181" i="1"/>
  <c r="F180" i="1"/>
  <c r="F179" i="1"/>
  <c r="F177" i="1"/>
  <c r="F175" i="1"/>
  <c r="F174" i="1"/>
  <c r="D173" i="1"/>
  <c r="F173" i="1" s="1"/>
  <c r="D172" i="1"/>
  <c r="F172" i="1" s="1"/>
  <c r="F170" i="1"/>
  <c r="G170" i="1"/>
  <c r="A170" i="1"/>
  <c r="A171" i="1" s="1"/>
  <c r="A172" i="1" s="1"/>
  <c r="A173" i="1" s="1"/>
  <c r="A174" i="1" s="1"/>
  <c r="A175" i="1" s="1"/>
  <c r="G177" i="1"/>
  <c r="D146" i="1"/>
  <c r="F146" i="1" s="1"/>
  <c r="D147" i="1"/>
  <c r="F147" i="1" s="1"/>
  <c r="D148" i="1"/>
  <c r="F148" i="1" s="1"/>
  <c r="L148" i="1"/>
  <c r="L147" i="1"/>
  <c r="L146" i="1"/>
  <c r="A146" i="1"/>
  <c r="A147" i="1" s="1"/>
  <c r="A148" i="1" s="1"/>
  <c r="L145" i="1"/>
  <c r="G145" i="1"/>
  <c r="F145" i="1"/>
  <c r="J145" i="1" s="1"/>
  <c r="D159" i="1"/>
  <c r="F159" i="1" s="1"/>
  <c r="D165" i="1"/>
  <c r="D164" i="1"/>
  <c r="D163" i="1"/>
  <c r="D162" i="1"/>
  <c r="D161" i="1"/>
  <c r="D158" i="1"/>
  <c r="D157" i="1"/>
  <c r="D156" i="1"/>
  <c r="D155" i="1"/>
  <c r="D154" i="1"/>
  <c r="D139" i="1"/>
  <c r="D140" i="1"/>
  <c r="F140" i="1" s="1"/>
  <c r="J139" i="1" s="1"/>
  <c r="D138" i="1"/>
  <c r="D137" i="1"/>
  <c r="D136" i="1"/>
  <c r="L140" i="1"/>
  <c r="G136" i="1"/>
  <c r="E3" i="1"/>
  <c r="A177" i="1"/>
  <c r="A206" i="1"/>
  <c r="F192" i="1" l="1"/>
  <c r="E126" i="1"/>
  <c r="C126" i="1"/>
  <c r="E125" i="1"/>
  <c r="G125" i="1"/>
  <c r="C125" i="1"/>
  <c r="E124" i="1"/>
  <c r="E119" i="1"/>
  <c r="C124" i="1"/>
  <c r="C119" i="1"/>
  <c r="C120" i="1"/>
  <c r="F194" i="1"/>
  <c r="G120" i="1"/>
  <c r="E120" i="1"/>
  <c r="O116" i="1"/>
  <c r="N116" i="1"/>
  <c r="L106" i="1"/>
  <c r="L107" i="1"/>
  <c r="L108" i="1"/>
  <c r="L109" i="1"/>
  <c r="L110" i="1"/>
  <c r="L111" i="1"/>
  <c r="L112" i="1"/>
  <c r="L113" i="1"/>
  <c r="L114" i="1"/>
  <c r="M116" i="1"/>
  <c r="L136" i="1"/>
  <c r="L137" i="1"/>
  <c r="L138" i="1"/>
  <c r="L139" i="1"/>
  <c r="L149" i="1"/>
  <c r="L150" i="1"/>
  <c r="L151" i="1"/>
  <c r="K115" i="1"/>
  <c r="K105" i="1"/>
  <c r="L105" i="1" s="1"/>
  <c r="K104" i="1"/>
  <c r="L104" i="1" s="1"/>
  <c r="A178" i="1"/>
  <c r="A207" i="1"/>
  <c r="E127" i="1" l="1"/>
  <c r="E121" i="1"/>
  <c r="C121" i="1"/>
  <c r="C127" i="1"/>
  <c r="G126" i="1"/>
  <c r="K116" i="1"/>
  <c r="L115" i="1"/>
  <c r="C16" i="1"/>
  <c r="A208" i="1"/>
  <c r="A179" i="1"/>
  <c r="C128" i="1" l="1"/>
  <c r="E128" i="1"/>
  <c r="E31" i="1"/>
  <c r="A180" i="1"/>
  <c r="A209" i="1"/>
  <c r="F116" i="1" l="1"/>
  <c r="A181" i="1"/>
  <c r="A210" i="1"/>
  <c r="F137" i="1" l="1"/>
  <c r="F138" i="1"/>
  <c r="F139" i="1"/>
  <c r="F136" i="1"/>
  <c r="A182" i="1"/>
  <c r="A211" i="1"/>
  <c r="G119" i="1" l="1"/>
  <c r="G121" i="1" s="1"/>
  <c r="B229" i="1"/>
  <c r="A212" i="1"/>
  <c r="A154" i="1"/>
  <c r="F158" i="1" l="1"/>
  <c r="F157" i="1"/>
  <c r="F156" i="1"/>
  <c r="F155" i="1"/>
  <c r="F154" i="1"/>
  <c r="F165" i="1"/>
  <c r="F164" i="1"/>
  <c r="F162" i="1"/>
  <c r="F161" i="1"/>
  <c r="F163" i="1"/>
  <c r="A155" i="1"/>
  <c r="A213" i="1"/>
  <c r="G124" i="1" l="1"/>
  <c r="G127" i="1" s="1"/>
  <c r="G128" i="1" s="1"/>
  <c r="B230" i="1"/>
  <c r="A156" i="1"/>
  <c r="A214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55" i="1"/>
  <c r="G154" i="1"/>
  <c r="G161" i="1"/>
  <c r="A161" i="1"/>
  <c r="A162" i="1" s="1"/>
  <c r="A163" i="1" s="1"/>
  <c r="A164" i="1" s="1"/>
  <c r="A165" i="1" s="1"/>
  <c r="A166" i="1" s="1"/>
  <c r="A137" i="1"/>
  <c r="A138" i="1" s="1"/>
  <c r="A139" i="1" s="1"/>
  <c r="A140" i="1" s="1"/>
  <c r="J85" i="1"/>
  <c r="J84" i="1"/>
  <c r="J83" i="1"/>
  <c r="J82" i="1"/>
  <c r="D62" i="1"/>
  <c r="G57" i="1"/>
  <c r="C57" i="1"/>
  <c r="E44" i="1"/>
  <c r="E45" i="1" s="1"/>
  <c r="E28" i="1"/>
  <c r="E26" i="1"/>
  <c r="E7" i="1"/>
  <c r="A157" i="1"/>
  <c r="H75" i="1"/>
  <c r="D68" i="1" l="1"/>
  <c r="D87" i="1"/>
  <c r="D85" i="1"/>
  <c r="D84" i="1"/>
  <c r="D83" i="1"/>
  <c r="D81" i="1"/>
  <c r="J74" i="1"/>
  <c r="D86" i="1"/>
  <c r="D82" i="1"/>
  <c r="J78" i="1"/>
  <c r="J79" i="1"/>
  <c r="C78" i="1" s="1"/>
  <c r="J77" i="1"/>
  <c r="J80" i="1"/>
  <c r="A158" i="1"/>
  <c r="J81" i="1" l="1"/>
  <c r="J86" i="1" s="1"/>
  <c r="J87" i="1" s="1"/>
  <c r="D80" i="1"/>
  <c r="J76" i="1"/>
  <c r="D78" i="1"/>
  <c r="A159" i="1"/>
  <c r="H90" i="1"/>
  <c r="C79" i="1" l="1"/>
  <c r="E78" i="1" s="1"/>
  <c r="C88" i="1" s="1"/>
  <c r="J88" i="1"/>
  <c r="G78" i="1"/>
  <c r="G88" i="1" s="1"/>
  <c r="D102" i="1"/>
  <c r="D96" i="1"/>
  <c r="J95" i="1"/>
  <c r="D101" i="1"/>
  <c r="D95" i="1"/>
  <c r="J94" i="1"/>
  <c r="C93" i="1" s="1"/>
  <c r="D100" i="1"/>
  <c r="D98" i="1"/>
  <c r="D97" i="1"/>
  <c r="J93" i="1"/>
  <c r="J89" i="1"/>
  <c r="J91" i="1" s="1"/>
  <c r="D99" i="1"/>
  <c r="J92" i="1"/>
  <c r="J75" i="1"/>
  <c r="D79" i="1" l="1"/>
  <c r="I75" i="1" s="1"/>
  <c r="I76" i="1" s="1"/>
  <c r="I74" i="1" s="1"/>
  <c r="C76" i="1" s="1"/>
  <c r="J96" i="1"/>
  <c r="D93" i="1"/>
  <c r="J101" i="1" l="1"/>
  <c r="J102" i="1" l="1"/>
  <c r="C94" i="1" s="1"/>
  <c r="E93" i="1" s="1"/>
  <c r="D94" i="1" l="1"/>
  <c r="I90" i="1" s="1"/>
  <c r="I91" i="1" s="1"/>
  <c r="J90" i="1"/>
  <c r="G93" i="1"/>
  <c r="D72" i="1" s="1"/>
  <c r="D73" i="1" l="1"/>
  <c r="F73" i="1"/>
  <c r="I89" i="1"/>
  <c r="C91" i="1" s="1"/>
</calcChain>
</file>

<file path=xl/sharedStrings.xml><?xml version="1.0" encoding="utf-8"?>
<sst xmlns="http://schemas.openxmlformats.org/spreadsheetml/2006/main" count="432" uniqueCount="266">
  <si>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</si>
  <si>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</si>
  <si>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</si>
  <si>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</si>
  <si>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</si>
  <si>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</si>
  <si>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</si>
  <si>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</si>
  <si>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</si>
  <si>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</si>
  <si>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</si>
  <si>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</si>
  <si>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</si>
  <si>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</si>
  <si>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</si>
  <si>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</si>
  <si>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</si>
  <si>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</si>
  <si>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</si>
  <si>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</si>
  <si>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</si>
  <si>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</si>
  <si>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</si>
  <si>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</si>
  <si>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</si>
  <si>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</si>
  <si>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</si>
  <si>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</si>
  <si>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</si>
  <si>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</si>
  <si>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</si>
  <si>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</si>
  <si>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</si>
  <si>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</si>
  <si>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</si>
  <si>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</si>
  <si>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</si>
  <si>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</si>
  <si>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</si>
  <si>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</si>
  <si>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</si>
  <si>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</si>
  <si>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</si>
  <si>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</si>
  <si>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</si>
  <si>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</si>
  <si>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</si>
  <si>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</si>
  <si>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</si>
  <si>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</si>
  <si>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</si>
  <si>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</si>
  <si>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</si>
  <si>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</si>
  <si>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</si>
  <si>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</si>
  <si>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</si>
  <si>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</si>
  <si>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</si>
  <si>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</si>
  <si>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</si>
  <si>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</si>
  <si>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</si>
  <si>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</si>
  <si>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</si>
  <si>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</si>
  <si>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</si>
  <si>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</si>
  <si>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</si>
  <si>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</si>
  <si>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</si>
  <si>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</si>
  <si>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</si>
  <si>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</si>
  <si>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</si>
  <si>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</si>
  <si>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</si>
  <si>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</si>
  <si>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</si>
  <si>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</si>
  <si>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</si>
  <si>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</si>
  <si>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</si>
  <si>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</si>
  <si>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</si>
  <si>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</si>
  <si>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</si>
  <si>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</si>
  <si>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</si>
  <si>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</si>
  <si>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</si>
  <si>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</si>
  <si>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</si>
  <si>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</si>
  <si>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</si>
  <si>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</si>
  <si>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</si>
  <si>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</si>
  <si>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</si>
  <si>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</si>
  <si>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</si>
  <si>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</si>
  <si>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</si>
  <si>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</si>
  <si>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</si>
  <si>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</si>
  <si>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</si>
  <si>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</si>
  <si>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</si>
  <si>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</si>
  <si>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</si>
  <si>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</si>
  <si>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</si>
  <si>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</si>
  <si>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</si>
  <si>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</si>
  <si>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</si>
  <si>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</si>
  <si>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</si>
  <si>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</si>
  <si>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</si>
  <si>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</si>
  <si>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</si>
  <si>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</si>
  <si>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</si>
  <si>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</si>
  <si>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</si>
  <si>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</si>
  <si>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</si>
  <si>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</si>
  <si>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</si>
  <si>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</si>
  <si>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</si>
  <si>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</si>
  <si>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</si>
  <si>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</si>
  <si>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</si>
  <si>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</si>
  <si>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</si>
  <si>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</si>
  <si>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</si>
  <si>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</si>
  <si>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</si>
  <si>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</si>
  <si>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</si>
  <si>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</si>
  <si>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</si>
  <si>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</si>
  <si>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</si>
  <si>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</si>
  <si>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</si>
  <si>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</si>
  <si>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</si>
  <si>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</si>
  <si>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</si>
  <si>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</si>
  <si>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</si>
  <si>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</si>
  <si>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</si>
  <si>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</si>
  <si>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</si>
  <si>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</si>
  <si>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</si>
  <si>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</si>
  <si>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</si>
  <si>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</si>
  <si>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</si>
  <si>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</si>
  <si>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</si>
  <si>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</si>
  <si>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</si>
  <si>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</si>
  <si>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</si>
  <si>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</si>
  <si>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Axis Thane</t>
  </si>
  <si>
    <t>Atmiya Centria</t>
  </si>
  <si>
    <t>Mr. Jiten Oza (9819152009)</t>
  </si>
  <si>
    <t>P51800046598</t>
  </si>
  <si>
    <t>CTS No</t>
  </si>
  <si>
    <t>Jawaharlal Nagar Road</t>
  </si>
  <si>
    <t>Mumbai</t>
  </si>
  <si>
    <t>Andheri</t>
  </si>
  <si>
    <t>Chaitanya Nagar</t>
  </si>
  <si>
    <t>Jeevan Kranti</t>
  </si>
  <si>
    <t>As per RERA - 31/12/2026</t>
  </si>
  <si>
    <t>03 Wings</t>
  </si>
  <si>
    <t>Loading 50%</t>
  </si>
  <si>
    <t>This project is adjacent to Nala.</t>
  </si>
  <si>
    <t>Part Basement Floor for Tanks</t>
  </si>
  <si>
    <t>Ground Floor for Commercial, Parking, Parking &amp; Entrance Lobby</t>
  </si>
  <si>
    <t>Shop</t>
  </si>
  <si>
    <t>1st to 7th, 9th to 10th Floor</t>
  </si>
  <si>
    <t>2BHK</t>
  </si>
  <si>
    <t>8th Floor (Part Refuge Area)</t>
  </si>
  <si>
    <t>1BHK</t>
  </si>
  <si>
    <t>Refuge Area</t>
  </si>
  <si>
    <t>Name of the Existing Building</t>
  </si>
  <si>
    <t>Wing A + B</t>
  </si>
  <si>
    <t>Wing A</t>
  </si>
  <si>
    <t>1st Floor for Residential &amp; Amenties</t>
  </si>
  <si>
    <t>Fitness Centre</t>
  </si>
  <si>
    <t>1.5BHK</t>
  </si>
  <si>
    <t>Wing B</t>
  </si>
  <si>
    <t>We considered Gross carpet area = Net carpet + Balcony.</t>
  </si>
  <si>
    <t>As per Approved Floor Plan, 
Proposed Building No. 1 will be constructed on the existing Building No. 3 plot.
Proposed Building No. 2 (Wing A &amp; B) will be constructed on the existing Building No. 1 &amp; 2 plot.</t>
  </si>
  <si>
    <t>Latitude, Longitude</t>
  </si>
  <si>
    <t>MHADA/103/1054/2023</t>
  </si>
  <si>
    <t>Building No. 1 = Gr + 1st to 10th Floor
Building No. 2 (Wing A &amp; B) = Gr + 1st to 10th Floor</t>
  </si>
  <si>
    <t xml:space="preserve">Ground Floor for Commercial, Entrance Lobby, Society Office &amp; Parking  </t>
  </si>
  <si>
    <t>Indoor Game Room</t>
  </si>
  <si>
    <t>A.V. Room</t>
  </si>
  <si>
    <t>1st Floor for Finess Centre, Indoor Games, A.V. Room &amp; Residential</t>
  </si>
  <si>
    <t>2nd to 7th, 9th &amp; 10th Floor</t>
  </si>
  <si>
    <t>Building No. 2 
(Wing A + B)</t>
  </si>
  <si>
    <t>Building No. 1</t>
  </si>
  <si>
    <t>Building No. 2</t>
  </si>
  <si>
    <t>Grand Total</t>
  </si>
  <si>
    <t>Flats - 223, Shops - 09</t>
  </si>
  <si>
    <t>Maharashtra Housing and Area Development Authority (MHADA)</t>
  </si>
  <si>
    <t>19.079691,72.848947</t>
  </si>
  <si>
    <t>https://maps.app.goo.gl/be8Pe2qxQmoyAFai9</t>
  </si>
  <si>
    <t>154, 154A &amp; 154C, Redevlopement of "Chaitanya CHSL"</t>
  </si>
  <si>
    <t>Chaitanya CHSL</t>
  </si>
  <si>
    <t>Bandra I Mhada</t>
  </si>
  <si>
    <t>Santacruz East</t>
  </si>
  <si>
    <t>800M from Santacruz Railway Station</t>
  </si>
  <si>
    <t xml:space="preserve">We have updated revised plans of Building No. 2 (on 06/11/2023).
</t>
  </si>
  <si>
    <t>Other Plot</t>
  </si>
  <si>
    <t>9.00 M. Wide Road</t>
  </si>
  <si>
    <t>Slum</t>
  </si>
  <si>
    <t>Jawaharlal Nagar Road/Nala</t>
  </si>
  <si>
    <t>Building No. 2 Updated only</t>
  </si>
  <si>
    <t xml:space="preserve">Latest C.C. Not Provided </t>
  </si>
  <si>
    <t>Gymnasium, Indoor Games Room, Sky Garden With Full Length Jogging Track, Rooftop Meditation &amp; Yoga Lounge, Senior Citizen Area, Kids’ Play Area, etc.</t>
  </si>
  <si>
    <t>http://www.atmiyacentria.com/</t>
  </si>
  <si>
    <t>Upturn Properties LLP</t>
  </si>
  <si>
    <t>Part Basement Floor for Tanks &amp; Puzzle Parking</t>
  </si>
  <si>
    <t xml:space="preserve">Building No. 2 </t>
  </si>
  <si>
    <t>Approved Plans &amp; Cost Sheet.</t>
  </si>
  <si>
    <t>MHADA/103/1053/2022</t>
  </si>
  <si>
    <t xml:space="preserve">Name/No of the Building
</t>
  </si>
  <si>
    <t>New No of the Building</t>
  </si>
  <si>
    <t>Old No of the Building</t>
  </si>
  <si>
    <t>Building No. 1 
Building No. 2 (Wing A)
 Building No. 2 (Wing B)</t>
  </si>
  <si>
    <t>Building No. 3
Building No. 1
Building No. 2</t>
  </si>
  <si>
    <t>Office No. 1031, Wing J, Akshar Business Park, Plot No. 03 Sector 25, Near APMC Market,
Vashi, Navi Mumbai, Maharashtra 400703 TEL: 022-46090378/79/8
E mail : vsjcapf@gmail.com. Web site : www.vsjadon.com</t>
  </si>
  <si>
    <t>Building No. 2 (Wing A &amp; B) = B + Gr + 1st to 11th Floor</t>
  </si>
  <si>
    <t xml:space="preserve">As the project is redevelopment project but rehab statement or rehab flats is not mentioned approved layout plan &amp; floor plan.
</t>
  </si>
  <si>
    <t>MH/EE/(BP)/GM/MHADA-103/1053/2024/FCC/1/Amend</t>
  </si>
  <si>
    <t>This C.C. is now re-endorsed &amp; further extended beyond 10th upper floor i. e. from 10th upper floor upto top of 12th upper floors for residential user with total building ht. upto 37.20 mts. AGL + OHT (i.e. height upto38.25 mt. AGL ) as per approved Amended plans dtd. 02.02.2024.</t>
  </si>
  <si>
    <t>Building No. 1 = B + Gr + 1st to 12th Floor</t>
  </si>
  <si>
    <t>We have updated latest CC for Building No.1 from Mhada site (On 12/08/2024).</t>
  </si>
  <si>
    <t>Tushar Bhuwad</t>
  </si>
  <si>
    <t>23/12/2022.</t>
  </si>
  <si>
    <t>28/02/2024.</t>
  </si>
  <si>
    <t>19/06/2024.</t>
  </si>
  <si>
    <t>04/08/2023.</t>
  </si>
  <si>
    <t>Bldg No.1 = All work Completed. Please provide OC.
Bldg No.2 (Wing A &amp; B) = Construction work is in process at the time of Visit. Internal photos was not allowed.</t>
  </si>
  <si>
    <t>MH/EE/(BP)/GM/MHADA-103/1054/2025/FCC/2/Amend</t>
  </si>
  <si>
    <t>This C.C. is now further extended upto top of 10th upper residential floors to Top most terrace level + LMR + OHT { i. e. for Entire work of building comprising wing A &amp; B consists of part basement level for Pump Room, U. G. tank &amp; Automated Mechanized Puzzle car parking system + Ground floor for Shops, Entrance lobby, Society office, space for meter room &amp; Stilt for surface car parking + 1stto 10th upper floors for residential user residential user with total building ht. upto 31.73 mts. AGL+ LMR + OHT as per approved Amended plans u/no. MH/EE/ (BP)/GM/MHADA-103/1054/2023 dt. 04.08.2023}.</t>
  </si>
  <si>
    <t>We have updated latest CC for Building No.2 from Mhada site (On 20/05/2025).</t>
  </si>
  <si>
    <t>26/03/2025.</t>
  </si>
  <si>
    <t>Shruti Tathare</t>
  </si>
  <si>
    <t>27/06/2026.</t>
  </si>
  <si>
    <t>12/08/2025.</t>
  </si>
  <si>
    <t>Mr. Jiten Oza 029-9324409127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</si>
</sst>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4" fillId="0" borderId="0"/>
    <xf numFmtId="0" fontId="6" fillId="0" borderId="0"/>
    <xf numFmtId="0" fontId="3" fillId="0" borderId="0"/>
    <xf numFmtId="0" fontId="6" fillId="0" borderId="0"/>
    <xf numFmtId="0" fontId="2" fillId="0" borderId="0"/>
    <xf numFmtId="165" fontId="6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</cellStyleXfs>
  <cellXfs count="214">
    <xf numFmtId="0" fontId="0" fillId="0" borderId="0" xfId="0"/>
    <xf numFmtId="0" fontId="6" fillId="0" borderId="0" xfId="4"/>
    <xf numFmtId="0" fontId="2" fillId="0" borderId="0" xfId="5"/>
    <xf numFmtId="0" fontId="10" fillId="0" borderId="1" xfId="5" applyFont="1" applyBorder="1" applyAlignment="1">
      <alignment horizontal="center" vertical="top" wrapText="1"/>
    </xf>
    <xf numFmtId="0" fontId="20" fillId="0" borderId="0" xfId="4" applyFont="1"/>
    <xf numFmtId="0" fontId="2" fillId="0" borderId="1" xfId="5" applyBorder="1" applyAlignment="1">
      <alignment horizontal="center" vertical="center"/>
    </xf>
    <xf numFmtId="0" fontId="2" fillId="0" borderId="1" xfId="5" applyBorder="1" applyAlignment="1">
      <alignment horizontal="left" vertical="center"/>
    </xf>
    <xf numFmtId="1" fontId="2" fillId="0" borderId="1" xfId="5" applyNumberFormat="1" applyBorder="1" applyAlignment="1">
      <alignment horizontal="center" vertical="center"/>
    </xf>
    <xf numFmtId="166" fontId="2" fillId="0" borderId="1" xfId="6" applyNumberFormat="1" applyFont="1" applyBorder="1" applyAlignment="1">
      <alignment horizontal="right" vertical="center"/>
    </xf>
    <xf numFmtId="0" fontId="2" fillId="0" borderId="1" xfId="5" applyBorder="1" applyAlignment="1">
      <alignment horizontal="left" vertical="center" wrapText="1"/>
    </xf>
    <xf numFmtId="0" fontId="10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6" fillId="0" borderId="1" xfId="4" applyBorder="1" applyAlignment="1">
      <alignment horizontal="center" vertical="center"/>
    </xf>
    <xf numFmtId="9" fontId="9" fillId="0" borderId="15" xfId="8" applyFont="1" applyFill="1" applyBorder="1" applyAlignment="1" applyProtection="1">
      <alignment horizontal="center" vertical="top" wrapText="1"/>
      <protection locked="0"/>
    </xf>
    <xf numFmtId="0" fontId="18" fillId="0" borderId="0" xfId="0" applyFont="1" applyProtection="1">
      <protection hidden="1"/>
    </xf>
    <xf numFmtId="0" fontId="18" fillId="0" borderId="10" xfId="0" applyFont="1" applyBorder="1" applyProtection="1">
      <protection hidden="1"/>
    </xf>
    <xf numFmtId="0" fontId="13" fillId="0" borderId="3" xfId="1" applyFont="1" applyBorder="1" applyAlignment="1" applyProtection="1">
      <alignment horizontal="center" vertical="top"/>
      <protection locked="0"/>
    </xf>
    <xf numFmtId="0" fontId="13" fillId="0" borderId="4" xfId="1" applyFont="1" applyBorder="1" applyAlignment="1" applyProtection="1">
      <alignment horizontal="center" vertical="top"/>
      <protection locked="0"/>
    </xf>
    <xf numFmtId="0" fontId="8" fillId="0" borderId="0" xfId="1" applyFont="1"/>
    <xf numFmtId="0" fontId="16" fillId="0" borderId="0" xfId="1" applyFont="1"/>
    <xf numFmtId="0" fontId="13" fillId="0" borderId="0" xfId="1" applyFont="1"/>
    <xf numFmtId="1" fontId="8" fillId="0" borderId="0" xfId="1" applyNumberFormat="1" applyFont="1"/>
    <xf numFmtId="14" fontId="8" fillId="0" borderId="0" xfId="1" applyNumberFormat="1" applyFont="1"/>
    <xf numFmtId="0" fontId="8" fillId="0" borderId="0" xfId="1" applyFont="1" applyProtection="1">
      <protection hidden="1"/>
    </xf>
    <xf numFmtId="0" fontId="24" fillId="0" borderId="0" xfId="1" applyFont="1"/>
    <xf numFmtId="0" fontId="8" fillId="0" borderId="9" xfId="1" applyFont="1" applyBorder="1"/>
    <xf numFmtId="0" fontId="18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7" fillId="0" borderId="0" xfId="1" applyFont="1"/>
    <xf numFmtId="0" fontId="7" fillId="0" borderId="0" xfId="2" applyFont="1"/>
    <xf numFmtId="0" fontId="8" fillId="0" borderId="0" xfId="0" applyFont="1" applyAlignment="1">
      <alignment horizontal="center" vertical="center"/>
    </xf>
    <xf numFmtId="1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 applyProtection="1">
      <alignment vertical="top"/>
      <protection locked="0"/>
    </xf>
    <xf numFmtId="0" fontId="9" fillId="0" borderId="0" xfId="1" applyFont="1" applyAlignment="1" applyProtection="1">
      <alignment vertical="top" wrapText="1"/>
      <protection locked="0"/>
    </xf>
    <xf numFmtId="0" fontId="8" fillId="0" borderId="0" xfId="1" applyFont="1" applyProtection="1">
      <protection locked="0"/>
    </xf>
    <xf numFmtId="0" fontId="11" fillId="0" borderId="0" xfId="1" applyFont="1" applyProtection="1"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9" fillId="0" borderId="2" xfId="1" applyNumberFormat="1" applyFont="1" applyBorder="1" applyAlignment="1" applyProtection="1">
      <alignment horizontal="center" vertical="top" wrapText="1"/>
      <protection locked="0"/>
    </xf>
    <xf numFmtId="0" fontId="9" fillId="0" borderId="1" xfId="1" applyFont="1" applyBorder="1" applyAlignment="1" applyProtection="1">
      <alignment vertical="top"/>
      <protection locked="0"/>
    </xf>
    <xf numFmtId="0" fontId="25" fillId="2" borderId="29" xfId="0" applyFont="1" applyFill="1" applyBorder="1"/>
    <xf numFmtId="0" fontId="26" fillId="0" borderId="30" xfId="0" applyFont="1" applyBorder="1"/>
    <xf numFmtId="0" fontId="26" fillId="0" borderId="1" xfId="0" applyFont="1" applyBorder="1"/>
    <xf numFmtId="0" fontId="26" fillId="0" borderId="4" xfId="0" applyFont="1" applyBorder="1"/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9" fontId="13" fillId="0" borderId="1" xfId="8" applyFont="1" applyFill="1" applyBorder="1" applyAlignment="1" applyProtection="1">
      <alignment horizontal="center" vertical="top" wrapText="1"/>
      <protection locked="0"/>
    </xf>
    <xf numFmtId="0" fontId="13" fillId="0" borderId="6" xfId="1" applyFont="1" applyBorder="1" applyAlignment="1" applyProtection="1">
      <alignment horizontal="center" vertical="top" wrapText="1"/>
      <protection locked="0"/>
    </xf>
    <xf numFmtId="9" fontId="13" fillId="0" borderId="6" xfId="8" applyFont="1" applyFill="1" applyBorder="1" applyAlignment="1" applyProtection="1">
      <alignment horizontal="center" vertical="top" wrapText="1"/>
      <protection locked="0"/>
    </xf>
    <xf numFmtId="167" fontId="7" fillId="0" borderId="0" xfId="9" applyNumberFormat="1" applyFont="1" applyFill="1" applyAlignment="1">
      <alignment horizontal="left" vertical="top"/>
    </xf>
    <xf numFmtId="0" fontId="7" fillId="0" borderId="0" xfId="2" applyFont="1" applyAlignment="1">
      <alignment horizontal="left" vertical="top"/>
    </xf>
    <xf numFmtId="0" fontId="8" fillId="0" borderId="0" xfId="0" applyFont="1" applyAlignment="1">
      <alignment horizontal="left" vertical="top"/>
    </xf>
    <xf numFmtId="1" fontId="17" fillId="0" borderId="0" xfId="1" applyNumberFormat="1" applyFont="1"/>
    <xf numFmtId="167" fontId="16" fillId="0" borderId="0" xfId="9" applyNumberFormat="1" applyFont="1" applyFill="1" applyAlignment="1"/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>
      <alignment horizontal="center" vertical="top"/>
    </xf>
    <xf numFmtId="1" fontId="13" fillId="0" borderId="1" xfId="1" applyNumberFormat="1" applyFont="1" applyBorder="1" applyAlignment="1" applyProtection="1">
      <alignment horizontal="center" vertical="top" wrapText="1"/>
      <protection locked="0"/>
    </xf>
    <xf numFmtId="1" fontId="13" fillId="0" borderId="1" xfId="1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>
      <alignment horizontal="center" vertical="top"/>
    </xf>
    <xf numFmtId="0" fontId="27" fillId="0" borderId="0" xfId="10" applyFill="1"/>
    <xf numFmtId="14" fontId="13" fillId="0" borderId="7" xfId="1" applyNumberFormat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 wrapText="1"/>
      <protection locked="0"/>
    </xf>
    <xf numFmtId="0" fontId="7" fillId="0" borderId="16" xfId="1" applyFont="1" applyBorder="1" applyAlignment="1" applyProtection="1">
      <alignment horizontal="left" vertical="top" wrapText="1"/>
      <protection locked="0"/>
    </xf>
    <xf numFmtId="0" fontId="7" fillId="0" borderId="17" xfId="1" applyFont="1" applyBorder="1" applyAlignment="1" applyProtection="1">
      <alignment horizontal="left" vertical="top" wrapText="1"/>
      <protection locked="0"/>
    </xf>
    <xf numFmtId="0" fontId="7" fillId="0" borderId="18" xfId="1" applyFont="1" applyBorder="1" applyAlignment="1" applyProtection="1">
      <alignment horizontal="left" vertical="top" wrapText="1"/>
      <protection locked="0"/>
    </xf>
    <xf numFmtId="0" fontId="7" fillId="0" borderId="19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0" fontId="9" fillId="6" borderId="7" xfId="1" applyFont="1" applyFill="1" applyBorder="1" applyAlignment="1" applyProtection="1">
      <alignment horizontal="center" vertical="top" wrapText="1"/>
      <protection locked="0"/>
    </xf>
    <xf numFmtId="0" fontId="9" fillId="6" borderId="20" xfId="1" applyFont="1" applyFill="1" applyBorder="1" applyAlignment="1" applyProtection="1">
      <alignment horizontal="center" vertical="top" wrapText="1"/>
      <protection locked="0"/>
    </xf>
    <xf numFmtId="0" fontId="9" fillId="6" borderId="8" xfId="1" applyFont="1" applyFill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1" fontId="7" fillId="0" borderId="7" xfId="1" applyNumberFormat="1" applyFont="1" applyBorder="1" applyAlignment="1" applyProtection="1">
      <alignment horizontal="center" vertical="center" wrapText="1"/>
      <protection locked="0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1" fontId="9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6" xfId="1" applyNumberFormat="1" applyFont="1" applyBorder="1" applyAlignment="1" applyProtection="1">
      <alignment horizontal="center" vertical="center" wrapText="1"/>
      <protection locked="0"/>
    </xf>
    <xf numFmtId="1" fontId="7" fillId="0" borderId="17" xfId="1" applyNumberFormat="1" applyFont="1" applyBorder="1" applyAlignment="1" applyProtection="1">
      <alignment horizontal="center" vertical="center" wrapText="1"/>
      <protection locked="0"/>
    </xf>
    <xf numFmtId="1" fontId="7" fillId="0" borderId="24" xfId="1" applyNumberFormat="1" applyFont="1" applyBorder="1" applyAlignment="1" applyProtection="1">
      <alignment horizontal="center" vertical="center" wrapText="1"/>
      <protection locked="0"/>
    </xf>
    <xf numFmtId="1" fontId="7" fillId="0" borderId="25" xfId="1" applyNumberFormat="1" applyFont="1" applyBorder="1" applyAlignment="1" applyProtection="1">
      <alignment horizontal="center" vertical="center" wrapText="1"/>
      <protection locked="0"/>
    </xf>
    <xf numFmtId="1" fontId="7" fillId="0" borderId="18" xfId="1" applyNumberFormat="1" applyFont="1" applyBorder="1" applyAlignment="1" applyProtection="1">
      <alignment horizontal="center" vertical="center" wrapText="1"/>
      <protection locked="0"/>
    </xf>
    <xf numFmtId="1" fontId="7" fillId="0" borderId="19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1" fontId="14" fillId="0" borderId="7" xfId="0" applyNumberFormat="1" applyFont="1" applyBorder="1" applyAlignment="1" applyProtection="1">
      <alignment vertical="top" wrapText="1"/>
      <protection locked="0"/>
    </xf>
    <xf numFmtId="1" fontId="14" fillId="0" borderId="20" xfId="0" applyNumberFormat="1" applyFont="1" applyBorder="1" applyAlignment="1" applyProtection="1">
      <alignment vertical="top" wrapText="1"/>
      <protection locked="0"/>
    </xf>
    <xf numFmtId="1" fontId="14" fillId="0" borderId="8" xfId="0" applyNumberFormat="1" applyFont="1" applyBorder="1" applyAlignment="1" applyProtection="1">
      <alignment vertical="top" wrapText="1"/>
      <protection locked="0"/>
    </xf>
    <xf numFmtId="1" fontId="14" fillId="0" borderId="1" xfId="0" applyNumberFormat="1" applyFont="1" applyBorder="1" applyAlignment="1" applyProtection="1">
      <alignment vertical="top" wrapText="1"/>
      <protection locked="0"/>
    </xf>
    <xf numFmtId="9" fontId="13" fillId="0" borderId="16" xfId="8" applyFont="1" applyFill="1" applyBorder="1" applyAlignment="1" applyProtection="1">
      <alignment horizontal="center" vertical="center" wrapText="1"/>
      <protection locked="0"/>
    </xf>
    <xf numFmtId="9" fontId="13" fillId="0" borderId="26" xfId="8" applyFont="1" applyFill="1" applyBorder="1" applyAlignment="1" applyProtection="1">
      <alignment horizontal="center" vertical="center" wrapText="1"/>
      <protection locked="0"/>
    </xf>
    <xf numFmtId="9" fontId="13" fillId="0" borderId="24" xfId="8" applyFont="1" applyFill="1" applyBorder="1" applyAlignment="1" applyProtection="1">
      <alignment horizontal="center" vertical="center" wrapText="1"/>
      <protection locked="0"/>
    </xf>
    <xf numFmtId="9" fontId="13" fillId="0" borderId="9" xfId="8" applyFont="1" applyFill="1" applyBorder="1" applyAlignment="1" applyProtection="1">
      <alignment horizontal="center" vertical="center" wrapText="1"/>
      <protection locked="0"/>
    </xf>
    <xf numFmtId="9" fontId="13" fillId="0" borderId="27" xfId="8" applyFont="1" applyFill="1" applyBorder="1" applyAlignment="1" applyProtection="1">
      <alignment horizontal="center" vertical="center" wrapText="1"/>
      <protection locked="0"/>
    </xf>
    <xf numFmtId="9" fontId="13" fillId="0" borderId="11" xfId="8" applyFont="1" applyFill="1" applyBorder="1" applyAlignment="1" applyProtection="1">
      <alignment horizontal="center" vertical="center" wrapText="1"/>
      <protection locked="0"/>
    </xf>
    <xf numFmtId="0" fontId="13" fillId="0" borderId="3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3" fillId="0" borderId="5" xfId="1" applyFont="1" applyBorder="1" applyAlignment="1" applyProtection="1">
      <alignment horizontal="center" vertical="top" wrapText="1"/>
      <protection locked="0"/>
    </xf>
    <xf numFmtId="0" fontId="13" fillId="0" borderId="6" xfId="1" applyFont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vertical="top" wrapText="1"/>
      <protection locked="0"/>
    </xf>
    <xf numFmtId="1" fontId="9" fillId="0" borderId="7" xfId="1" applyNumberFormat="1" applyFont="1" applyBorder="1" applyAlignment="1" applyProtection="1">
      <alignment horizontal="center" vertical="center" wrapText="1"/>
      <protection locked="0"/>
    </xf>
    <xf numFmtId="1" fontId="9" fillId="0" borderId="20" xfId="1" applyNumberFormat="1" applyFont="1" applyBorder="1" applyAlignment="1" applyProtection="1">
      <alignment horizontal="center" vertical="center" wrapText="1"/>
      <protection locked="0"/>
    </xf>
    <xf numFmtId="1" fontId="9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2" xfId="0" applyNumberFormat="1" applyFont="1" applyBorder="1" applyAlignment="1" applyProtection="1">
      <alignment horizontal="center" vertical="center" wrapText="1"/>
      <protection locked="0"/>
    </xf>
    <xf numFmtId="1" fontId="7" fillId="0" borderId="15" xfId="0" applyNumberFormat="1" applyFont="1" applyBorder="1" applyAlignment="1" applyProtection="1">
      <alignment horizontal="center" vertical="center" wrapText="1"/>
      <protection locked="0"/>
    </xf>
    <xf numFmtId="1" fontId="9" fillId="0" borderId="2" xfId="0" applyNumberFormat="1" applyFont="1" applyBorder="1" applyAlignment="1" applyProtection="1">
      <alignment horizontal="center" vertical="center" wrapText="1"/>
      <protection locked="0"/>
    </xf>
    <xf numFmtId="1" fontId="11" fillId="0" borderId="2" xfId="0" applyNumberFormat="1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1" fontId="9" fillId="0" borderId="2" xfId="1" applyNumberFormat="1" applyFont="1" applyBorder="1" applyAlignment="1" applyProtection="1">
      <alignment horizontal="center" vertical="top" wrapText="1"/>
      <protection locked="0"/>
    </xf>
    <xf numFmtId="1" fontId="9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1" fontId="7" fillId="0" borderId="20" xfId="1" applyNumberFormat="1" applyFont="1" applyBorder="1" applyAlignment="1" applyProtection="1">
      <alignment horizontal="center" vertical="center" wrapText="1"/>
      <protection locked="0"/>
    </xf>
    <xf numFmtId="1" fontId="9" fillId="0" borderId="7" xfId="0" applyNumberFormat="1" applyFont="1" applyBorder="1" applyAlignment="1" applyProtection="1">
      <alignment horizontal="left" vertical="top" wrapText="1"/>
      <protection locked="0"/>
    </xf>
    <xf numFmtId="1" fontId="9" fillId="0" borderId="20" xfId="0" applyNumberFormat="1" applyFont="1" applyBorder="1" applyAlignment="1" applyProtection="1">
      <alignment horizontal="left" vertical="top" wrapText="1"/>
      <protection locked="0"/>
    </xf>
    <xf numFmtId="1" fontId="9" fillId="0" borderId="8" xfId="0" applyNumberFormat="1" applyFont="1" applyBorder="1" applyAlignment="1" applyProtection="1">
      <alignment horizontal="left" vertical="top" wrapText="1"/>
      <protection locked="0"/>
    </xf>
    <xf numFmtId="1" fontId="13" fillId="0" borderId="7" xfId="1" applyNumberFormat="1" applyFont="1" applyBorder="1" applyAlignment="1" applyProtection="1">
      <alignment horizontal="center" vertical="center" wrapText="1"/>
      <protection locked="0"/>
    </xf>
    <xf numFmtId="1" fontId="13" fillId="0" borderId="20" xfId="1" applyNumberFormat="1" applyFont="1" applyBorder="1" applyAlignment="1" applyProtection="1">
      <alignment horizontal="center" vertical="center" wrapText="1"/>
      <protection locked="0"/>
    </xf>
    <xf numFmtId="1" fontId="13" fillId="0" borderId="8" xfId="1" applyNumberFormat="1" applyFont="1" applyBorder="1" applyAlignment="1" applyProtection="1">
      <alignment horizontal="center" vertical="center" wrapText="1"/>
      <protection locked="0"/>
    </xf>
    <xf numFmtId="1" fontId="11" fillId="0" borderId="33" xfId="0" applyNumberFormat="1" applyFont="1" applyBorder="1" applyAlignment="1" applyProtection="1">
      <alignment horizontal="center" vertical="center"/>
      <protection locked="0"/>
    </xf>
    <xf numFmtId="0" fontId="11" fillId="0" borderId="33" xfId="0" applyFont="1" applyBorder="1" applyAlignment="1" applyProtection="1">
      <alignment horizontal="center" vertical="center"/>
      <protection locked="0"/>
    </xf>
    <xf numFmtId="1" fontId="11" fillId="0" borderId="1" xfId="0" applyNumberFormat="1" applyFont="1" applyBorder="1" applyAlignment="1" applyProtection="1">
      <alignment horizontal="center" vertical="top" wrapText="1"/>
      <protection locked="0"/>
    </xf>
    <xf numFmtId="1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" fontId="5" fillId="0" borderId="2" xfId="1" applyNumberFormat="1" applyFont="1" applyBorder="1" applyAlignment="1" applyProtection="1">
      <alignment horizontal="center" vertical="top" wrapText="1"/>
      <protection locked="0"/>
    </xf>
    <xf numFmtId="1" fontId="5" fillId="0" borderId="15" xfId="1" applyNumberFormat="1" applyFont="1" applyBorder="1" applyAlignment="1" applyProtection="1">
      <alignment horizontal="center" vertical="top" wrapText="1"/>
      <protection locked="0"/>
    </xf>
    <xf numFmtId="1" fontId="9" fillId="0" borderId="16" xfId="1" applyNumberFormat="1" applyFont="1" applyBorder="1" applyAlignment="1" applyProtection="1">
      <alignment horizontal="center" vertical="top" wrapText="1"/>
      <protection locked="0"/>
    </xf>
    <xf numFmtId="1" fontId="9" fillId="0" borderId="17" xfId="1" applyNumberFormat="1" applyFont="1" applyBorder="1" applyAlignment="1" applyProtection="1">
      <alignment horizontal="center" vertical="top" wrapText="1"/>
      <protection locked="0"/>
    </xf>
    <xf numFmtId="1" fontId="9" fillId="0" borderId="18" xfId="1" applyNumberFormat="1" applyFont="1" applyBorder="1" applyAlignment="1" applyProtection="1">
      <alignment horizontal="center" vertical="top" wrapText="1"/>
      <protection locked="0"/>
    </xf>
    <xf numFmtId="1" fontId="9" fillId="0" borderId="19" xfId="1" applyNumberFormat="1" applyFont="1" applyBorder="1" applyAlignment="1" applyProtection="1">
      <alignment horizontal="center" vertical="top" wrapText="1"/>
      <protection locked="0"/>
    </xf>
    <xf numFmtId="0" fontId="14" fillId="0" borderId="3" xfId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left" vertical="top"/>
      <protection locked="0"/>
    </xf>
    <xf numFmtId="0" fontId="14" fillId="0" borderId="21" xfId="1" applyFont="1" applyBorder="1" applyAlignment="1" applyProtection="1">
      <alignment horizontal="left" vertical="top" wrapText="1"/>
      <protection locked="0"/>
    </xf>
    <xf numFmtId="0" fontId="14" fillId="0" borderId="14" xfId="1" applyFont="1" applyBorder="1" applyAlignment="1" applyProtection="1">
      <alignment horizontal="left" vertical="top" wrapText="1"/>
      <protection locked="0"/>
    </xf>
    <xf numFmtId="0" fontId="14" fillId="0" borderId="12" xfId="1" applyFont="1" applyBorder="1" applyAlignment="1" applyProtection="1">
      <alignment horizontal="left" vertical="top" wrapText="1"/>
      <protection locked="0"/>
    </xf>
    <xf numFmtId="0" fontId="14" fillId="0" borderId="13" xfId="1" applyFont="1" applyBorder="1" applyAlignment="1" applyProtection="1">
      <alignment horizontal="left" vertical="top" wrapText="1"/>
      <protection locked="0"/>
    </xf>
    <xf numFmtId="0" fontId="14" fillId="0" borderId="22" xfId="1" applyFont="1" applyBorder="1" applyAlignment="1" applyProtection="1">
      <alignment horizontal="left" vertical="top" wrapText="1"/>
      <protection locked="0"/>
    </xf>
    <xf numFmtId="0" fontId="9" fillId="0" borderId="15" xfId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left" vertical="top" wrapText="1"/>
      <protection locked="0"/>
    </xf>
    <xf numFmtId="0" fontId="14" fillId="0" borderId="4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left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9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1" fontId="7" fillId="0" borderId="1" xfId="1" applyNumberFormat="1" applyFont="1" applyBorder="1" applyAlignment="1" applyProtection="1">
      <alignment horizontal="left" vertical="top" wrapText="1"/>
      <protection locked="0"/>
    </xf>
    <xf numFmtId="0" fontId="9" fillId="5" borderId="7" xfId="1" applyFont="1" applyFill="1" applyBorder="1" applyAlignment="1" applyProtection="1">
      <alignment horizontal="center" vertical="top" wrapText="1"/>
      <protection locked="0"/>
    </xf>
    <xf numFmtId="0" fontId="9" fillId="5" borderId="20" xfId="1" applyFont="1" applyFill="1" applyBorder="1" applyAlignment="1" applyProtection="1">
      <alignment horizontal="center" vertical="top" wrapText="1"/>
      <protection locked="0"/>
    </xf>
    <xf numFmtId="0" fontId="9" fillId="5" borderId="8" xfId="1" applyFont="1" applyFill="1" applyBorder="1" applyAlignment="1" applyProtection="1">
      <alignment horizontal="center" vertical="top" wrapText="1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14" fillId="0" borderId="7" xfId="1" applyFont="1" applyBorder="1" applyAlignment="1" applyProtection="1">
      <alignment horizontal="left" vertical="top"/>
      <protection locked="0"/>
    </xf>
    <xf numFmtId="0" fontId="14" fillId="0" borderId="20" xfId="1" applyFont="1" applyBorder="1" applyAlignment="1" applyProtection="1">
      <alignment horizontal="left" vertical="top"/>
      <protection locked="0"/>
    </xf>
    <xf numFmtId="0" fontId="14" fillId="0" borderId="8" xfId="1" applyFont="1" applyBorder="1" applyAlignment="1" applyProtection="1">
      <alignment horizontal="left" vertical="top"/>
      <protection locked="0"/>
    </xf>
    <xf numFmtId="0" fontId="9" fillId="0" borderId="7" xfId="1" applyFont="1" applyBorder="1" applyAlignment="1" applyProtection="1">
      <alignment horizontal="left" vertical="top" wrapText="1"/>
      <protection locked="0"/>
    </xf>
    <xf numFmtId="0" fontId="9" fillId="0" borderId="8" xfId="1" applyFont="1" applyBorder="1" applyAlignment="1" applyProtection="1">
      <alignment horizontal="left" vertical="top" wrapText="1"/>
      <protection locked="0"/>
    </xf>
    <xf numFmtId="0" fontId="9" fillId="0" borderId="20" xfId="1" applyFont="1" applyBorder="1" applyAlignment="1" applyProtection="1">
      <alignment horizontal="left" vertical="top" wrapText="1"/>
      <protection locked="0"/>
    </xf>
    <xf numFmtId="0" fontId="9" fillId="0" borderId="1" xfId="1" applyFont="1" applyBorder="1" applyAlignment="1" applyProtection="1">
      <alignment vertical="top"/>
      <protection locked="0"/>
    </xf>
    <xf numFmtId="0" fontId="9" fillId="0" borderId="7" xfId="1" applyFont="1" applyBorder="1" applyAlignment="1" applyProtection="1">
      <alignment horizontal="left" vertical="top"/>
      <protection locked="0"/>
    </xf>
    <xf numFmtId="0" fontId="9" fillId="0" borderId="8" xfId="1" applyFont="1" applyBorder="1" applyAlignment="1" applyProtection="1">
      <alignment horizontal="left" vertical="top"/>
      <protection locked="0"/>
    </xf>
    <xf numFmtId="164" fontId="13" fillId="0" borderId="1" xfId="1" applyNumberFormat="1" applyFont="1" applyBorder="1" applyAlignment="1" applyProtection="1">
      <alignment horizontal="left" vertical="top"/>
      <protection locked="0"/>
    </xf>
    <xf numFmtId="2" fontId="13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13" fillId="0" borderId="1" xfId="1" applyNumberFormat="1" applyFont="1" applyBorder="1" applyAlignment="1" applyProtection="1">
      <alignment horizontal="left" vertical="top" wrapText="1"/>
      <protection locked="0"/>
    </xf>
    <xf numFmtId="0" fontId="14" fillId="0" borderId="1" xfId="1" applyFont="1" applyBorder="1" applyAlignment="1" applyProtection="1">
      <alignment horizontal="center" vertical="top"/>
      <protection locked="0"/>
    </xf>
    <xf numFmtId="0" fontId="14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left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18" xfId="1" applyFont="1" applyBorder="1" applyAlignment="1" applyProtection="1">
      <alignment horizontal="left" vertical="top" wrapText="1"/>
      <protection locked="0"/>
    </xf>
    <xf numFmtId="0" fontId="13" fillId="0" borderId="31" xfId="1" applyFont="1" applyBorder="1" applyAlignment="1" applyProtection="1">
      <alignment horizontal="left" vertical="top" wrapText="1"/>
      <protection locked="0"/>
    </xf>
    <xf numFmtId="0" fontId="13" fillId="0" borderId="19" xfId="1" applyFont="1" applyBorder="1" applyAlignment="1" applyProtection="1">
      <alignment horizontal="left" vertical="top" wrapText="1"/>
      <protection locked="0"/>
    </xf>
    <xf numFmtId="0" fontId="13" fillId="4" borderId="7" xfId="1" applyFont="1" applyFill="1" applyBorder="1" applyAlignment="1" applyProtection="1">
      <alignment horizontal="center" vertical="top" wrapText="1"/>
      <protection locked="0"/>
    </xf>
    <xf numFmtId="0" fontId="13" fillId="4" borderId="8" xfId="1" applyFont="1" applyFill="1" applyBorder="1" applyAlignment="1" applyProtection="1">
      <alignment horizontal="center" vertical="top" wrapText="1"/>
      <protection locked="0"/>
    </xf>
    <xf numFmtId="0" fontId="13" fillId="3" borderId="7" xfId="1" applyFont="1" applyFill="1" applyBorder="1" applyAlignment="1" applyProtection="1">
      <alignment horizontal="center" vertical="top" wrapText="1"/>
      <protection locked="0"/>
    </xf>
    <xf numFmtId="0" fontId="13" fillId="3" borderId="8" xfId="1" applyFont="1" applyFill="1" applyBorder="1" applyAlignment="1" applyProtection="1">
      <alignment horizontal="center" vertical="top"/>
      <protection locked="0"/>
    </xf>
    <xf numFmtId="0" fontId="13" fillId="0" borderId="7" xfId="1" applyFont="1" applyBorder="1" applyAlignment="1" applyProtection="1">
      <alignment horizontal="center" vertical="top" wrapText="1"/>
      <protection locked="0"/>
    </xf>
    <xf numFmtId="0" fontId="13" fillId="0" borderId="8" xfId="1" applyFont="1" applyBorder="1" applyAlignment="1" applyProtection="1">
      <alignment horizontal="center" vertical="top" wrapText="1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9" fillId="0" borderId="1" xfId="1" applyFont="1" applyBorder="1" applyAlignment="1" applyProtection="1">
      <alignment horizontal="center" vertical="top"/>
      <protection locked="0"/>
    </xf>
    <xf numFmtId="14" fontId="13" fillId="0" borderId="1" xfId="1" applyNumberFormat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9" fontId="13" fillId="0" borderId="17" xfId="8" applyFont="1" applyFill="1" applyBorder="1" applyAlignment="1" applyProtection="1">
      <alignment horizontal="center" vertical="center" wrapText="1"/>
      <protection locked="0"/>
    </xf>
    <xf numFmtId="9" fontId="13" fillId="0" borderId="25" xfId="8" applyFont="1" applyFill="1" applyBorder="1" applyAlignment="1" applyProtection="1">
      <alignment horizontal="center" vertical="center" wrapText="1"/>
      <protection locked="0"/>
    </xf>
    <xf numFmtId="9" fontId="13" fillId="0" borderId="28" xfId="8" applyFont="1" applyFill="1" applyBorder="1" applyAlignment="1" applyProtection="1">
      <alignment horizontal="center" vertical="center" wrapText="1"/>
      <protection locked="0"/>
    </xf>
    <xf numFmtId="0" fontId="9" fillId="0" borderId="15" xfId="1" applyFont="1" applyBorder="1" applyAlignment="1" applyProtection="1">
      <alignment horizontal="center" vertical="top"/>
      <protection locked="0"/>
    </xf>
    <xf numFmtId="1" fontId="9" fillId="0" borderId="32" xfId="0" applyNumberFormat="1" applyFont="1" applyBorder="1" applyAlignment="1" applyProtection="1">
      <alignment horizontal="center" vertical="center" wrapText="1"/>
      <protection locked="0"/>
    </xf>
    <xf numFmtId="1" fontId="9" fillId="0" borderId="33" xfId="0" applyNumberFormat="1" applyFont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 applyProtection="1">
      <alignment horizontal="center" vertical="top" wrapText="1"/>
      <protection locked="0"/>
    </xf>
    <xf numFmtId="0" fontId="7" fillId="0" borderId="2" xfId="1" applyFont="1" applyBorder="1" applyAlignment="1" applyProtection="1">
      <alignment horizontal="left" vertical="top" wrapText="1"/>
      <protection locked="0"/>
    </xf>
    <xf numFmtId="0" fontId="13" fillId="0" borderId="2" xfId="1" applyFont="1" applyBorder="1" applyAlignment="1" applyProtection="1">
      <alignment horizontal="left" vertical="top" wrapText="1"/>
      <protection locked="0"/>
    </xf>
    <xf numFmtId="0" fontId="7" fillId="0" borderId="2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vertical="top"/>
      <protection locked="0"/>
    </xf>
    <xf numFmtId="167" fontId="14" fillId="0" borderId="1" xfId="9" applyNumberFormat="1" applyFont="1" applyFill="1" applyBorder="1" applyAlignment="1" applyProtection="1">
      <alignment horizontal="left" vertical="top"/>
      <protection locked="0"/>
    </xf>
    <xf numFmtId="0" fontId="10" fillId="0" borderId="1" xfId="5" applyFont="1" applyBorder="1" applyAlignment="1">
      <alignment horizontal="left"/>
    </xf>
    <xf numFmtId="0" fontId="14" fillId="0" borderId="32" xfId="1" applyFont="1" applyBorder="1" applyAlignment="1" applyProtection="1">
      <alignment horizontal="center" vertical="center" wrapText="1"/>
      <protection locked="0"/>
    </xf>
    <xf numFmtId="0" fontId="14" fillId="0" borderId="36" xfId="1" applyFont="1" applyBorder="1" applyAlignment="1" applyProtection="1">
      <alignment horizontal="center" vertical="center" wrapText="1"/>
      <protection locked="0"/>
    </xf>
    <xf numFmtId="9" fontId="14" fillId="0" borderId="34" xfId="1" applyNumberFormat="1" applyFont="1" applyBorder="1" applyAlignment="1" applyProtection="1">
      <alignment horizontal="center" vertical="center" wrapText="1"/>
      <protection locked="0"/>
    </xf>
    <xf numFmtId="0" fontId="14" fillId="0" borderId="34" xfId="1" applyFont="1" applyBorder="1" applyAlignment="1" applyProtection="1">
      <alignment horizontal="center" vertical="center" wrapText="1"/>
      <protection locked="0"/>
    </xf>
    <xf numFmtId="9" fontId="14" fillId="0" borderId="37" xfId="8" applyFont="1" applyFill="1" applyBorder="1" applyAlignment="1" applyProtection="1">
      <alignment horizontal="center" vertical="center" wrapText="1"/>
      <protection locked="0"/>
    </xf>
    <xf numFmtId="9" fontId="14" fillId="0" borderId="35" xfId="8" applyFont="1" applyFill="1" applyBorder="1" applyAlignment="1" applyProtection="1">
      <alignment horizontal="center" vertical="center" wrapText="1"/>
      <protection locked="0"/>
    </xf>
  </cellXfs>
  <cellStyles count="16">
    <cellStyle name="Comma" xfId="9" builtinId="3"/>
    <cellStyle name="Comma 2" xfId="6"/>
    <cellStyle name="Comma 2 2" xfId="14"/>
    <cellStyle name="Comma 3" xfId="15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2 2" xfId="12"/>
    <cellStyle name="Normal 3" xfId="1"/>
    <cellStyle name="Normal 3 2" xfId="11"/>
    <cellStyle name="Normal 3 3" xfId="7"/>
    <cellStyle name="Normal 4" xfId="5"/>
    <cellStyle name="Normal 4 2" xfId="13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487507</xdr:colOff>
      <xdr:row>298</xdr:row>
      <xdr:rowOff>27722</xdr:rowOff>
    </xdr:from>
    <xdr:to>
      <xdr:col>7</xdr:col>
      <xdr:colOff>198484</xdr:colOff>
      <xdr:row>310</xdr:row>
      <xdr:rowOff>43274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91" t="1771" r="8051" b="18020"/>
        <a:stretch/>
      </xdr:blipFill>
      <xdr:spPr>
        <a:xfrm rot="16200000">
          <a:off x="1983045" y="29478909"/>
          <a:ext cx="2415851" cy="5406927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>
    <xdr:from>
      <xdr:col>4</xdr:col>
      <xdr:colOff>190500</xdr:colOff>
      <xdr:row>299</xdr:row>
      <xdr:rowOff>133350</xdr:rowOff>
    </xdr:from>
    <xdr:to>
      <xdr:col>6</xdr:col>
      <xdr:colOff>123826</xdr:colOff>
      <xdr:row>304</xdr:row>
      <xdr:rowOff>142875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/>
      </xdr:nvSpPr>
      <xdr:spPr>
        <a:xfrm>
          <a:off x="3543300" y="31280100"/>
          <a:ext cx="1495426" cy="1009650"/>
        </a:xfrm>
        <a:prstGeom prst="rect">
          <a:avLst/>
        </a:prstGeom>
        <a:noFill/>
        <a:ln w="571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>
            <a:ln w="76200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0</xdr:col>
      <xdr:colOff>742950</xdr:colOff>
      <xdr:row>304</xdr:row>
      <xdr:rowOff>142875</xdr:rowOff>
    </xdr:from>
    <xdr:to>
      <xdr:col>4</xdr:col>
      <xdr:colOff>361950</xdr:colOff>
      <xdr:row>310</xdr:row>
      <xdr:rowOff>28575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/>
      </xdr:nvSpPr>
      <xdr:spPr>
        <a:xfrm>
          <a:off x="742950" y="32289750"/>
          <a:ext cx="2971800" cy="1085850"/>
        </a:xfrm>
        <a:prstGeom prst="rect">
          <a:avLst/>
        </a:prstGeom>
        <a:noFill/>
        <a:ln w="571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238124</xdr:colOff>
      <xdr:row>298</xdr:row>
      <xdr:rowOff>0</xdr:rowOff>
    </xdr:from>
    <xdr:to>
      <xdr:col>5</xdr:col>
      <xdr:colOff>737152</xdr:colOff>
      <xdr:row>300</xdr:row>
      <xdr:rowOff>1241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3841059" y="60297391"/>
          <a:ext cx="1335571" cy="3988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n-IN" sz="1600" b="1">
              <a:solidFill>
                <a:srgbClr val="FF0000"/>
              </a:solidFill>
              <a:latin typeface="+mn-lt"/>
              <a:ea typeface="+mn-ea"/>
              <a:cs typeface="+mn-cs"/>
            </a:rPr>
            <a:t>Building No.1</a:t>
          </a:r>
        </a:p>
      </xdr:txBody>
    </xdr:sp>
    <xdr:clientData/>
  </xdr:twoCellAnchor>
  <xdr:twoCellAnchor>
    <xdr:from>
      <xdr:col>1</xdr:col>
      <xdr:colOff>401782</xdr:colOff>
      <xdr:row>302</xdr:row>
      <xdr:rowOff>85725</xdr:rowOff>
    </xdr:from>
    <xdr:to>
      <xdr:col>3</xdr:col>
      <xdr:colOff>8283</xdr:colOff>
      <xdr:row>304</xdr:row>
      <xdr:rowOff>36381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/>
      </xdr:nvSpPr>
      <xdr:spPr>
        <a:xfrm>
          <a:off x="1221760" y="61178247"/>
          <a:ext cx="1378980" cy="3482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IN" sz="1600" b="1">
              <a:solidFill>
                <a:srgbClr val="FF0000"/>
              </a:solidFill>
            </a:rPr>
            <a:t>Building No.2</a:t>
          </a:r>
        </a:p>
      </xdr:txBody>
    </xdr:sp>
    <xdr:clientData/>
  </xdr:twoCellAnchor>
  <xdr:twoCellAnchor editAs="oneCell">
    <xdr:from>
      <xdr:col>10</xdr:col>
      <xdr:colOff>95250</xdr:colOff>
      <xdr:row>134</xdr:row>
      <xdr:rowOff>38100</xdr:rowOff>
    </xdr:from>
    <xdr:to>
      <xdr:col>16</xdr:col>
      <xdr:colOff>569337</xdr:colOff>
      <xdr:row>141</xdr:row>
      <xdr:rowOff>77926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63050" y="26079450"/>
          <a:ext cx="5369937" cy="14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310</xdr:row>
      <xdr:rowOff>152400</xdr:rowOff>
    </xdr:from>
    <xdr:to>
      <xdr:col>5</xdr:col>
      <xdr:colOff>355444</xdr:colOff>
      <xdr:row>325</xdr:row>
      <xdr:rowOff>32025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409825" y="33499425"/>
          <a:ext cx="2079469" cy="2880000"/>
        </a:xfrm>
        <a:prstGeom prst="rect">
          <a:avLst/>
        </a:prstGeom>
        <a:ln w="19050">
          <a:solidFill>
            <a:sysClr val="windowText" lastClr="000000"/>
          </a:solidFill>
        </a:ln>
      </xdr:spPr>
    </xdr:pic>
    <xdr:clientData/>
  </xdr:twoCellAnchor>
  <xdr:twoCellAnchor>
    <xdr:from>
      <xdr:col>3</xdr:col>
      <xdr:colOff>876300</xdr:colOff>
      <xdr:row>316</xdr:row>
      <xdr:rowOff>9525</xdr:rowOff>
    </xdr:from>
    <xdr:to>
      <xdr:col>4</xdr:col>
      <xdr:colOff>304800</xdr:colOff>
      <xdr:row>317</xdr:row>
      <xdr:rowOff>57151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CxnSpPr/>
      </xdr:nvCxnSpPr>
      <xdr:spPr>
        <a:xfrm flipH="1" flipV="1">
          <a:off x="3286125" y="34556700"/>
          <a:ext cx="371475" cy="247651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266700</xdr:colOff>
      <xdr:row>319</xdr:row>
      <xdr:rowOff>123825</xdr:rowOff>
    </xdr:from>
    <xdr:to>
      <xdr:col>4</xdr:col>
      <xdr:colOff>609600</xdr:colOff>
      <xdr:row>320</xdr:row>
      <xdr:rowOff>161925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CxnSpPr/>
      </xdr:nvCxnSpPr>
      <xdr:spPr>
        <a:xfrm>
          <a:off x="3619500" y="35271075"/>
          <a:ext cx="342900" cy="2381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361950</xdr:colOff>
      <xdr:row>314</xdr:row>
      <xdr:rowOff>95250</xdr:rowOff>
    </xdr:from>
    <xdr:to>
      <xdr:col>3</xdr:col>
      <xdr:colOff>800100</xdr:colOff>
      <xdr:row>315</xdr:row>
      <xdr:rowOff>142875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2771775" y="34242375"/>
          <a:ext cx="4381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>
              <a:solidFill>
                <a:srgbClr val="FF0000"/>
              </a:solidFill>
            </a:rPr>
            <a:t>Site</a:t>
          </a:r>
        </a:p>
      </xdr:txBody>
    </xdr:sp>
    <xdr:clientData/>
  </xdr:twoCellAnchor>
  <xdr:twoCellAnchor>
    <xdr:from>
      <xdr:col>4</xdr:col>
      <xdr:colOff>533401</xdr:colOff>
      <xdr:row>320</xdr:row>
      <xdr:rowOff>133350</xdr:rowOff>
    </xdr:from>
    <xdr:to>
      <xdr:col>5</xdr:col>
      <xdr:colOff>228601</xdr:colOff>
      <xdr:row>321</xdr:row>
      <xdr:rowOff>180975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3886201" y="35480625"/>
          <a:ext cx="4762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>
              <a:solidFill>
                <a:srgbClr val="FF0000"/>
              </a:solidFill>
            </a:rPr>
            <a:t>Nala</a:t>
          </a:r>
        </a:p>
      </xdr:txBody>
    </xdr:sp>
    <xdr:clientData/>
  </xdr:twoCellAnchor>
  <xdr:oneCellAnchor>
    <xdr:from>
      <xdr:col>21</xdr:col>
      <xdr:colOff>600075</xdr:colOff>
      <xdr:row>134</xdr:row>
      <xdr:rowOff>47625</xdr:rowOff>
    </xdr:from>
    <xdr:ext cx="4998462" cy="1440000"/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59225" y="27289125"/>
          <a:ext cx="4998462" cy="1440000"/>
        </a:xfrm>
        <a:prstGeom prst="rect">
          <a:avLst/>
        </a:prstGeom>
      </xdr:spPr>
    </xdr:pic>
    <xdr:clientData/>
  </xdr:oneCellAnchor>
  <xdr:twoCellAnchor editAs="oneCell">
    <xdr:from>
      <xdr:col>0</xdr:col>
      <xdr:colOff>430689</xdr:colOff>
      <xdr:row>328</xdr:row>
      <xdr:rowOff>24849</xdr:rowOff>
    </xdr:from>
    <xdr:to>
      <xdr:col>7</xdr:col>
      <xdr:colOff>438124</xdr:colOff>
      <xdr:row>345</xdr:row>
      <xdr:rowOff>144852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30689" y="66285719"/>
          <a:ext cx="6120000" cy="349930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704357</xdr:colOff>
      <xdr:row>346</xdr:row>
      <xdr:rowOff>87107</xdr:rowOff>
    </xdr:from>
    <xdr:to>
      <xdr:col>7</xdr:col>
      <xdr:colOff>164455</xdr:colOff>
      <xdr:row>365</xdr:row>
      <xdr:rowOff>71356</xdr:rowOff>
    </xdr:to>
    <xdr:grpSp>
      <xdr:nvGrpSpPr>
        <xdr:cNvPr id="40" name="Group 39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GrpSpPr/>
      </xdr:nvGrpSpPr>
      <xdr:grpSpPr>
        <a:xfrm>
          <a:off x="704357" y="75119259"/>
          <a:ext cx="5158533" cy="3761119"/>
          <a:chOff x="722242" y="3933645"/>
          <a:chExt cx="5572663" cy="3761118"/>
        </a:xfrm>
      </xdr:grpSpPr>
      <xdr:pic>
        <xdr:nvPicPr>
          <xdr:cNvPr id="41" name="Picture 40">
            <a:extLst>
              <a:ext uri="{FF2B5EF4-FFF2-40B4-BE49-F238E27FC236}">
                <a16:creationId xmlns:a16="http://schemas.microsoft.com/office/drawing/2014/main" xmlns="" id="{00000000-0008-0000-0000-000029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722242" y="3933645"/>
            <a:ext cx="5572663" cy="3761118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xmlns="" id="{00000000-0008-0000-0000-00002A000000}"/>
              </a:ext>
            </a:extLst>
          </xdr:cNvPr>
          <xdr:cNvSpPr/>
        </xdr:nvSpPr>
        <xdr:spPr>
          <a:xfrm rot="2518928">
            <a:off x="2886273" y="4768849"/>
            <a:ext cx="745927" cy="1593850"/>
          </a:xfrm>
          <a:prstGeom prst="rect">
            <a:avLst/>
          </a:prstGeom>
          <a:noFill/>
          <a:ln w="5715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43" name="Rectangle 42">
            <a:extLst>
              <a:ext uri="{FF2B5EF4-FFF2-40B4-BE49-F238E27FC236}">
                <a16:creationId xmlns:a16="http://schemas.microsoft.com/office/drawing/2014/main" xmlns="" id="{00000000-0008-0000-0000-00002B000000}"/>
              </a:ext>
            </a:extLst>
          </xdr:cNvPr>
          <xdr:cNvSpPr/>
        </xdr:nvSpPr>
        <xdr:spPr>
          <a:xfrm rot="2701358">
            <a:off x="2762252" y="6536059"/>
            <a:ext cx="863600" cy="857250"/>
          </a:xfrm>
          <a:prstGeom prst="rect">
            <a:avLst/>
          </a:prstGeom>
          <a:noFill/>
          <a:ln w="3810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44" name="TextBox 5">
            <a:extLst>
              <a:ext uri="{FF2B5EF4-FFF2-40B4-BE49-F238E27FC236}">
                <a16:creationId xmlns:a16="http://schemas.microsoft.com/office/drawing/2014/main" xmlns="" id="{00000000-0008-0000-0000-00002C000000}"/>
              </a:ext>
            </a:extLst>
          </xdr:cNvPr>
          <xdr:cNvSpPr txBox="1"/>
        </xdr:nvSpPr>
        <xdr:spPr>
          <a:xfrm>
            <a:off x="1758402" y="4544487"/>
            <a:ext cx="1521570" cy="64633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FF00"/>
                </a:solidFill>
              </a:rPr>
              <a:t>Building No. 2</a:t>
            </a:r>
          </a:p>
          <a:p>
            <a:pPr algn="ctr"/>
            <a:r>
              <a:rPr lang="en-US" b="1">
                <a:solidFill>
                  <a:srgbClr val="FFFF00"/>
                </a:solidFill>
              </a:rPr>
              <a:t>Wing A &amp; B</a:t>
            </a:r>
          </a:p>
        </xdr:txBody>
      </xdr:sp>
      <xdr:sp macro="" textlink="">
        <xdr:nvSpPr>
          <xdr:cNvPr id="45" name="TextBox 6">
            <a:extLst>
              <a:ext uri="{FF2B5EF4-FFF2-40B4-BE49-F238E27FC236}">
                <a16:creationId xmlns:a16="http://schemas.microsoft.com/office/drawing/2014/main" xmlns="" id="{00000000-0008-0000-0000-00002D000000}"/>
              </a:ext>
            </a:extLst>
          </xdr:cNvPr>
          <xdr:cNvSpPr txBox="1"/>
        </xdr:nvSpPr>
        <xdr:spPr>
          <a:xfrm>
            <a:off x="1068657" y="6780018"/>
            <a:ext cx="1521570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FF00"/>
                </a:solidFill>
              </a:rPr>
              <a:t>Building No. 1</a:t>
            </a:r>
            <a:endParaRPr lang="en-IN" b="1">
              <a:solidFill>
                <a:srgbClr val="FFFF00"/>
              </a:solidFill>
            </a:endParaRPr>
          </a:p>
        </xdr:txBody>
      </xdr:sp>
      <xdr:cxnSp macro="">
        <xdr:nvCxnSpPr>
          <xdr:cNvPr id="46" name="Straight Arrow Connector 45">
            <a:extLst>
              <a:ext uri="{FF2B5EF4-FFF2-40B4-BE49-F238E27FC236}">
                <a16:creationId xmlns:a16="http://schemas.microsoft.com/office/drawing/2014/main" xmlns="" id="{00000000-0008-0000-0000-00002E000000}"/>
              </a:ext>
            </a:extLst>
          </xdr:cNvPr>
          <xdr:cNvCxnSpPr/>
        </xdr:nvCxnSpPr>
        <xdr:spPr>
          <a:xfrm flipH="1">
            <a:off x="4492992" y="5429250"/>
            <a:ext cx="325194" cy="514350"/>
          </a:xfrm>
          <a:prstGeom prst="straightConnector1">
            <a:avLst/>
          </a:prstGeom>
          <a:ln w="38100">
            <a:solidFill>
              <a:srgbClr val="FFFF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7" name="TextBox 11">
            <a:extLst>
              <a:ext uri="{FF2B5EF4-FFF2-40B4-BE49-F238E27FC236}">
                <a16:creationId xmlns:a16="http://schemas.microsoft.com/office/drawing/2014/main" xmlns="" id="{00000000-0008-0000-0000-00002F000000}"/>
              </a:ext>
            </a:extLst>
          </xdr:cNvPr>
          <xdr:cNvSpPr txBox="1"/>
        </xdr:nvSpPr>
        <xdr:spPr>
          <a:xfrm>
            <a:off x="4760072" y="5103546"/>
            <a:ext cx="775585" cy="37414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FF00"/>
                </a:solidFill>
              </a:rPr>
              <a:t>Nala</a:t>
            </a:r>
            <a:endParaRPr lang="en-IN" b="1">
              <a:solidFill>
                <a:srgbClr val="FFFF00"/>
              </a:solidFill>
            </a:endParaRPr>
          </a:p>
        </xdr:txBody>
      </xdr:sp>
    </xdr:grpSp>
    <xdr:clientData/>
  </xdr:twoCellAnchor>
  <xdr:twoCellAnchor>
    <xdr:from>
      <xdr:col>0</xdr:col>
      <xdr:colOff>485774</xdr:colOff>
      <xdr:row>255</xdr:row>
      <xdr:rowOff>57149</xdr:rowOff>
    </xdr:from>
    <xdr:to>
      <xdr:col>7</xdr:col>
      <xdr:colOff>455701</xdr:colOff>
      <xdr:row>296</xdr:row>
      <xdr:rowOff>93074</xdr:rowOff>
    </xdr:to>
    <xdr:grpSp>
      <xdr:nvGrpSpPr>
        <xdr:cNvPr id="24" name="Group 23"/>
        <xdr:cNvGrpSpPr/>
      </xdr:nvGrpSpPr>
      <xdr:grpSpPr>
        <a:xfrm>
          <a:off x="485774" y="57008366"/>
          <a:ext cx="5668362" cy="8177730"/>
          <a:chOff x="485774" y="57008366"/>
          <a:chExt cx="5668362" cy="8177730"/>
        </a:xfrm>
      </xdr:grpSpPr>
      <xdr:grpSp>
        <xdr:nvGrpSpPr>
          <xdr:cNvPr id="20" name="Group 19"/>
          <xdr:cNvGrpSpPr/>
        </xdr:nvGrpSpPr>
        <xdr:grpSpPr>
          <a:xfrm>
            <a:off x="485774" y="57008366"/>
            <a:ext cx="5668362" cy="8177730"/>
            <a:chOff x="485774" y="57292874"/>
            <a:chExt cx="5675402" cy="8227425"/>
          </a:xfrm>
        </xdr:grpSpPr>
        <xdr:pic>
          <xdr:nvPicPr>
            <xdr:cNvPr id="48" name="Picture 47" descr="https://vsjcllp.vsjadon.com/upload/insp-243233-152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505075" y="63523626"/>
              <a:ext cx="1495425" cy="1996673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9" name="Picture 48" descr="https://vsjcllp.vsjadon.com/upload/insp-243233-843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61975" y="61093350"/>
              <a:ext cx="1754922" cy="234315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" name="Picture 50" descr="https://vsjcllp.vsjadon.com/upload/insp-243233-84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85774" y="57302399"/>
              <a:ext cx="2789327" cy="372427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2" name="Picture 51" descr="https://vsjcllp.vsjadon.com/upload/insp-243233-844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257675" y="61093350"/>
              <a:ext cx="1754922" cy="234315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3" name="Picture 52" descr="https://vsjcllp.vsjadon.com/upload/insp-243233-847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419350" y="61102875"/>
              <a:ext cx="1754922" cy="234315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0" name="Picture 59" descr="https://vsjcllp.vsjadon.com/upload/insp-243233-861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371849" y="57292874"/>
              <a:ext cx="2789327" cy="372427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22" name="TextBox 21"/>
          <xdr:cNvSpPr txBox="1"/>
        </xdr:nvSpPr>
        <xdr:spPr>
          <a:xfrm>
            <a:off x="2542760" y="57323936"/>
            <a:ext cx="795130" cy="2816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400" b="1"/>
              <a:t>Wing A</a:t>
            </a:r>
          </a:p>
        </xdr:txBody>
      </xdr:sp>
      <xdr:sp macro="" textlink="">
        <xdr:nvSpPr>
          <xdr:cNvPr id="61" name="TextBox 60"/>
          <xdr:cNvSpPr txBox="1"/>
        </xdr:nvSpPr>
        <xdr:spPr>
          <a:xfrm>
            <a:off x="5342283" y="57034043"/>
            <a:ext cx="795130" cy="2816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400" b="1"/>
              <a:t>Wing B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tmiyacentria.com/" TargetMode="External"/><Relationship Id="rId1" Type="http://schemas.openxmlformats.org/officeDocument/2006/relationships/hyperlink" Target="https://maps.app.goo.gl/be8Pe2qxQmoyAFai9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327"/>
  <sheetViews>
    <sheetView tabSelected="1" view="pageBreakPreview" topLeftCell="A64" zoomScale="115" zoomScaleNormal="100" zoomScaleSheetLayoutView="115" workbookViewId="0">
      <selection activeCell="M73" sqref="M73"/>
    </sheetView>
  </sheetViews>
  <sheetFormatPr defaultColWidth="9.28515625" defaultRowHeight="15.75" x14ac:dyDescent="0.25"/>
  <cols>
    <col min="1" max="1" width="11.42578125" style="37" customWidth="1"/>
    <col min="2" max="2" width="12" style="37" customWidth="1"/>
    <col min="3" max="3" width="12.7109375" style="37" customWidth="1"/>
    <col min="4" max="4" width="14.28515625" style="37" customWidth="1"/>
    <col min="5" max="7" width="11.7109375" style="37" customWidth="1"/>
    <col min="8" max="8" width="12.42578125" style="37" customWidth="1"/>
    <col min="9" max="9" width="17.42578125" style="18" customWidth="1"/>
    <col min="10" max="10" width="11.42578125" style="18" customWidth="1"/>
    <col min="11" max="11" width="11.7109375" style="18" bestFit="1" customWidth="1"/>
    <col min="12" max="12" width="10.5703125" style="18" customWidth="1"/>
    <col min="13" max="13" width="11.7109375" style="18" customWidth="1"/>
    <col min="14" max="14" width="12.5703125" style="18" customWidth="1"/>
    <col min="15" max="15" width="9.7109375" style="18" customWidth="1"/>
    <col min="16" max="16" width="11.7109375" style="18" customWidth="1"/>
    <col min="17" max="247" width="9.28515625" style="18"/>
    <col min="248" max="248" width="8.7109375" style="18" customWidth="1"/>
    <col min="249" max="249" width="9.7109375" style="18" customWidth="1"/>
    <col min="250" max="250" width="14.42578125" style="18" customWidth="1"/>
    <col min="251" max="251" width="7.28515625" style="18" customWidth="1"/>
    <col min="252" max="252" width="5.5703125" style="18" customWidth="1"/>
    <col min="253" max="253" width="9" style="18" customWidth="1"/>
    <col min="254" max="255" width="9.7109375" style="18" customWidth="1"/>
    <col min="256" max="256" width="11.28515625" style="18" customWidth="1"/>
    <col min="257" max="257" width="2.7109375" style="18" customWidth="1"/>
    <col min="258" max="258" width="3.5703125" style="18" customWidth="1"/>
    <col min="259" max="503" width="9.28515625" style="18"/>
    <col min="504" max="504" width="8.7109375" style="18" customWidth="1"/>
    <col min="505" max="505" width="9.7109375" style="18" customWidth="1"/>
    <col min="506" max="506" width="14.42578125" style="18" customWidth="1"/>
    <col min="507" max="507" width="7.28515625" style="18" customWidth="1"/>
    <col min="508" max="508" width="5.5703125" style="18" customWidth="1"/>
    <col min="509" max="509" width="9" style="18" customWidth="1"/>
    <col min="510" max="511" width="9.7109375" style="18" customWidth="1"/>
    <col min="512" max="512" width="11.28515625" style="18" customWidth="1"/>
    <col min="513" max="513" width="2.7109375" style="18" customWidth="1"/>
    <col min="514" max="514" width="3.5703125" style="18" customWidth="1"/>
    <col min="515" max="759" width="9.28515625" style="18"/>
    <col min="760" max="760" width="8.7109375" style="18" customWidth="1"/>
    <col min="761" max="761" width="9.7109375" style="18" customWidth="1"/>
    <col min="762" max="762" width="14.42578125" style="18" customWidth="1"/>
    <col min="763" max="763" width="7.28515625" style="18" customWidth="1"/>
    <col min="764" max="764" width="5.5703125" style="18" customWidth="1"/>
    <col min="765" max="765" width="9" style="18" customWidth="1"/>
    <col min="766" max="767" width="9.7109375" style="18" customWidth="1"/>
    <col min="768" max="768" width="11.28515625" style="18" customWidth="1"/>
    <col min="769" max="769" width="2.7109375" style="18" customWidth="1"/>
    <col min="770" max="770" width="3.5703125" style="18" customWidth="1"/>
    <col min="771" max="1015" width="9.28515625" style="18"/>
    <col min="1016" max="1016" width="8.7109375" style="18" customWidth="1"/>
    <col min="1017" max="1017" width="9.7109375" style="18" customWidth="1"/>
    <col min="1018" max="1018" width="14.42578125" style="18" customWidth="1"/>
    <col min="1019" max="1019" width="7.28515625" style="18" customWidth="1"/>
    <col min="1020" max="1020" width="5.5703125" style="18" customWidth="1"/>
    <col min="1021" max="1021" width="9" style="18" customWidth="1"/>
    <col min="1022" max="1023" width="9.7109375" style="18" customWidth="1"/>
    <col min="1024" max="1024" width="11.28515625" style="18" customWidth="1"/>
    <col min="1025" max="1025" width="2.7109375" style="18" customWidth="1"/>
    <col min="1026" max="1026" width="3.5703125" style="18" customWidth="1"/>
    <col min="1027" max="1271" width="9.28515625" style="18"/>
    <col min="1272" max="1272" width="8.7109375" style="18" customWidth="1"/>
    <col min="1273" max="1273" width="9.7109375" style="18" customWidth="1"/>
    <col min="1274" max="1274" width="14.42578125" style="18" customWidth="1"/>
    <col min="1275" max="1275" width="7.28515625" style="18" customWidth="1"/>
    <col min="1276" max="1276" width="5.5703125" style="18" customWidth="1"/>
    <col min="1277" max="1277" width="9" style="18" customWidth="1"/>
    <col min="1278" max="1279" width="9.7109375" style="18" customWidth="1"/>
    <col min="1280" max="1280" width="11.28515625" style="18" customWidth="1"/>
    <col min="1281" max="1281" width="2.7109375" style="18" customWidth="1"/>
    <col min="1282" max="1282" width="3.5703125" style="18" customWidth="1"/>
    <col min="1283" max="1527" width="9.28515625" style="18"/>
    <col min="1528" max="1528" width="8.7109375" style="18" customWidth="1"/>
    <col min="1529" max="1529" width="9.7109375" style="18" customWidth="1"/>
    <col min="1530" max="1530" width="14.42578125" style="18" customWidth="1"/>
    <col min="1531" max="1531" width="7.28515625" style="18" customWidth="1"/>
    <col min="1532" max="1532" width="5.5703125" style="18" customWidth="1"/>
    <col min="1533" max="1533" width="9" style="18" customWidth="1"/>
    <col min="1534" max="1535" width="9.7109375" style="18" customWidth="1"/>
    <col min="1536" max="1536" width="11.28515625" style="18" customWidth="1"/>
    <col min="1537" max="1537" width="2.7109375" style="18" customWidth="1"/>
    <col min="1538" max="1538" width="3.5703125" style="18" customWidth="1"/>
    <col min="1539" max="1783" width="9.28515625" style="18"/>
    <col min="1784" max="1784" width="8.7109375" style="18" customWidth="1"/>
    <col min="1785" max="1785" width="9.7109375" style="18" customWidth="1"/>
    <col min="1786" max="1786" width="14.42578125" style="18" customWidth="1"/>
    <col min="1787" max="1787" width="7.28515625" style="18" customWidth="1"/>
    <col min="1788" max="1788" width="5.5703125" style="18" customWidth="1"/>
    <col min="1789" max="1789" width="9" style="18" customWidth="1"/>
    <col min="1790" max="1791" width="9.7109375" style="18" customWidth="1"/>
    <col min="1792" max="1792" width="11.28515625" style="18" customWidth="1"/>
    <col min="1793" max="1793" width="2.7109375" style="18" customWidth="1"/>
    <col min="1794" max="1794" width="3.5703125" style="18" customWidth="1"/>
    <col min="1795" max="2039" width="9.28515625" style="18"/>
    <col min="2040" max="2040" width="8.7109375" style="18" customWidth="1"/>
    <col min="2041" max="2041" width="9.7109375" style="18" customWidth="1"/>
    <col min="2042" max="2042" width="14.42578125" style="18" customWidth="1"/>
    <col min="2043" max="2043" width="7.28515625" style="18" customWidth="1"/>
    <col min="2044" max="2044" width="5.5703125" style="18" customWidth="1"/>
    <col min="2045" max="2045" width="9" style="18" customWidth="1"/>
    <col min="2046" max="2047" width="9.7109375" style="18" customWidth="1"/>
    <col min="2048" max="2048" width="11.28515625" style="18" customWidth="1"/>
    <col min="2049" max="2049" width="2.7109375" style="18" customWidth="1"/>
    <col min="2050" max="2050" width="3.5703125" style="18" customWidth="1"/>
    <col min="2051" max="2295" width="9.28515625" style="18"/>
    <col min="2296" max="2296" width="8.7109375" style="18" customWidth="1"/>
    <col min="2297" max="2297" width="9.7109375" style="18" customWidth="1"/>
    <col min="2298" max="2298" width="14.42578125" style="18" customWidth="1"/>
    <col min="2299" max="2299" width="7.28515625" style="18" customWidth="1"/>
    <col min="2300" max="2300" width="5.5703125" style="18" customWidth="1"/>
    <col min="2301" max="2301" width="9" style="18" customWidth="1"/>
    <col min="2302" max="2303" width="9.7109375" style="18" customWidth="1"/>
    <col min="2304" max="2304" width="11.28515625" style="18" customWidth="1"/>
    <col min="2305" max="2305" width="2.7109375" style="18" customWidth="1"/>
    <col min="2306" max="2306" width="3.5703125" style="18" customWidth="1"/>
    <col min="2307" max="2551" width="9.28515625" style="18"/>
    <col min="2552" max="2552" width="8.7109375" style="18" customWidth="1"/>
    <col min="2553" max="2553" width="9.7109375" style="18" customWidth="1"/>
    <col min="2554" max="2554" width="14.42578125" style="18" customWidth="1"/>
    <col min="2555" max="2555" width="7.28515625" style="18" customWidth="1"/>
    <col min="2556" max="2556" width="5.5703125" style="18" customWidth="1"/>
    <col min="2557" max="2557" width="9" style="18" customWidth="1"/>
    <col min="2558" max="2559" width="9.7109375" style="18" customWidth="1"/>
    <col min="2560" max="2560" width="11.28515625" style="18" customWidth="1"/>
    <col min="2561" max="2561" width="2.7109375" style="18" customWidth="1"/>
    <col min="2562" max="2562" width="3.5703125" style="18" customWidth="1"/>
    <col min="2563" max="2807" width="9.28515625" style="18"/>
    <col min="2808" max="2808" width="8.7109375" style="18" customWidth="1"/>
    <col min="2809" max="2809" width="9.7109375" style="18" customWidth="1"/>
    <col min="2810" max="2810" width="14.42578125" style="18" customWidth="1"/>
    <col min="2811" max="2811" width="7.28515625" style="18" customWidth="1"/>
    <col min="2812" max="2812" width="5.5703125" style="18" customWidth="1"/>
    <col min="2813" max="2813" width="9" style="18" customWidth="1"/>
    <col min="2814" max="2815" width="9.7109375" style="18" customWidth="1"/>
    <col min="2816" max="2816" width="11.28515625" style="18" customWidth="1"/>
    <col min="2817" max="2817" width="2.7109375" style="18" customWidth="1"/>
    <col min="2818" max="2818" width="3.5703125" style="18" customWidth="1"/>
    <col min="2819" max="3063" width="9.28515625" style="18"/>
    <col min="3064" max="3064" width="8.7109375" style="18" customWidth="1"/>
    <col min="3065" max="3065" width="9.7109375" style="18" customWidth="1"/>
    <col min="3066" max="3066" width="14.42578125" style="18" customWidth="1"/>
    <col min="3067" max="3067" width="7.28515625" style="18" customWidth="1"/>
    <col min="3068" max="3068" width="5.5703125" style="18" customWidth="1"/>
    <col min="3069" max="3069" width="9" style="18" customWidth="1"/>
    <col min="3070" max="3071" width="9.7109375" style="18" customWidth="1"/>
    <col min="3072" max="3072" width="11.28515625" style="18" customWidth="1"/>
    <col min="3073" max="3073" width="2.7109375" style="18" customWidth="1"/>
    <col min="3074" max="3074" width="3.5703125" style="18" customWidth="1"/>
    <col min="3075" max="3319" width="9.28515625" style="18"/>
    <col min="3320" max="3320" width="8.7109375" style="18" customWidth="1"/>
    <col min="3321" max="3321" width="9.7109375" style="18" customWidth="1"/>
    <col min="3322" max="3322" width="14.42578125" style="18" customWidth="1"/>
    <col min="3323" max="3323" width="7.28515625" style="18" customWidth="1"/>
    <col min="3324" max="3324" width="5.5703125" style="18" customWidth="1"/>
    <col min="3325" max="3325" width="9" style="18" customWidth="1"/>
    <col min="3326" max="3327" width="9.7109375" style="18" customWidth="1"/>
    <col min="3328" max="3328" width="11.28515625" style="18" customWidth="1"/>
    <col min="3329" max="3329" width="2.7109375" style="18" customWidth="1"/>
    <col min="3330" max="3330" width="3.5703125" style="18" customWidth="1"/>
    <col min="3331" max="3575" width="9.28515625" style="18"/>
    <col min="3576" max="3576" width="8.7109375" style="18" customWidth="1"/>
    <col min="3577" max="3577" width="9.7109375" style="18" customWidth="1"/>
    <col min="3578" max="3578" width="14.42578125" style="18" customWidth="1"/>
    <col min="3579" max="3579" width="7.28515625" style="18" customWidth="1"/>
    <col min="3580" max="3580" width="5.5703125" style="18" customWidth="1"/>
    <col min="3581" max="3581" width="9" style="18" customWidth="1"/>
    <col min="3582" max="3583" width="9.7109375" style="18" customWidth="1"/>
    <col min="3584" max="3584" width="11.28515625" style="18" customWidth="1"/>
    <col min="3585" max="3585" width="2.7109375" style="18" customWidth="1"/>
    <col min="3586" max="3586" width="3.5703125" style="18" customWidth="1"/>
    <col min="3587" max="3831" width="9.28515625" style="18"/>
    <col min="3832" max="3832" width="8.7109375" style="18" customWidth="1"/>
    <col min="3833" max="3833" width="9.7109375" style="18" customWidth="1"/>
    <col min="3834" max="3834" width="14.42578125" style="18" customWidth="1"/>
    <col min="3835" max="3835" width="7.28515625" style="18" customWidth="1"/>
    <col min="3836" max="3836" width="5.5703125" style="18" customWidth="1"/>
    <col min="3837" max="3837" width="9" style="18" customWidth="1"/>
    <col min="3838" max="3839" width="9.7109375" style="18" customWidth="1"/>
    <col min="3840" max="3840" width="11.28515625" style="18" customWidth="1"/>
    <col min="3841" max="3841" width="2.7109375" style="18" customWidth="1"/>
    <col min="3842" max="3842" width="3.5703125" style="18" customWidth="1"/>
    <col min="3843" max="4087" width="9.28515625" style="18"/>
    <col min="4088" max="4088" width="8.7109375" style="18" customWidth="1"/>
    <col min="4089" max="4089" width="9.7109375" style="18" customWidth="1"/>
    <col min="4090" max="4090" width="14.42578125" style="18" customWidth="1"/>
    <col min="4091" max="4091" width="7.28515625" style="18" customWidth="1"/>
    <col min="4092" max="4092" width="5.5703125" style="18" customWidth="1"/>
    <col min="4093" max="4093" width="9" style="18" customWidth="1"/>
    <col min="4094" max="4095" width="9.7109375" style="18" customWidth="1"/>
    <col min="4096" max="4096" width="11.28515625" style="18" customWidth="1"/>
    <col min="4097" max="4097" width="2.7109375" style="18" customWidth="1"/>
    <col min="4098" max="4098" width="3.5703125" style="18" customWidth="1"/>
    <col min="4099" max="4343" width="9.28515625" style="18"/>
    <col min="4344" max="4344" width="8.7109375" style="18" customWidth="1"/>
    <col min="4345" max="4345" width="9.7109375" style="18" customWidth="1"/>
    <col min="4346" max="4346" width="14.42578125" style="18" customWidth="1"/>
    <col min="4347" max="4347" width="7.28515625" style="18" customWidth="1"/>
    <col min="4348" max="4348" width="5.5703125" style="18" customWidth="1"/>
    <col min="4349" max="4349" width="9" style="18" customWidth="1"/>
    <col min="4350" max="4351" width="9.7109375" style="18" customWidth="1"/>
    <col min="4352" max="4352" width="11.28515625" style="18" customWidth="1"/>
    <col min="4353" max="4353" width="2.7109375" style="18" customWidth="1"/>
    <col min="4354" max="4354" width="3.5703125" style="18" customWidth="1"/>
    <col min="4355" max="4599" width="9.28515625" style="18"/>
    <col min="4600" max="4600" width="8.7109375" style="18" customWidth="1"/>
    <col min="4601" max="4601" width="9.7109375" style="18" customWidth="1"/>
    <col min="4602" max="4602" width="14.42578125" style="18" customWidth="1"/>
    <col min="4603" max="4603" width="7.28515625" style="18" customWidth="1"/>
    <col min="4604" max="4604" width="5.5703125" style="18" customWidth="1"/>
    <col min="4605" max="4605" width="9" style="18" customWidth="1"/>
    <col min="4606" max="4607" width="9.7109375" style="18" customWidth="1"/>
    <col min="4608" max="4608" width="11.28515625" style="18" customWidth="1"/>
    <col min="4609" max="4609" width="2.7109375" style="18" customWidth="1"/>
    <col min="4610" max="4610" width="3.5703125" style="18" customWidth="1"/>
    <col min="4611" max="4855" width="9.28515625" style="18"/>
    <col min="4856" max="4856" width="8.7109375" style="18" customWidth="1"/>
    <col min="4857" max="4857" width="9.7109375" style="18" customWidth="1"/>
    <col min="4858" max="4858" width="14.42578125" style="18" customWidth="1"/>
    <col min="4859" max="4859" width="7.28515625" style="18" customWidth="1"/>
    <col min="4860" max="4860" width="5.5703125" style="18" customWidth="1"/>
    <col min="4861" max="4861" width="9" style="18" customWidth="1"/>
    <col min="4862" max="4863" width="9.7109375" style="18" customWidth="1"/>
    <col min="4864" max="4864" width="11.28515625" style="18" customWidth="1"/>
    <col min="4865" max="4865" width="2.7109375" style="18" customWidth="1"/>
    <col min="4866" max="4866" width="3.5703125" style="18" customWidth="1"/>
    <col min="4867" max="5111" width="9.28515625" style="18"/>
    <col min="5112" max="5112" width="8.7109375" style="18" customWidth="1"/>
    <col min="5113" max="5113" width="9.7109375" style="18" customWidth="1"/>
    <col min="5114" max="5114" width="14.42578125" style="18" customWidth="1"/>
    <col min="5115" max="5115" width="7.28515625" style="18" customWidth="1"/>
    <col min="5116" max="5116" width="5.5703125" style="18" customWidth="1"/>
    <col min="5117" max="5117" width="9" style="18" customWidth="1"/>
    <col min="5118" max="5119" width="9.7109375" style="18" customWidth="1"/>
    <col min="5120" max="5120" width="11.28515625" style="18" customWidth="1"/>
    <col min="5121" max="5121" width="2.7109375" style="18" customWidth="1"/>
    <col min="5122" max="5122" width="3.5703125" style="18" customWidth="1"/>
    <col min="5123" max="5367" width="9.28515625" style="18"/>
    <col min="5368" max="5368" width="8.7109375" style="18" customWidth="1"/>
    <col min="5369" max="5369" width="9.7109375" style="18" customWidth="1"/>
    <col min="5370" max="5370" width="14.42578125" style="18" customWidth="1"/>
    <col min="5371" max="5371" width="7.28515625" style="18" customWidth="1"/>
    <col min="5372" max="5372" width="5.5703125" style="18" customWidth="1"/>
    <col min="5373" max="5373" width="9" style="18" customWidth="1"/>
    <col min="5374" max="5375" width="9.7109375" style="18" customWidth="1"/>
    <col min="5376" max="5376" width="11.28515625" style="18" customWidth="1"/>
    <col min="5377" max="5377" width="2.7109375" style="18" customWidth="1"/>
    <col min="5378" max="5378" width="3.5703125" style="18" customWidth="1"/>
    <col min="5379" max="5623" width="9.28515625" style="18"/>
    <col min="5624" max="5624" width="8.7109375" style="18" customWidth="1"/>
    <col min="5625" max="5625" width="9.7109375" style="18" customWidth="1"/>
    <col min="5626" max="5626" width="14.42578125" style="18" customWidth="1"/>
    <col min="5627" max="5627" width="7.28515625" style="18" customWidth="1"/>
    <col min="5628" max="5628" width="5.5703125" style="18" customWidth="1"/>
    <col min="5629" max="5629" width="9" style="18" customWidth="1"/>
    <col min="5630" max="5631" width="9.7109375" style="18" customWidth="1"/>
    <col min="5632" max="5632" width="11.28515625" style="18" customWidth="1"/>
    <col min="5633" max="5633" width="2.7109375" style="18" customWidth="1"/>
    <col min="5634" max="5634" width="3.5703125" style="18" customWidth="1"/>
    <col min="5635" max="5879" width="9.28515625" style="18"/>
    <col min="5880" max="5880" width="8.7109375" style="18" customWidth="1"/>
    <col min="5881" max="5881" width="9.7109375" style="18" customWidth="1"/>
    <col min="5882" max="5882" width="14.42578125" style="18" customWidth="1"/>
    <col min="5883" max="5883" width="7.28515625" style="18" customWidth="1"/>
    <col min="5884" max="5884" width="5.5703125" style="18" customWidth="1"/>
    <col min="5885" max="5885" width="9" style="18" customWidth="1"/>
    <col min="5886" max="5887" width="9.7109375" style="18" customWidth="1"/>
    <col min="5888" max="5888" width="11.28515625" style="18" customWidth="1"/>
    <col min="5889" max="5889" width="2.7109375" style="18" customWidth="1"/>
    <col min="5890" max="5890" width="3.5703125" style="18" customWidth="1"/>
    <col min="5891" max="6135" width="9.28515625" style="18"/>
    <col min="6136" max="6136" width="8.7109375" style="18" customWidth="1"/>
    <col min="6137" max="6137" width="9.7109375" style="18" customWidth="1"/>
    <col min="6138" max="6138" width="14.42578125" style="18" customWidth="1"/>
    <col min="6139" max="6139" width="7.28515625" style="18" customWidth="1"/>
    <col min="6140" max="6140" width="5.5703125" style="18" customWidth="1"/>
    <col min="6141" max="6141" width="9" style="18" customWidth="1"/>
    <col min="6142" max="6143" width="9.7109375" style="18" customWidth="1"/>
    <col min="6144" max="6144" width="11.28515625" style="18" customWidth="1"/>
    <col min="6145" max="6145" width="2.7109375" style="18" customWidth="1"/>
    <col min="6146" max="6146" width="3.5703125" style="18" customWidth="1"/>
    <col min="6147" max="6391" width="9.28515625" style="18"/>
    <col min="6392" max="6392" width="8.7109375" style="18" customWidth="1"/>
    <col min="6393" max="6393" width="9.7109375" style="18" customWidth="1"/>
    <col min="6394" max="6394" width="14.42578125" style="18" customWidth="1"/>
    <col min="6395" max="6395" width="7.28515625" style="18" customWidth="1"/>
    <col min="6396" max="6396" width="5.5703125" style="18" customWidth="1"/>
    <col min="6397" max="6397" width="9" style="18" customWidth="1"/>
    <col min="6398" max="6399" width="9.7109375" style="18" customWidth="1"/>
    <col min="6400" max="6400" width="11.28515625" style="18" customWidth="1"/>
    <col min="6401" max="6401" width="2.7109375" style="18" customWidth="1"/>
    <col min="6402" max="6402" width="3.5703125" style="18" customWidth="1"/>
    <col min="6403" max="6647" width="9.28515625" style="18"/>
    <col min="6648" max="6648" width="8.7109375" style="18" customWidth="1"/>
    <col min="6649" max="6649" width="9.7109375" style="18" customWidth="1"/>
    <col min="6650" max="6650" width="14.42578125" style="18" customWidth="1"/>
    <col min="6651" max="6651" width="7.28515625" style="18" customWidth="1"/>
    <col min="6652" max="6652" width="5.5703125" style="18" customWidth="1"/>
    <col min="6653" max="6653" width="9" style="18" customWidth="1"/>
    <col min="6654" max="6655" width="9.7109375" style="18" customWidth="1"/>
    <col min="6656" max="6656" width="11.28515625" style="18" customWidth="1"/>
    <col min="6657" max="6657" width="2.7109375" style="18" customWidth="1"/>
    <col min="6658" max="6658" width="3.5703125" style="18" customWidth="1"/>
    <col min="6659" max="6903" width="9.28515625" style="18"/>
    <col min="6904" max="6904" width="8.7109375" style="18" customWidth="1"/>
    <col min="6905" max="6905" width="9.7109375" style="18" customWidth="1"/>
    <col min="6906" max="6906" width="14.42578125" style="18" customWidth="1"/>
    <col min="6907" max="6907" width="7.28515625" style="18" customWidth="1"/>
    <col min="6908" max="6908" width="5.5703125" style="18" customWidth="1"/>
    <col min="6909" max="6909" width="9" style="18" customWidth="1"/>
    <col min="6910" max="6911" width="9.7109375" style="18" customWidth="1"/>
    <col min="6912" max="6912" width="11.28515625" style="18" customWidth="1"/>
    <col min="6913" max="6913" width="2.7109375" style="18" customWidth="1"/>
    <col min="6914" max="6914" width="3.5703125" style="18" customWidth="1"/>
    <col min="6915" max="7159" width="9.28515625" style="18"/>
    <col min="7160" max="7160" width="8.7109375" style="18" customWidth="1"/>
    <col min="7161" max="7161" width="9.7109375" style="18" customWidth="1"/>
    <col min="7162" max="7162" width="14.42578125" style="18" customWidth="1"/>
    <col min="7163" max="7163" width="7.28515625" style="18" customWidth="1"/>
    <col min="7164" max="7164" width="5.5703125" style="18" customWidth="1"/>
    <col min="7165" max="7165" width="9" style="18" customWidth="1"/>
    <col min="7166" max="7167" width="9.7109375" style="18" customWidth="1"/>
    <col min="7168" max="7168" width="11.28515625" style="18" customWidth="1"/>
    <col min="7169" max="7169" width="2.7109375" style="18" customWidth="1"/>
    <col min="7170" max="7170" width="3.5703125" style="18" customWidth="1"/>
    <col min="7171" max="7415" width="9.28515625" style="18"/>
    <col min="7416" max="7416" width="8.7109375" style="18" customWidth="1"/>
    <col min="7417" max="7417" width="9.7109375" style="18" customWidth="1"/>
    <col min="7418" max="7418" width="14.42578125" style="18" customWidth="1"/>
    <col min="7419" max="7419" width="7.28515625" style="18" customWidth="1"/>
    <col min="7420" max="7420" width="5.5703125" style="18" customWidth="1"/>
    <col min="7421" max="7421" width="9" style="18" customWidth="1"/>
    <col min="7422" max="7423" width="9.7109375" style="18" customWidth="1"/>
    <col min="7424" max="7424" width="11.28515625" style="18" customWidth="1"/>
    <col min="7425" max="7425" width="2.7109375" style="18" customWidth="1"/>
    <col min="7426" max="7426" width="3.5703125" style="18" customWidth="1"/>
    <col min="7427" max="7671" width="9.28515625" style="18"/>
    <col min="7672" max="7672" width="8.7109375" style="18" customWidth="1"/>
    <col min="7673" max="7673" width="9.7109375" style="18" customWidth="1"/>
    <col min="7674" max="7674" width="14.42578125" style="18" customWidth="1"/>
    <col min="7675" max="7675" width="7.28515625" style="18" customWidth="1"/>
    <col min="7676" max="7676" width="5.5703125" style="18" customWidth="1"/>
    <col min="7677" max="7677" width="9" style="18" customWidth="1"/>
    <col min="7678" max="7679" width="9.7109375" style="18" customWidth="1"/>
    <col min="7680" max="7680" width="11.28515625" style="18" customWidth="1"/>
    <col min="7681" max="7681" width="2.7109375" style="18" customWidth="1"/>
    <col min="7682" max="7682" width="3.5703125" style="18" customWidth="1"/>
    <col min="7683" max="7927" width="9.28515625" style="18"/>
    <col min="7928" max="7928" width="8.7109375" style="18" customWidth="1"/>
    <col min="7929" max="7929" width="9.7109375" style="18" customWidth="1"/>
    <col min="7930" max="7930" width="14.42578125" style="18" customWidth="1"/>
    <col min="7931" max="7931" width="7.28515625" style="18" customWidth="1"/>
    <col min="7932" max="7932" width="5.5703125" style="18" customWidth="1"/>
    <col min="7933" max="7933" width="9" style="18" customWidth="1"/>
    <col min="7934" max="7935" width="9.7109375" style="18" customWidth="1"/>
    <col min="7936" max="7936" width="11.28515625" style="18" customWidth="1"/>
    <col min="7937" max="7937" width="2.7109375" style="18" customWidth="1"/>
    <col min="7938" max="7938" width="3.5703125" style="18" customWidth="1"/>
    <col min="7939" max="8183" width="9.28515625" style="18"/>
    <col min="8184" max="8184" width="8.7109375" style="18" customWidth="1"/>
    <col min="8185" max="8185" width="9.7109375" style="18" customWidth="1"/>
    <col min="8186" max="8186" width="14.42578125" style="18" customWidth="1"/>
    <col min="8187" max="8187" width="7.28515625" style="18" customWidth="1"/>
    <col min="8188" max="8188" width="5.5703125" style="18" customWidth="1"/>
    <col min="8189" max="8189" width="9" style="18" customWidth="1"/>
    <col min="8190" max="8191" width="9.7109375" style="18" customWidth="1"/>
    <col min="8192" max="8192" width="11.28515625" style="18" customWidth="1"/>
    <col min="8193" max="8193" width="2.7109375" style="18" customWidth="1"/>
    <col min="8194" max="8194" width="3.5703125" style="18" customWidth="1"/>
    <col min="8195" max="8439" width="9.28515625" style="18"/>
    <col min="8440" max="8440" width="8.7109375" style="18" customWidth="1"/>
    <col min="8441" max="8441" width="9.7109375" style="18" customWidth="1"/>
    <col min="8442" max="8442" width="14.42578125" style="18" customWidth="1"/>
    <col min="8443" max="8443" width="7.28515625" style="18" customWidth="1"/>
    <col min="8444" max="8444" width="5.5703125" style="18" customWidth="1"/>
    <col min="8445" max="8445" width="9" style="18" customWidth="1"/>
    <col min="8446" max="8447" width="9.7109375" style="18" customWidth="1"/>
    <col min="8448" max="8448" width="11.28515625" style="18" customWidth="1"/>
    <col min="8449" max="8449" width="2.7109375" style="18" customWidth="1"/>
    <col min="8450" max="8450" width="3.5703125" style="18" customWidth="1"/>
    <col min="8451" max="8695" width="9.28515625" style="18"/>
    <col min="8696" max="8696" width="8.7109375" style="18" customWidth="1"/>
    <col min="8697" max="8697" width="9.7109375" style="18" customWidth="1"/>
    <col min="8698" max="8698" width="14.42578125" style="18" customWidth="1"/>
    <col min="8699" max="8699" width="7.28515625" style="18" customWidth="1"/>
    <col min="8700" max="8700" width="5.5703125" style="18" customWidth="1"/>
    <col min="8701" max="8701" width="9" style="18" customWidth="1"/>
    <col min="8702" max="8703" width="9.7109375" style="18" customWidth="1"/>
    <col min="8704" max="8704" width="11.28515625" style="18" customWidth="1"/>
    <col min="8705" max="8705" width="2.7109375" style="18" customWidth="1"/>
    <col min="8706" max="8706" width="3.5703125" style="18" customWidth="1"/>
    <col min="8707" max="8951" width="9.28515625" style="18"/>
    <col min="8952" max="8952" width="8.7109375" style="18" customWidth="1"/>
    <col min="8953" max="8953" width="9.7109375" style="18" customWidth="1"/>
    <col min="8954" max="8954" width="14.42578125" style="18" customWidth="1"/>
    <col min="8955" max="8955" width="7.28515625" style="18" customWidth="1"/>
    <col min="8956" max="8956" width="5.5703125" style="18" customWidth="1"/>
    <col min="8957" max="8957" width="9" style="18" customWidth="1"/>
    <col min="8958" max="8959" width="9.7109375" style="18" customWidth="1"/>
    <col min="8960" max="8960" width="11.28515625" style="18" customWidth="1"/>
    <col min="8961" max="8961" width="2.7109375" style="18" customWidth="1"/>
    <col min="8962" max="8962" width="3.5703125" style="18" customWidth="1"/>
    <col min="8963" max="9207" width="9.28515625" style="18"/>
    <col min="9208" max="9208" width="8.7109375" style="18" customWidth="1"/>
    <col min="9209" max="9209" width="9.7109375" style="18" customWidth="1"/>
    <col min="9210" max="9210" width="14.42578125" style="18" customWidth="1"/>
    <col min="9211" max="9211" width="7.28515625" style="18" customWidth="1"/>
    <col min="9212" max="9212" width="5.5703125" style="18" customWidth="1"/>
    <col min="9213" max="9213" width="9" style="18" customWidth="1"/>
    <col min="9214" max="9215" width="9.7109375" style="18" customWidth="1"/>
    <col min="9216" max="9216" width="11.28515625" style="18" customWidth="1"/>
    <col min="9217" max="9217" width="2.7109375" style="18" customWidth="1"/>
    <col min="9218" max="9218" width="3.5703125" style="18" customWidth="1"/>
    <col min="9219" max="9463" width="9.28515625" style="18"/>
    <col min="9464" max="9464" width="8.7109375" style="18" customWidth="1"/>
    <col min="9465" max="9465" width="9.7109375" style="18" customWidth="1"/>
    <col min="9466" max="9466" width="14.42578125" style="18" customWidth="1"/>
    <col min="9467" max="9467" width="7.28515625" style="18" customWidth="1"/>
    <col min="9468" max="9468" width="5.5703125" style="18" customWidth="1"/>
    <col min="9469" max="9469" width="9" style="18" customWidth="1"/>
    <col min="9470" max="9471" width="9.7109375" style="18" customWidth="1"/>
    <col min="9472" max="9472" width="11.28515625" style="18" customWidth="1"/>
    <col min="9473" max="9473" width="2.7109375" style="18" customWidth="1"/>
    <col min="9474" max="9474" width="3.5703125" style="18" customWidth="1"/>
    <col min="9475" max="9719" width="9.28515625" style="18"/>
    <col min="9720" max="9720" width="8.7109375" style="18" customWidth="1"/>
    <col min="9721" max="9721" width="9.7109375" style="18" customWidth="1"/>
    <col min="9722" max="9722" width="14.42578125" style="18" customWidth="1"/>
    <col min="9723" max="9723" width="7.28515625" style="18" customWidth="1"/>
    <col min="9724" max="9724" width="5.5703125" style="18" customWidth="1"/>
    <col min="9725" max="9725" width="9" style="18" customWidth="1"/>
    <col min="9726" max="9727" width="9.7109375" style="18" customWidth="1"/>
    <col min="9728" max="9728" width="11.28515625" style="18" customWidth="1"/>
    <col min="9729" max="9729" width="2.7109375" style="18" customWidth="1"/>
    <col min="9730" max="9730" width="3.5703125" style="18" customWidth="1"/>
    <col min="9731" max="9975" width="9.28515625" style="18"/>
    <col min="9976" max="9976" width="8.7109375" style="18" customWidth="1"/>
    <col min="9977" max="9977" width="9.7109375" style="18" customWidth="1"/>
    <col min="9978" max="9978" width="14.42578125" style="18" customWidth="1"/>
    <col min="9979" max="9979" width="7.28515625" style="18" customWidth="1"/>
    <col min="9980" max="9980" width="5.5703125" style="18" customWidth="1"/>
    <col min="9981" max="9981" width="9" style="18" customWidth="1"/>
    <col min="9982" max="9983" width="9.7109375" style="18" customWidth="1"/>
    <col min="9984" max="9984" width="11.28515625" style="18" customWidth="1"/>
    <col min="9985" max="9985" width="2.7109375" style="18" customWidth="1"/>
    <col min="9986" max="9986" width="3.5703125" style="18" customWidth="1"/>
    <col min="9987" max="10231" width="9.28515625" style="18"/>
    <col min="10232" max="10232" width="8.7109375" style="18" customWidth="1"/>
    <col min="10233" max="10233" width="9.7109375" style="18" customWidth="1"/>
    <col min="10234" max="10234" width="14.42578125" style="18" customWidth="1"/>
    <col min="10235" max="10235" width="7.28515625" style="18" customWidth="1"/>
    <col min="10236" max="10236" width="5.5703125" style="18" customWidth="1"/>
    <col min="10237" max="10237" width="9" style="18" customWidth="1"/>
    <col min="10238" max="10239" width="9.7109375" style="18" customWidth="1"/>
    <col min="10240" max="10240" width="11.28515625" style="18" customWidth="1"/>
    <col min="10241" max="10241" width="2.7109375" style="18" customWidth="1"/>
    <col min="10242" max="10242" width="3.5703125" style="18" customWidth="1"/>
    <col min="10243" max="10487" width="9.28515625" style="18"/>
    <col min="10488" max="10488" width="8.7109375" style="18" customWidth="1"/>
    <col min="10489" max="10489" width="9.7109375" style="18" customWidth="1"/>
    <col min="10490" max="10490" width="14.42578125" style="18" customWidth="1"/>
    <col min="10491" max="10491" width="7.28515625" style="18" customWidth="1"/>
    <col min="10492" max="10492" width="5.5703125" style="18" customWidth="1"/>
    <col min="10493" max="10493" width="9" style="18" customWidth="1"/>
    <col min="10494" max="10495" width="9.7109375" style="18" customWidth="1"/>
    <col min="10496" max="10496" width="11.28515625" style="18" customWidth="1"/>
    <col min="10497" max="10497" width="2.7109375" style="18" customWidth="1"/>
    <col min="10498" max="10498" width="3.5703125" style="18" customWidth="1"/>
    <col min="10499" max="10743" width="9.28515625" style="18"/>
    <col min="10744" max="10744" width="8.7109375" style="18" customWidth="1"/>
    <col min="10745" max="10745" width="9.7109375" style="18" customWidth="1"/>
    <col min="10746" max="10746" width="14.42578125" style="18" customWidth="1"/>
    <col min="10747" max="10747" width="7.28515625" style="18" customWidth="1"/>
    <col min="10748" max="10748" width="5.5703125" style="18" customWidth="1"/>
    <col min="10749" max="10749" width="9" style="18" customWidth="1"/>
    <col min="10750" max="10751" width="9.7109375" style="18" customWidth="1"/>
    <col min="10752" max="10752" width="11.28515625" style="18" customWidth="1"/>
    <col min="10753" max="10753" width="2.7109375" style="18" customWidth="1"/>
    <col min="10754" max="10754" width="3.5703125" style="18" customWidth="1"/>
    <col min="10755" max="10999" width="9.28515625" style="18"/>
    <col min="11000" max="11000" width="8.7109375" style="18" customWidth="1"/>
    <col min="11001" max="11001" width="9.7109375" style="18" customWidth="1"/>
    <col min="11002" max="11002" width="14.42578125" style="18" customWidth="1"/>
    <col min="11003" max="11003" width="7.28515625" style="18" customWidth="1"/>
    <col min="11004" max="11004" width="5.5703125" style="18" customWidth="1"/>
    <col min="11005" max="11005" width="9" style="18" customWidth="1"/>
    <col min="11006" max="11007" width="9.7109375" style="18" customWidth="1"/>
    <col min="11008" max="11008" width="11.28515625" style="18" customWidth="1"/>
    <col min="11009" max="11009" width="2.7109375" style="18" customWidth="1"/>
    <col min="11010" max="11010" width="3.5703125" style="18" customWidth="1"/>
    <col min="11011" max="11255" width="9.28515625" style="18"/>
    <col min="11256" max="11256" width="8.7109375" style="18" customWidth="1"/>
    <col min="11257" max="11257" width="9.7109375" style="18" customWidth="1"/>
    <col min="11258" max="11258" width="14.42578125" style="18" customWidth="1"/>
    <col min="11259" max="11259" width="7.28515625" style="18" customWidth="1"/>
    <col min="11260" max="11260" width="5.5703125" style="18" customWidth="1"/>
    <col min="11261" max="11261" width="9" style="18" customWidth="1"/>
    <col min="11262" max="11263" width="9.7109375" style="18" customWidth="1"/>
    <col min="11264" max="11264" width="11.28515625" style="18" customWidth="1"/>
    <col min="11265" max="11265" width="2.7109375" style="18" customWidth="1"/>
    <col min="11266" max="11266" width="3.5703125" style="18" customWidth="1"/>
    <col min="11267" max="11511" width="9.28515625" style="18"/>
    <col min="11512" max="11512" width="8.7109375" style="18" customWidth="1"/>
    <col min="11513" max="11513" width="9.7109375" style="18" customWidth="1"/>
    <col min="11514" max="11514" width="14.42578125" style="18" customWidth="1"/>
    <col min="11515" max="11515" width="7.28515625" style="18" customWidth="1"/>
    <col min="11516" max="11516" width="5.5703125" style="18" customWidth="1"/>
    <col min="11517" max="11517" width="9" style="18" customWidth="1"/>
    <col min="11518" max="11519" width="9.7109375" style="18" customWidth="1"/>
    <col min="11520" max="11520" width="11.28515625" style="18" customWidth="1"/>
    <col min="11521" max="11521" width="2.7109375" style="18" customWidth="1"/>
    <col min="11522" max="11522" width="3.5703125" style="18" customWidth="1"/>
    <col min="11523" max="11767" width="9.28515625" style="18"/>
    <col min="11768" max="11768" width="8.7109375" style="18" customWidth="1"/>
    <col min="11769" max="11769" width="9.7109375" style="18" customWidth="1"/>
    <col min="11770" max="11770" width="14.42578125" style="18" customWidth="1"/>
    <col min="11771" max="11771" width="7.28515625" style="18" customWidth="1"/>
    <col min="11772" max="11772" width="5.5703125" style="18" customWidth="1"/>
    <col min="11773" max="11773" width="9" style="18" customWidth="1"/>
    <col min="11774" max="11775" width="9.7109375" style="18" customWidth="1"/>
    <col min="11776" max="11776" width="11.28515625" style="18" customWidth="1"/>
    <col min="11777" max="11777" width="2.7109375" style="18" customWidth="1"/>
    <col min="11778" max="11778" width="3.5703125" style="18" customWidth="1"/>
    <col min="11779" max="12023" width="9.28515625" style="18"/>
    <col min="12024" max="12024" width="8.7109375" style="18" customWidth="1"/>
    <col min="12025" max="12025" width="9.7109375" style="18" customWidth="1"/>
    <col min="12026" max="12026" width="14.42578125" style="18" customWidth="1"/>
    <col min="12027" max="12027" width="7.28515625" style="18" customWidth="1"/>
    <col min="12028" max="12028" width="5.5703125" style="18" customWidth="1"/>
    <col min="12029" max="12029" width="9" style="18" customWidth="1"/>
    <col min="12030" max="12031" width="9.7109375" style="18" customWidth="1"/>
    <col min="12032" max="12032" width="11.28515625" style="18" customWidth="1"/>
    <col min="12033" max="12033" width="2.7109375" style="18" customWidth="1"/>
    <col min="12034" max="12034" width="3.5703125" style="18" customWidth="1"/>
    <col min="12035" max="12279" width="9.28515625" style="18"/>
    <col min="12280" max="12280" width="8.7109375" style="18" customWidth="1"/>
    <col min="12281" max="12281" width="9.7109375" style="18" customWidth="1"/>
    <col min="12282" max="12282" width="14.42578125" style="18" customWidth="1"/>
    <col min="12283" max="12283" width="7.28515625" style="18" customWidth="1"/>
    <col min="12284" max="12284" width="5.5703125" style="18" customWidth="1"/>
    <col min="12285" max="12285" width="9" style="18" customWidth="1"/>
    <col min="12286" max="12287" width="9.7109375" style="18" customWidth="1"/>
    <col min="12288" max="12288" width="11.28515625" style="18" customWidth="1"/>
    <col min="12289" max="12289" width="2.7109375" style="18" customWidth="1"/>
    <col min="12290" max="12290" width="3.5703125" style="18" customWidth="1"/>
    <col min="12291" max="12535" width="9.28515625" style="18"/>
    <col min="12536" max="12536" width="8.7109375" style="18" customWidth="1"/>
    <col min="12537" max="12537" width="9.7109375" style="18" customWidth="1"/>
    <col min="12538" max="12538" width="14.42578125" style="18" customWidth="1"/>
    <col min="12539" max="12539" width="7.28515625" style="18" customWidth="1"/>
    <col min="12540" max="12540" width="5.5703125" style="18" customWidth="1"/>
    <col min="12541" max="12541" width="9" style="18" customWidth="1"/>
    <col min="12542" max="12543" width="9.7109375" style="18" customWidth="1"/>
    <col min="12544" max="12544" width="11.28515625" style="18" customWidth="1"/>
    <col min="12545" max="12545" width="2.7109375" style="18" customWidth="1"/>
    <col min="12546" max="12546" width="3.5703125" style="18" customWidth="1"/>
    <col min="12547" max="12791" width="9.28515625" style="18"/>
    <col min="12792" max="12792" width="8.7109375" style="18" customWidth="1"/>
    <col min="12793" max="12793" width="9.7109375" style="18" customWidth="1"/>
    <col min="12794" max="12794" width="14.42578125" style="18" customWidth="1"/>
    <col min="12795" max="12795" width="7.28515625" style="18" customWidth="1"/>
    <col min="12796" max="12796" width="5.5703125" style="18" customWidth="1"/>
    <col min="12797" max="12797" width="9" style="18" customWidth="1"/>
    <col min="12798" max="12799" width="9.7109375" style="18" customWidth="1"/>
    <col min="12800" max="12800" width="11.28515625" style="18" customWidth="1"/>
    <col min="12801" max="12801" width="2.7109375" style="18" customWidth="1"/>
    <col min="12802" max="12802" width="3.5703125" style="18" customWidth="1"/>
    <col min="12803" max="13047" width="9.28515625" style="18"/>
    <col min="13048" max="13048" width="8.7109375" style="18" customWidth="1"/>
    <col min="13049" max="13049" width="9.7109375" style="18" customWidth="1"/>
    <col min="13050" max="13050" width="14.42578125" style="18" customWidth="1"/>
    <col min="13051" max="13051" width="7.28515625" style="18" customWidth="1"/>
    <col min="13052" max="13052" width="5.5703125" style="18" customWidth="1"/>
    <col min="13053" max="13053" width="9" style="18" customWidth="1"/>
    <col min="13054" max="13055" width="9.7109375" style="18" customWidth="1"/>
    <col min="13056" max="13056" width="11.28515625" style="18" customWidth="1"/>
    <col min="13057" max="13057" width="2.7109375" style="18" customWidth="1"/>
    <col min="13058" max="13058" width="3.5703125" style="18" customWidth="1"/>
    <col min="13059" max="13303" width="9.28515625" style="18"/>
    <col min="13304" max="13304" width="8.7109375" style="18" customWidth="1"/>
    <col min="13305" max="13305" width="9.7109375" style="18" customWidth="1"/>
    <col min="13306" max="13306" width="14.42578125" style="18" customWidth="1"/>
    <col min="13307" max="13307" width="7.28515625" style="18" customWidth="1"/>
    <col min="13308" max="13308" width="5.5703125" style="18" customWidth="1"/>
    <col min="13309" max="13309" width="9" style="18" customWidth="1"/>
    <col min="13310" max="13311" width="9.7109375" style="18" customWidth="1"/>
    <col min="13312" max="13312" width="11.28515625" style="18" customWidth="1"/>
    <col min="13313" max="13313" width="2.7109375" style="18" customWidth="1"/>
    <col min="13314" max="13314" width="3.5703125" style="18" customWidth="1"/>
    <col min="13315" max="13559" width="9.28515625" style="18"/>
    <col min="13560" max="13560" width="8.7109375" style="18" customWidth="1"/>
    <col min="13561" max="13561" width="9.7109375" style="18" customWidth="1"/>
    <col min="13562" max="13562" width="14.42578125" style="18" customWidth="1"/>
    <col min="13563" max="13563" width="7.28515625" style="18" customWidth="1"/>
    <col min="13564" max="13564" width="5.5703125" style="18" customWidth="1"/>
    <col min="13565" max="13565" width="9" style="18" customWidth="1"/>
    <col min="13566" max="13567" width="9.7109375" style="18" customWidth="1"/>
    <col min="13568" max="13568" width="11.28515625" style="18" customWidth="1"/>
    <col min="13569" max="13569" width="2.7109375" style="18" customWidth="1"/>
    <col min="13570" max="13570" width="3.5703125" style="18" customWidth="1"/>
    <col min="13571" max="13815" width="9.28515625" style="18"/>
    <col min="13816" max="13816" width="8.7109375" style="18" customWidth="1"/>
    <col min="13817" max="13817" width="9.7109375" style="18" customWidth="1"/>
    <col min="13818" max="13818" width="14.42578125" style="18" customWidth="1"/>
    <col min="13819" max="13819" width="7.28515625" style="18" customWidth="1"/>
    <col min="13820" max="13820" width="5.5703125" style="18" customWidth="1"/>
    <col min="13821" max="13821" width="9" style="18" customWidth="1"/>
    <col min="13822" max="13823" width="9.7109375" style="18" customWidth="1"/>
    <col min="13824" max="13824" width="11.28515625" style="18" customWidth="1"/>
    <col min="13825" max="13825" width="2.7109375" style="18" customWidth="1"/>
    <col min="13826" max="13826" width="3.5703125" style="18" customWidth="1"/>
    <col min="13827" max="14071" width="9.28515625" style="18"/>
    <col min="14072" max="14072" width="8.7109375" style="18" customWidth="1"/>
    <col min="14073" max="14073" width="9.7109375" style="18" customWidth="1"/>
    <col min="14074" max="14074" width="14.42578125" style="18" customWidth="1"/>
    <col min="14075" max="14075" width="7.28515625" style="18" customWidth="1"/>
    <col min="14076" max="14076" width="5.5703125" style="18" customWidth="1"/>
    <col min="14077" max="14077" width="9" style="18" customWidth="1"/>
    <col min="14078" max="14079" width="9.7109375" style="18" customWidth="1"/>
    <col min="14080" max="14080" width="11.28515625" style="18" customWidth="1"/>
    <col min="14081" max="14081" width="2.7109375" style="18" customWidth="1"/>
    <col min="14082" max="14082" width="3.5703125" style="18" customWidth="1"/>
    <col min="14083" max="14327" width="9.28515625" style="18"/>
    <col min="14328" max="14328" width="8.7109375" style="18" customWidth="1"/>
    <col min="14329" max="14329" width="9.7109375" style="18" customWidth="1"/>
    <col min="14330" max="14330" width="14.42578125" style="18" customWidth="1"/>
    <col min="14331" max="14331" width="7.28515625" style="18" customWidth="1"/>
    <col min="14332" max="14332" width="5.5703125" style="18" customWidth="1"/>
    <col min="14333" max="14333" width="9" style="18" customWidth="1"/>
    <col min="14334" max="14335" width="9.7109375" style="18" customWidth="1"/>
    <col min="14336" max="14336" width="11.28515625" style="18" customWidth="1"/>
    <col min="14337" max="14337" width="2.7109375" style="18" customWidth="1"/>
    <col min="14338" max="14338" width="3.5703125" style="18" customWidth="1"/>
    <col min="14339" max="14583" width="9.28515625" style="18"/>
    <col min="14584" max="14584" width="8.7109375" style="18" customWidth="1"/>
    <col min="14585" max="14585" width="9.7109375" style="18" customWidth="1"/>
    <col min="14586" max="14586" width="14.42578125" style="18" customWidth="1"/>
    <col min="14587" max="14587" width="7.28515625" style="18" customWidth="1"/>
    <col min="14588" max="14588" width="5.5703125" style="18" customWidth="1"/>
    <col min="14589" max="14589" width="9" style="18" customWidth="1"/>
    <col min="14590" max="14591" width="9.7109375" style="18" customWidth="1"/>
    <col min="14592" max="14592" width="11.28515625" style="18" customWidth="1"/>
    <col min="14593" max="14593" width="2.7109375" style="18" customWidth="1"/>
    <col min="14594" max="14594" width="3.5703125" style="18" customWidth="1"/>
    <col min="14595" max="14839" width="9.28515625" style="18"/>
    <col min="14840" max="14840" width="8.7109375" style="18" customWidth="1"/>
    <col min="14841" max="14841" width="9.7109375" style="18" customWidth="1"/>
    <col min="14842" max="14842" width="14.42578125" style="18" customWidth="1"/>
    <col min="14843" max="14843" width="7.28515625" style="18" customWidth="1"/>
    <col min="14844" max="14844" width="5.5703125" style="18" customWidth="1"/>
    <col min="14845" max="14845" width="9" style="18" customWidth="1"/>
    <col min="14846" max="14847" width="9.7109375" style="18" customWidth="1"/>
    <col min="14848" max="14848" width="11.28515625" style="18" customWidth="1"/>
    <col min="14849" max="14849" width="2.7109375" style="18" customWidth="1"/>
    <col min="14850" max="14850" width="3.5703125" style="18" customWidth="1"/>
    <col min="14851" max="15095" width="9.28515625" style="18"/>
    <col min="15096" max="15096" width="8.7109375" style="18" customWidth="1"/>
    <col min="15097" max="15097" width="9.7109375" style="18" customWidth="1"/>
    <col min="15098" max="15098" width="14.42578125" style="18" customWidth="1"/>
    <col min="15099" max="15099" width="7.28515625" style="18" customWidth="1"/>
    <col min="15100" max="15100" width="5.5703125" style="18" customWidth="1"/>
    <col min="15101" max="15101" width="9" style="18" customWidth="1"/>
    <col min="15102" max="15103" width="9.7109375" style="18" customWidth="1"/>
    <col min="15104" max="15104" width="11.28515625" style="18" customWidth="1"/>
    <col min="15105" max="15105" width="2.7109375" style="18" customWidth="1"/>
    <col min="15106" max="15106" width="3.5703125" style="18" customWidth="1"/>
    <col min="15107" max="15351" width="9.28515625" style="18"/>
    <col min="15352" max="15352" width="8.7109375" style="18" customWidth="1"/>
    <col min="15353" max="15353" width="9.7109375" style="18" customWidth="1"/>
    <col min="15354" max="15354" width="14.42578125" style="18" customWidth="1"/>
    <col min="15355" max="15355" width="7.28515625" style="18" customWidth="1"/>
    <col min="15356" max="15356" width="5.5703125" style="18" customWidth="1"/>
    <col min="15357" max="15357" width="9" style="18" customWidth="1"/>
    <col min="15358" max="15359" width="9.7109375" style="18" customWidth="1"/>
    <col min="15360" max="15360" width="11.28515625" style="18" customWidth="1"/>
    <col min="15361" max="15361" width="2.7109375" style="18" customWidth="1"/>
    <col min="15362" max="15362" width="3.5703125" style="18" customWidth="1"/>
    <col min="15363" max="15607" width="9.28515625" style="18"/>
    <col min="15608" max="15608" width="8.7109375" style="18" customWidth="1"/>
    <col min="15609" max="15609" width="9.7109375" style="18" customWidth="1"/>
    <col min="15610" max="15610" width="14.42578125" style="18" customWidth="1"/>
    <col min="15611" max="15611" width="7.28515625" style="18" customWidth="1"/>
    <col min="15612" max="15612" width="5.5703125" style="18" customWidth="1"/>
    <col min="15613" max="15613" width="9" style="18" customWidth="1"/>
    <col min="15614" max="15615" width="9.7109375" style="18" customWidth="1"/>
    <col min="15616" max="15616" width="11.28515625" style="18" customWidth="1"/>
    <col min="15617" max="15617" width="2.7109375" style="18" customWidth="1"/>
    <col min="15618" max="15618" width="3.5703125" style="18" customWidth="1"/>
    <col min="15619" max="15863" width="9.28515625" style="18"/>
    <col min="15864" max="15864" width="8.7109375" style="18" customWidth="1"/>
    <col min="15865" max="15865" width="9.7109375" style="18" customWidth="1"/>
    <col min="15866" max="15866" width="14.42578125" style="18" customWidth="1"/>
    <col min="15867" max="15867" width="7.28515625" style="18" customWidth="1"/>
    <col min="15868" max="15868" width="5.5703125" style="18" customWidth="1"/>
    <col min="15869" max="15869" width="9" style="18" customWidth="1"/>
    <col min="15870" max="15871" width="9.7109375" style="18" customWidth="1"/>
    <col min="15872" max="15872" width="11.28515625" style="18" customWidth="1"/>
    <col min="15873" max="15873" width="2.7109375" style="18" customWidth="1"/>
    <col min="15874" max="15874" width="3.5703125" style="18" customWidth="1"/>
    <col min="15875" max="16119" width="9.28515625" style="18"/>
    <col min="16120" max="16120" width="8.7109375" style="18" customWidth="1"/>
    <col min="16121" max="16121" width="9.7109375" style="18" customWidth="1"/>
    <col min="16122" max="16122" width="14.42578125" style="18" customWidth="1"/>
    <col min="16123" max="16123" width="7.28515625" style="18" customWidth="1"/>
    <col min="16124" max="16124" width="5.5703125" style="18" customWidth="1"/>
    <col min="16125" max="16125" width="9" style="18" customWidth="1"/>
    <col min="16126" max="16127" width="9.7109375" style="18" customWidth="1"/>
    <col min="16128" max="16128" width="11.28515625" style="18" customWidth="1"/>
    <col min="16129" max="16129" width="2.7109375" style="18" customWidth="1"/>
    <col min="16130" max="16130" width="3.5703125" style="18" customWidth="1"/>
    <col min="16131" max="16384" width="9.28515625" style="18"/>
  </cols>
  <sheetData>
    <row r="1" spans="1:11" ht="46.5" customHeight="1" x14ac:dyDescent="0.25">
      <c r="A1" s="188" t="s">
        <v>245</v>
      </c>
      <c r="B1" s="188"/>
      <c r="C1" s="188"/>
      <c r="D1" s="188"/>
      <c r="E1" s="188"/>
      <c r="F1" s="188"/>
      <c r="G1" s="188"/>
      <c r="H1" s="188"/>
    </row>
    <row r="2" spans="1:11" ht="16.5" customHeight="1" x14ac:dyDescent="0.25">
      <c r="A2" s="189" t="s">
        <v>0</v>
      </c>
      <c r="B2" s="189"/>
      <c r="C2" s="189"/>
      <c r="D2" s="189"/>
      <c r="E2" s="189"/>
      <c r="F2" s="189"/>
      <c r="G2" s="189"/>
      <c r="H2" s="189"/>
      <c r="J2" s="19" t="s">
        <v>231</v>
      </c>
      <c r="K2" s="19"/>
    </row>
    <row r="3" spans="1:11" x14ac:dyDescent="0.25">
      <c r="A3" s="147" t="s">
        <v>1</v>
      </c>
      <c r="B3" s="147"/>
      <c r="C3" s="147"/>
      <c r="D3" s="147"/>
      <c r="E3" s="190" t="str">
        <f ca="1">TEXT(TODAY(),"DD/MM/YYYY")</f>
        <v>13/08/2025</v>
      </c>
      <c r="F3" s="147"/>
      <c r="G3" s="147"/>
      <c r="H3" s="147"/>
    </row>
    <row r="4" spans="1:11" ht="15" customHeight="1" x14ac:dyDescent="0.25">
      <c r="A4" s="147" t="s">
        <v>2</v>
      </c>
      <c r="B4" s="147"/>
      <c r="C4" s="147"/>
      <c r="D4" s="147"/>
      <c r="E4" s="147" t="s">
        <v>174</v>
      </c>
      <c r="F4" s="147"/>
      <c r="G4" s="147"/>
      <c r="H4" s="147"/>
    </row>
    <row r="5" spans="1:11" x14ac:dyDescent="0.25">
      <c r="A5" s="147" t="s">
        <v>3</v>
      </c>
      <c r="B5" s="147"/>
      <c r="C5" s="147"/>
      <c r="D5" s="147"/>
      <c r="E5" s="190" t="s">
        <v>264</v>
      </c>
      <c r="F5" s="147"/>
      <c r="G5" s="147"/>
      <c r="H5" s="147"/>
    </row>
    <row r="6" spans="1:11" ht="16.5" customHeight="1" x14ac:dyDescent="0.25">
      <c r="A6" s="147" t="s">
        <v>4</v>
      </c>
      <c r="B6" s="147"/>
      <c r="C6" s="147"/>
      <c r="D6" s="147"/>
      <c r="E6" s="149" t="s">
        <v>235</v>
      </c>
      <c r="F6" s="147"/>
      <c r="G6" s="147"/>
      <c r="H6" s="147"/>
    </row>
    <row r="7" spans="1:11" ht="15" customHeight="1" x14ac:dyDescent="0.25">
      <c r="A7" s="147" t="s">
        <v>5</v>
      </c>
      <c r="B7" s="147"/>
      <c r="C7" s="147"/>
      <c r="D7" s="147"/>
      <c r="E7" s="147" t="str">
        <f>E6</f>
        <v>Upturn Properties LLP</v>
      </c>
      <c r="F7" s="147"/>
      <c r="G7" s="147"/>
      <c r="H7" s="147"/>
    </row>
    <row r="8" spans="1:11" x14ac:dyDescent="0.25">
      <c r="A8" s="147" t="s">
        <v>6</v>
      </c>
      <c r="B8" s="147"/>
      <c r="C8" s="147"/>
      <c r="D8" s="147"/>
      <c r="E8" s="144" t="s">
        <v>175</v>
      </c>
      <c r="F8" s="137"/>
      <c r="G8" s="137"/>
      <c r="H8" s="137"/>
    </row>
    <row r="9" spans="1:11" x14ac:dyDescent="0.25">
      <c r="A9" s="147" t="s">
        <v>171</v>
      </c>
      <c r="B9" s="147"/>
      <c r="C9" s="147"/>
      <c r="D9" s="147"/>
      <c r="E9" s="147" t="s">
        <v>176</v>
      </c>
      <c r="F9" s="147"/>
      <c r="G9" s="147"/>
      <c r="H9" s="147"/>
    </row>
    <row r="10" spans="1:11" x14ac:dyDescent="0.25">
      <c r="A10" s="147" t="s">
        <v>172</v>
      </c>
      <c r="B10" s="147"/>
      <c r="C10" s="147"/>
      <c r="D10" s="147"/>
      <c r="E10" s="147" t="s">
        <v>265</v>
      </c>
      <c r="F10" s="147"/>
      <c r="G10" s="147"/>
      <c r="H10" s="147"/>
    </row>
    <row r="11" spans="1:11" ht="15.75" customHeight="1" x14ac:dyDescent="0.25">
      <c r="A11" s="175" t="s">
        <v>240</v>
      </c>
      <c r="B11" s="176"/>
      <c r="C11" s="176"/>
      <c r="D11" s="177"/>
      <c r="E11" s="181" t="s">
        <v>241</v>
      </c>
      <c r="F11" s="182"/>
      <c r="G11" s="183" t="s">
        <v>242</v>
      </c>
      <c r="H11" s="184"/>
    </row>
    <row r="12" spans="1:11" ht="49.5" customHeight="1" x14ac:dyDescent="0.25">
      <c r="A12" s="178"/>
      <c r="B12" s="179"/>
      <c r="C12" s="179"/>
      <c r="D12" s="180"/>
      <c r="E12" s="185" t="s">
        <v>243</v>
      </c>
      <c r="F12" s="186"/>
      <c r="G12" s="185" t="s">
        <v>244</v>
      </c>
      <c r="H12" s="187"/>
    </row>
    <row r="13" spans="1:11" x14ac:dyDescent="0.25">
      <c r="A13" s="147" t="s">
        <v>196</v>
      </c>
      <c r="B13" s="147"/>
      <c r="C13" s="147"/>
      <c r="D13" s="147"/>
      <c r="E13" s="147" t="s">
        <v>222</v>
      </c>
      <c r="F13" s="147"/>
      <c r="G13" s="147"/>
      <c r="H13" s="147"/>
    </row>
    <row r="14" spans="1:11" x14ac:dyDescent="0.25">
      <c r="A14" s="86" t="s">
        <v>7</v>
      </c>
      <c r="B14" s="86"/>
      <c r="C14" s="86"/>
      <c r="D14" s="86"/>
      <c r="E14" s="149" t="s">
        <v>238</v>
      </c>
      <c r="F14" s="149"/>
      <c r="G14" s="149"/>
      <c r="H14" s="149"/>
    </row>
    <row r="15" spans="1:11" x14ac:dyDescent="0.25">
      <c r="A15" s="86" t="s">
        <v>8</v>
      </c>
      <c r="B15" s="86"/>
      <c r="C15" s="86"/>
      <c r="D15" s="86"/>
      <c r="E15" s="149" t="s">
        <v>177</v>
      </c>
      <c r="F15" s="147"/>
      <c r="G15" s="147"/>
      <c r="H15" s="147"/>
    </row>
    <row r="16" spans="1:11" ht="48.75" customHeight="1" x14ac:dyDescent="0.25">
      <c r="A16" s="149" t="s">
        <v>9</v>
      </c>
      <c r="B16" s="149"/>
      <c r="C16" s="149" t="str">
        <f>CONCATENATE((IF(OR(E8="",E8="NA"),"",E8)),", ",(IF(OR(A17="",A17="NA"),"",A17)),".",(IF(OR(C17="",C17="NA"),"",C17)),", near ",(IF(OR(C22="",C22="NA"),"",C22)),", ",(IF(OR(C19="",C19="NA"),"",C19)),", ",(IF(OR(C18="",C18="NA"),"",C18)),", ",(IF(OR(G19="",G19="NA"),"",G19)),", ",(IF(OR(C20="",C20="NA"),"",C20)),", ",(IF(OR(C21="",C21="NA"),"",C21)),", ",(IF(OR(G20="",G20="NA"),"",G20))," - ",(IF(OR(G21="",G21="NA"),"",G21)),".")</f>
        <v>Atmiya Centria, CTS No.154, 154A &amp; 154C, Redevlopement of "Chaitanya CHSL", near Jeevan Kranti, Jawaharlal Nagar Road, Chaitanya Nagar, Bandra I Mhada, Santacruz East, Andheri, Mumbai - 400055.</v>
      </c>
      <c r="D16" s="149"/>
      <c r="E16" s="149"/>
      <c r="F16" s="149"/>
      <c r="G16" s="149"/>
      <c r="H16" s="149"/>
    </row>
    <row r="17" spans="1:8" x14ac:dyDescent="0.25">
      <c r="A17" s="149" t="s">
        <v>178</v>
      </c>
      <c r="B17" s="149"/>
      <c r="C17" s="149" t="s">
        <v>221</v>
      </c>
      <c r="D17" s="149"/>
      <c r="E17" s="149"/>
      <c r="F17" s="149"/>
      <c r="G17" s="149"/>
      <c r="H17" s="149"/>
    </row>
    <row r="18" spans="1:8" ht="15.75" customHeight="1" x14ac:dyDescent="0.25">
      <c r="A18" s="149" t="s">
        <v>170</v>
      </c>
      <c r="B18" s="149"/>
      <c r="C18" s="149" t="s">
        <v>182</v>
      </c>
      <c r="D18" s="149"/>
      <c r="E18" s="149"/>
      <c r="F18" s="149"/>
      <c r="G18" s="149"/>
      <c r="H18" s="149"/>
    </row>
    <row r="19" spans="1:8" ht="15.75" customHeight="1" x14ac:dyDescent="0.25">
      <c r="A19" s="149" t="s">
        <v>10</v>
      </c>
      <c r="B19" s="149"/>
      <c r="C19" s="147" t="s">
        <v>179</v>
      </c>
      <c r="D19" s="147"/>
      <c r="E19" s="149" t="s">
        <v>74</v>
      </c>
      <c r="F19" s="149"/>
      <c r="G19" s="149" t="s">
        <v>223</v>
      </c>
      <c r="H19" s="149"/>
    </row>
    <row r="20" spans="1:8" x14ac:dyDescent="0.25">
      <c r="A20" s="147" t="s">
        <v>12</v>
      </c>
      <c r="B20" s="147"/>
      <c r="C20" s="149" t="s">
        <v>224</v>
      </c>
      <c r="D20" s="149"/>
      <c r="E20" s="149" t="s">
        <v>11</v>
      </c>
      <c r="F20" s="149"/>
      <c r="G20" s="174" t="s">
        <v>180</v>
      </c>
      <c r="H20" s="174"/>
    </row>
    <row r="21" spans="1:8" x14ac:dyDescent="0.25">
      <c r="A21" s="147" t="s">
        <v>75</v>
      </c>
      <c r="B21" s="147"/>
      <c r="C21" s="149" t="s">
        <v>181</v>
      </c>
      <c r="D21" s="149"/>
      <c r="E21" s="149" t="s">
        <v>13</v>
      </c>
      <c r="F21" s="149"/>
      <c r="G21" s="149">
        <v>400055</v>
      </c>
      <c r="H21" s="149"/>
    </row>
    <row r="22" spans="1:8" ht="32.25" customHeight="1" x14ac:dyDescent="0.25">
      <c r="A22" s="147" t="s">
        <v>127</v>
      </c>
      <c r="B22" s="147"/>
      <c r="C22" s="149" t="s">
        <v>183</v>
      </c>
      <c r="D22" s="149"/>
      <c r="E22" s="149" t="s">
        <v>14</v>
      </c>
      <c r="F22" s="149"/>
      <c r="G22" s="149" t="s">
        <v>225</v>
      </c>
      <c r="H22" s="149"/>
    </row>
    <row r="23" spans="1:8" ht="15" customHeight="1" x14ac:dyDescent="0.25">
      <c r="A23" s="150" t="s">
        <v>78</v>
      </c>
      <c r="B23" s="150"/>
      <c r="C23" s="150"/>
      <c r="D23" s="150"/>
      <c r="E23" s="147" t="s">
        <v>15</v>
      </c>
      <c r="F23" s="147"/>
      <c r="G23" s="147"/>
      <c r="H23" s="147"/>
    </row>
    <row r="24" spans="1:8" ht="18.75" customHeight="1" x14ac:dyDescent="0.25">
      <c r="A24" s="150"/>
      <c r="B24" s="150"/>
      <c r="C24" s="150"/>
      <c r="D24" s="150"/>
      <c r="E24" s="147"/>
      <c r="F24" s="147"/>
      <c r="G24" s="147"/>
      <c r="H24" s="147"/>
    </row>
    <row r="25" spans="1:8" ht="15" customHeight="1" x14ac:dyDescent="0.25">
      <c r="A25" s="150" t="s">
        <v>16</v>
      </c>
      <c r="B25" s="150"/>
      <c r="C25" s="150"/>
      <c r="D25" s="150"/>
      <c r="E25" s="149" t="s">
        <v>17</v>
      </c>
      <c r="F25" s="149"/>
      <c r="G25" s="149"/>
      <c r="H25" s="149"/>
    </row>
    <row r="26" spans="1:8" ht="15" customHeight="1" x14ac:dyDescent="0.25">
      <c r="A26" s="86" t="s">
        <v>18</v>
      </c>
      <c r="B26" s="86"/>
      <c r="C26" s="86"/>
      <c r="D26" s="86"/>
      <c r="E26" s="149" t="str">
        <f>IF(AND(G20="Mumbai"),"Upper Class","Middle Class")</f>
        <v>Upper Class</v>
      </c>
      <c r="F26" s="149"/>
      <c r="G26" s="149"/>
      <c r="H26" s="149"/>
    </row>
    <row r="27" spans="1:8" x14ac:dyDescent="0.25">
      <c r="A27" s="86" t="s">
        <v>19</v>
      </c>
      <c r="B27" s="86"/>
      <c r="C27" s="86"/>
      <c r="D27" s="86"/>
      <c r="E27" s="149" t="s">
        <v>20</v>
      </c>
      <c r="F27" s="149"/>
      <c r="G27" s="149"/>
      <c r="H27" s="149"/>
    </row>
    <row r="28" spans="1:8" ht="15.75" customHeight="1" x14ac:dyDescent="0.25">
      <c r="A28" s="86" t="s">
        <v>21</v>
      </c>
      <c r="B28" s="86"/>
      <c r="C28" s="86"/>
      <c r="D28" s="86"/>
      <c r="E28" s="149" t="str">
        <f>IF(AND(G20="Mumbai"),"Developed","Developing")</f>
        <v>Developed</v>
      </c>
      <c r="F28" s="149"/>
      <c r="G28" s="149"/>
      <c r="H28" s="149"/>
    </row>
    <row r="29" spans="1:8" x14ac:dyDescent="0.25">
      <c r="A29" s="86" t="s">
        <v>22</v>
      </c>
      <c r="B29" s="86"/>
      <c r="C29" s="86"/>
      <c r="D29" s="86"/>
      <c r="E29" s="149" t="s">
        <v>23</v>
      </c>
      <c r="F29" s="149"/>
      <c r="G29" s="149"/>
      <c r="H29" s="149"/>
    </row>
    <row r="30" spans="1:8" ht="15.75" customHeight="1" x14ac:dyDescent="0.25">
      <c r="A30" s="86" t="s">
        <v>83</v>
      </c>
      <c r="B30" s="86"/>
      <c r="C30" s="86"/>
      <c r="D30" s="86"/>
      <c r="E30" s="149" t="s">
        <v>84</v>
      </c>
      <c r="F30" s="149"/>
      <c r="G30" s="149"/>
      <c r="H30" s="149"/>
    </row>
    <row r="31" spans="1:8" ht="15" customHeight="1" x14ac:dyDescent="0.25">
      <c r="A31" s="86" t="s">
        <v>32</v>
      </c>
      <c r="B31" s="86"/>
      <c r="C31" s="86"/>
      <c r="D31" s="86"/>
      <c r="E31" s="149" t="str">
        <f>IF(AND(ISNUMBER(SEARCH("Flat",D63)),ISNUMBER(SEARCH("Shop",D63)),ISNUMBER(SEARCH("Office",D63))),"Residential + Commercial",IF(AND(ISNUMBER(SEARCH("Flat",D63)),ISNUMBER(SEARCH("Shop",D63))),"Residential + Commercial",IF(AND(ISNUMBER(SEARCH("Flat",D63)),ISNUMBER(SEARCH("Office",D63))),"Residential + Commercial",IF(AND(ISNUMBER(SEARCH("Shop",D63)),ISNUMBER(SEARCH("Office",D63))),"Commercial",IF(ISNUMBER(SEARCH("Shop",D63)),"Commercial",IF(ISNUMBER(SEARCH("Office",D63)),"Commercial",IF(ISNUMBER(SEARCH("Flat",D63)),"Residential")))))))</f>
        <v>Residential + Commercial</v>
      </c>
      <c r="F31" s="149"/>
      <c r="G31" s="149"/>
      <c r="H31" s="149"/>
    </row>
    <row r="32" spans="1:8" ht="15.75" customHeight="1" x14ac:dyDescent="0.25">
      <c r="A32" s="86" t="s">
        <v>95</v>
      </c>
      <c r="B32" s="86"/>
      <c r="C32" s="86"/>
      <c r="D32" s="86"/>
      <c r="E32" s="149" t="s">
        <v>33</v>
      </c>
      <c r="F32" s="149"/>
      <c r="G32" s="149"/>
      <c r="H32" s="149"/>
    </row>
    <row r="33" spans="1:9" s="19" customFormat="1" x14ac:dyDescent="0.25">
      <c r="A33" s="173" t="s">
        <v>96</v>
      </c>
      <c r="B33" s="173"/>
      <c r="C33" s="172" t="s">
        <v>28</v>
      </c>
      <c r="D33" s="172"/>
      <c r="E33" s="172"/>
      <c r="F33" s="172" t="s">
        <v>30</v>
      </c>
      <c r="G33" s="172"/>
      <c r="H33" s="172"/>
    </row>
    <row r="34" spans="1:9" s="19" customFormat="1" x14ac:dyDescent="0.25">
      <c r="A34" s="170" t="s">
        <v>24</v>
      </c>
      <c r="B34" s="170" t="s">
        <v>29</v>
      </c>
      <c r="C34" s="169" t="s">
        <v>228</v>
      </c>
      <c r="D34" s="169"/>
      <c r="E34" s="169"/>
      <c r="F34" s="169" t="s">
        <v>230</v>
      </c>
      <c r="G34" s="169"/>
      <c r="H34" s="169"/>
    </row>
    <row r="35" spans="1:9" x14ac:dyDescent="0.25">
      <c r="A35" s="170" t="s">
        <v>25</v>
      </c>
      <c r="B35" s="170" t="s">
        <v>29</v>
      </c>
      <c r="C35" s="169" t="s">
        <v>227</v>
      </c>
      <c r="D35" s="169"/>
      <c r="E35" s="169"/>
      <c r="F35" s="169" t="s">
        <v>229</v>
      </c>
      <c r="G35" s="169"/>
      <c r="H35" s="169"/>
    </row>
    <row r="36" spans="1:9" s="19" customFormat="1" x14ac:dyDescent="0.25">
      <c r="A36" s="170" t="s">
        <v>27</v>
      </c>
      <c r="B36" s="170" t="s">
        <v>29</v>
      </c>
      <c r="C36" s="169" t="s">
        <v>227</v>
      </c>
      <c r="D36" s="169"/>
      <c r="E36" s="169"/>
      <c r="F36" s="169" t="s">
        <v>229</v>
      </c>
      <c r="G36" s="169"/>
      <c r="H36" s="169"/>
    </row>
    <row r="37" spans="1:9" x14ac:dyDescent="0.25">
      <c r="A37" s="170" t="s">
        <v>26</v>
      </c>
      <c r="B37" s="170" t="s">
        <v>29</v>
      </c>
      <c r="C37" s="169" t="s">
        <v>227</v>
      </c>
      <c r="D37" s="169"/>
      <c r="E37" s="169"/>
      <c r="F37" s="169" t="s">
        <v>183</v>
      </c>
      <c r="G37" s="169"/>
      <c r="H37" s="169"/>
    </row>
    <row r="38" spans="1:9" x14ac:dyDescent="0.25">
      <c r="A38" s="86" t="s">
        <v>31</v>
      </c>
      <c r="B38" s="86"/>
      <c r="C38" s="86"/>
      <c r="D38" s="86"/>
      <c r="E38" s="86"/>
      <c r="F38" s="86"/>
      <c r="G38" s="86"/>
      <c r="H38" s="86"/>
    </row>
    <row r="39" spans="1:9" ht="15.75" customHeight="1" x14ac:dyDescent="0.25">
      <c r="A39" s="86" t="s">
        <v>205</v>
      </c>
      <c r="B39" s="86"/>
      <c r="C39" s="146" t="s">
        <v>219</v>
      </c>
      <c r="D39" s="146"/>
      <c r="E39" s="146"/>
      <c r="F39" s="146"/>
      <c r="G39" s="146"/>
      <c r="H39" s="146"/>
    </row>
    <row r="40" spans="1:9" x14ac:dyDescent="0.25">
      <c r="A40" s="86" t="s">
        <v>169</v>
      </c>
      <c r="B40" s="86"/>
      <c r="C40" s="155" t="s">
        <v>220</v>
      </c>
      <c r="D40" s="149"/>
      <c r="E40" s="149"/>
      <c r="F40" s="149"/>
      <c r="G40" s="149"/>
      <c r="H40" s="149"/>
    </row>
    <row r="41" spans="1:9" x14ac:dyDescent="0.25">
      <c r="A41" s="148" t="s">
        <v>34</v>
      </c>
      <c r="B41" s="148"/>
      <c r="C41" s="148"/>
      <c r="D41" s="148"/>
      <c r="E41" s="148"/>
      <c r="F41" s="148"/>
      <c r="G41" s="148"/>
      <c r="H41" s="148"/>
    </row>
    <row r="42" spans="1:9" x14ac:dyDescent="0.25">
      <c r="A42" s="147" t="s">
        <v>35</v>
      </c>
      <c r="B42" s="147"/>
      <c r="C42" s="147"/>
      <c r="D42" s="147"/>
      <c r="E42" s="171">
        <v>2412.69</v>
      </c>
      <c r="F42" s="171"/>
      <c r="G42" s="171"/>
      <c r="H42" s="171"/>
    </row>
    <row r="43" spans="1:9" x14ac:dyDescent="0.25">
      <c r="A43" s="147" t="s">
        <v>36</v>
      </c>
      <c r="B43" s="147"/>
      <c r="C43" s="147"/>
      <c r="D43" s="147"/>
      <c r="E43" s="167">
        <v>3</v>
      </c>
      <c r="F43" s="167"/>
      <c r="G43" s="167"/>
      <c r="H43" s="167"/>
    </row>
    <row r="44" spans="1:9" x14ac:dyDescent="0.25">
      <c r="A44" s="147" t="s">
        <v>37</v>
      </c>
      <c r="B44" s="147"/>
      <c r="C44" s="147"/>
      <c r="D44" s="147"/>
      <c r="E44" s="167">
        <f>E46/E42-E43</f>
        <v>0.97335339392959686</v>
      </c>
      <c r="F44" s="167"/>
      <c r="G44" s="167"/>
      <c r="H44" s="167"/>
    </row>
    <row r="45" spans="1:9" x14ac:dyDescent="0.25">
      <c r="A45" s="147" t="s">
        <v>38</v>
      </c>
      <c r="B45" s="147"/>
      <c r="C45" s="147"/>
      <c r="D45" s="147"/>
      <c r="E45" s="167">
        <f>E43+E44</f>
        <v>3.9733533939295969</v>
      </c>
      <c r="F45" s="167"/>
      <c r="G45" s="167"/>
      <c r="H45" s="167"/>
    </row>
    <row r="46" spans="1:9" x14ac:dyDescent="0.25">
      <c r="A46" s="147" t="s">
        <v>94</v>
      </c>
      <c r="B46" s="147"/>
      <c r="C46" s="147"/>
      <c r="D46" s="147"/>
      <c r="E46" s="168">
        <f>3807.22+5779.25</f>
        <v>9586.4699999999993</v>
      </c>
      <c r="F46" s="168"/>
      <c r="G46" s="168"/>
      <c r="H46" s="168"/>
      <c r="I46" s="18">
        <f>4879.18+5848.76</f>
        <v>10727.94</v>
      </c>
    </row>
    <row r="47" spans="1:9" x14ac:dyDescent="0.25">
      <c r="A47" s="147" t="s">
        <v>39</v>
      </c>
      <c r="B47" s="147"/>
      <c r="C47" s="147"/>
      <c r="D47" s="147"/>
      <c r="E47" s="147" t="s">
        <v>185</v>
      </c>
      <c r="F47" s="147"/>
      <c r="G47" s="147"/>
      <c r="H47" s="147"/>
    </row>
    <row r="48" spans="1:9" x14ac:dyDescent="0.25">
      <c r="A48" s="148" t="s">
        <v>40</v>
      </c>
      <c r="B48" s="148"/>
      <c r="C48" s="148"/>
      <c r="D48" s="148"/>
      <c r="E48" s="148"/>
      <c r="F48" s="148"/>
      <c r="G48" s="148"/>
      <c r="H48" s="148"/>
    </row>
    <row r="49" spans="1:9" ht="33.75" customHeight="1" x14ac:dyDescent="0.25">
      <c r="A49" s="156" t="s">
        <v>156</v>
      </c>
      <c r="B49" s="157"/>
      <c r="C49" s="158" t="s">
        <v>218</v>
      </c>
      <c r="D49" s="159"/>
      <c r="E49" s="159"/>
      <c r="F49" s="159"/>
      <c r="G49" s="159"/>
      <c r="H49" s="160"/>
    </row>
    <row r="50" spans="1:9" ht="15.75" customHeight="1" x14ac:dyDescent="0.25">
      <c r="A50" s="152" t="s">
        <v>214</v>
      </c>
      <c r="B50" s="153"/>
      <c r="C50" s="153"/>
      <c r="D50" s="153"/>
      <c r="E50" s="153"/>
      <c r="F50" s="153"/>
      <c r="G50" s="153"/>
      <c r="H50" s="154"/>
    </row>
    <row r="51" spans="1:9" ht="15.75" customHeight="1" x14ac:dyDescent="0.25">
      <c r="A51" s="156" t="s">
        <v>41</v>
      </c>
      <c r="B51" s="157"/>
      <c r="C51" s="69" t="s">
        <v>239</v>
      </c>
      <c r="D51" s="70"/>
      <c r="E51" s="64"/>
      <c r="F51" s="47" t="s">
        <v>42</v>
      </c>
      <c r="G51" s="63" t="s">
        <v>253</v>
      </c>
      <c r="H51" s="64"/>
    </row>
    <row r="52" spans="1:9" x14ac:dyDescent="0.25">
      <c r="A52" s="156" t="s">
        <v>43</v>
      </c>
      <c r="B52" s="157"/>
      <c r="C52" s="69" t="str">
        <f>C51</f>
        <v>MHADA/103/1053/2022</v>
      </c>
      <c r="D52" s="70"/>
      <c r="E52" s="64"/>
      <c r="F52" s="47" t="s">
        <v>42</v>
      </c>
      <c r="G52" s="63" t="str">
        <f>G51</f>
        <v>23/12/2022.</v>
      </c>
      <c r="H52" s="64"/>
    </row>
    <row r="53" spans="1:9" s="20" customFormat="1" ht="32.65" customHeight="1" x14ac:dyDescent="0.25">
      <c r="A53" s="65" t="s">
        <v>160</v>
      </c>
      <c r="B53" s="66"/>
      <c r="C53" s="69" t="s">
        <v>248</v>
      </c>
      <c r="D53" s="70"/>
      <c r="E53" s="64"/>
      <c r="F53" s="47" t="s">
        <v>42</v>
      </c>
      <c r="G53" s="63" t="s">
        <v>254</v>
      </c>
      <c r="H53" s="64"/>
      <c r="I53" s="19" t="s">
        <v>232</v>
      </c>
    </row>
    <row r="54" spans="1:9" s="20" customFormat="1" ht="110.65" customHeight="1" x14ac:dyDescent="0.25">
      <c r="A54" s="67"/>
      <c r="B54" s="68"/>
      <c r="C54" s="69" t="s">
        <v>249</v>
      </c>
      <c r="D54" s="70"/>
      <c r="E54" s="64"/>
      <c r="F54" s="47" t="s">
        <v>126</v>
      </c>
      <c r="G54" s="63" t="s">
        <v>255</v>
      </c>
      <c r="H54" s="64"/>
    </row>
    <row r="55" spans="1:9" ht="15.75" customHeight="1" x14ac:dyDescent="0.25">
      <c r="A55" s="71" t="s">
        <v>215</v>
      </c>
      <c r="B55" s="72"/>
      <c r="C55" s="72"/>
      <c r="D55" s="72"/>
      <c r="E55" s="72"/>
      <c r="F55" s="72"/>
      <c r="G55" s="72"/>
      <c r="H55" s="73"/>
    </row>
    <row r="56" spans="1:9" ht="15.75" customHeight="1" x14ac:dyDescent="0.25">
      <c r="A56" s="156" t="s">
        <v>41</v>
      </c>
      <c r="B56" s="157"/>
      <c r="C56" s="69" t="s">
        <v>206</v>
      </c>
      <c r="D56" s="70"/>
      <c r="E56" s="64"/>
      <c r="F56" s="47" t="s">
        <v>42</v>
      </c>
      <c r="G56" s="63" t="s">
        <v>256</v>
      </c>
      <c r="H56" s="64"/>
    </row>
    <row r="57" spans="1:9" x14ac:dyDescent="0.25">
      <c r="A57" s="156" t="s">
        <v>43</v>
      </c>
      <c r="B57" s="157"/>
      <c r="C57" s="69" t="str">
        <f>C56</f>
        <v>MHADA/103/1054/2023</v>
      </c>
      <c r="D57" s="70"/>
      <c r="E57" s="64"/>
      <c r="F57" s="47" t="s">
        <v>42</v>
      </c>
      <c r="G57" s="63" t="str">
        <f>G56</f>
        <v>04/08/2023.</v>
      </c>
      <c r="H57" s="64"/>
    </row>
    <row r="58" spans="1:9" s="20" customFormat="1" ht="31.15" customHeight="1" x14ac:dyDescent="0.25">
      <c r="A58" s="65" t="s">
        <v>160</v>
      </c>
      <c r="B58" s="66"/>
      <c r="C58" s="69" t="s">
        <v>258</v>
      </c>
      <c r="D58" s="70"/>
      <c r="E58" s="64"/>
      <c r="F58" s="47" t="s">
        <v>42</v>
      </c>
      <c r="G58" s="63" t="s">
        <v>261</v>
      </c>
      <c r="H58" s="64"/>
      <c r="I58" s="19"/>
    </row>
    <row r="59" spans="1:9" s="20" customFormat="1" ht="237.6" customHeight="1" x14ac:dyDescent="0.25">
      <c r="A59" s="67"/>
      <c r="B59" s="68"/>
      <c r="C59" s="69" t="s">
        <v>259</v>
      </c>
      <c r="D59" s="70"/>
      <c r="E59" s="64"/>
      <c r="F59" s="47" t="s">
        <v>126</v>
      </c>
      <c r="G59" s="63" t="s">
        <v>263</v>
      </c>
      <c r="H59" s="64"/>
    </row>
    <row r="60" spans="1:9" x14ac:dyDescent="0.25">
      <c r="A60" s="161" t="s">
        <v>44</v>
      </c>
      <c r="B60" s="162"/>
      <c r="C60" s="161" t="s">
        <v>108</v>
      </c>
      <c r="D60" s="163"/>
      <c r="E60" s="162"/>
      <c r="F60" s="41" t="s">
        <v>42</v>
      </c>
      <c r="G60" s="165" t="s">
        <v>29</v>
      </c>
      <c r="H60" s="166"/>
    </row>
    <row r="61" spans="1:9" x14ac:dyDescent="0.25">
      <c r="A61" s="164" t="s">
        <v>46</v>
      </c>
      <c r="B61" s="164"/>
      <c r="C61" s="164"/>
      <c r="D61" s="164"/>
      <c r="E61" s="164"/>
      <c r="F61" s="164"/>
      <c r="G61" s="164"/>
      <c r="H61" s="164"/>
    </row>
    <row r="62" spans="1:9" x14ac:dyDescent="0.25">
      <c r="A62" s="150" t="s">
        <v>93</v>
      </c>
      <c r="B62" s="150"/>
      <c r="C62" s="150"/>
      <c r="D62" s="86">
        <f>E46</f>
        <v>9586.4699999999993</v>
      </c>
      <c r="E62" s="86"/>
      <c r="F62" s="86"/>
      <c r="G62" s="86"/>
      <c r="H62" s="86"/>
    </row>
    <row r="63" spans="1:9" x14ac:dyDescent="0.25">
      <c r="A63" s="149" t="s">
        <v>47</v>
      </c>
      <c r="B63" s="147"/>
      <c r="C63" s="147"/>
      <c r="D63" s="147" t="s">
        <v>217</v>
      </c>
      <c r="E63" s="147"/>
      <c r="F63" s="147"/>
      <c r="G63" s="147"/>
      <c r="H63" s="147"/>
      <c r="I63" s="21"/>
    </row>
    <row r="64" spans="1:9" ht="31.5" customHeight="1" x14ac:dyDescent="0.25">
      <c r="A64" s="149" t="s">
        <v>48</v>
      </c>
      <c r="B64" s="149"/>
      <c r="C64" s="149"/>
      <c r="D64" s="149" t="s">
        <v>207</v>
      </c>
      <c r="E64" s="147"/>
      <c r="F64" s="147"/>
      <c r="G64" s="147"/>
      <c r="H64" s="147"/>
    </row>
    <row r="65" spans="1:14" ht="15.75" customHeight="1" x14ac:dyDescent="0.25">
      <c r="A65" s="149" t="s">
        <v>91</v>
      </c>
      <c r="B65" s="149"/>
      <c r="C65" s="149"/>
      <c r="D65" s="149" t="s">
        <v>250</v>
      </c>
      <c r="E65" s="147"/>
      <c r="F65" s="147"/>
      <c r="G65" s="147"/>
      <c r="H65" s="147"/>
    </row>
    <row r="66" spans="1:14" ht="15.75" customHeight="1" x14ac:dyDescent="0.25">
      <c r="A66" s="149"/>
      <c r="B66" s="149"/>
      <c r="C66" s="149"/>
      <c r="D66" s="149" t="s">
        <v>246</v>
      </c>
      <c r="E66" s="147"/>
      <c r="F66" s="147"/>
      <c r="G66" s="147"/>
      <c r="H66" s="147"/>
    </row>
    <row r="67" spans="1:14" ht="15.75" customHeight="1" x14ac:dyDescent="0.25">
      <c r="A67" s="86" t="s">
        <v>45</v>
      </c>
      <c r="B67" s="86"/>
      <c r="C67" s="86"/>
      <c r="D67" s="150" t="s">
        <v>184</v>
      </c>
      <c r="E67" s="150"/>
      <c r="F67" s="150"/>
      <c r="G67" s="150"/>
      <c r="H67" s="150"/>
      <c r="J67" s="22"/>
      <c r="K67" s="21"/>
      <c r="N67" s="21"/>
    </row>
    <row r="68" spans="1:14" ht="15.75" customHeight="1" x14ac:dyDescent="0.25">
      <c r="A68" s="86" t="s">
        <v>89</v>
      </c>
      <c r="B68" s="86"/>
      <c r="C68" s="86"/>
      <c r="D68" s="151" t="str">
        <f>(IF(G60="NA","60 Years After Completion",IF(G60&lt;&gt;"NA",""&amp;60-ROUNDDOWN((E3-G60)/360,0)&amp;" Years"," ")))</f>
        <v>60 Years After Completion</v>
      </c>
      <c r="E68" s="151"/>
      <c r="F68" s="151"/>
      <c r="G68" s="151"/>
      <c r="H68" s="151"/>
      <c r="N68" s="21"/>
    </row>
    <row r="69" spans="1:14" ht="15.75" customHeight="1" x14ac:dyDescent="0.25">
      <c r="A69" s="86" t="s">
        <v>90</v>
      </c>
      <c r="B69" s="86"/>
      <c r="C69" s="86"/>
      <c r="D69" s="150" t="s">
        <v>23</v>
      </c>
      <c r="E69" s="150"/>
      <c r="F69" s="150"/>
      <c r="G69" s="150"/>
      <c r="H69" s="150"/>
      <c r="J69" s="23"/>
      <c r="K69" s="23"/>
    </row>
    <row r="70" spans="1:14" ht="51.75" customHeight="1" x14ac:dyDescent="0.25">
      <c r="A70" s="86" t="s">
        <v>76</v>
      </c>
      <c r="B70" s="86"/>
      <c r="C70" s="86"/>
      <c r="D70" s="149" t="s">
        <v>233</v>
      </c>
      <c r="E70" s="150"/>
      <c r="F70" s="150"/>
      <c r="G70" s="150"/>
      <c r="H70" s="150"/>
      <c r="I70" s="62" t="s">
        <v>234</v>
      </c>
    </row>
    <row r="71" spans="1:14" x14ac:dyDescent="0.25">
      <c r="A71" s="150" t="s">
        <v>153</v>
      </c>
      <c r="B71" s="150"/>
      <c r="C71" s="150"/>
      <c r="D71" s="150" t="s">
        <v>29</v>
      </c>
      <c r="E71" s="150"/>
      <c r="F71" s="150"/>
      <c r="G71" s="150"/>
      <c r="H71" s="150"/>
      <c r="I71" s="24"/>
      <c r="J71" s="24"/>
      <c r="K71" s="24"/>
      <c r="L71" s="24"/>
      <c r="M71" s="24"/>
      <c r="N71" s="24"/>
    </row>
    <row r="72" spans="1:14" ht="15.75" customHeight="1" x14ac:dyDescent="0.25">
      <c r="A72" s="204" t="s">
        <v>88</v>
      </c>
      <c r="B72" s="204"/>
      <c r="C72" s="204"/>
      <c r="D72" s="203" t="str">
        <f ca="1">(IF(G93&gt;95%,"Nothing",IF(G93&gt;0%,"Cement, Aggregate, Steel, etc",IF(G93=0%,"Work not yet Started"))))</f>
        <v>Cement, Aggregate, Steel, etc</v>
      </c>
      <c r="E72" s="203"/>
      <c r="F72" s="203"/>
      <c r="G72" s="203"/>
      <c r="H72" s="203"/>
      <c r="J72" s="23"/>
    </row>
    <row r="73" spans="1:14" ht="33.75" customHeight="1" thickBot="1" x14ac:dyDescent="0.3">
      <c r="A73" s="202" t="s">
        <v>121</v>
      </c>
      <c r="B73" s="202"/>
      <c r="C73" s="202"/>
      <c r="D73" s="203" t="str">
        <f ca="1">(IF(D72="Nothing","Yes",IF(D72="Cement, Aggregate, Steel, etc","Under Construction",IF(D72="Work not yet Started","Work not yet Started"))))</f>
        <v>Under Construction</v>
      </c>
      <c r="E73" s="203"/>
      <c r="F73" s="203" t="str">
        <f ca="1">(IF(D72="Nothing","Yes",IF(D72="Cement, Aggregate, Steel, etc","Under Construction",IF(D72="Work not yet Started","Work not yet Started"))))</f>
        <v>Under Construction</v>
      </c>
      <c r="G73" s="203"/>
      <c r="H73" s="203"/>
    </row>
    <row r="74" spans="1:14" ht="15.75" customHeight="1" x14ac:dyDescent="0.25">
      <c r="A74" s="138" t="s">
        <v>145</v>
      </c>
      <c r="B74" s="139"/>
      <c r="C74" s="140" t="str">
        <f>D65</f>
        <v>Building No. 1 = B + Gr + 1st to 12th Floor</v>
      </c>
      <c r="D74" s="141"/>
      <c r="E74" s="141"/>
      <c r="F74" s="141"/>
      <c r="G74" s="141"/>
      <c r="H74" s="142"/>
      <c r="I74" s="42" t="str">
        <f ca="1">IF(D87=100%,"All work Completed. Possession granted to the Building.",IF(D86=100%,"All work Completed, Waiting for OC",I75&amp;""&amp;I76&amp;""&amp;J75&amp;""&amp;J74&amp;" "&amp;J76))</f>
        <v>All work Completed. Possession granted to the Building.</v>
      </c>
      <c r="J74" s="43" t="str">
        <f ca="1">(IF(C80=(D75+F75+H75),"",IF(C80&gt;0,", RCC upto "&amp;C80&amp;" Slab","")))&amp;(IF(C81=H75,"",IF(C81&gt;0,", Brickwork upto "&amp;C81&amp;" Floor","")))&amp;(IF(C82=H75,"",IF(C82&gt;0,", Internal Plaster upto "&amp;C82&amp;" Floor","")))&amp;(IF(C83=H75,"",IF(C83&gt;0,", External Plaster upto "&amp;C83&amp;" Floor","")))&amp;(IF(C84=H75,"",IF(C84&gt;0,", Flooring upto "&amp;C84&amp;" Floor","")))&amp;(IF(C85=H75,"",IF(C85&gt;0,", Painting upto "&amp;C85&amp;" Floor","")))&amp;(IF(C86=H75,"",IF(C86&gt;0,", Finishing upto "&amp;C86&amp;" Floor","")))&amp;(IF(C87=H75,"",IF(C87&gt;0,", Possession upto "&amp;C87&amp;" Floor","")))</f>
        <v/>
      </c>
    </row>
    <row r="75" spans="1:14" x14ac:dyDescent="0.25">
      <c r="A75" s="16" t="s">
        <v>147</v>
      </c>
      <c r="B75" s="46">
        <v>0</v>
      </c>
      <c r="C75" s="46" t="s">
        <v>73</v>
      </c>
      <c r="D75" s="46">
        <v>1</v>
      </c>
      <c r="E75" s="46" t="s">
        <v>72</v>
      </c>
      <c r="F75" s="46">
        <v>0</v>
      </c>
      <c r="G75" s="46" t="s">
        <v>82</v>
      </c>
      <c r="H75" s="17">
        <f ca="1">--TRIM(RIGHT(SUBSTITUTE(LEFT(C74,_xlfn.AGGREGATE(16,6,FIND({0,1,2,3,4,5,6,7,8,9},C74,ROW(INDIRECT("1:"&amp;LEN(C74)))),1))," ",REPT(" ",LEN(C74))),LEN(C74)))</f>
        <v>12</v>
      </c>
      <c r="I75" s="44" t="str">
        <f ca="1">IF(D78=100%,"Excavation","")&amp;IF(D79=100%,", Plinth","")&amp;IF(D80=100%,", RCC Slab","")&amp;IF(D81=100%,", Brickwork","")&amp;IF(D82=100%,", Internal Plaster","")&amp;IF(D83=100%,", External Plaster","")&amp;IF(D84=100%,", Flooring","")&amp;IF(D85=100%,", Painting","")&amp;IF(D86=100%,", Building common Amenities","")</f>
        <v>Excavation, Plinth, RCC Slab, Brickwork, Internal Plaster, External Plaster, Flooring, Painting, Building common Amenities</v>
      </c>
      <c r="J75" s="45" t="str">
        <f ca="1">(IF(C78=0,"Work not yet Started.",IF(D78=25%,"Piling work in process",IF(D78=50%,"Excavation work in process",IF(D78=100%,"","0")))))&amp;(IF(C79=0%,"",IF(C79=J80,", Footing work is process",IF(C79=J81,", Footing work Completed",IF(C79=J82,", 1st Basement Completed",IF(C79=J83,", 1st &amp; 2nd Basement Completed",IF(C79=J84,", 1st to 3rd Basement Completed",IF(C79=J85,", 1st to 4th Basement Completed",IF(C79=J86,", Plinth work is process",IF(C79=J87,"","0"))))))))))</f>
        <v/>
      </c>
    </row>
    <row r="76" spans="1:14" ht="16.5" thickBot="1" x14ac:dyDescent="0.3">
      <c r="A76" s="136" t="s">
        <v>92</v>
      </c>
      <c r="B76" s="137"/>
      <c r="C76" s="144" t="str">
        <f ca="1">I74</f>
        <v>All work Completed. Possession granted to the Building.</v>
      </c>
      <c r="D76" s="144"/>
      <c r="E76" s="144"/>
      <c r="F76" s="144"/>
      <c r="G76" s="144"/>
      <c r="H76" s="145"/>
      <c r="I76" s="44" t="str">
        <f ca="1">IF(I75&lt;&gt;""," Completed","")</f>
        <v xml:space="preserve"> Completed</v>
      </c>
      <c r="J76" s="45" t="str">
        <f ca="1">IF(J74&lt;&gt;"","Completed","")</f>
        <v/>
      </c>
    </row>
    <row r="77" spans="1:14" ht="15.75" hidden="1" customHeight="1" x14ac:dyDescent="0.25">
      <c r="A77" s="99" t="s">
        <v>49</v>
      </c>
      <c r="B77" s="100"/>
      <c r="C77" s="48" t="s">
        <v>144</v>
      </c>
      <c r="D77" s="48" t="s">
        <v>85</v>
      </c>
      <c r="E77" s="100" t="s">
        <v>87</v>
      </c>
      <c r="F77" s="100"/>
      <c r="G77" s="100" t="s">
        <v>86</v>
      </c>
      <c r="H77" s="201"/>
      <c r="I77" s="14" t="s">
        <v>146</v>
      </c>
      <c r="J77" s="25">
        <f ca="1">H75*25%</f>
        <v>3</v>
      </c>
    </row>
    <row r="78" spans="1:14" hidden="1" x14ac:dyDescent="0.25">
      <c r="A78" s="99" t="s">
        <v>133</v>
      </c>
      <c r="B78" s="100"/>
      <c r="C78" s="48">
        <f ca="1">J79</f>
        <v>12</v>
      </c>
      <c r="D78" s="49">
        <f ca="1">((100/H75)*C78)/100</f>
        <v>1</v>
      </c>
      <c r="E78" s="93">
        <f ca="1">(((C79/H75*10)+(40/(D75+F75+H75)*C80)+(7.5/(H75)*C81)+(7.5/(H75)*C82)+(10/H75*C83)+(10/H75*C84)+(5/H75*C85)+(5/H75*C86)+(5/H75*C87))/100)</f>
        <v>1</v>
      </c>
      <c r="F78" s="195"/>
      <c r="G78" s="93">
        <f ca="1">((((C78/H75)*20)+((C79/H75)*25)+(30/(H75+F75+D75)*C80)+(5/H75*C81)+(5/H75*C82)+(5/H75*C83)+(5/H75*C84)+(0/H75*C85)+(0/H75*C86)+(5/H75*C87))/100)</f>
        <v>1</v>
      </c>
      <c r="H78" s="94"/>
      <c r="I78" s="14" t="s">
        <v>103</v>
      </c>
      <c r="J78" s="26">
        <f ca="1">H75*50%</f>
        <v>6</v>
      </c>
    </row>
    <row r="79" spans="1:14" hidden="1" x14ac:dyDescent="0.25">
      <c r="A79" s="99" t="s">
        <v>50</v>
      </c>
      <c r="B79" s="100"/>
      <c r="C79" s="59">
        <f ca="1">J87</f>
        <v>12</v>
      </c>
      <c r="D79" s="49">
        <f ca="1">((100/H75)*C79)/100</f>
        <v>1</v>
      </c>
      <c r="E79" s="95"/>
      <c r="F79" s="196"/>
      <c r="G79" s="95"/>
      <c r="H79" s="96"/>
      <c r="I79" s="14" t="s">
        <v>104</v>
      </c>
      <c r="J79" s="26">
        <f ca="1">H75</f>
        <v>12</v>
      </c>
    </row>
    <row r="80" spans="1:14" ht="15.75" hidden="1" customHeight="1" x14ac:dyDescent="0.25">
      <c r="A80" s="99" t="s">
        <v>134</v>
      </c>
      <c r="B80" s="100"/>
      <c r="C80" s="48">
        <v>13</v>
      </c>
      <c r="D80" s="49">
        <f ca="1">((100/(D75+F75+H75))*C80)/100</f>
        <v>1</v>
      </c>
      <c r="E80" s="95"/>
      <c r="F80" s="196"/>
      <c r="G80" s="95"/>
      <c r="H80" s="96"/>
      <c r="I80" s="14" t="s">
        <v>105</v>
      </c>
      <c r="J80" s="27">
        <f ca="1">(IF(B75&gt;1,(H75/(B75+2)),H75/4))</f>
        <v>3</v>
      </c>
    </row>
    <row r="81" spans="1:10" ht="15.75" hidden="1" customHeight="1" x14ac:dyDescent="0.25">
      <c r="A81" s="99" t="s">
        <v>141</v>
      </c>
      <c r="B81" s="100" t="s">
        <v>135</v>
      </c>
      <c r="C81" s="48">
        <v>12</v>
      </c>
      <c r="D81" s="49">
        <f ca="1">((100/H75)*C81)/100</f>
        <v>1</v>
      </c>
      <c r="E81" s="95"/>
      <c r="F81" s="196"/>
      <c r="G81" s="95"/>
      <c r="H81" s="96"/>
      <c r="I81" s="14" t="s">
        <v>106</v>
      </c>
      <c r="J81" s="27">
        <f ca="1">(IF(B75&gt;1,(H75/(B75+2)+J80),H75/4+J80))</f>
        <v>6</v>
      </c>
    </row>
    <row r="82" spans="1:10" ht="15.75" hidden="1" customHeight="1" x14ac:dyDescent="0.25">
      <c r="A82" s="99" t="s">
        <v>142</v>
      </c>
      <c r="B82" s="100" t="s">
        <v>135</v>
      </c>
      <c r="C82" s="48">
        <v>12</v>
      </c>
      <c r="D82" s="49">
        <f ca="1">((100/H75)*C82)/100</f>
        <v>1</v>
      </c>
      <c r="E82" s="95"/>
      <c r="F82" s="196"/>
      <c r="G82" s="95"/>
      <c r="H82" s="96"/>
      <c r="I82" s="14" t="s">
        <v>151</v>
      </c>
      <c r="J82" s="27">
        <f>(IF(B75&gt;1,(H75/(B75+2)+J81),0))</f>
        <v>0</v>
      </c>
    </row>
    <row r="83" spans="1:10" ht="15" hidden="1" customHeight="1" x14ac:dyDescent="0.25">
      <c r="A83" s="99" t="s">
        <v>140</v>
      </c>
      <c r="B83" s="100" t="s">
        <v>137</v>
      </c>
      <c r="C83" s="48">
        <v>12</v>
      </c>
      <c r="D83" s="49">
        <f ca="1">((100/(H75))*C83)/100</f>
        <v>1</v>
      </c>
      <c r="E83" s="95"/>
      <c r="F83" s="196"/>
      <c r="G83" s="95"/>
      <c r="H83" s="96"/>
      <c r="I83" s="14" t="s">
        <v>148</v>
      </c>
      <c r="J83" s="27">
        <f>(IF(B75&gt;2,(H75/(B75+2)+J82),0))</f>
        <v>0</v>
      </c>
    </row>
    <row r="84" spans="1:10" ht="15.75" hidden="1" customHeight="1" x14ac:dyDescent="0.25">
      <c r="A84" s="99" t="s">
        <v>136</v>
      </c>
      <c r="B84" s="100" t="s">
        <v>136</v>
      </c>
      <c r="C84" s="48">
        <v>12</v>
      </c>
      <c r="D84" s="49">
        <f ca="1">((100/H75)*C84)/100</f>
        <v>1</v>
      </c>
      <c r="E84" s="95"/>
      <c r="F84" s="196"/>
      <c r="G84" s="95"/>
      <c r="H84" s="96"/>
      <c r="I84" s="14" t="s">
        <v>149</v>
      </c>
      <c r="J84" s="28">
        <f>(IF(B75&gt;3,(H75/(B75+2)+J83),0))</f>
        <v>0</v>
      </c>
    </row>
    <row r="85" spans="1:10" ht="15.75" hidden="1" customHeight="1" x14ac:dyDescent="0.25">
      <c r="A85" s="99" t="s">
        <v>143</v>
      </c>
      <c r="B85" s="100"/>
      <c r="C85" s="48">
        <v>12</v>
      </c>
      <c r="D85" s="49">
        <f ca="1">((100/H75)*C85)/100</f>
        <v>1</v>
      </c>
      <c r="E85" s="95"/>
      <c r="F85" s="196"/>
      <c r="G85" s="95"/>
      <c r="H85" s="96"/>
      <c r="I85" s="14" t="s">
        <v>150</v>
      </c>
      <c r="J85" s="27">
        <f>(IF(B75&gt;4,(H75/(B75+2)+J84),0))</f>
        <v>0</v>
      </c>
    </row>
    <row r="86" spans="1:10" ht="15.75" hidden="1" customHeight="1" x14ac:dyDescent="0.25">
      <c r="A86" s="99" t="s">
        <v>138</v>
      </c>
      <c r="B86" s="100" t="s">
        <v>138</v>
      </c>
      <c r="C86" s="48">
        <v>12</v>
      </c>
      <c r="D86" s="49">
        <f ca="1">((100/(H75))*C86)/100</f>
        <v>1</v>
      </c>
      <c r="E86" s="95"/>
      <c r="F86" s="196"/>
      <c r="G86" s="95"/>
      <c r="H86" s="96"/>
      <c r="I86" s="14" t="s">
        <v>152</v>
      </c>
      <c r="J86" s="27">
        <f ca="1">(IF(B75=1,(H75/(B75+3)+J81),IF(B75=0,(H75/4+J81),IF(B75&gt;1,0))))</f>
        <v>9</v>
      </c>
    </row>
    <row r="87" spans="1:10" ht="16.5" hidden="1" thickBot="1" x14ac:dyDescent="0.3">
      <c r="A87" s="101" t="s">
        <v>139</v>
      </c>
      <c r="B87" s="102"/>
      <c r="C87" s="50">
        <v>12</v>
      </c>
      <c r="D87" s="51">
        <f ca="1">((100/(H75))*C87)/100</f>
        <v>1</v>
      </c>
      <c r="E87" s="97"/>
      <c r="F87" s="197"/>
      <c r="G87" s="97"/>
      <c r="H87" s="98"/>
      <c r="I87" s="15" t="s">
        <v>107</v>
      </c>
      <c r="J87" s="29">
        <f ca="1">(IF(B75&gt;1.5,(H75/(B75+2)+J81+MAX(0,J82-J81)+MAX(0,J83-J82)+MAX(0,J84-J83)+MAX(0,J85-J84)+MAX(0,J86-J85)),IF(B75=1,(H75/(B75+3)+J86),IF(B75=0,H75/4+J86))))</f>
        <v>12</v>
      </c>
    </row>
    <row r="88" spans="1:10" ht="32.25" customHeight="1" thickBot="1" x14ac:dyDescent="0.3">
      <c r="A88" s="208" t="s">
        <v>87</v>
      </c>
      <c r="B88" s="209"/>
      <c r="C88" s="210">
        <f ca="1">E78</f>
        <v>1</v>
      </c>
      <c r="D88" s="211"/>
      <c r="E88" s="212" t="s">
        <v>86</v>
      </c>
      <c r="F88" s="213"/>
      <c r="G88" s="212">
        <f ca="1">G78</f>
        <v>1</v>
      </c>
      <c r="H88" s="213"/>
      <c r="I88" s="15" t="s">
        <v>107</v>
      </c>
      <c r="J88" s="29">
        <f ca="1">(IF(B76&gt;1.5,(H76/(B76+2)+J82+MAX(0,J83-J82)+MAX(0,J84-J83)+MAX(0,J85-J84)+MAX(0,J86-J85)+MAX(0,J87-J86)),IF(B76=1,(H76/(B76+3)+J87),IF(B76=0,H76/4+J87))))</f>
        <v>12</v>
      </c>
    </row>
    <row r="89" spans="1:10" ht="15.75" customHeight="1" x14ac:dyDescent="0.25">
      <c r="A89" s="138" t="s">
        <v>145</v>
      </c>
      <c r="B89" s="139"/>
      <c r="C89" s="140" t="str">
        <f>D66</f>
        <v>Building No. 2 (Wing A &amp; B) = B + Gr + 1st to 11th Floor</v>
      </c>
      <c r="D89" s="141"/>
      <c r="E89" s="141"/>
      <c r="F89" s="141"/>
      <c r="G89" s="141"/>
      <c r="H89" s="142"/>
      <c r="I89" s="42" t="str">
        <f ca="1">IF(D102=100%,"All work Completed. Possession granted to the Building.",IF(D101=100%,"All work Completed, Waiting for OC",I90&amp;""&amp;I91&amp;""&amp;J90&amp;""&amp;J89&amp;" "&amp;J91))</f>
        <v>Excavation, Plinth, RCC Slab Completed, Brickwork upto 10 Floor, Internal Plaster upto 9 Floor Completed</v>
      </c>
      <c r="J89" s="43" t="str">
        <f ca="1">(IF(C95=(D90+F90+H90),"",IF(C95&gt;0,", RCC upto "&amp;C95&amp;" Slab","")))&amp;(IF(C96=H90,"",IF(C96&gt;0,", Brickwork upto "&amp;C96&amp;" Floor","")))&amp;(IF(C97=H90,"",IF(C97&gt;0,", Internal Plaster upto "&amp;C97&amp;" Floor","")))&amp;(IF(C98=H90,"",IF(C98&gt;0,", External Plaster upto "&amp;C98&amp;" Floor","")))&amp;(IF(C99=H90,"",IF(C99&gt;0,", Flooring upto "&amp;C99&amp;" Floor","")))&amp;(IF(C100=H90,"",IF(C100&gt;0,", Painting upto "&amp;C100&amp;" Floor","")))&amp;(IF(C101=H90,"",IF(C101&gt;0,", Finishing upto "&amp;C101&amp;" Floor","")))&amp;(IF(C102=H90,"",IF(C102&gt;0,", Possession upto "&amp;C102&amp;" Floor","")))</f>
        <v>, Brickwork upto 10 Floor, Internal Plaster upto 9 Floor</v>
      </c>
    </row>
    <row r="90" spans="1:10" x14ac:dyDescent="0.25">
      <c r="A90" s="16" t="s">
        <v>147</v>
      </c>
      <c r="B90" s="46">
        <v>1</v>
      </c>
      <c r="C90" s="46" t="s">
        <v>73</v>
      </c>
      <c r="D90" s="46">
        <v>1</v>
      </c>
      <c r="E90" s="46" t="s">
        <v>72</v>
      </c>
      <c r="F90" s="46">
        <v>0</v>
      </c>
      <c r="G90" s="46" t="s">
        <v>82</v>
      </c>
      <c r="H90" s="17">
        <f ca="1">--TRIM(RIGHT(SUBSTITUTE(LEFT(C89,_xlfn.AGGREGATE(16,6,FIND({0,1,2,3,4,5,6,7,8,9},C89,ROW(INDIRECT("1:"&amp;LEN(C89)))),1))," ",REPT(" ",LEN(C89))),LEN(C89)))</f>
        <v>11</v>
      </c>
      <c r="I90" s="44" t="str">
        <f ca="1">IF(D93=100%,"Excavation","")&amp;IF(D94=100%,", Plinth","")&amp;IF(D95=100%,", RCC Slab","")&amp;IF(D96=100%,", Brickwork","")&amp;IF(D97=100%,", Internal Plaster","")&amp;IF(D98=100%,", External Plaster","")&amp;IF(D99=100%,", Flooring","")&amp;IF(D100=100%,", Painting","")&amp;IF(D101=100%,", Building common Amenities","")</f>
        <v>Excavation, Plinth, RCC Slab</v>
      </c>
      <c r="J90" s="45" t="str">
        <f ca="1">(IF(C93=0,"Work not yet Started.",IF(D93=25%,"Piling work in process",IF(D93=50%,"Excavation work in process",IF(D93=100%,"","0")))))&amp;(IF(C94=0%,"",IF(C94=J95,", Footing work is process",IF(C94=J96,", Footing work Completed",IF(C94=J97,", 1st Basement Completed",IF(C94=J98,", 1st &amp; 2nd Basement Completed",IF(C94=J99,", 1st to 3rd Basement Completed",IF(C94=J100,", 1st to 4th Basement Completed",IF(C94=J101,", Plinth work is process",IF(C94=J102,"","0"))))))))))</f>
        <v/>
      </c>
    </row>
    <row r="91" spans="1:10" ht="37.9" customHeight="1" x14ac:dyDescent="0.25">
      <c r="A91" s="136" t="s">
        <v>92</v>
      </c>
      <c r="B91" s="137"/>
      <c r="C91" s="144" t="str">
        <f ca="1">I89</f>
        <v>Excavation, Plinth, RCC Slab Completed, Brickwork upto 10 Floor, Internal Plaster upto 9 Floor Completed</v>
      </c>
      <c r="D91" s="144"/>
      <c r="E91" s="144"/>
      <c r="F91" s="144"/>
      <c r="G91" s="144"/>
      <c r="H91" s="145"/>
      <c r="I91" s="44" t="str">
        <f ca="1">IF(I90&lt;&gt;""," Completed","")</f>
        <v xml:space="preserve"> Completed</v>
      </c>
      <c r="J91" s="45" t="str">
        <f ca="1">IF(J89&lt;&gt;"","Completed","")</f>
        <v>Completed</v>
      </c>
    </row>
    <row r="92" spans="1:10" ht="15.75" customHeight="1" x14ac:dyDescent="0.25">
      <c r="A92" s="99" t="s">
        <v>49</v>
      </c>
      <c r="B92" s="100"/>
      <c r="C92" s="48" t="s">
        <v>144</v>
      </c>
      <c r="D92" s="48" t="s">
        <v>85</v>
      </c>
      <c r="E92" s="100" t="s">
        <v>87</v>
      </c>
      <c r="F92" s="100"/>
      <c r="G92" s="100" t="s">
        <v>86</v>
      </c>
      <c r="H92" s="201"/>
      <c r="I92" s="14" t="s">
        <v>146</v>
      </c>
      <c r="J92" s="25">
        <f ca="1">H90*25%</f>
        <v>2.75</v>
      </c>
    </row>
    <row r="93" spans="1:10" x14ac:dyDescent="0.25">
      <c r="A93" s="99" t="s">
        <v>133</v>
      </c>
      <c r="B93" s="100"/>
      <c r="C93" s="48">
        <f ca="1">J94</f>
        <v>11</v>
      </c>
      <c r="D93" s="49">
        <f ca="1">((100/H90)*C93)/100</f>
        <v>1.0000000000000002</v>
      </c>
      <c r="E93" s="93">
        <f ca="1">(((C94/H90*10)+(40/(D90+F90+H90)*C95)+(7.5/(H90)*C96)+(7.5/(H90)*C97)+(10/H90*C98)+(10/H90*C99)+(5/H90*C100)+(5/H90*C101)+(5/H90*C102))/100)</f>
        <v>0.62954545454545452</v>
      </c>
      <c r="F93" s="195"/>
      <c r="G93" s="93">
        <f ca="1">((((C93/H90)*20)+((C94/H90)*25)+(30/(H90+F90+D90)*C95)+(5/H90*C96)+(5/H90*C97)+(5/H90*C98)+(5/H90*C99)+(0/H90*C100)+(0/H90*C101)+(5/H90*C102))/100)</f>
        <v>0.83636363636363642</v>
      </c>
      <c r="H93" s="94"/>
      <c r="I93" s="14" t="s">
        <v>103</v>
      </c>
      <c r="J93" s="26">
        <f ca="1">H90*50%</f>
        <v>5.5</v>
      </c>
    </row>
    <row r="94" spans="1:10" x14ac:dyDescent="0.25">
      <c r="A94" s="99" t="s">
        <v>50</v>
      </c>
      <c r="B94" s="100"/>
      <c r="C94" s="59">
        <f ca="1">J102</f>
        <v>11</v>
      </c>
      <c r="D94" s="49">
        <f ca="1">((100/H90)*C94)/100</f>
        <v>1.0000000000000002</v>
      </c>
      <c r="E94" s="95"/>
      <c r="F94" s="196"/>
      <c r="G94" s="95"/>
      <c r="H94" s="96"/>
      <c r="I94" s="14" t="s">
        <v>104</v>
      </c>
      <c r="J94" s="26">
        <f ca="1">H90</f>
        <v>11</v>
      </c>
    </row>
    <row r="95" spans="1:10" ht="15.75" customHeight="1" x14ac:dyDescent="0.25">
      <c r="A95" s="99" t="s">
        <v>134</v>
      </c>
      <c r="B95" s="100"/>
      <c r="C95" s="48">
        <v>12</v>
      </c>
      <c r="D95" s="49">
        <f ca="1">((100/(D90+F90+H90))*C95)/100</f>
        <v>1</v>
      </c>
      <c r="E95" s="95"/>
      <c r="F95" s="196"/>
      <c r="G95" s="95"/>
      <c r="H95" s="96"/>
      <c r="I95" s="14" t="s">
        <v>105</v>
      </c>
      <c r="J95" s="27">
        <f ca="1">(IF(B90&gt;1,(H90/(B90+2)),H90/4))</f>
        <v>2.75</v>
      </c>
    </row>
    <row r="96" spans="1:10" ht="15.75" customHeight="1" x14ac:dyDescent="0.25">
      <c r="A96" s="99" t="s">
        <v>141</v>
      </c>
      <c r="B96" s="100" t="s">
        <v>135</v>
      </c>
      <c r="C96" s="48">
        <v>10</v>
      </c>
      <c r="D96" s="49">
        <f ca="1">((100/H90)*C96)/100</f>
        <v>0.90909090909090917</v>
      </c>
      <c r="E96" s="95"/>
      <c r="F96" s="196"/>
      <c r="G96" s="95"/>
      <c r="H96" s="96"/>
      <c r="I96" s="14" t="s">
        <v>106</v>
      </c>
      <c r="J96" s="27">
        <f ca="1">(IF(B90&gt;1,(H90/(B90+2)+J95),H90/4+J95))</f>
        <v>5.5</v>
      </c>
    </row>
    <row r="97" spans="1:13" ht="15.75" customHeight="1" x14ac:dyDescent="0.25">
      <c r="A97" s="99" t="s">
        <v>142</v>
      </c>
      <c r="B97" s="100" t="s">
        <v>135</v>
      </c>
      <c r="C97" s="48">
        <v>9</v>
      </c>
      <c r="D97" s="49">
        <f ca="1">((100/H90)*C97)/100</f>
        <v>0.81818181818181823</v>
      </c>
      <c r="E97" s="95"/>
      <c r="F97" s="196"/>
      <c r="G97" s="95"/>
      <c r="H97" s="96"/>
      <c r="I97" s="14" t="s">
        <v>151</v>
      </c>
      <c r="J97" s="27">
        <f>(IF(B90&gt;1,(H90/(B90+2)+J96),0))</f>
        <v>0</v>
      </c>
    </row>
    <row r="98" spans="1:13" ht="15" customHeight="1" x14ac:dyDescent="0.25">
      <c r="A98" s="99" t="s">
        <v>140</v>
      </c>
      <c r="B98" s="100" t="s">
        <v>137</v>
      </c>
      <c r="C98" s="48">
        <v>0</v>
      </c>
      <c r="D98" s="49">
        <f ca="1">((100/(H90))*C98)/100</f>
        <v>0</v>
      </c>
      <c r="E98" s="95"/>
      <c r="F98" s="196"/>
      <c r="G98" s="95"/>
      <c r="H98" s="96"/>
      <c r="I98" s="14" t="s">
        <v>148</v>
      </c>
      <c r="J98" s="27">
        <f>(IF(B90&gt;2,(H90/(B90+2)+J97),0))</f>
        <v>0</v>
      </c>
    </row>
    <row r="99" spans="1:13" ht="15.75" customHeight="1" x14ac:dyDescent="0.25">
      <c r="A99" s="99" t="s">
        <v>136</v>
      </c>
      <c r="B99" s="100" t="s">
        <v>136</v>
      </c>
      <c r="C99" s="48">
        <v>0</v>
      </c>
      <c r="D99" s="49">
        <f ca="1">((100/H90)*C99)/100</f>
        <v>0</v>
      </c>
      <c r="E99" s="95"/>
      <c r="F99" s="196"/>
      <c r="G99" s="95"/>
      <c r="H99" s="96"/>
      <c r="I99" s="14" t="s">
        <v>149</v>
      </c>
      <c r="J99" s="28">
        <f>(IF(B90&gt;3,(H90/(B90+2)+J98),0))</f>
        <v>0</v>
      </c>
    </row>
    <row r="100" spans="1:13" ht="15.75" customHeight="1" x14ac:dyDescent="0.25">
      <c r="A100" s="99" t="s">
        <v>143</v>
      </c>
      <c r="B100" s="100"/>
      <c r="C100" s="48">
        <v>0</v>
      </c>
      <c r="D100" s="49">
        <f ca="1">((100/H90)*C100)/100</f>
        <v>0</v>
      </c>
      <c r="E100" s="95"/>
      <c r="F100" s="196"/>
      <c r="G100" s="95"/>
      <c r="H100" s="96"/>
      <c r="I100" s="14" t="s">
        <v>150</v>
      </c>
      <c r="J100" s="27">
        <f>(IF(B90&gt;4,(H90/(B90+2)+J99),0))</f>
        <v>0</v>
      </c>
    </row>
    <row r="101" spans="1:13" ht="15.75" customHeight="1" x14ac:dyDescent="0.25">
      <c r="A101" s="99" t="s">
        <v>138</v>
      </c>
      <c r="B101" s="100" t="s">
        <v>138</v>
      </c>
      <c r="C101" s="48">
        <v>0</v>
      </c>
      <c r="D101" s="49">
        <f ca="1">((100/(H90))*C101)/100</f>
        <v>0</v>
      </c>
      <c r="E101" s="95"/>
      <c r="F101" s="196"/>
      <c r="G101" s="95"/>
      <c r="H101" s="96"/>
      <c r="I101" s="14" t="s">
        <v>152</v>
      </c>
      <c r="J101" s="27">
        <f ca="1">(IF(B90=1,(H90/(B90+3)+J96),IF(B90=0,(H90/4+J96),IF(B90&gt;1,0))))</f>
        <v>8.25</v>
      </c>
    </row>
    <row r="102" spans="1:13" ht="16.5" thickBot="1" x14ac:dyDescent="0.3">
      <c r="A102" s="101" t="s">
        <v>139</v>
      </c>
      <c r="B102" s="102"/>
      <c r="C102" s="50">
        <v>0</v>
      </c>
      <c r="D102" s="51">
        <f ca="1">((100/(H90))*C102)/100</f>
        <v>0</v>
      </c>
      <c r="E102" s="97"/>
      <c r="F102" s="197"/>
      <c r="G102" s="97"/>
      <c r="H102" s="98"/>
      <c r="I102" s="15" t="s">
        <v>107</v>
      </c>
      <c r="J102" s="29">
        <f ca="1">(IF(B90&gt;1.5,(H90/(B90+2)+J96+MAX(0,J97-J96)+MAX(0,J98-J97)+MAX(0,J99-J98)+MAX(0,J100-J99)+MAX(0,J101-J100)),IF(B90=1,(H90/(B90+3)+J101),IF(B90=0,H90/4+J101))))</f>
        <v>11</v>
      </c>
    </row>
    <row r="103" spans="1:13" x14ac:dyDescent="0.25">
      <c r="A103" s="143" t="s">
        <v>162</v>
      </c>
      <c r="B103" s="143"/>
      <c r="C103" s="143"/>
      <c r="D103" s="143"/>
      <c r="E103" s="143"/>
      <c r="F103" s="198" t="s">
        <v>167</v>
      </c>
      <c r="G103" s="198"/>
      <c r="H103" s="198"/>
    </row>
    <row r="104" spans="1:13" x14ac:dyDescent="0.25">
      <c r="A104" s="86" t="s">
        <v>165</v>
      </c>
      <c r="B104" s="86"/>
      <c r="C104" s="86"/>
      <c r="D104" s="86"/>
      <c r="E104" s="86"/>
      <c r="F104" s="206">
        <v>19000</v>
      </c>
      <c r="G104" s="206"/>
      <c r="H104" s="206"/>
      <c r="I104" s="19" t="s">
        <v>186</v>
      </c>
      <c r="K104" s="21">
        <f>11100000/380</f>
        <v>29210.526315789473</v>
      </c>
      <c r="L104" s="21">
        <f>K104/1.55</f>
        <v>18845.500848896434</v>
      </c>
      <c r="M104" s="18">
        <v>18846</v>
      </c>
    </row>
    <row r="105" spans="1:13" x14ac:dyDescent="0.25">
      <c r="A105" s="86" t="s">
        <v>164</v>
      </c>
      <c r="B105" s="86"/>
      <c r="C105" s="86"/>
      <c r="D105" s="86"/>
      <c r="E105" s="86"/>
      <c r="F105" s="75">
        <v>38000</v>
      </c>
      <c r="G105" s="75"/>
      <c r="H105" s="75"/>
      <c r="K105" s="21">
        <f>16500000/433</f>
        <v>38106.235565819865</v>
      </c>
      <c r="L105" s="21">
        <f t="shared" ref="L105:L114" si="0">K105/1.55</f>
        <v>24584.668106980556</v>
      </c>
      <c r="M105" s="18">
        <v>24585</v>
      </c>
    </row>
    <row r="106" spans="1:13" hidden="1" x14ac:dyDescent="0.25">
      <c r="A106" s="86" t="s">
        <v>166</v>
      </c>
      <c r="B106" s="86"/>
      <c r="C106" s="86"/>
      <c r="D106" s="86"/>
      <c r="E106" s="86"/>
      <c r="F106" s="75"/>
      <c r="G106" s="75"/>
      <c r="H106" s="75"/>
      <c r="K106" s="21"/>
      <c r="L106" s="21">
        <f t="shared" si="0"/>
        <v>0</v>
      </c>
    </row>
    <row r="107" spans="1:13" s="30" customFormat="1" hidden="1" x14ac:dyDescent="0.25">
      <c r="A107" s="86" t="s">
        <v>163</v>
      </c>
      <c r="B107" s="86"/>
      <c r="C107" s="86"/>
      <c r="D107" s="86"/>
      <c r="E107" s="86"/>
      <c r="F107" s="75"/>
      <c r="G107" s="75"/>
      <c r="H107" s="75"/>
      <c r="K107" s="55"/>
      <c r="L107" s="21">
        <f t="shared" si="0"/>
        <v>0</v>
      </c>
    </row>
    <row r="108" spans="1:13" s="30" customFormat="1" hidden="1" x14ac:dyDescent="0.25">
      <c r="A108" s="86" t="s">
        <v>97</v>
      </c>
      <c r="B108" s="86"/>
      <c r="C108" s="86"/>
      <c r="D108" s="86"/>
      <c r="E108" s="86"/>
      <c r="F108" s="75"/>
      <c r="G108" s="75"/>
      <c r="H108" s="75"/>
      <c r="K108" s="55"/>
      <c r="L108" s="21">
        <f t="shared" si="0"/>
        <v>0</v>
      </c>
    </row>
    <row r="109" spans="1:13" s="30" customFormat="1" hidden="1" x14ac:dyDescent="0.25">
      <c r="A109" s="86" t="s">
        <v>98</v>
      </c>
      <c r="B109" s="86"/>
      <c r="C109" s="86"/>
      <c r="D109" s="86"/>
      <c r="E109" s="86"/>
      <c r="F109" s="75"/>
      <c r="G109" s="75"/>
      <c r="H109" s="75"/>
      <c r="K109" s="55"/>
      <c r="L109" s="21">
        <f t="shared" si="0"/>
        <v>0</v>
      </c>
    </row>
    <row r="110" spans="1:13" s="30" customFormat="1" hidden="1" x14ac:dyDescent="0.25">
      <c r="A110" s="86" t="s">
        <v>168</v>
      </c>
      <c r="B110" s="86"/>
      <c r="C110" s="86"/>
      <c r="D110" s="86"/>
      <c r="E110" s="86"/>
      <c r="F110" s="75"/>
      <c r="G110" s="75"/>
      <c r="H110" s="75"/>
      <c r="K110" s="55"/>
      <c r="L110" s="21">
        <f t="shared" si="0"/>
        <v>0</v>
      </c>
    </row>
    <row r="111" spans="1:13" s="30" customFormat="1" hidden="1" x14ac:dyDescent="0.25">
      <c r="A111" s="86" t="s">
        <v>99</v>
      </c>
      <c r="B111" s="86"/>
      <c r="C111" s="86"/>
      <c r="D111" s="86"/>
      <c r="E111" s="86"/>
      <c r="F111" s="75"/>
      <c r="G111" s="75"/>
      <c r="H111" s="75"/>
      <c r="K111" s="55"/>
      <c r="L111" s="21">
        <f t="shared" si="0"/>
        <v>0</v>
      </c>
    </row>
    <row r="112" spans="1:13" s="30" customFormat="1" hidden="1" x14ac:dyDescent="0.25">
      <c r="A112" s="86" t="s">
        <v>100</v>
      </c>
      <c r="B112" s="86"/>
      <c r="C112" s="86"/>
      <c r="D112" s="86"/>
      <c r="E112" s="86"/>
      <c r="F112" s="75"/>
      <c r="G112" s="75"/>
      <c r="H112" s="75"/>
      <c r="K112" s="55"/>
      <c r="L112" s="21">
        <f t="shared" si="0"/>
        <v>0</v>
      </c>
    </row>
    <row r="113" spans="1:15" s="30" customFormat="1" hidden="1" x14ac:dyDescent="0.25">
      <c r="A113" s="86" t="s">
        <v>101</v>
      </c>
      <c r="B113" s="86"/>
      <c r="C113" s="86"/>
      <c r="D113" s="86"/>
      <c r="E113" s="86"/>
      <c r="F113" s="75"/>
      <c r="G113" s="75"/>
      <c r="H113" s="75"/>
      <c r="K113" s="55"/>
      <c r="L113" s="21">
        <f t="shared" si="0"/>
        <v>0</v>
      </c>
    </row>
    <row r="114" spans="1:15" s="30" customFormat="1" hidden="1" x14ac:dyDescent="0.25">
      <c r="A114" s="86" t="s">
        <v>102</v>
      </c>
      <c r="B114" s="86"/>
      <c r="C114" s="86"/>
      <c r="D114" s="86"/>
      <c r="E114" s="86"/>
      <c r="F114" s="75"/>
      <c r="G114" s="75"/>
      <c r="H114" s="75"/>
      <c r="K114" s="55"/>
      <c r="L114" s="21">
        <f t="shared" si="0"/>
        <v>0</v>
      </c>
    </row>
    <row r="115" spans="1:15" x14ac:dyDescent="0.25">
      <c r="A115" s="86" t="s">
        <v>51</v>
      </c>
      <c r="B115" s="86"/>
      <c r="C115" s="86"/>
      <c r="D115" s="86"/>
      <c r="E115" s="86"/>
      <c r="F115" s="75">
        <v>800000</v>
      </c>
      <c r="G115" s="75"/>
      <c r="H115" s="75"/>
      <c r="K115" s="21">
        <f>16500000/550</f>
        <v>30000</v>
      </c>
      <c r="L115" s="21">
        <f>K115/1.55</f>
        <v>19354.83870967742</v>
      </c>
      <c r="M115" s="18">
        <v>19355</v>
      </c>
    </row>
    <row r="116" spans="1:15" s="31" customFormat="1" x14ac:dyDescent="0.25">
      <c r="A116" s="148" t="s">
        <v>52</v>
      </c>
      <c r="B116" s="148"/>
      <c r="C116" s="148"/>
      <c r="D116" s="148"/>
      <c r="E116" s="148"/>
      <c r="F116" s="75">
        <f>F104*0.8</f>
        <v>15200</v>
      </c>
      <c r="G116" s="75"/>
      <c r="H116" s="75"/>
      <c r="K116" s="56">
        <f>AVERAGE(K104:K115)</f>
        <v>32438.920627203112</v>
      </c>
      <c r="L116" s="52"/>
      <c r="M116" s="56">
        <f>AVERAGE(M104:M115)</f>
        <v>20928.666666666668</v>
      </c>
      <c r="N116" s="53">
        <f>28000/1.55</f>
        <v>18064.516129032258</v>
      </c>
      <c r="O116" s="31">
        <f>25200/1.55</f>
        <v>16258.064516129032</v>
      </c>
    </row>
    <row r="117" spans="1:15" s="32" customFormat="1" ht="15.75" customHeight="1" x14ac:dyDescent="0.25">
      <c r="A117" s="193" t="s">
        <v>77</v>
      </c>
      <c r="B117" s="193"/>
      <c r="C117" s="193"/>
      <c r="D117" s="193"/>
      <c r="E117" s="193"/>
      <c r="F117" s="193"/>
      <c r="G117" s="193"/>
      <c r="H117" s="193"/>
      <c r="K117" s="54"/>
      <c r="L117" s="54"/>
      <c r="M117" s="54"/>
      <c r="N117" s="54"/>
    </row>
    <row r="118" spans="1:15" s="32" customFormat="1" ht="15.75" customHeight="1" x14ac:dyDescent="0.25">
      <c r="A118" s="104" t="s">
        <v>53</v>
      </c>
      <c r="B118" s="104"/>
      <c r="C118" s="103" t="s">
        <v>80</v>
      </c>
      <c r="D118" s="103"/>
      <c r="E118" s="76" t="s">
        <v>54</v>
      </c>
      <c r="F118" s="76"/>
      <c r="G118" s="104" t="s">
        <v>55</v>
      </c>
      <c r="H118" s="104"/>
      <c r="K118" s="54"/>
      <c r="L118" s="54"/>
      <c r="M118" s="54"/>
      <c r="N118" s="54"/>
    </row>
    <row r="119" spans="1:15" s="32" customFormat="1" x14ac:dyDescent="0.25">
      <c r="A119" s="194" t="s">
        <v>214</v>
      </c>
      <c r="B119" s="194"/>
      <c r="C119" s="87">
        <f>COUNT(D136:D140)</f>
        <v>5</v>
      </c>
      <c r="D119" s="88"/>
      <c r="E119" s="87">
        <f>SUM(D136:D140)</f>
        <v>962.76660479999987</v>
      </c>
      <c r="F119" s="88"/>
      <c r="G119" s="87">
        <f>SUM(F136:F140)</f>
        <v>1492.2882374399999</v>
      </c>
      <c r="H119" s="88"/>
      <c r="K119" s="54"/>
      <c r="L119" s="54"/>
      <c r="M119" s="54"/>
      <c r="N119" s="54"/>
    </row>
    <row r="120" spans="1:15" s="32" customFormat="1" ht="32.25" customHeight="1" x14ac:dyDescent="0.25">
      <c r="A120" s="194" t="s">
        <v>213</v>
      </c>
      <c r="B120" s="194"/>
      <c r="C120" s="116">
        <f>COUNT(D145:D148)</f>
        <v>4</v>
      </c>
      <c r="D120" s="117"/>
      <c r="E120" s="116">
        <f>SUM(D145:D148)</f>
        <v>1163.2977719999997</v>
      </c>
      <c r="F120" s="117"/>
      <c r="G120" s="116">
        <f>SUM(F145:F148)</f>
        <v>1803.1115465999997</v>
      </c>
      <c r="H120" s="117"/>
      <c r="K120" s="54"/>
      <c r="L120" s="54"/>
      <c r="M120" s="54"/>
      <c r="N120" s="54"/>
    </row>
    <row r="121" spans="1:15" s="32" customFormat="1" x14ac:dyDescent="0.25">
      <c r="A121" s="193" t="s">
        <v>155</v>
      </c>
      <c r="B121" s="193"/>
      <c r="C121" s="127">
        <f>SUM(C119:D120)</f>
        <v>9</v>
      </c>
      <c r="D121" s="76"/>
      <c r="E121" s="128">
        <f>SUM(E119:F120)</f>
        <v>2126.0643767999995</v>
      </c>
      <c r="F121" s="129"/>
      <c r="G121" s="128">
        <f t="shared" ref="G121" si="1">SUM(G119:H120)</f>
        <v>3295.3997840399998</v>
      </c>
      <c r="H121" s="129"/>
      <c r="K121" s="54"/>
      <c r="L121" s="54"/>
      <c r="M121" s="54"/>
      <c r="N121" s="54"/>
    </row>
    <row r="122" spans="1:15" s="32" customFormat="1" x14ac:dyDescent="0.25">
      <c r="A122" s="193" t="s">
        <v>71</v>
      </c>
      <c r="B122" s="193"/>
      <c r="C122" s="193"/>
      <c r="D122" s="193"/>
      <c r="E122" s="193"/>
      <c r="F122" s="193"/>
      <c r="G122" s="193"/>
      <c r="H122" s="193"/>
      <c r="K122" s="54"/>
      <c r="L122" s="54"/>
      <c r="M122" s="54"/>
      <c r="N122" s="54"/>
    </row>
    <row r="123" spans="1:15" s="32" customFormat="1" ht="15.75" customHeight="1" x14ac:dyDescent="0.25">
      <c r="A123" s="104" t="s">
        <v>53</v>
      </c>
      <c r="B123" s="104"/>
      <c r="C123" s="103" t="s">
        <v>80</v>
      </c>
      <c r="D123" s="103"/>
      <c r="E123" s="76" t="s">
        <v>54</v>
      </c>
      <c r="F123" s="76"/>
      <c r="G123" s="104" t="s">
        <v>55</v>
      </c>
      <c r="H123" s="104"/>
      <c r="K123" s="54"/>
      <c r="L123" s="54"/>
      <c r="M123" s="54"/>
      <c r="N123" s="54"/>
    </row>
    <row r="124" spans="1:15" s="32" customFormat="1" x14ac:dyDescent="0.25">
      <c r="A124" s="194" t="s">
        <v>214</v>
      </c>
      <c r="B124" s="194"/>
      <c r="C124" s="87">
        <f>COUNT(D154:D159)*9+COUNT(D161:D165)</f>
        <v>59</v>
      </c>
      <c r="D124" s="87"/>
      <c r="E124" s="87">
        <f>SUM(D154:D159)*9+SUM(D161:D165)</f>
        <v>40981.669560000002</v>
      </c>
      <c r="F124" s="87"/>
      <c r="G124" s="87">
        <f>SUM(F154:F159)*9+SUM(F161:F165)</f>
        <v>61472.50434</v>
      </c>
      <c r="H124" s="87"/>
      <c r="K124" s="54"/>
      <c r="L124" s="54"/>
      <c r="M124" s="54"/>
      <c r="N124" s="54"/>
    </row>
    <row r="125" spans="1:15" s="32" customFormat="1" ht="15.75" customHeight="1" x14ac:dyDescent="0.25">
      <c r="A125" s="109" t="s">
        <v>237</v>
      </c>
      <c r="B125" s="57" t="s">
        <v>198</v>
      </c>
      <c r="C125" s="87">
        <f>COUNT(D170,D172:D175)+COUNT(D177:D182)*8+COUNT(D184:D185,D187:D189)</f>
        <v>58</v>
      </c>
      <c r="D125" s="87"/>
      <c r="E125" s="87">
        <f>SUM(D170,D172:D175)+SUM(D177:D182)*8+SUM(D184:D185,D187:D189)</f>
        <v>24378.95304</v>
      </c>
      <c r="F125" s="87"/>
      <c r="G125" s="87">
        <f>SUM(F170,F172:F175)+SUM(F177:F182)*8+SUM(F184:F185,F187:F189)</f>
        <v>36568.429559999997</v>
      </c>
      <c r="H125" s="87"/>
      <c r="K125" s="54"/>
      <c r="L125" s="54"/>
      <c r="M125" s="54"/>
      <c r="N125" s="54"/>
    </row>
    <row r="126" spans="1:15" s="32" customFormat="1" x14ac:dyDescent="0.25">
      <c r="A126" s="110"/>
      <c r="B126" s="57" t="s">
        <v>202</v>
      </c>
      <c r="C126" s="87">
        <f>COUNT(D192:D194,D198:D202)+COUNT(D204:D214)*8+COUNT(D216:D217,D219:D226)</f>
        <v>106</v>
      </c>
      <c r="D126" s="87"/>
      <c r="E126" s="87">
        <f>SUM(D192:D194,D198:D202)+SUM(D204:D214)*8+SUM(D216:D217,D219:D226)</f>
        <v>42361.937279999998</v>
      </c>
      <c r="F126" s="87"/>
      <c r="G126" s="87">
        <f>SUM(F192:F194,F198:F202)+SUM(F204:F214)*8+SUM(F216:F217,F219:F226)</f>
        <v>63542.905919999997</v>
      </c>
      <c r="H126" s="87"/>
      <c r="K126" s="54"/>
      <c r="L126" s="54"/>
      <c r="M126" s="54"/>
      <c r="N126" s="54"/>
    </row>
    <row r="127" spans="1:15" s="32" customFormat="1" ht="16.5" thickBot="1" x14ac:dyDescent="0.3">
      <c r="A127" s="111" t="s">
        <v>155</v>
      </c>
      <c r="B127" s="111"/>
      <c r="C127" s="112">
        <f>SUM(C124:D126)</f>
        <v>223</v>
      </c>
      <c r="D127" s="113"/>
      <c r="E127" s="112">
        <f>SUM(E124:F126)</f>
        <v>107722.55988</v>
      </c>
      <c r="F127" s="113"/>
      <c r="G127" s="112">
        <f>SUM(G124:H126)</f>
        <v>161583.83981999999</v>
      </c>
      <c r="H127" s="113"/>
      <c r="K127" s="54"/>
      <c r="L127" s="54"/>
      <c r="M127" s="54"/>
      <c r="N127" s="54"/>
    </row>
    <row r="128" spans="1:15" s="32" customFormat="1" ht="16.5" thickBot="1" x14ac:dyDescent="0.3">
      <c r="A128" s="199" t="s">
        <v>216</v>
      </c>
      <c r="B128" s="200"/>
      <c r="C128" s="125">
        <f>C121+C127</f>
        <v>232</v>
      </c>
      <c r="D128" s="126"/>
      <c r="E128" s="125">
        <f t="shared" ref="E128" si="2">E121+E127</f>
        <v>109848.6242568</v>
      </c>
      <c r="F128" s="126"/>
      <c r="G128" s="125">
        <f t="shared" ref="G128" si="3">G121+G127</f>
        <v>164879.23960403999</v>
      </c>
      <c r="H128" s="126"/>
      <c r="K128" s="54"/>
      <c r="L128" s="54"/>
      <c r="M128" s="54"/>
      <c r="N128" s="54"/>
    </row>
    <row r="129" spans="1:14" s="31" customFormat="1" x14ac:dyDescent="0.25">
      <c r="A129" s="198" t="s">
        <v>56</v>
      </c>
      <c r="B129" s="198"/>
      <c r="C129" s="198"/>
      <c r="D129" s="198"/>
      <c r="E129" s="198"/>
      <c r="F129" s="198"/>
      <c r="G129" s="198"/>
      <c r="H129" s="198"/>
      <c r="K129" s="53"/>
      <c r="L129" s="53"/>
      <c r="M129" s="53"/>
      <c r="N129" s="53"/>
    </row>
    <row r="130" spans="1:14" x14ac:dyDescent="0.25">
      <c r="A130" s="189" t="s">
        <v>57</v>
      </c>
      <c r="B130" s="189"/>
      <c r="C130" s="189"/>
      <c r="D130" s="189"/>
      <c r="E130" s="189"/>
      <c r="F130" s="189"/>
      <c r="G130" s="189"/>
      <c r="H130" s="189"/>
    </row>
    <row r="131" spans="1:14" ht="47.25" customHeight="1" x14ac:dyDescent="0.25">
      <c r="A131" s="114" t="s">
        <v>123</v>
      </c>
      <c r="B131" s="114" t="s">
        <v>122</v>
      </c>
      <c r="C131" s="114" t="s">
        <v>58</v>
      </c>
      <c r="D131" s="114" t="s">
        <v>59</v>
      </c>
      <c r="E131" s="130" t="s">
        <v>161</v>
      </c>
      <c r="F131" s="40" t="s">
        <v>154</v>
      </c>
      <c r="G131" s="132" t="s">
        <v>61</v>
      </c>
      <c r="H131" s="133"/>
    </row>
    <row r="132" spans="1:14" s="34" customFormat="1" x14ac:dyDescent="0.25">
      <c r="A132" s="115"/>
      <c r="B132" s="115"/>
      <c r="C132" s="115"/>
      <c r="D132" s="115"/>
      <c r="E132" s="131"/>
      <c r="F132" s="13">
        <v>0.55000000000000004</v>
      </c>
      <c r="G132" s="134"/>
      <c r="H132" s="135"/>
      <c r="K132" s="21"/>
      <c r="L132" s="21"/>
      <c r="M132" s="18"/>
    </row>
    <row r="133" spans="1:14" s="34" customFormat="1" x14ac:dyDescent="0.25">
      <c r="A133" s="106" t="s">
        <v>214</v>
      </c>
      <c r="B133" s="107"/>
      <c r="C133" s="107"/>
      <c r="D133" s="107"/>
      <c r="E133" s="107"/>
      <c r="F133" s="107"/>
      <c r="G133" s="107"/>
      <c r="H133" s="108"/>
      <c r="J133" s="33"/>
      <c r="K133" s="21"/>
      <c r="L133" s="21"/>
      <c r="M133" s="18"/>
    </row>
    <row r="134" spans="1:14" s="34" customFormat="1" x14ac:dyDescent="0.25">
      <c r="A134" s="106" t="s">
        <v>188</v>
      </c>
      <c r="B134" s="107"/>
      <c r="C134" s="107"/>
      <c r="D134" s="107"/>
      <c r="E134" s="107"/>
      <c r="F134" s="107"/>
      <c r="G134" s="107"/>
      <c r="H134" s="108"/>
      <c r="J134" s="33"/>
      <c r="K134" s="21"/>
      <c r="L134" s="21"/>
      <c r="M134" s="18"/>
    </row>
    <row r="135" spans="1:14" s="34" customFormat="1" x14ac:dyDescent="0.25">
      <c r="A135" s="106" t="s">
        <v>189</v>
      </c>
      <c r="B135" s="107"/>
      <c r="C135" s="107"/>
      <c r="D135" s="107"/>
      <c r="E135" s="107"/>
      <c r="F135" s="107"/>
      <c r="G135" s="107"/>
      <c r="H135" s="108"/>
      <c r="J135" s="33"/>
      <c r="K135" s="21"/>
      <c r="L135" s="21"/>
      <c r="M135" s="18"/>
    </row>
    <row r="136" spans="1:14" s="34" customFormat="1" ht="15.75" customHeight="1" x14ac:dyDescent="0.25">
      <c r="A136" s="77">
        <v>1</v>
      </c>
      <c r="B136" s="78"/>
      <c r="C136" s="39" t="s">
        <v>190</v>
      </c>
      <c r="D136" s="39">
        <f>(4.06*3.98+4.06*1.3)*10.764</f>
        <v>230.74571519999998</v>
      </c>
      <c r="E136" s="39">
        <v>0</v>
      </c>
      <c r="F136" s="39">
        <f>(D136+E136)*(($F$132)+1)</f>
        <v>357.65585855999996</v>
      </c>
      <c r="G136" s="80" t="str">
        <f>A135</f>
        <v>Ground Floor for Commercial, Parking, Parking &amp; Entrance Lobby</v>
      </c>
      <c r="H136" s="81"/>
      <c r="I136" s="33"/>
      <c r="K136" s="55"/>
      <c r="L136" s="21">
        <f t="shared" ref="L136:L151" si="4">K136/1.55</f>
        <v>0</v>
      </c>
      <c r="M136" s="30"/>
      <c r="N136" s="33"/>
    </row>
    <row r="137" spans="1:14" s="34" customFormat="1" ht="15.75" customHeight="1" x14ac:dyDescent="0.25">
      <c r="A137" s="77">
        <f t="shared" ref="A137:A140" si="5">A136+1</f>
        <v>2</v>
      </c>
      <c r="B137" s="78"/>
      <c r="C137" s="39" t="s">
        <v>190</v>
      </c>
      <c r="D137" s="39">
        <f t="shared" ref="D137" si="6">(4.06*3.98+4.06*1.3)*10.764</f>
        <v>230.74571519999998</v>
      </c>
      <c r="E137" s="39">
        <v>0</v>
      </c>
      <c r="F137" s="39">
        <f t="shared" ref="F137:F139" si="7">(D137+E137)*(($F$132)+1)</f>
        <v>357.65585855999996</v>
      </c>
      <c r="G137" s="82"/>
      <c r="H137" s="83"/>
      <c r="I137" s="33"/>
      <c r="K137" s="55"/>
      <c r="L137" s="21">
        <f t="shared" si="4"/>
        <v>0</v>
      </c>
      <c r="M137" s="30"/>
      <c r="N137" s="33"/>
    </row>
    <row r="138" spans="1:14" s="34" customFormat="1" ht="15.75" customHeight="1" x14ac:dyDescent="0.25">
      <c r="A138" s="77">
        <f t="shared" si="5"/>
        <v>3</v>
      </c>
      <c r="B138" s="78"/>
      <c r="C138" s="39" t="s">
        <v>190</v>
      </c>
      <c r="D138" s="39">
        <f>(2.94*3.98+2.94*1.3)*10.764</f>
        <v>167.09172479999998</v>
      </c>
      <c r="E138" s="39">
        <v>0</v>
      </c>
      <c r="F138" s="39">
        <f t="shared" si="7"/>
        <v>258.99217343999999</v>
      </c>
      <c r="G138" s="82"/>
      <c r="H138" s="83"/>
      <c r="I138" s="33"/>
      <c r="K138" s="55"/>
      <c r="L138" s="21">
        <f t="shared" si="4"/>
        <v>0</v>
      </c>
      <c r="M138" s="30"/>
      <c r="N138" s="33"/>
    </row>
    <row r="139" spans="1:14" s="34" customFormat="1" ht="15.75" customHeight="1" x14ac:dyDescent="0.25">
      <c r="A139" s="77">
        <f t="shared" si="5"/>
        <v>4</v>
      </c>
      <c r="B139" s="78"/>
      <c r="C139" s="39" t="s">
        <v>190</v>
      </c>
      <c r="D139" s="39">
        <f t="shared" ref="D139:D140" si="8">(2.94*3.98+2.94*1.3)*10.764</f>
        <v>167.09172479999998</v>
      </c>
      <c r="E139" s="39">
        <v>0</v>
      </c>
      <c r="F139" s="39">
        <f t="shared" si="7"/>
        <v>258.99217343999999</v>
      </c>
      <c r="G139" s="82"/>
      <c r="H139" s="83"/>
      <c r="I139" s="33"/>
      <c r="J139" s="34">
        <f>12000000/F140</f>
        <v>46333.446453662844</v>
      </c>
      <c r="K139" s="55"/>
      <c r="L139" s="21">
        <f t="shared" si="4"/>
        <v>0</v>
      </c>
      <c r="M139" s="30"/>
      <c r="N139" s="33"/>
    </row>
    <row r="140" spans="1:14" s="34" customFormat="1" ht="15.75" customHeight="1" x14ac:dyDescent="0.25">
      <c r="A140" s="77">
        <f t="shared" si="5"/>
        <v>5</v>
      </c>
      <c r="B140" s="78"/>
      <c r="C140" s="39" t="s">
        <v>190</v>
      </c>
      <c r="D140" s="39">
        <f t="shared" si="8"/>
        <v>167.09172479999998</v>
      </c>
      <c r="E140" s="39">
        <v>0</v>
      </c>
      <c r="F140" s="39">
        <f t="shared" ref="F140" si="9">(D140+E140)*(($F$132)+1)</f>
        <v>258.99217343999999</v>
      </c>
      <c r="G140" s="84"/>
      <c r="H140" s="85"/>
      <c r="I140" s="33"/>
      <c r="K140" s="55"/>
      <c r="L140" s="21">
        <f t="shared" ref="L140" si="10">K140/1.55</f>
        <v>0</v>
      </c>
      <c r="M140" s="30"/>
      <c r="N140" s="33"/>
    </row>
    <row r="141" spans="1:14" s="34" customFormat="1" x14ac:dyDescent="0.25">
      <c r="A141" s="106" t="s">
        <v>215</v>
      </c>
      <c r="B141" s="107"/>
      <c r="C141" s="107"/>
      <c r="D141" s="107"/>
      <c r="E141" s="107"/>
      <c r="F141" s="107"/>
      <c r="G141" s="107"/>
      <c r="H141" s="108"/>
      <c r="J141" s="33"/>
      <c r="K141" s="21"/>
      <c r="L141" s="21"/>
      <c r="M141" s="18"/>
    </row>
    <row r="142" spans="1:14" s="34" customFormat="1" x14ac:dyDescent="0.25">
      <c r="A142" s="106" t="s">
        <v>197</v>
      </c>
      <c r="B142" s="107"/>
      <c r="C142" s="107"/>
      <c r="D142" s="107"/>
      <c r="E142" s="107"/>
      <c r="F142" s="107"/>
      <c r="G142" s="107"/>
      <c r="H142" s="108"/>
      <c r="J142" s="33"/>
      <c r="K142" s="21"/>
      <c r="L142" s="21"/>
      <c r="M142" s="18"/>
    </row>
    <row r="143" spans="1:14" s="34" customFormat="1" x14ac:dyDescent="0.25">
      <c r="A143" s="106" t="s">
        <v>236</v>
      </c>
      <c r="B143" s="107"/>
      <c r="C143" s="107"/>
      <c r="D143" s="107"/>
      <c r="E143" s="107"/>
      <c r="F143" s="107"/>
      <c r="G143" s="107"/>
      <c r="H143" s="108"/>
      <c r="J143" s="33"/>
      <c r="K143" s="21"/>
      <c r="L143" s="21"/>
      <c r="M143" s="18"/>
    </row>
    <row r="144" spans="1:14" s="34" customFormat="1" x14ac:dyDescent="0.25">
      <c r="A144" s="106" t="s">
        <v>208</v>
      </c>
      <c r="B144" s="107"/>
      <c r="C144" s="107"/>
      <c r="D144" s="107"/>
      <c r="E144" s="107"/>
      <c r="F144" s="107"/>
      <c r="G144" s="107"/>
      <c r="H144" s="108"/>
      <c r="J144" s="33"/>
      <c r="K144" s="21"/>
      <c r="L144" s="21"/>
      <c r="M144" s="18"/>
    </row>
    <row r="145" spans="1:14" s="34" customFormat="1" ht="15.75" customHeight="1" x14ac:dyDescent="0.25">
      <c r="A145" s="77">
        <v>1</v>
      </c>
      <c r="B145" s="78"/>
      <c r="C145" s="39" t="s">
        <v>190</v>
      </c>
      <c r="D145" s="39">
        <f>(5.87*4.47)*10.764</f>
        <v>282.43551959999996</v>
      </c>
      <c r="E145" s="39">
        <v>0</v>
      </c>
      <c r="F145" s="39">
        <f>(D145+E145)*(($F$132)+1)</f>
        <v>437.77505537999997</v>
      </c>
      <c r="G145" s="80" t="str">
        <f>A144</f>
        <v xml:space="preserve">Ground Floor for Commercial, Entrance Lobby, Society Office &amp; Parking  </v>
      </c>
      <c r="H145" s="81"/>
      <c r="I145" s="33"/>
      <c r="J145" s="34">
        <f>11500000/F145</f>
        <v>26269.198892608681</v>
      </c>
      <c r="K145" s="55"/>
      <c r="L145" s="21">
        <f t="shared" ref="L145:L148" si="11">K145/1.55</f>
        <v>0</v>
      </c>
      <c r="M145" s="30"/>
      <c r="N145" s="33"/>
    </row>
    <row r="146" spans="1:14" s="34" customFormat="1" ht="15.75" customHeight="1" x14ac:dyDescent="0.25">
      <c r="A146" s="77">
        <f t="shared" ref="A146:A148" si="12">A145+1</f>
        <v>2</v>
      </c>
      <c r="B146" s="78"/>
      <c r="C146" s="39" t="s">
        <v>190</v>
      </c>
      <c r="D146" s="39">
        <f>(5.87*4.47+2.86*1.09)*10.764</f>
        <v>315.99121319999995</v>
      </c>
      <c r="E146" s="39">
        <v>0</v>
      </c>
      <c r="F146" s="39">
        <f>(D146+E146)*(($F$132)+1)</f>
        <v>489.78638045999992</v>
      </c>
      <c r="G146" s="82"/>
      <c r="H146" s="83"/>
      <c r="I146" s="33"/>
      <c r="K146" s="55"/>
      <c r="L146" s="21">
        <f t="shared" si="11"/>
        <v>0</v>
      </c>
      <c r="M146" s="30"/>
      <c r="N146" s="33"/>
    </row>
    <row r="147" spans="1:14" s="34" customFormat="1" ht="15.75" customHeight="1" x14ac:dyDescent="0.25">
      <c r="A147" s="77">
        <f t="shared" si="12"/>
        <v>3</v>
      </c>
      <c r="B147" s="78"/>
      <c r="C147" s="39" t="s">
        <v>190</v>
      </c>
      <c r="D147" s="39">
        <f t="shared" ref="D147:D148" si="13">(5.87*4.47)*10.764</f>
        <v>282.43551959999996</v>
      </c>
      <c r="E147" s="39">
        <v>0</v>
      </c>
      <c r="F147" s="39">
        <f>(D147+E147)*(($F$132)+1)</f>
        <v>437.77505537999997</v>
      </c>
      <c r="G147" s="82"/>
      <c r="H147" s="83"/>
      <c r="I147" s="33"/>
      <c r="K147" s="55"/>
      <c r="L147" s="21">
        <f t="shared" si="11"/>
        <v>0</v>
      </c>
      <c r="M147" s="30"/>
      <c r="N147" s="33"/>
    </row>
    <row r="148" spans="1:14" s="34" customFormat="1" ht="15.75" customHeight="1" x14ac:dyDescent="0.25">
      <c r="A148" s="77">
        <f t="shared" si="12"/>
        <v>4</v>
      </c>
      <c r="B148" s="78"/>
      <c r="C148" s="39" t="s">
        <v>190</v>
      </c>
      <c r="D148" s="39">
        <f t="shared" si="13"/>
        <v>282.43551959999996</v>
      </c>
      <c r="E148" s="39">
        <v>0</v>
      </c>
      <c r="F148" s="39">
        <f>(D148+E148)*(($F$132)+1)</f>
        <v>437.77505537999997</v>
      </c>
      <c r="G148" s="82"/>
      <c r="H148" s="83"/>
      <c r="I148" s="33"/>
      <c r="K148" s="55"/>
      <c r="L148" s="21">
        <f t="shared" si="11"/>
        <v>0</v>
      </c>
      <c r="M148" s="30"/>
      <c r="N148" s="33"/>
    </row>
    <row r="149" spans="1:14" s="34" customFormat="1" ht="15.75" customHeight="1" x14ac:dyDescent="0.25">
      <c r="A149" s="77"/>
      <c r="B149" s="118"/>
      <c r="C149" s="118"/>
      <c r="D149" s="118"/>
      <c r="E149" s="118"/>
      <c r="F149" s="118"/>
      <c r="G149" s="118"/>
      <c r="H149" s="78"/>
      <c r="I149" s="33"/>
      <c r="K149" s="55"/>
      <c r="L149" s="21">
        <f t="shared" si="4"/>
        <v>0</v>
      </c>
      <c r="M149" s="30"/>
      <c r="N149" s="33"/>
    </row>
    <row r="150" spans="1:14" ht="47.25" customHeight="1" x14ac:dyDescent="0.25">
      <c r="A150" s="132" t="s">
        <v>124</v>
      </c>
      <c r="B150" s="132" t="s">
        <v>125</v>
      </c>
      <c r="C150" s="114" t="s">
        <v>58</v>
      </c>
      <c r="D150" s="114" t="s">
        <v>59</v>
      </c>
      <c r="E150" s="130" t="s">
        <v>60</v>
      </c>
      <c r="F150" s="40" t="s">
        <v>154</v>
      </c>
      <c r="G150" s="132" t="s">
        <v>61</v>
      </c>
      <c r="H150" s="133"/>
      <c r="I150" s="33"/>
      <c r="K150" s="55"/>
      <c r="L150" s="21">
        <f t="shared" si="4"/>
        <v>0</v>
      </c>
      <c r="M150" s="30"/>
    </row>
    <row r="151" spans="1:14" s="34" customFormat="1" ht="15.75" customHeight="1" x14ac:dyDescent="0.25">
      <c r="A151" s="134"/>
      <c r="B151" s="134"/>
      <c r="C151" s="115"/>
      <c r="D151" s="115"/>
      <c r="E151" s="131"/>
      <c r="F151" s="13">
        <v>0.5</v>
      </c>
      <c r="G151" s="134"/>
      <c r="H151" s="135"/>
      <c r="I151" s="33"/>
      <c r="K151" s="55"/>
      <c r="L151" s="21">
        <f t="shared" si="4"/>
        <v>0</v>
      </c>
      <c r="M151" s="30"/>
    </row>
    <row r="152" spans="1:14" s="34" customFormat="1" x14ac:dyDescent="0.25">
      <c r="A152" s="79" t="s">
        <v>214</v>
      </c>
      <c r="B152" s="79"/>
      <c r="C152" s="79"/>
      <c r="D152" s="79"/>
      <c r="E152" s="79"/>
      <c r="F152" s="79"/>
      <c r="G152" s="79"/>
      <c r="H152" s="79"/>
      <c r="J152" s="33"/>
      <c r="K152" s="21"/>
      <c r="L152" s="21"/>
      <c r="M152" s="18"/>
    </row>
    <row r="153" spans="1:14" s="34" customFormat="1" x14ac:dyDescent="0.25">
      <c r="A153" s="79" t="s">
        <v>191</v>
      </c>
      <c r="B153" s="79"/>
      <c r="C153" s="79"/>
      <c r="D153" s="79"/>
      <c r="E153" s="79"/>
      <c r="F153" s="79"/>
      <c r="G153" s="79"/>
      <c r="H153" s="79"/>
      <c r="I153" s="33"/>
    </row>
    <row r="154" spans="1:14" s="34" customFormat="1" ht="15.75" customHeight="1" x14ac:dyDescent="0.25">
      <c r="A154" s="74" t="str">
        <f ca="1">(SUMPRODUCT(MID(0&amp;(LEFT(A153,SUM(LEN(A153)-LEN(SUBSTITUTE(A153,{"0","1","2"},""))))), LARGE(INDEX(ISNUMBER(--MID((LEFT(A153,SUM(LEN(A153)-LEN(SUBSTITUTE(A153,{"0","1","2"},""))))), ROW(INDIRECT("1:"&amp;LEN((LEFT(A153,SUM(LEN(A153)-LEN(SUBSTITUTE(A153,{"0","1","2"},"")))))))), 1)) * ROW(INDIRECT("1:"&amp;LEN((LEFT(A153,SUM(LEN(A153)-LEN(SUBSTITUTE(A153,{"0","1","2"},"")))))))), 0), ROW(INDIRECT("1:"&amp;LEN((LEFT(A153,SUM(LEN(A153)-LEN(SUBSTITUTE(A153,{"0","1","2"},"")))))))))+1, 1) * 10^ROW(INDIRECT("1:"&amp;LEN((LEFT(A153,SUM(LEN(A153)-LEN(SUBSTITUTE(A153,{"0","1","2"},""))))))))/10))*100+1&amp;""&amp;" to "&amp;""&amp;(SUMPRODUCT(MID(0&amp;(--TRIM(RIGHT(SUBSTITUTE(LEFT(A153,_xlfn.AGGREGATE(16,6,FIND({0,1,2,3,4,5,6,7,8,9},A153,ROW(INDIRECT("1:"&amp;LEN(A153)))),1))," ",REPT(" ",LEN(A153))),LEN(A153)))), LARGE(INDEX(ISNUMBER(--MID((--TRIM(RIGHT(SUBSTITUTE(LEFT(A153,_xlfn.AGGREGATE(16,6,FIND({0,1,2,3,4,5,6,7,8,9},A153,ROW(INDIRECT("1:"&amp;LEN(A153)))),1))," ",REPT(" ",LEN(A153))),LEN(A153)))), ROW(INDIRECT("1:"&amp;LEN((--TRIM(RIGHT(SUBSTITUTE(LEFT(A153,_xlfn.AGGREGATE(16,6,FIND({0,1,2,3,4,5,6,7,8,9},A153,ROW(INDIRECT("1:"&amp;LEN(A153)))),1))," ",REPT(" ",LEN(A153))),LEN(A153))))))), 1)) * ROW(INDIRECT("1:"&amp;LEN((--TRIM(RIGHT(SUBSTITUTE(LEFT(A153,_xlfn.AGGREGATE(16,6,FIND({0,1,2,3,4,5,6,7,8,9},A153,ROW(INDIRECT("1:"&amp;LEN(A153)))),1))," ",REPT(" ",LEN(A153))),LEN(A153))))))), 0), ROW(INDIRECT("1:"&amp;LEN((--TRIM(RIGHT(SUBSTITUTE(LEFT(A153,_xlfn.AGGREGATE(16,6,FIND({0,1,2,3,4,5,6,7,8,9},A153,ROW(INDIRECT("1:"&amp;LEN(A153)))),1))," ",REPT(" ",LEN(A153))),LEN(A153))))))))+1, 1) * 10^ROW(INDIRECT("1:"&amp;LEN((--TRIM(RIGHT(SUBSTITUTE(LEFT(A153,_xlfn.AGGREGATE(16,6,FIND({0,1,2,3,4,5,6,7,8,9},A153,ROW(INDIRECT("1:"&amp;LEN(A153)))),1))," ",REPT(" ",LEN(A153))),LEN(A153)))))))/10))*100+1</f>
        <v>101 to 1001</v>
      </c>
      <c r="B154" s="74"/>
      <c r="C154" s="39" t="s">
        <v>192</v>
      </c>
      <c r="D154" s="58">
        <f>(70.76)*10.764</f>
        <v>761.66064000000006</v>
      </c>
      <c r="E154" s="39">
        <v>0</v>
      </c>
      <c r="F154" s="39">
        <f t="shared" ref="F154:F159" si="14">D154*(($F$151)+1)+(IF(E154&lt;101,E154,IF(E154&lt;201,E154/2,IF(E154&lt;=301,E154/3,E154/4))))</f>
        <v>1142.4909600000001</v>
      </c>
      <c r="G154" s="74" t="str">
        <f>A153</f>
        <v>1st to 7th, 9th to 10th Floor</v>
      </c>
      <c r="H154" s="74"/>
      <c r="I154" s="33"/>
    </row>
    <row r="155" spans="1:14" s="34" customFormat="1" ht="15.75" customHeight="1" x14ac:dyDescent="0.25">
      <c r="A155" s="74" t="str">
        <f ca="1">(SUMPRODUCT(MID(0&amp;(LEFT(A154,SUM(LEN(A154)-LEN(SUBSTITUTE(A154,{"0","1","2"},""))))), LARGE(INDEX(ISNUMBER(--MID((LEFT(A154,SUM(LEN(A154)-LEN(SUBSTITUTE(A154,{"0","1","2"},""))))), ROW(INDIRECT("1:"&amp;LEN((LEFT(A154,SUM(LEN(A154)-LEN(SUBSTITUTE(A154,{"0","1","2"},"")))))))), 1)) * ROW(INDIRECT("1:"&amp;LEN((LEFT(A154,SUM(LEN(A154)-LEN(SUBSTITUTE(A154,{"0","1","2"},"")))))))), 0), ROW(INDIRECT("1:"&amp;LEN((LEFT(A154,SUM(LEN(A154)-LEN(SUBSTITUTE(A154,{"0","1","2"},"")))))))))+1, 1) * 10^ROW(INDIRECT("1:"&amp;LEN((LEFT(A154,SUM(LEN(A154)-LEN(SUBSTITUTE(A154,{"0","1","2"},""))))))))/10))*1+1&amp;""&amp;" to "&amp;""&amp;(SUMPRODUCT(MID(0&amp;(--TRIM(RIGHT(SUBSTITUTE(LEFT(A154,_xlfn.AGGREGATE(16,6,FIND({0,1,2,3,4,5,6,7,8,9},A154,ROW(INDIRECT("1:"&amp;LEN(A154)))),1))," ",REPT(" ",LEN(A154))),LEN(A154)))), LARGE(INDEX(ISNUMBER(--MID((--TRIM(RIGHT(SUBSTITUTE(LEFT(A154,_xlfn.AGGREGATE(16,6,FIND({0,1,2,3,4,5,6,7,8,9},A154,ROW(INDIRECT("1:"&amp;LEN(A154)))),1))," ",REPT(" ",LEN(A154))),LEN(A154)))), ROW(INDIRECT("1:"&amp;LEN((--TRIM(RIGHT(SUBSTITUTE(LEFT(A154,_xlfn.AGGREGATE(16,6,FIND({0,1,2,3,4,5,6,7,8,9},A154,ROW(INDIRECT("1:"&amp;LEN(A154)))),1))," ",REPT(" ",LEN(A154))),LEN(A154))))))), 1)) * ROW(INDIRECT("1:"&amp;LEN((--TRIM(RIGHT(SUBSTITUTE(LEFT(A154,_xlfn.AGGREGATE(16,6,FIND({0,1,2,3,4,5,6,7,8,9},A154,ROW(INDIRECT("1:"&amp;LEN(A154)))),1))," ",REPT(" ",LEN(A154))),LEN(A154))))))), 0), ROW(INDIRECT("1:"&amp;LEN((--TRIM(RIGHT(SUBSTITUTE(LEFT(A154,_xlfn.AGGREGATE(16,6,FIND({0,1,2,3,4,5,6,7,8,9},A154,ROW(INDIRECT("1:"&amp;LEN(A154)))),1))," ",REPT(" ",LEN(A154))),LEN(A154))))))))+1, 1) * 10^ROW(INDIRECT("1:"&amp;LEN((--TRIM(RIGHT(SUBSTITUTE(LEFT(A154,_xlfn.AGGREGATE(16,6,FIND({0,1,2,3,4,5,6,7,8,9},A154,ROW(INDIRECT("1:"&amp;LEN(A154)))),1))," ",REPT(" ",LEN(A154))),LEN(A154)))))))/10))*1+1</f>
        <v>102 to 1002</v>
      </c>
      <c r="B155" s="74"/>
      <c r="C155" s="39" t="s">
        <v>192</v>
      </c>
      <c r="D155" s="58">
        <f>(70.76)*10.764</f>
        <v>761.66064000000006</v>
      </c>
      <c r="E155" s="39">
        <v>0</v>
      </c>
      <c r="F155" s="39">
        <f t="shared" si="14"/>
        <v>1142.4909600000001</v>
      </c>
      <c r="G155" s="74"/>
      <c r="H155" s="74"/>
      <c r="I155" s="33"/>
    </row>
    <row r="156" spans="1:14" s="34" customFormat="1" ht="15.75" customHeight="1" x14ac:dyDescent="0.25">
      <c r="A156" s="74" t="str">
        <f ca="1">(SUMPRODUCT(MID(0&amp;(LEFT(A155,SUM(LEN(A155)-LEN(SUBSTITUTE(A155,{"0","1","2"},""))))), LARGE(INDEX(ISNUMBER(--MID((LEFT(A155,SUM(LEN(A155)-LEN(SUBSTITUTE(A155,{"0","1","2"},""))))), ROW(INDIRECT("1:"&amp;LEN((LEFT(A155,SUM(LEN(A155)-LEN(SUBSTITUTE(A155,{"0","1","2"},"")))))))), 1)) * ROW(INDIRECT("1:"&amp;LEN((LEFT(A155,SUM(LEN(A155)-LEN(SUBSTITUTE(A155,{"0","1","2"},"")))))))), 0), ROW(INDIRECT("1:"&amp;LEN((LEFT(A155,SUM(LEN(A155)-LEN(SUBSTITUTE(A155,{"0","1","2"},"")))))))))+1, 1) * 10^ROW(INDIRECT("1:"&amp;LEN((LEFT(A155,SUM(LEN(A155)-LEN(SUBSTITUTE(A155,{"0","1","2"},""))))))))/10))*1+1&amp;""&amp;" to "&amp;""&amp;(SUMPRODUCT(MID(0&amp;(--TRIM(RIGHT(SUBSTITUTE(LEFT(A155,_xlfn.AGGREGATE(16,6,FIND({0,1,2,3,4,5,6,7,8,9},A155,ROW(INDIRECT("1:"&amp;LEN(A155)))),1))," ",REPT(" ",LEN(A155))),LEN(A155)))), LARGE(INDEX(ISNUMBER(--MID((--TRIM(RIGHT(SUBSTITUTE(LEFT(A155,_xlfn.AGGREGATE(16,6,FIND({0,1,2,3,4,5,6,7,8,9},A155,ROW(INDIRECT("1:"&amp;LEN(A155)))),1))," ",REPT(" ",LEN(A155))),LEN(A155)))), ROW(INDIRECT("1:"&amp;LEN((--TRIM(RIGHT(SUBSTITUTE(LEFT(A155,_xlfn.AGGREGATE(16,6,FIND({0,1,2,3,4,5,6,7,8,9},A155,ROW(INDIRECT("1:"&amp;LEN(A155)))),1))," ",REPT(" ",LEN(A155))),LEN(A155))))))), 1)) * ROW(INDIRECT("1:"&amp;LEN((--TRIM(RIGHT(SUBSTITUTE(LEFT(A155,_xlfn.AGGREGATE(16,6,FIND({0,1,2,3,4,5,6,7,8,9},A155,ROW(INDIRECT("1:"&amp;LEN(A155)))),1))," ",REPT(" ",LEN(A155))),LEN(A155))))))), 0), ROW(INDIRECT("1:"&amp;LEN((--TRIM(RIGHT(SUBSTITUTE(LEFT(A155,_xlfn.AGGREGATE(16,6,FIND({0,1,2,3,4,5,6,7,8,9},A155,ROW(INDIRECT("1:"&amp;LEN(A155)))),1))," ",REPT(" ",LEN(A155))),LEN(A155))))))))+1, 1) * 10^ROW(INDIRECT("1:"&amp;LEN((--TRIM(RIGHT(SUBSTITUTE(LEFT(A155,_xlfn.AGGREGATE(16,6,FIND({0,1,2,3,4,5,6,7,8,9},A155,ROW(INDIRECT("1:"&amp;LEN(A155)))),1))," ",REPT(" ",LEN(A155))),LEN(A155)))))))/10))*1+1</f>
        <v>103 to 1003</v>
      </c>
      <c r="B156" s="74"/>
      <c r="C156" s="39" t="s">
        <v>192</v>
      </c>
      <c r="D156" s="58">
        <f>(70.67)*10.764</f>
        <v>760.69187999999997</v>
      </c>
      <c r="E156" s="39">
        <v>0</v>
      </c>
      <c r="F156" s="39">
        <f t="shared" si="14"/>
        <v>1141.03782</v>
      </c>
      <c r="G156" s="74"/>
      <c r="H156" s="74"/>
      <c r="I156" s="33"/>
    </row>
    <row r="157" spans="1:14" s="34" customFormat="1" ht="15.75" customHeight="1" x14ac:dyDescent="0.25">
      <c r="A157" s="74" t="str">
        <f ca="1">(SUMPRODUCT(MID(0&amp;(LEFT(A156,SUM(LEN(A156)-LEN(SUBSTITUTE(A156,{"0","1","2"},""))))), LARGE(INDEX(ISNUMBER(--MID((LEFT(A156,SUM(LEN(A156)-LEN(SUBSTITUTE(A156,{"0","1","2"},""))))), ROW(INDIRECT("1:"&amp;LEN((LEFT(A156,SUM(LEN(A156)-LEN(SUBSTITUTE(A156,{"0","1","2"},"")))))))), 1)) * ROW(INDIRECT("1:"&amp;LEN((LEFT(A156,SUM(LEN(A156)-LEN(SUBSTITUTE(A156,{"0","1","2"},"")))))))), 0), ROW(INDIRECT("1:"&amp;LEN((LEFT(A156,SUM(LEN(A156)-LEN(SUBSTITUTE(A156,{"0","1","2"},"")))))))))+1, 1) * 10^ROW(INDIRECT("1:"&amp;LEN((LEFT(A156,SUM(LEN(A156)-LEN(SUBSTITUTE(A156,{"0","1","2"},""))))))))/10))*1+1&amp;""&amp;" to "&amp;""&amp;(SUMPRODUCT(MID(0&amp;(--TRIM(RIGHT(SUBSTITUTE(LEFT(A156,_xlfn.AGGREGATE(16,6,FIND({0,1,2,3,4,5,6,7,8,9},A156,ROW(INDIRECT("1:"&amp;LEN(A156)))),1))," ",REPT(" ",LEN(A156))),LEN(A156)))), LARGE(INDEX(ISNUMBER(--MID((--TRIM(RIGHT(SUBSTITUTE(LEFT(A156,_xlfn.AGGREGATE(16,6,FIND({0,1,2,3,4,5,6,7,8,9},A156,ROW(INDIRECT("1:"&amp;LEN(A156)))),1))," ",REPT(" ",LEN(A156))),LEN(A156)))), ROW(INDIRECT("1:"&amp;LEN((--TRIM(RIGHT(SUBSTITUTE(LEFT(A156,_xlfn.AGGREGATE(16,6,FIND({0,1,2,3,4,5,6,7,8,9},A156,ROW(INDIRECT("1:"&amp;LEN(A156)))),1))," ",REPT(" ",LEN(A156))),LEN(A156))))))), 1)) * ROW(INDIRECT("1:"&amp;LEN((--TRIM(RIGHT(SUBSTITUTE(LEFT(A156,_xlfn.AGGREGATE(16,6,FIND({0,1,2,3,4,5,6,7,8,9},A156,ROW(INDIRECT("1:"&amp;LEN(A156)))),1))," ",REPT(" ",LEN(A156))),LEN(A156))))))), 0), ROW(INDIRECT("1:"&amp;LEN((--TRIM(RIGHT(SUBSTITUTE(LEFT(A156,_xlfn.AGGREGATE(16,6,FIND({0,1,2,3,4,5,6,7,8,9},A156,ROW(INDIRECT("1:"&amp;LEN(A156)))),1))," ",REPT(" ",LEN(A156))),LEN(A156))))))))+1, 1) * 10^ROW(INDIRECT("1:"&amp;LEN((--TRIM(RIGHT(SUBSTITUTE(LEFT(A156,_xlfn.AGGREGATE(16,6,FIND({0,1,2,3,4,5,6,7,8,9},A156,ROW(INDIRECT("1:"&amp;LEN(A156)))),1))," ",REPT(" ",LEN(A156))),LEN(A156)))))))/10))*1+1</f>
        <v>104 to 1004</v>
      </c>
      <c r="B157" s="74"/>
      <c r="C157" s="39" t="s">
        <v>192</v>
      </c>
      <c r="D157" s="58">
        <f>(70.54)*10.764</f>
        <v>759.29255999999998</v>
      </c>
      <c r="E157" s="39">
        <v>0</v>
      </c>
      <c r="F157" s="39">
        <f t="shared" si="14"/>
        <v>1138.93884</v>
      </c>
      <c r="G157" s="74"/>
      <c r="H157" s="74"/>
      <c r="I157" s="33"/>
    </row>
    <row r="158" spans="1:14" s="34" customFormat="1" ht="15.75" customHeight="1" x14ac:dyDescent="0.25">
      <c r="A158" s="74" t="str">
        <f ca="1">(SUMPRODUCT(MID(0&amp;(LEFT(A157,SUM(LEN(A157)-LEN(SUBSTITUTE(A157,{"0","1","2"},""))))), LARGE(INDEX(ISNUMBER(--MID((LEFT(A157,SUM(LEN(A157)-LEN(SUBSTITUTE(A157,{"0","1","2"},""))))), ROW(INDIRECT("1:"&amp;LEN((LEFT(A157,SUM(LEN(A157)-LEN(SUBSTITUTE(A157,{"0","1","2"},"")))))))), 1)) * ROW(INDIRECT("1:"&amp;LEN((LEFT(A157,SUM(LEN(A157)-LEN(SUBSTITUTE(A157,{"0","1","2"},"")))))))), 0), ROW(INDIRECT("1:"&amp;LEN((LEFT(A157,SUM(LEN(A157)-LEN(SUBSTITUTE(A157,{"0","1","2"},"")))))))))+1, 1) * 10^ROW(INDIRECT("1:"&amp;LEN((LEFT(A157,SUM(LEN(A157)-LEN(SUBSTITUTE(A157,{"0","1","2"},""))))))))/10))*1+1&amp;""&amp;" to "&amp;""&amp;(SUMPRODUCT(MID(0&amp;(--TRIM(RIGHT(SUBSTITUTE(LEFT(A157,_xlfn.AGGREGATE(16,6,FIND({0,1,2,3,4,5,6,7,8,9},A157,ROW(INDIRECT("1:"&amp;LEN(A157)))),1))," ",REPT(" ",LEN(A157))),LEN(A157)))), LARGE(INDEX(ISNUMBER(--MID((--TRIM(RIGHT(SUBSTITUTE(LEFT(A157,_xlfn.AGGREGATE(16,6,FIND({0,1,2,3,4,5,6,7,8,9},A157,ROW(INDIRECT("1:"&amp;LEN(A157)))),1))," ",REPT(" ",LEN(A157))),LEN(A157)))), ROW(INDIRECT("1:"&amp;LEN((--TRIM(RIGHT(SUBSTITUTE(LEFT(A157,_xlfn.AGGREGATE(16,6,FIND({0,1,2,3,4,5,6,7,8,9},A157,ROW(INDIRECT("1:"&amp;LEN(A157)))),1))," ",REPT(" ",LEN(A157))),LEN(A157))))))), 1)) * ROW(INDIRECT("1:"&amp;LEN((--TRIM(RIGHT(SUBSTITUTE(LEFT(A157,_xlfn.AGGREGATE(16,6,FIND({0,1,2,3,4,5,6,7,8,9},A157,ROW(INDIRECT("1:"&amp;LEN(A157)))),1))," ",REPT(" ",LEN(A157))),LEN(A157))))))), 0), ROW(INDIRECT("1:"&amp;LEN((--TRIM(RIGHT(SUBSTITUTE(LEFT(A157,_xlfn.AGGREGATE(16,6,FIND({0,1,2,3,4,5,6,7,8,9},A157,ROW(INDIRECT("1:"&amp;LEN(A157)))),1))," ",REPT(" ",LEN(A157))),LEN(A157))))))))+1, 1) * 10^ROW(INDIRECT("1:"&amp;LEN((--TRIM(RIGHT(SUBSTITUTE(LEFT(A157,_xlfn.AGGREGATE(16,6,FIND({0,1,2,3,4,5,6,7,8,9},A157,ROW(INDIRECT("1:"&amp;LEN(A157)))),1))," ",REPT(" ",LEN(A157))),LEN(A157)))))))/10))*1+1</f>
        <v>105 to 1005</v>
      </c>
      <c r="B158" s="74"/>
      <c r="C158" s="39" t="s">
        <v>192</v>
      </c>
      <c r="D158" s="58">
        <f>(70.54)*10.764</f>
        <v>759.29255999999998</v>
      </c>
      <c r="E158" s="39">
        <v>0</v>
      </c>
      <c r="F158" s="39">
        <f t="shared" si="14"/>
        <v>1138.93884</v>
      </c>
      <c r="G158" s="74"/>
      <c r="H158" s="74"/>
      <c r="I158" s="33"/>
    </row>
    <row r="159" spans="1:14" s="34" customFormat="1" ht="15.75" customHeight="1" x14ac:dyDescent="0.25">
      <c r="A159" s="74" t="str">
        <f ca="1">(SUMPRODUCT(MID(0&amp;(LEFT(A158,SUM(LEN(A158)-LEN(SUBSTITUTE(A158,{"0","1","2"},""))))), LARGE(INDEX(ISNUMBER(--MID((LEFT(A158,SUM(LEN(A158)-LEN(SUBSTITUTE(A158,{"0","1","2"},""))))), ROW(INDIRECT("1:"&amp;LEN((LEFT(A158,SUM(LEN(A158)-LEN(SUBSTITUTE(A158,{"0","1","2"},"")))))))), 1)) * ROW(INDIRECT("1:"&amp;LEN((LEFT(A158,SUM(LEN(A158)-LEN(SUBSTITUTE(A158,{"0","1","2"},"")))))))), 0), ROW(INDIRECT("1:"&amp;LEN((LEFT(A158,SUM(LEN(A158)-LEN(SUBSTITUTE(A158,{"0","1","2"},"")))))))))+1, 1) * 10^ROW(INDIRECT("1:"&amp;LEN((LEFT(A158,SUM(LEN(A158)-LEN(SUBSTITUTE(A158,{"0","1","2"},""))))))))/10))*1+1&amp;""&amp;" to "&amp;""&amp;(SUMPRODUCT(MID(0&amp;(--TRIM(RIGHT(SUBSTITUTE(LEFT(A158,_xlfn.AGGREGATE(16,6,FIND({0,1,2,3,4,5,6,7,8,9},A158,ROW(INDIRECT("1:"&amp;LEN(A158)))),1))," ",REPT(" ",LEN(A158))),LEN(A158)))), LARGE(INDEX(ISNUMBER(--MID((--TRIM(RIGHT(SUBSTITUTE(LEFT(A158,_xlfn.AGGREGATE(16,6,FIND({0,1,2,3,4,5,6,7,8,9},A158,ROW(INDIRECT("1:"&amp;LEN(A158)))),1))," ",REPT(" ",LEN(A158))),LEN(A158)))), ROW(INDIRECT("1:"&amp;LEN((--TRIM(RIGHT(SUBSTITUTE(LEFT(A158,_xlfn.AGGREGATE(16,6,FIND({0,1,2,3,4,5,6,7,8,9},A158,ROW(INDIRECT("1:"&amp;LEN(A158)))),1))," ",REPT(" ",LEN(A158))),LEN(A158))))))), 1)) * ROW(INDIRECT("1:"&amp;LEN((--TRIM(RIGHT(SUBSTITUTE(LEFT(A158,_xlfn.AGGREGATE(16,6,FIND({0,1,2,3,4,5,6,7,8,9},A158,ROW(INDIRECT("1:"&amp;LEN(A158)))),1))," ",REPT(" ",LEN(A158))),LEN(A158))))))), 0), ROW(INDIRECT("1:"&amp;LEN((--TRIM(RIGHT(SUBSTITUTE(LEFT(A158,_xlfn.AGGREGATE(16,6,FIND({0,1,2,3,4,5,6,7,8,9},A158,ROW(INDIRECT("1:"&amp;LEN(A158)))),1))," ",REPT(" ",LEN(A158))),LEN(A158))))))))+1, 1) * 10^ROW(INDIRECT("1:"&amp;LEN((--TRIM(RIGHT(SUBSTITUTE(LEFT(A158,_xlfn.AGGREGATE(16,6,FIND({0,1,2,3,4,5,6,7,8,9},A158,ROW(INDIRECT("1:"&amp;LEN(A158)))),1))," ",REPT(" ",LEN(A158))),LEN(A158)))))))/10))*1+1</f>
        <v>106 to 1006</v>
      </c>
      <c r="B159" s="74"/>
      <c r="C159" s="39" t="s">
        <v>194</v>
      </c>
      <c r="D159" s="58">
        <f>(30.51)*10.764</f>
        <v>328.40964000000002</v>
      </c>
      <c r="E159" s="39">
        <v>0</v>
      </c>
      <c r="F159" s="39">
        <f t="shared" si="14"/>
        <v>492.61446000000001</v>
      </c>
      <c r="G159" s="74"/>
      <c r="H159" s="74"/>
      <c r="I159" s="33"/>
    </row>
    <row r="160" spans="1:14" s="34" customFormat="1" ht="15.75" customHeight="1" x14ac:dyDescent="0.25">
      <c r="A160" s="79" t="s">
        <v>193</v>
      </c>
      <c r="B160" s="79"/>
      <c r="C160" s="79"/>
      <c r="D160" s="79"/>
      <c r="E160" s="79"/>
      <c r="F160" s="79"/>
      <c r="G160" s="79"/>
      <c r="H160" s="79"/>
      <c r="I160" s="33"/>
      <c r="K160" s="54"/>
      <c r="L160" s="54"/>
      <c r="M160" s="54"/>
    </row>
    <row r="161" spans="1:14" s="34" customFormat="1" ht="15.75" customHeight="1" x14ac:dyDescent="0.25">
      <c r="A161" s="74">
        <f>LEFT(A160,SUM(LEN(A160)-LEN(SUBSTITUTE(A160,{"0","1","2","3","4","5","6","7","8","9"},""))))*100+1</f>
        <v>801</v>
      </c>
      <c r="B161" s="74"/>
      <c r="C161" s="39" t="s">
        <v>192</v>
      </c>
      <c r="D161" s="58">
        <f>(70.76)*10.764</f>
        <v>761.66064000000006</v>
      </c>
      <c r="E161" s="39">
        <v>0</v>
      </c>
      <c r="F161" s="39">
        <f t="shared" ref="F161:F162" si="15">D161*(($F$151)+1)+(IF(E161&lt;101,E161,IF(E161&lt;201,E161/2,IF(E161&lt;=301,E161/3,E161/4))))</f>
        <v>1142.4909600000001</v>
      </c>
      <c r="G161" s="80" t="str">
        <f>A160</f>
        <v>8th Floor (Part Refuge Area)</v>
      </c>
      <c r="H161" s="81"/>
      <c r="I161" s="33"/>
      <c r="K161" s="54"/>
      <c r="L161" s="54"/>
      <c r="M161" s="54"/>
      <c r="N161" s="33"/>
    </row>
    <row r="162" spans="1:14" s="34" customFormat="1" ht="15.75" customHeight="1" x14ac:dyDescent="0.25">
      <c r="A162" s="74">
        <f>A161+1</f>
        <v>802</v>
      </c>
      <c r="B162" s="74"/>
      <c r="C162" s="39" t="s">
        <v>192</v>
      </c>
      <c r="D162" s="58">
        <f>(70.76)*10.764</f>
        <v>761.66064000000006</v>
      </c>
      <c r="E162" s="39">
        <v>0</v>
      </c>
      <c r="F162" s="39">
        <f t="shared" si="15"/>
        <v>1142.4909600000001</v>
      </c>
      <c r="G162" s="82"/>
      <c r="H162" s="83"/>
      <c r="I162" s="33"/>
      <c r="K162" s="54"/>
      <c r="L162" s="54"/>
      <c r="M162" s="54"/>
      <c r="N162" s="33"/>
    </row>
    <row r="163" spans="1:14" s="34" customFormat="1" ht="15.75" customHeight="1" x14ac:dyDescent="0.25">
      <c r="A163" s="74">
        <f>A162+1</f>
        <v>803</v>
      </c>
      <c r="B163" s="74"/>
      <c r="C163" s="39" t="s">
        <v>192</v>
      </c>
      <c r="D163" s="58">
        <f>(70.67)*10.764</f>
        <v>760.69187999999997</v>
      </c>
      <c r="E163" s="39">
        <v>0</v>
      </c>
      <c r="F163" s="39">
        <f>D163*(($F$151)+1)+(IF(E163&lt;101,E163,IF(E163&lt;201,E163/2,IF(E163&lt;=301,E163/3,E163/4))))</f>
        <v>1141.03782</v>
      </c>
      <c r="G163" s="82"/>
      <c r="H163" s="83"/>
      <c r="I163" s="33"/>
      <c r="K163" s="54"/>
      <c r="L163" s="54"/>
      <c r="M163" s="54"/>
      <c r="N163" s="33"/>
    </row>
    <row r="164" spans="1:14" s="34" customFormat="1" ht="15.75" customHeight="1" x14ac:dyDescent="0.25">
      <c r="A164" s="74">
        <f>A163+1</f>
        <v>804</v>
      </c>
      <c r="B164" s="74"/>
      <c r="C164" s="39" t="s">
        <v>192</v>
      </c>
      <c r="D164" s="58">
        <f>(70.54)*10.764</f>
        <v>759.29255999999998</v>
      </c>
      <c r="E164" s="39">
        <v>0</v>
      </c>
      <c r="F164" s="39">
        <f>D164*(($F$151)+1)+(IF(E164&lt;101,E164,IF(E164&lt;201,E164/2,IF(E164&lt;=301,E164/3,E164/4))))</f>
        <v>1138.93884</v>
      </c>
      <c r="G164" s="82"/>
      <c r="H164" s="83"/>
      <c r="I164" s="33"/>
      <c r="K164" s="54"/>
      <c r="L164" s="54"/>
      <c r="M164" s="54"/>
      <c r="N164" s="33"/>
    </row>
    <row r="165" spans="1:14" s="34" customFormat="1" ht="15.75" customHeight="1" x14ac:dyDescent="0.25">
      <c r="A165" s="74">
        <f>A164+1</f>
        <v>805</v>
      </c>
      <c r="B165" s="74"/>
      <c r="C165" s="39" t="s">
        <v>192</v>
      </c>
      <c r="D165" s="58">
        <f>(70.54)*10.764</f>
        <v>759.29255999999998</v>
      </c>
      <c r="E165" s="39">
        <v>0</v>
      </c>
      <c r="F165" s="39">
        <f>D165*(($F$151)+1)+(IF(E165&lt;101,E165,IF(E165&lt;201,E165/2,IF(E165&lt;=301,E165/3,E165/4))))</f>
        <v>1138.93884</v>
      </c>
      <c r="G165" s="82"/>
      <c r="H165" s="83"/>
      <c r="I165" s="33"/>
      <c r="K165" s="54"/>
      <c r="L165" s="54"/>
      <c r="M165" s="54"/>
      <c r="N165" s="33"/>
    </row>
    <row r="166" spans="1:14" s="34" customFormat="1" ht="15.75" customHeight="1" x14ac:dyDescent="0.25">
      <c r="A166" s="74">
        <f>A165+1</f>
        <v>806</v>
      </c>
      <c r="B166" s="74"/>
      <c r="C166" s="77" t="s">
        <v>195</v>
      </c>
      <c r="D166" s="118"/>
      <c r="E166" s="118"/>
      <c r="F166" s="78"/>
      <c r="G166" s="84"/>
      <c r="H166" s="85"/>
      <c r="I166" s="33"/>
      <c r="K166" s="54"/>
      <c r="L166" s="54"/>
      <c r="M166" s="54"/>
      <c r="N166" s="33"/>
    </row>
    <row r="167" spans="1:14" s="34" customFormat="1" x14ac:dyDescent="0.25">
      <c r="A167" s="106" t="s">
        <v>215</v>
      </c>
      <c r="B167" s="107"/>
      <c r="C167" s="107"/>
      <c r="D167" s="107"/>
      <c r="E167" s="107"/>
      <c r="F167" s="107"/>
      <c r="G167" s="107"/>
      <c r="H167" s="108"/>
      <c r="J167" s="33"/>
      <c r="K167" s="21"/>
      <c r="L167" s="21"/>
      <c r="M167" s="18"/>
    </row>
    <row r="168" spans="1:14" s="34" customFormat="1" x14ac:dyDescent="0.25">
      <c r="A168" s="106" t="s">
        <v>198</v>
      </c>
      <c r="B168" s="107"/>
      <c r="C168" s="107"/>
      <c r="D168" s="107"/>
      <c r="E168" s="107"/>
      <c r="F168" s="107"/>
      <c r="G168" s="107"/>
      <c r="H168" s="108"/>
      <c r="J168" s="33"/>
      <c r="K168" s="21"/>
      <c r="L168" s="21"/>
      <c r="M168" s="18"/>
    </row>
    <row r="169" spans="1:14" s="34" customFormat="1" ht="15.75" customHeight="1" x14ac:dyDescent="0.25">
      <c r="A169" s="79" t="s">
        <v>199</v>
      </c>
      <c r="B169" s="79"/>
      <c r="C169" s="79"/>
      <c r="D169" s="79"/>
      <c r="E169" s="79"/>
      <c r="F169" s="79"/>
      <c r="G169" s="79"/>
      <c r="H169" s="79"/>
      <c r="I169" s="33"/>
      <c r="K169" s="54"/>
      <c r="L169" s="54"/>
      <c r="M169" s="54"/>
    </row>
    <row r="170" spans="1:14" s="34" customFormat="1" ht="15.75" customHeight="1" x14ac:dyDescent="0.25">
      <c r="A170" s="74">
        <f>LEFT(A169,SUM(LEN(A169)-LEN(SUBSTITUTE(A169,{"0","1","2","3","4","5","6","7","8","9"},""))))*100+1</f>
        <v>101</v>
      </c>
      <c r="B170" s="74"/>
      <c r="C170" s="60" t="s">
        <v>194</v>
      </c>
      <c r="D170" s="61">
        <f>(35.72)*10.764</f>
        <v>384.49007999999998</v>
      </c>
      <c r="E170" s="60">
        <v>0</v>
      </c>
      <c r="F170" s="60">
        <f>D170*(($F$151)+1)+(IF(E170&lt;101,E170,IF(E170&lt;201,E170/2,IF(E170&lt;=301,E170/3,E170/4))))</f>
        <v>576.73511999999994</v>
      </c>
      <c r="G170" s="80" t="str">
        <f>A169</f>
        <v>1st Floor for Residential &amp; Amenties</v>
      </c>
      <c r="H170" s="81"/>
      <c r="I170" s="33"/>
      <c r="K170" s="54"/>
      <c r="L170" s="54"/>
      <c r="M170" s="54"/>
      <c r="N170" s="33"/>
    </row>
    <row r="171" spans="1:14" s="34" customFormat="1" ht="15.75" customHeight="1" x14ac:dyDescent="0.25">
      <c r="A171" s="74">
        <f>A170+1</f>
        <v>102</v>
      </c>
      <c r="B171" s="74"/>
      <c r="C171" s="122" t="s">
        <v>200</v>
      </c>
      <c r="D171" s="123"/>
      <c r="E171" s="123"/>
      <c r="F171" s="124"/>
      <c r="G171" s="82"/>
      <c r="H171" s="83"/>
      <c r="I171" s="33"/>
      <c r="K171" s="54"/>
      <c r="L171" s="54"/>
      <c r="M171" s="54"/>
      <c r="N171" s="33"/>
    </row>
    <row r="172" spans="1:14" s="34" customFormat="1" ht="15.75" customHeight="1" x14ac:dyDescent="0.25">
      <c r="A172" s="74">
        <f>A171+1</f>
        <v>103</v>
      </c>
      <c r="B172" s="74"/>
      <c r="C172" s="60" t="s">
        <v>194</v>
      </c>
      <c r="D172" s="61">
        <f t="shared" ref="D172:D173" si="16">(35.72)*10.764</f>
        <v>384.49007999999998</v>
      </c>
      <c r="E172" s="60">
        <v>0</v>
      </c>
      <c r="F172" s="60">
        <f>D172*(($F$151)+1)+(IF(E172&lt;101,E172,IF(E172&lt;201,E172/2,IF(E172&lt;=301,E172/3,E172/4))))</f>
        <v>576.73511999999994</v>
      </c>
      <c r="G172" s="82"/>
      <c r="H172" s="83"/>
      <c r="I172" s="33"/>
      <c r="K172" s="54"/>
      <c r="L172" s="54"/>
      <c r="M172" s="54"/>
      <c r="N172" s="33"/>
    </row>
    <row r="173" spans="1:14" s="34" customFormat="1" ht="15.75" customHeight="1" x14ac:dyDescent="0.25">
      <c r="A173" s="74">
        <f>A172+1</f>
        <v>104</v>
      </c>
      <c r="B173" s="74"/>
      <c r="C173" s="60" t="s">
        <v>194</v>
      </c>
      <c r="D173" s="61">
        <f t="shared" si="16"/>
        <v>384.49007999999998</v>
      </c>
      <c r="E173" s="60">
        <v>0</v>
      </c>
      <c r="F173" s="60">
        <f>D173*(($F$151)+1)+(IF(E173&lt;101,E173,IF(E173&lt;201,E173/2,IF(E173&lt;=301,E173/3,E173/4))))</f>
        <v>576.73511999999994</v>
      </c>
      <c r="G173" s="82"/>
      <c r="H173" s="83"/>
      <c r="I173" s="33"/>
      <c r="K173" s="54"/>
      <c r="L173" s="54"/>
      <c r="M173" s="54"/>
      <c r="N173" s="33"/>
    </row>
    <row r="174" spans="1:14" s="34" customFormat="1" ht="15.75" customHeight="1" x14ac:dyDescent="0.25">
      <c r="A174" s="74">
        <f>A173+1</f>
        <v>105</v>
      </c>
      <c r="B174" s="74"/>
      <c r="C174" s="60" t="s">
        <v>201</v>
      </c>
      <c r="D174" s="61">
        <f>(50.18)*10.764</f>
        <v>540.13751999999999</v>
      </c>
      <c r="E174" s="60">
        <v>0</v>
      </c>
      <c r="F174" s="60">
        <f>D174*(($F$151)+1)+(IF(E174&lt;101,E174,IF(E174&lt;201,E174/2,IF(E174&lt;=301,E174/3,E174/4))))</f>
        <v>810.20627999999999</v>
      </c>
      <c r="G174" s="82"/>
      <c r="H174" s="83"/>
      <c r="I174" s="33"/>
      <c r="K174" s="54"/>
      <c r="L174" s="54"/>
      <c r="M174" s="54"/>
      <c r="N174" s="33"/>
    </row>
    <row r="175" spans="1:14" s="34" customFormat="1" ht="15.75" customHeight="1" x14ac:dyDescent="0.25">
      <c r="A175" s="74">
        <f>A174+1</f>
        <v>106</v>
      </c>
      <c r="B175" s="74"/>
      <c r="C175" s="60" t="s">
        <v>194</v>
      </c>
      <c r="D175" s="61">
        <f>(40.57)*10.764</f>
        <v>436.69547999999998</v>
      </c>
      <c r="E175" s="60">
        <v>0</v>
      </c>
      <c r="F175" s="60">
        <f>D175*(($F$151)+1)+(IF(E175&lt;101,E175,IF(E175&lt;201,E175/2,IF(E175&lt;=301,E175/3,E175/4))))</f>
        <v>655.04322000000002</v>
      </c>
      <c r="G175" s="84"/>
      <c r="H175" s="85"/>
      <c r="I175" s="33"/>
      <c r="K175" s="54"/>
      <c r="L175" s="54"/>
      <c r="M175" s="54"/>
      <c r="N175" s="33"/>
    </row>
    <row r="176" spans="1:14" s="34" customFormat="1" x14ac:dyDescent="0.25">
      <c r="A176" s="106" t="s">
        <v>212</v>
      </c>
      <c r="B176" s="107"/>
      <c r="C176" s="107"/>
      <c r="D176" s="107"/>
      <c r="E176" s="107"/>
      <c r="F176" s="107"/>
      <c r="G176" s="107"/>
      <c r="H176" s="108"/>
      <c r="I176" s="33"/>
    </row>
    <row r="177" spans="1:14" s="34" customFormat="1" ht="15.75" customHeight="1" x14ac:dyDescent="0.25">
      <c r="A177" s="77" t="str">
        <f ca="1">(SUMPRODUCT(MID(0&amp;(LEFT(A176,SUM(LEN(A176)-LEN(SUBSTITUTE(A176,{"0","1","2"},""))))), LARGE(INDEX(ISNUMBER(--MID((LEFT(A176,SUM(LEN(A176)-LEN(SUBSTITUTE(A176,{"0","1","2"},""))))), ROW(INDIRECT("1:"&amp;LEN((LEFT(A176,SUM(LEN(A176)-LEN(SUBSTITUTE(A176,{"0","1","2"},"")))))))), 1)) * ROW(INDIRECT("1:"&amp;LEN((LEFT(A176,SUM(LEN(A176)-LEN(SUBSTITUTE(A176,{"0","1","2"},"")))))))), 0), ROW(INDIRECT("1:"&amp;LEN((LEFT(A176,SUM(LEN(A176)-LEN(SUBSTITUTE(A176,{"0","1","2"},"")))))))))+1, 1) * 10^ROW(INDIRECT("1:"&amp;LEN((LEFT(A176,SUM(LEN(A176)-LEN(SUBSTITUTE(A176,{"0","1","2"},""))))))))/10))*100+1&amp;""&amp;" to "&amp;""&amp;(SUMPRODUCT(MID(0&amp;(--TRIM(RIGHT(SUBSTITUTE(LEFT(A176,_xlfn.AGGREGATE(16,6,FIND({0,1,2,3,4,5,6,7,8,9},A176,ROW(INDIRECT("1:"&amp;LEN(A176)))),1))," ",REPT(" ",LEN(A176))),LEN(A176)))), LARGE(INDEX(ISNUMBER(--MID((--TRIM(RIGHT(SUBSTITUTE(LEFT(A176,_xlfn.AGGREGATE(16,6,FIND({0,1,2,3,4,5,6,7,8,9},A176,ROW(INDIRECT("1:"&amp;LEN(A176)))),1))," ",REPT(" ",LEN(A176))),LEN(A176)))), ROW(INDIRECT("1:"&amp;LEN((--TRIM(RIGHT(SUBSTITUTE(LEFT(A176,_xlfn.AGGREGATE(16,6,FIND({0,1,2,3,4,5,6,7,8,9},A176,ROW(INDIRECT("1:"&amp;LEN(A176)))),1))," ",REPT(" ",LEN(A176))),LEN(A176))))))), 1)) * ROW(INDIRECT("1:"&amp;LEN((--TRIM(RIGHT(SUBSTITUTE(LEFT(A176,_xlfn.AGGREGATE(16,6,FIND({0,1,2,3,4,5,6,7,8,9},A176,ROW(INDIRECT("1:"&amp;LEN(A176)))),1))," ",REPT(" ",LEN(A176))),LEN(A176))))))), 0), ROW(INDIRECT("1:"&amp;LEN((--TRIM(RIGHT(SUBSTITUTE(LEFT(A176,_xlfn.AGGREGATE(16,6,FIND({0,1,2,3,4,5,6,7,8,9},A176,ROW(INDIRECT("1:"&amp;LEN(A176)))),1))," ",REPT(" ",LEN(A176))),LEN(A176))))))))+1, 1) * 10^ROW(INDIRECT("1:"&amp;LEN((--TRIM(RIGHT(SUBSTITUTE(LEFT(A176,_xlfn.AGGREGATE(16,6,FIND({0,1,2,3,4,5,6,7,8,9},A176,ROW(INDIRECT("1:"&amp;LEN(A176)))),1))," ",REPT(" ",LEN(A176))),LEN(A176)))))))/10))*100+1</f>
        <v>201 to 1001</v>
      </c>
      <c r="B177" s="78"/>
      <c r="C177" s="39" t="s">
        <v>194</v>
      </c>
      <c r="D177" s="61">
        <f t="shared" ref="D177:D180" si="17">(35.72)*10.764</f>
        <v>384.49007999999998</v>
      </c>
      <c r="E177" s="39">
        <v>0</v>
      </c>
      <c r="F177" s="39">
        <f t="shared" ref="F177" si="18">D177*(($F$151)+1)+(IF(E177&lt;101,E177,IF(E177&lt;201,E177/2,IF(E177&lt;=301,E177/3,E177/4))))</f>
        <v>576.73511999999994</v>
      </c>
      <c r="G177" s="80" t="str">
        <f>A176</f>
        <v>2nd to 7th, 9th &amp; 10th Floor</v>
      </c>
      <c r="H177" s="81"/>
      <c r="I177" s="33"/>
    </row>
    <row r="178" spans="1:14" s="34" customFormat="1" ht="15.75" customHeight="1" x14ac:dyDescent="0.25">
      <c r="A178" s="77" t="str">
        <f ca="1">(SUMPRODUCT(MID(0&amp;(LEFT(A177,SUM(LEN(A177)-LEN(SUBSTITUTE(A177,{"0","1","2"},""))))), LARGE(INDEX(ISNUMBER(--MID((LEFT(A177,SUM(LEN(A177)-LEN(SUBSTITUTE(A177,{"0","1","2"},""))))), ROW(INDIRECT("1:"&amp;LEN((LEFT(A177,SUM(LEN(A177)-LEN(SUBSTITUTE(A177,{"0","1","2"},"")))))))), 1)) * ROW(INDIRECT("1:"&amp;LEN((LEFT(A177,SUM(LEN(A177)-LEN(SUBSTITUTE(A177,{"0","1","2"},"")))))))), 0), ROW(INDIRECT("1:"&amp;LEN((LEFT(A177,SUM(LEN(A177)-LEN(SUBSTITUTE(A177,{"0","1","2"},"")))))))))+1, 1) * 10^ROW(INDIRECT("1:"&amp;LEN((LEFT(A177,SUM(LEN(A177)-LEN(SUBSTITUTE(A177,{"0","1","2"},""))))))))/10))*1+1&amp;""&amp;" to "&amp;""&amp;(SUMPRODUCT(MID(0&amp;(--TRIM(RIGHT(SUBSTITUTE(LEFT(A177,_xlfn.AGGREGATE(16,6,FIND({0,1,2,3,4,5,6,7,8,9},A177,ROW(INDIRECT("1:"&amp;LEN(A177)))),1))," ",REPT(" ",LEN(A177))),LEN(A177)))), LARGE(INDEX(ISNUMBER(--MID((--TRIM(RIGHT(SUBSTITUTE(LEFT(A177,_xlfn.AGGREGATE(16,6,FIND({0,1,2,3,4,5,6,7,8,9},A177,ROW(INDIRECT("1:"&amp;LEN(A177)))),1))," ",REPT(" ",LEN(A177))),LEN(A177)))), ROW(INDIRECT("1:"&amp;LEN((--TRIM(RIGHT(SUBSTITUTE(LEFT(A177,_xlfn.AGGREGATE(16,6,FIND({0,1,2,3,4,5,6,7,8,9},A177,ROW(INDIRECT("1:"&amp;LEN(A177)))),1))," ",REPT(" ",LEN(A177))),LEN(A177))))))), 1)) * ROW(INDIRECT("1:"&amp;LEN((--TRIM(RIGHT(SUBSTITUTE(LEFT(A177,_xlfn.AGGREGATE(16,6,FIND({0,1,2,3,4,5,6,7,8,9},A177,ROW(INDIRECT("1:"&amp;LEN(A177)))),1))," ",REPT(" ",LEN(A177))),LEN(A177))))))), 0), ROW(INDIRECT("1:"&amp;LEN((--TRIM(RIGHT(SUBSTITUTE(LEFT(A177,_xlfn.AGGREGATE(16,6,FIND({0,1,2,3,4,5,6,7,8,9},A177,ROW(INDIRECT("1:"&amp;LEN(A177)))),1))," ",REPT(" ",LEN(A177))),LEN(A177))))))))+1, 1) * 10^ROW(INDIRECT("1:"&amp;LEN((--TRIM(RIGHT(SUBSTITUTE(LEFT(A177,_xlfn.AGGREGATE(16,6,FIND({0,1,2,3,4,5,6,7,8,9},A177,ROW(INDIRECT("1:"&amp;LEN(A177)))),1))," ",REPT(" ",LEN(A177))),LEN(A177)))))))/10))*1+1</f>
        <v>202 to 1002</v>
      </c>
      <c r="B178" s="78"/>
      <c r="C178" s="39" t="s">
        <v>194</v>
      </c>
      <c r="D178" s="61">
        <f t="shared" si="17"/>
        <v>384.49007999999998</v>
      </c>
      <c r="E178" s="39">
        <v>0</v>
      </c>
      <c r="F178" s="39">
        <f t="shared" ref="F178" si="19">D178*(($F$151)+1)+(IF(E178&lt;101,E178,IF(E178&lt;201,E178/2,IF(E178&lt;=301,E178/3,E178/4))))</f>
        <v>576.73511999999994</v>
      </c>
      <c r="G178" s="82"/>
      <c r="H178" s="83"/>
      <c r="I178" s="33"/>
    </row>
    <row r="179" spans="1:14" s="34" customFormat="1" ht="15.75" customHeight="1" x14ac:dyDescent="0.25">
      <c r="A179" s="77" t="str">
        <f ca="1">(SUMPRODUCT(MID(0&amp;(LEFT(A178,SUM(LEN(A178)-LEN(SUBSTITUTE(A178,{"0","1","2"},""))))), LARGE(INDEX(ISNUMBER(--MID((LEFT(A178,SUM(LEN(A178)-LEN(SUBSTITUTE(A178,{"0","1","2"},""))))), ROW(INDIRECT("1:"&amp;LEN((LEFT(A178,SUM(LEN(A178)-LEN(SUBSTITUTE(A178,{"0","1","2"},"")))))))), 1)) * ROW(INDIRECT("1:"&amp;LEN((LEFT(A178,SUM(LEN(A178)-LEN(SUBSTITUTE(A178,{"0","1","2"},"")))))))), 0), ROW(INDIRECT("1:"&amp;LEN((LEFT(A178,SUM(LEN(A178)-LEN(SUBSTITUTE(A178,{"0","1","2"},"")))))))))+1, 1) * 10^ROW(INDIRECT("1:"&amp;LEN((LEFT(A178,SUM(LEN(A178)-LEN(SUBSTITUTE(A178,{"0","1","2"},""))))))))/10))*1+1&amp;""&amp;" to "&amp;""&amp;(SUMPRODUCT(MID(0&amp;(--TRIM(RIGHT(SUBSTITUTE(LEFT(A178,_xlfn.AGGREGATE(16,6,FIND({0,1,2,3,4,5,6,7,8,9},A178,ROW(INDIRECT("1:"&amp;LEN(A178)))),1))," ",REPT(" ",LEN(A178))),LEN(A178)))), LARGE(INDEX(ISNUMBER(--MID((--TRIM(RIGHT(SUBSTITUTE(LEFT(A178,_xlfn.AGGREGATE(16,6,FIND({0,1,2,3,4,5,6,7,8,9},A178,ROW(INDIRECT("1:"&amp;LEN(A178)))),1))," ",REPT(" ",LEN(A178))),LEN(A178)))), ROW(INDIRECT("1:"&amp;LEN((--TRIM(RIGHT(SUBSTITUTE(LEFT(A178,_xlfn.AGGREGATE(16,6,FIND({0,1,2,3,4,5,6,7,8,9},A178,ROW(INDIRECT("1:"&amp;LEN(A178)))),1))," ",REPT(" ",LEN(A178))),LEN(A178))))))), 1)) * ROW(INDIRECT("1:"&amp;LEN((--TRIM(RIGHT(SUBSTITUTE(LEFT(A178,_xlfn.AGGREGATE(16,6,FIND({0,1,2,3,4,5,6,7,8,9},A178,ROW(INDIRECT("1:"&amp;LEN(A178)))),1))," ",REPT(" ",LEN(A178))),LEN(A178))))))), 0), ROW(INDIRECT("1:"&amp;LEN((--TRIM(RIGHT(SUBSTITUTE(LEFT(A178,_xlfn.AGGREGATE(16,6,FIND({0,1,2,3,4,5,6,7,8,9},A178,ROW(INDIRECT("1:"&amp;LEN(A178)))),1))," ",REPT(" ",LEN(A178))),LEN(A178))))))))+1, 1) * 10^ROW(INDIRECT("1:"&amp;LEN((--TRIM(RIGHT(SUBSTITUTE(LEFT(A178,_xlfn.AGGREGATE(16,6,FIND({0,1,2,3,4,5,6,7,8,9},A178,ROW(INDIRECT("1:"&amp;LEN(A178)))),1))," ",REPT(" ",LEN(A178))),LEN(A178)))))))/10))*1+1</f>
        <v>203 to 1003</v>
      </c>
      <c r="B179" s="78"/>
      <c r="C179" s="39" t="s">
        <v>194</v>
      </c>
      <c r="D179" s="61">
        <f t="shared" si="17"/>
        <v>384.49007999999998</v>
      </c>
      <c r="E179" s="39">
        <v>0</v>
      </c>
      <c r="F179" s="39">
        <f>D179*(($F$151)+1)+(IF(E179&lt;101,E179,IF(E179&lt;201,E179/2,IF(E179&lt;=301,E179/3,E179/4))))</f>
        <v>576.73511999999994</v>
      </c>
      <c r="G179" s="82"/>
      <c r="H179" s="83"/>
      <c r="I179" s="33"/>
    </row>
    <row r="180" spans="1:14" s="34" customFormat="1" ht="15.75" customHeight="1" x14ac:dyDescent="0.25">
      <c r="A180" s="77" t="str">
        <f ca="1">(SUMPRODUCT(MID(0&amp;(LEFT(A179,SUM(LEN(A179)-LEN(SUBSTITUTE(A179,{"0","1","2"},""))))), LARGE(INDEX(ISNUMBER(--MID((LEFT(A179,SUM(LEN(A179)-LEN(SUBSTITUTE(A179,{"0","1","2"},""))))), ROW(INDIRECT("1:"&amp;LEN((LEFT(A179,SUM(LEN(A179)-LEN(SUBSTITUTE(A179,{"0","1","2"},"")))))))), 1)) * ROW(INDIRECT("1:"&amp;LEN((LEFT(A179,SUM(LEN(A179)-LEN(SUBSTITUTE(A179,{"0","1","2"},"")))))))), 0), ROW(INDIRECT("1:"&amp;LEN((LEFT(A179,SUM(LEN(A179)-LEN(SUBSTITUTE(A179,{"0","1","2"},"")))))))))+1, 1) * 10^ROW(INDIRECT("1:"&amp;LEN((LEFT(A179,SUM(LEN(A179)-LEN(SUBSTITUTE(A179,{"0","1","2"},""))))))))/10))*1+1&amp;""&amp;" to "&amp;""&amp;(SUMPRODUCT(MID(0&amp;(--TRIM(RIGHT(SUBSTITUTE(LEFT(A179,_xlfn.AGGREGATE(16,6,FIND({0,1,2,3,4,5,6,7,8,9},A179,ROW(INDIRECT("1:"&amp;LEN(A179)))),1))," ",REPT(" ",LEN(A179))),LEN(A179)))), LARGE(INDEX(ISNUMBER(--MID((--TRIM(RIGHT(SUBSTITUTE(LEFT(A179,_xlfn.AGGREGATE(16,6,FIND({0,1,2,3,4,5,6,7,8,9},A179,ROW(INDIRECT("1:"&amp;LEN(A179)))),1))," ",REPT(" ",LEN(A179))),LEN(A179)))), ROW(INDIRECT("1:"&amp;LEN((--TRIM(RIGHT(SUBSTITUTE(LEFT(A179,_xlfn.AGGREGATE(16,6,FIND({0,1,2,3,4,5,6,7,8,9},A179,ROW(INDIRECT("1:"&amp;LEN(A179)))),1))," ",REPT(" ",LEN(A179))),LEN(A179))))))), 1)) * ROW(INDIRECT("1:"&amp;LEN((--TRIM(RIGHT(SUBSTITUTE(LEFT(A179,_xlfn.AGGREGATE(16,6,FIND({0,1,2,3,4,5,6,7,8,9},A179,ROW(INDIRECT("1:"&amp;LEN(A179)))),1))," ",REPT(" ",LEN(A179))),LEN(A179))))))), 0), ROW(INDIRECT("1:"&amp;LEN((--TRIM(RIGHT(SUBSTITUTE(LEFT(A179,_xlfn.AGGREGATE(16,6,FIND({0,1,2,3,4,5,6,7,8,9},A179,ROW(INDIRECT("1:"&amp;LEN(A179)))),1))," ",REPT(" ",LEN(A179))),LEN(A179))))))))+1, 1) * 10^ROW(INDIRECT("1:"&amp;LEN((--TRIM(RIGHT(SUBSTITUTE(LEFT(A179,_xlfn.AGGREGATE(16,6,FIND({0,1,2,3,4,5,6,7,8,9},A179,ROW(INDIRECT("1:"&amp;LEN(A179)))),1))," ",REPT(" ",LEN(A179))),LEN(A179)))))))/10))*1+1</f>
        <v>204 to 1004</v>
      </c>
      <c r="B180" s="78"/>
      <c r="C180" s="39" t="s">
        <v>194</v>
      </c>
      <c r="D180" s="61">
        <f t="shared" si="17"/>
        <v>384.49007999999998</v>
      </c>
      <c r="E180" s="39">
        <v>0</v>
      </c>
      <c r="F180" s="39">
        <f>D180*(($F$151)+1)+(IF(E180&lt;101,E180,IF(E180&lt;201,E180/2,IF(E180&lt;=301,E180/3,E180/4))))</f>
        <v>576.73511999999994</v>
      </c>
      <c r="G180" s="82"/>
      <c r="H180" s="83"/>
      <c r="I180" s="33"/>
    </row>
    <row r="181" spans="1:14" s="34" customFormat="1" ht="15.75" customHeight="1" x14ac:dyDescent="0.25">
      <c r="A181" s="77" t="str">
        <f ca="1">(SUMPRODUCT(MID(0&amp;(LEFT(A180,SUM(LEN(A180)-LEN(SUBSTITUTE(A180,{"0","1","2"},""))))), LARGE(INDEX(ISNUMBER(--MID((LEFT(A180,SUM(LEN(A180)-LEN(SUBSTITUTE(A180,{"0","1","2"},""))))), ROW(INDIRECT("1:"&amp;LEN((LEFT(A180,SUM(LEN(A180)-LEN(SUBSTITUTE(A180,{"0","1","2"},"")))))))), 1)) * ROW(INDIRECT("1:"&amp;LEN((LEFT(A180,SUM(LEN(A180)-LEN(SUBSTITUTE(A180,{"0","1","2"},"")))))))), 0), ROW(INDIRECT("1:"&amp;LEN((LEFT(A180,SUM(LEN(A180)-LEN(SUBSTITUTE(A180,{"0","1","2"},"")))))))))+1, 1) * 10^ROW(INDIRECT("1:"&amp;LEN((LEFT(A180,SUM(LEN(A180)-LEN(SUBSTITUTE(A180,{"0","1","2"},""))))))))/10))*1+1&amp;""&amp;" to "&amp;""&amp;(SUMPRODUCT(MID(0&amp;(--TRIM(RIGHT(SUBSTITUTE(LEFT(A180,_xlfn.AGGREGATE(16,6,FIND({0,1,2,3,4,5,6,7,8,9},A180,ROW(INDIRECT("1:"&amp;LEN(A180)))),1))," ",REPT(" ",LEN(A180))),LEN(A180)))), LARGE(INDEX(ISNUMBER(--MID((--TRIM(RIGHT(SUBSTITUTE(LEFT(A180,_xlfn.AGGREGATE(16,6,FIND({0,1,2,3,4,5,6,7,8,9},A180,ROW(INDIRECT("1:"&amp;LEN(A180)))),1))," ",REPT(" ",LEN(A180))),LEN(A180)))), ROW(INDIRECT("1:"&amp;LEN((--TRIM(RIGHT(SUBSTITUTE(LEFT(A180,_xlfn.AGGREGATE(16,6,FIND({0,1,2,3,4,5,6,7,8,9},A180,ROW(INDIRECT("1:"&amp;LEN(A180)))),1))," ",REPT(" ",LEN(A180))),LEN(A180))))))), 1)) * ROW(INDIRECT("1:"&amp;LEN((--TRIM(RIGHT(SUBSTITUTE(LEFT(A180,_xlfn.AGGREGATE(16,6,FIND({0,1,2,3,4,5,6,7,8,9},A180,ROW(INDIRECT("1:"&amp;LEN(A180)))),1))," ",REPT(" ",LEN(A180))),LEN(A180))))))), 0), ROW(INDIRECT("1:"&amp;LEN((--TRIM(RIGHT(SUBSTITUTE(LEFT(A180,_xlfn.AGGREGATE(16,6,FIND({0,1,2,3,4,5,6,7,8,9},A180,ROW(INDIRECT("1:"&amp;LEN(A180)))),1))," ",REPT(" ",LEN(A180))),LEN(A180))))))))+1, 1) * 10^ROW(INDIRECT("1:"&amp;LEN((--TRIM(RIGHT(SUBSTITUTE(LEFT(A180,_xlfn.AGGREGATE(16,6,FIND({0,1,2,3,4,5,6,7,8,9},A180,ROW(INDIRECT("1:"&amp;LEN(A180)))),1))," ",REPT(" ",LEN(A180))),LEN(A180)))))))/10))*1+1</f>
        <v>205 to 1005</v>
      </c>
      <c r="B181" s="78"/>
      <c r="C181" s="39" t="s">
        <v>201</v>
      </c>
      <c r="D181" s="61">
        <f>(50.18)*10.764</f>
        <v>540.13751999999999</v>
      </c>
      <c r="E181" s="39">
        <v>0</v>
      </c>
      <c r="F181" s="39">
        <f>D181*(($F$151)+1)+(IF(E181&lt;101,E181,IF(E181&lt;201,E181/2,IF(E181&lt;=301,E181/3,E181/4))))</f>
        <v>810.20627999999999</v>
      </c>
      <c r="G181" s="82"/>
      <c r="H181" s="83"/>
      <c r="I181" s="33"/>
    </row>
    <row r="182" spans="1:14" s="34" customFormat="1" ht="15.75" customHeight="1" x14ac:dyDescent="0.25">
      <c r="A182" s="77" t="str">
        <f ca="1">(SUMPRODUCT(MID(0&amp;(LEFT(A181,SUM(LEN(A181)-LEN(SUBSTITUTE(A181,{"0","1","2"},""))))), LARGE(INDEX(ISNUMBER(--MID((LEFT(A181,SUM(LEN(A181)-LEN(SUBSTITUTE(A181,{"0","1","2"},""))))), ROW(INDIRECT("1:"&amp;LEN((LEFT(A181,SUM(LEN(A181)-LEN(SUBSTITUTE(A181,{"0","1","2"},"")))))))), 1)) * ROW(INDIRECT("1:"&amp;LEN((LEFT(A181,SUM(LEN(A181)-LEN(SUBSTITUTE(A181,{"0","1","2"},"")))))))), 0), ROW(INDIRECT("1:"&amp;LEN((LEFT(A181,SUM(LEN(A181)-LEN(SUBSTITUTE(A181,{"0","1","2"},"")))))))))+1, 1) * 10^ROW(INDIRECT("1:"&amp;LEN((LEFT(A181,SUM(LEN(A181)-LEN(SUBSTITUTE(A181,{"0","1","2"},""))))))))/10))*1+1&amp;""&amp;" to "&amp;""&amp;(SUMPRODUCT(MID(0&amp;(--TRIM(RIGHT(SUBSTITUTE(LEFT(A181,_xlfn.AGGREGATE(16,6,FIND({0,1,2,3,4,5,6,7,8,9},A181,ROW(INDIRECT("1:"&amp;LEN(A181)))),1))," ",REPT(" ",LEN(A181))),LEN(A181)))), LARGE(INDEX(ISNUMBER(--MID((--TRIM(RIGHT(SUBSTITUTE(LEFT(A181,_xlfn.AGGREGATE(16,6,FIND({0,1,2,3,4,5,6,7,8,9},A181,ROW(INDIRECT("1:"&amp;LEN(A181)))),1))," ",REPT(" ",LEN(A181))),LEN(A181)))), ROW(INDIRECT("1:"&amp;LEN((--TRIM(RIGHT(SUBSTITUTE(LEFT(A181,_xlfn.AGGREGATE(16,6,FIND({0,1,2,3,4,5,6,7,8,9},A181,ROW(INDIRECT("1:"&amp;LEN(A181)))),1))," ",REPT(" ",LEN(A181))),LEN(A181))))))), 1)) * ROW(INDIRECT("1:"&amp;LEN((--TRIM(RIGHT(SUBSTITUTE(LEFT(A181,_xlfn.AGGREGATE(16,6,FIND({0,1,2,3,4,5,6,7,8,9},A181,ROW(INDIRECT("1:"&amp;LEN(A181)))),1))," ",REPT(" ",LEN(A181))),LEN(A181))))))), 0), ROW(INDIRECT("1:"&amp;LEN((--TRIM(RIGHT(SUBSTITUTE(LEFT(A181,_xlfn.AGGREGATE(16,6,FIND({0,1,2,3,4,5,6,7,8,9},A181,ROW(INDIRECT("1:"&amp;LEN(A181)))),1))," ",REPT(" ",LEN(A181))),LEN(A181))))))))+1, 1) * 10^ROW(INDIRECT("1:"&amp;LEN((--TRIM(RIGHT(SUBSTITUTE(LEFT(A181,_xlfn.AGGREGATE(16,6,FIND({0,1,2,3,4,5,6,7,8,9},A181,ROW(INDIRECT("1:"&amp;LEN(A181)))),1))," ",REPT(" ",LEN(A181))),LEN(A181)))))))/10))*1+1</f>
        <v>206 to 1006</v>
      </c>
      <c r="B182" s="78"/>
      <c r="C182" s="39" t="s">
        <v>194</v>
      </c>
      <c r="D182" s="61">
        <f>(40.57)*10.764</f>
        <v>436.69547999999998</v>
      </c>
      <c r="E182" s="39">
        <v>0</v>
      </c>
      <c r="F182" s="39">
        <f>D182*(($F$151)+1)+(IF(E182&lt;101,E182,IF(E182&lt;201,E182/2,IF(E182&lt;=301,E182/3,E182/4))))</f>
        <v>655.04322000000002</v>
      </c>
      <c r="G182" s="84"/>
      <c r="H182" s="85"/>
      <c r="I182" s="33"/>
    </row>
    <row r="183" spans="1:14" s="34" customFormat="1" x14ac:dyDescent="0.25">
      <c r="A183" s="106" t="s">
        <v>193</v>
      </c>
      <c r="B183" s="107"/>
      <c r="C183" s="107"/>
      <c r="D183" s="107"/>
      <c r="E183" s="107"/>
      <c r="F183" s="107"/>
      <c r="G183" s="107"/>
      <c r="H183" s="108"/>
      <c r="I183" s="33"/>
    </row>
    <row r="184" spans="1:14" s="34" customFormat="1" ht="15.75" customHeight="1" x14ac:dyDescent="0.25">
      <c r="A184" s="77">
        <v>801</v>
      </c>
      <c r="B184" s="78"/>
      <c r="C184" s="39" t="s">
        <v>194</v>
      </c>
      <c r="D184" s="61">
        <f t="shared" ref="D184:D187" si="20">(35.72)*10.764</f>
        <v>384.49007999999998</v>
      </c>
      <c r="E184" s="39">
        <v>0</v>
      </c>
      <c r="F184" s="39">
        <f t="shared" ref="F184:F185" si="21">D184*(($F$151)+1)+(IF(E184&lt;101,E184,IF(E184&lt;201,E184/2,IF(E184&lt;=301,E184/3,E184/4))))</f>
        <v>576.73511999999994</v>
      </c>
      <c r="G184" s="80" t="str">
        <f>A183</f>
        <v>8th Floor (Part Refuge Area)</v>
      </c>
      <c r="H184" s="81"/>
      <c r="I184" s="33"/>
    </row>
    <row r="185" spans="1:14" s="34" customFormat="1" ht="15.75" customHeight="1" x14ac:dyDescent="0.25">
      <c r="A185" s="77">
        <f>A184+1</f>
        <v>802</v>
      </c>
      <c r="B185" s="78"/>
      <c r="C185" s="39" t="s">
        <v>194</v>
      </c>
      <c r="D185" s="61">
        <f t="shared" si="20"/>
        <v>384.49007999999998</v>
      </c>
      <c r="E185" s="39">
        <v>0</v>
      </c>
      <c r="F185" s="39">
        <f t="shared" si="21"/>
        <v>576.73511999999994</v>
      </c>
      <c r="G185" s="82"/>
      <c r="H185" s="83"/>
      <c r="I185" s="33"/>
    </row>
    <row r="186" spans="1:14" s="34" customFormat="1" ht="15.75" customHeight="1" x14ac:dyDescent="0.25">
      <c r="A186" s="77">
        <f t="shared" ref="A186:A189" si="22">A185+1</f>
        <v>803</v>
      </c>
      <c r="B186" s="78"/>
      <c r="C186" s="77" t="s">
        <v>195</v>
      </c>
      <c r="D186" s="118"/>
      <c r="E186" s="118"/>
      <c r="F186" s="78"/>
      <c r="G186" s="82"/>
      <c r="H186" s="83"/>
      <c r="I186" s="33"/>
    </row>
    <row r="187" spans="1:14" s="34" customFormat="1" ht="15.75" customHeight="1" x14ac:dyDescent="0.25">
      <c r="A187" s="77">
        <f t="shared" si="22"/>
        <v>804</v>
      </c>
      <c r="B187" s="78"/>
      <c r="C187" s="39" t="s">
        <v>194</v>
      </c>
      <c r="D187" s="61">
        <f t="shared" si="20"/>
        <v>384.49007999999998</v>
      </c>
      <c r="E187" s="39">
        <v>0</v>
      </c>
      <c r="F187" s="39">
        <f>D187*(($F$151)+1)+(IF(E187&lt;101,E187,IF(E187&lt;201,E187/2,IF(E187&lt;=301,E187/3,E187/4))))</f>
        <v>576.73511999999994</v>
      </c>
      <c r="G187" s="82"/>
      <c r="H187" s="83"/>
      <c r="I187" s="33"/>
    </row>
    <row r="188" spans="1:14" s="34" customFormat="1" ht="15.75" customHeight="1" x14ac:dyDescent="0.25">
      <c r="A188" s="77">
        <f t="shared" si="22"/>
        <v>805</v>
      </c>
      <c r="B188" s="78"/>
      <c r="C188" s="39" t="s">
        <v>201</v>
      </c>
      <c r="D188" s="61">
        <f>(50.18)*10.764</f>
        <v>540.13751999999999</v>
      </c>
      <c r="E188" s="39">
        <v>0</v>
      </c>
      <c r="F188" s="39">
        <f>D188*(($F$151)+1)+(IF(E188&lt;101,E188,IF(E188&lt;201,E188/2,IF(E188&lt;=301,E188/3,E188/4))))</f>
        <v>810.20627999999999</v>
      </c>
      <c r="G188" s="82"/>
      <c r="H188" s="83"/>
      <c r="I188" s="33"/>
    </row>
    <row r="189" spans="1:14" s="34" customFormat="1" ht="15.75" customHeight="1" x14ac:dyDescent="0.25">
      <c r="A189" s="77">
        <f t="shared" si="22"/>
        <v>806</v>
      </c>
      <c r="B189" s="78"/>
      <c r="C189" s="39" t="s">
        <v>194</v>
      </c>
      <c r="D189" s="61">
        <f>(40.57)*10.764</f>
        <v>436.69547999999998</v>
      </c>
      <c r="E189" s="39">
        <v>0</v>
      </c>
      <c r="F189" s="39">
        <f>D189*(($F$151)+1)+(IF(E189&lt;101,E189,IF(E189&lt;201,E189/2,IF(E189&lt;=301,E189/3,E189/4))))</f>
        <v>655.04322000000002</v>
      </c>
      <c r="G189" s="84"/>
      <c r="H189" s="85"/>
      <c r="I189" s="33"/>
    </row>
    <row r="190" spans="1:14" s="34" customFormat="1" x14ac:dyDescent="0.25">
      <c r="A190" s="79" t="s">
        <v>202</v>
      </c>
      <c r="B190" s="79"/>
      <c r="C190" s="79"/>
      <c r="D190" s="79"/>
      <c r="E190" s="79"/>
      <c r="F190" s="79"/>
      <c r="G190" s="79"/>
      <c r="H190" s="79"/>
      <c r="J190" s="33"/>
      <c r="K190" s="21"/>
      <c r="L190" s="21"/>
      <c r="M190" s="18"/>
    </row>
    <row r="191" spans="1:14" s="34" customFormat="1" ht="15.75" customHeight="1" x14ac:dyDescent="0.25">
      <c r="A191" s="79" t="s">
        <v>211</v>
      </c>
      <c r="B191" s="79"/>
      <c r="C191" s="79"/>
      <c r="D191" s="79"/>
      <c r="E191" s="79"/>
      <c r="F191" s="79"/>
      <c r="G191" s="79"/>
      <c r="H191" s="79"/>
      <c r="I191" s="33"/>
      <c r="K191" s="54"/>
      <c r="L191" s="54"/>
      <c r="M191" s="54"/>
    </row>
    <row r="192" spans="1:14" s="34" customFormat="1" ht="15.75" customHeight="1" x14ac:dyDescent="0.25">
      <c r="A192" s="74">
        <f>LEFT(A191,SUM(LEN(A191)-LEN(SUBSTITUTE(A191,{"0","1","2","3","4","5","6","7","8","9"},""))))*100+1</f>
        <v>101</v>
      </c>
      <c r="B192" s="74"/>
      <c r="C192" s="39" t="s">
        <v>194</v>
      </c>
      <c r="D192" s="58">
        <f>(35.72)*10.764</f>
        <v>384.49007999999998</v>
      </c>
      <c r="E192" s="39">
        <v>0</v>
      </c>
      <c r="F192" s="39">
        <f t="shared" ref="F192" si="23">D192*(($F$151)+1)+(IF(E192&lt;101,E192,IF(E192&lt;201,E192/2,IF(E192&lt;=301,E192/3,E192/4))))</f>
        <v>576.73511999999994</v>
      </c>
      <c r="G192" s="74" t="str">
        <f>A191</f>
        <v>1st Floor for Finess Centre, Indoor Games, A.V. Room &amp; Residential</v>
      </c>
      <c r="H192" s="74"/>
      <c r="I192" s="33"/>
      <c r="K192" s="54"/>
      <c r="L192" s="54"/>
      <c r="M192" s="54"/>
      <c r="N192" s="33"/>
    </row>
    <row r="193" spans="1:14" s="34" customFormat="1" ht="15.75" customHeight="1" x14ac:dyDescent="0.25">
      <c r="A193" s="74">
        <f t="shared" ref="A193:A202" si="24">A192+1</f>
        <v>102</v>
      </c>
      <c r="B193" s="74"/>
      <c r="C193" s="39" t="s">
        <v>194</v>
      </c>
      <c r="D193" s="58">
        <f>(35.72)*10.764</f>
        <v>384.49007999999998</v>
      </c>
      <c r="E193" s="39">
        <v>0</v>
      </c>
      <c r="F193" s="39">
        <f t="shared" ref="F193" si="25">D193*(($F$151)+1)+(IF(E193&lt;101,E193,IF(E193&lt;201,E193/2,IF(E193&lt;=301,E193/3,E193/4))))</f>
        <v>576.73511999999994</v>
      </c>
      <c r="G193" s="74"/>
      <c r="H193" s="74"/>
      <c r="I193" s="33"/>
      <c r="K193" s="54"/>
      <c r="L193" s="54"/>
      <c r="M193" s="54"/>
      <c r="N193" s="33"/>
    </row>
    <row r="194" spans="1:14" s="34" customFormat="1" ht="15.75" customHeight="1" x14ac:dyDescent="0.25">
      <c r="A194" s="74">
        <f t="shared" si="24"/>
        <v>103</v>
      </c>
      <c r="B194" s="74"/>
      <c r="C194" s="39" t="s">
        <v>194</v>
      </c>
      <c r="D194" s="58">
        <f t="shared" ref="D194" si="26">(35.72)*10.764</f>
        <v>384.49007999999998</v>
      </c>
      <c r="E194" s="39">
        <v>0</v>
      </c>
      <c r="F194" s="39">
        <f>D194*(($F$151)+1)+(IF(E194&lt;101,E194,IF(E194&lt;201,E194/2,IF(E194&lt;=301,E194/3,E194/4))))</f>
        <v>576.73511999999994</v>
      </c>
      <c r="G194" s="74"/>
      <c r="H194" s="74"/>
      <c r="I194" s="33"/>
      <c r="K194" s="54"/>
      <c r="L194" s="54"/>
      <c r="M194" s="54"/>
      <c r="N194" s="33"/>
    </row>
    <row r="195" spans="1:14" s="34" customFormat="1" ht="15.75" customHeight="1" x14ac:dyDescent="0.25">
      <c r="A195" s="74">
        <f t="shared" si="24"/>
        <v>104</v>
      </c>
      <c r="B195" s="74"/>
      <c r="C195" s="74" t="s">
        <v>200</v>
      </c>
      <c r="D195" s="74"/>
      <c r="E195" s="74"/>
      <c r="F195" s="74"/>
      <c r="G195" s="74"/>
      <c r="H195" s="74"/>
      <c r="I195" s="33"/>
      <c r="K195" s="54"/>
      <c r="L195" s="54"/>
      <c r="M195" s="54"/>
      <c r="N195" s="33"/>
    </row>
    <row r="196" spans="1:14" s="34" customFormat="1" ht="15.75" customHeight="1" x14ac:dyDescent="0.25">
      <c r="A196" s="74">
        <f t="shared" si="24"/>
        <v>105</v>
      </c>
      <c r="B196" s="74"/>
      <c r="C196" s="74" t="s">
        <v>209</v>
      </c>
      <c r="D196" s="74"/>
      <c r="E196" s="74"/>
      <c r="F196" s="74"/>
      <c r="G196" s="74"/>
      <c r="H196" s="74"/>
      <c r="I196" s="33"/>
      <c r="K196" s="54"/>
      <c r="L196" s="54"/>
      <c r="M196" s="54"/>
      <c r="N196" s="33"/>
    </row>
    <row r="197" spans="1:14" s="34" customFormat="1" ht="15.75" customHeight="1" x14ac:dyDescent="0.25">
      <c r="A197" s="74">
        <f t="shared" si="24"/>
        <v>106</v>
      </c>
      <c r="B197" s="74"/>
      <c r="C197" s="74" t="s">
        <v>210</v>
      </c>
      <c r="D197" s="74"/>
      <c r="E197" s="74"/>
      <c r="F197" s="74"/>
      <c r="G197" s="74"/>
      <c r="H197" s="74"/>
      <c r="I197" s="33"/>
      <c r="K197" s="54"/>
      <c r="L197" s="54"/>
      <c r="M197" s="54"/>
      <c r="N197" s="33"/>
    </row>
    <row r="198" spans="1:14" s="34" customFormat="1" ht="15.75" customHeight="1" x14ac:dyDescent="0.25">
      <c r="A198" s="74">
        <f t="shared" si="24"/>
        <v>107</v>
      </c>
      <c r="B198" s="74"/>
      <c r="C198" s="39" t="s">
        <v>194</v>
      </c>
      <c r="D198" s="58">
        <f t="shared" ref="D198:D199" si="27">(35.72)*10.764</f>
        <v>384.49007999999998</v>
      </c>
      <c r="E198" s="39">
        <v>0</v>
      </c>
      <c r="F198" s="39">
        <f>D198*(($F$151)+1)+(IF(E198&lt;101,E198,IF(E198&lt;201,E198/2,IF(E198&lt;=301,E198/3,E198/4))))</f>
        <v>576.73511999999994</v>
      </c>
      <c r="G198" s="74"/>
      <c r="H198" s="74"/>
      <c r="I198" s="33"/>
      <c r="K198" s="54"/>
      <c r="L198" s="54"/>
      <c r="M198" s="54"/>
      <c r="N198" s="33"/>
    </row>
    <row r="199" spans="1:14" s="34" customFormat="1" ht="15.75" customHeight="1" x14ac:dyDescent="0.25">
      <c r="A199" s="74">
        <f t="shared" si="24"/>
        <v>108</v>
      </c>
      <c r="B199" s="74"/>
      <c r="C199" s="39" t="s">
        <v>194</v>
      </c>
      <c r="D199" s="58">
        <f t="shared" si="27"/>
        <v>384.49007999999998</v>
      </c>
      <c r="E199" s="39">
        <v>0</v>
      </c>
      <c r="F199" s="39">
        <f>D199*(($F$151)+1)+(IF(E199&lt;101,E199,IF(E199&lt;201,E199/2,IF(E199&lt;=301,E199/3,E199/4))))</f>
        <v>576.73511999999994</v>
      </c>
      <c r="G199" s="74"/>
      <c r="H199" s="74"/>
      <c r="I199" s="33"/>
      <c r="K199" s="54"/>
      <c r="L199" s="54"/>
      <c r="M199" s="54"/>
      <c r="N199" s="33"/>
    </row>
    <row r="200" spans="1:14" s="34" customFormat="1" ht="15.75" customHeight="1" x14ac:dyDescent="0.25">
      <c r="A200" s="74">
        <f t="shared" si="24"/>
        <v>109</v>
      </c>
      <c r="B200" s="74"/>
      <c r="C200" s="39" t="s">
        <v>201</v>
      </c>
      <c r="D200" s="58">
        <f>(49.96)*10.764</f>
        <v>537.76944000000003</v>
      </c>
      <c r="E200" s="39">
        <v>0</v>
      </c>
      <c r="F200" s="39">
        <f>D200*(($F$151)+1)+(IF(E200&lt;101,E200,IF(E200&lt;201,E200/2,IF(E200&lt;=301,E200/3,E200/4))))</f>
        <v>806.65416000000005</v>
      </c>
      <c r="G200" s="74"/>
      <c r="H200" s="74"/>
      <c r="I200" s="33"/>
      <c r="K200" s="54"/>
      <c r="L200" s="54"/>
      <c r="M200" s="54"/>
      <c r="N200" s="33"/>
    </row>
    <row r="201" spans="1:14" s="34" customFormat="1" ht="15.75" customHeight="1" x14ac:dyDescent="0.25">
      <c r="A201" s="74">
        <f t="shared" si="24"/>
        <v>110</v>
      </c>
      <c r="B201" s="74"/>
      <c r="C201" s="39" t="s">
        <v>194</v>
      </c>
      <c r="D201" s="58">
        <f>(32.69)*10.764</f>
        <v>351.87515999999994</v>
      </c>
      <c r="E201" s="39">
        <v>0</v>
      </c>
      <c r="F201" s="39">
        <f>D201*(($F$151)+1)+(IF(E201&lt;101,E201,IF(E201&lt;201,E201/2,IF(E201&lt;=301,E201/3,E201/4))))</f>
        <v>527.81273999999985</v>
      </c>
      <c r="G201" s="74"/>
      <c r="H201" s="74"/>
      <c r="I201" s="33"/>
      <c r="K201" s="54"/>
      <c r="L201" s="54"/>
      <c r="M201" s="54"/>
      <c r="N201" s="33"/>
    </row>
    <row r="202" spans="1:14" s="34" customFormat="1" ht="15.75" customHeight="1" x14ac:dyDescent="0.25">
      <c r="A202" s="74">
        <f t="shared" si="24"/>
        <v>111</v>
      </c>
      <c r="B202" s="74"/>
      <c r="C202" s="39" t="s">
        <v>194</v>
      </c>
      <c r="D202" s="58">
        <f>(39.43)*10.764</f>
        <v>424.42451999999997</v>
      </c>
      <c r="E202" s="39">
        <v>0</v>
      </c>
      <c r="F202" s="39">
        <f>D202*(($F$151)+1)+(IF(E202&lt;101,E202,IF(E202&lt;201,E202/2,IF(E202&lt;=301,E202/3,E202/4))))</f>
        <v>636.63677999999993</v>
      </c>
      <c r="G202" s="74"/>
      <c r="H202" s="74"/>
      <c r="I202" s="33"/>
      <c r="K202" s="54"/>
      <c r="L202" s="54"/>
      <c r="M202" s="54"/>
      <c r="N202" s="33"/>
    </row>
    <row r="203" spans="1:14" s="34" customFormat="1" x14ac:dyDescent="0.25">
      <c r="A203" s="106" t="s">
        <v>212</v>
      </c>
      <c r="B203" s="107"/>
      <c r="C203" s="107"/>
      <c r="D203" s="107"/>
      <c r="E203" s="107"/>
      <c r="F203" s="107"/>
      <c r="G203" s="107"/>
      <c r="H203" s="108"/>
      <c r="I203" s="33"/>
    </row>
    <row r="204" spans="1:14" s="34" customFormat="1" ht="15.75" customHeight="1" x14ac:dyDescent="0.25">
      <c r="A204" s="77" t="str">
        <f ca="1">(SUMPRODUCT(MID(0&amp;(LEFT(A203,SUM(LEN(A203)-LEN(SUBSTITUTE(A203,{"0","1","2"},""))))), LARGE(INDEX(ISNUMBER(--MID((LEFT(A203,SUM(LEN(A203)-LEN(SUBSTITUTE(A203,{"0","1","2"},""))))), ROW(INDIRECT("1:"&amp;LEN((LEFT(A203,SUM(LEN(A203)-LEN(SUBSTITUTE(A203,{"0","1","2"},"")))))))), 1)) * ROW(INDIRECT("1:"&amp;LEN((LEFT(A203,SUM(LEN(A203)-LEN(SUBSTITUTE(A203,{"0","1","2"},"")))))))), 0), ROW(INDIRECT("1:"&amp;LEN((LEFT(A203,SUM(LEN(A203)-LEN(SUBSTITUTE(A203,{"0","1","2"},"")))))))))+1, 1) * 10^ROW(INDIRECT("1:"&amp;LEN((LEFT(A203,SUM(LEN(A203)-LEN(SUBSTITUTE(A203,{"0","1","2"},""))))))))/10))*100+1&amp;""&amp;" ,.., "&amp;""&amp;(SUMPRODUCT(MID(0&amp;(--TRIM(RIGHT(SUBSTITUTE(LEFT(A203,_xlfn.AGGREGATE(16,6,FIND({0,1,2,3,4,5,6,7,8,9},A203,ROW(INDIRECT("1:"&amp;LEN(A203)))),1))," ",REPT(" ",LEN(A203))),LEN(A203)))), LARGE(INDEX(ISNUMBER(--MID((--TRIM(RIGHT(SUBSTITUTE(LEFT(A203,_xlfn.AGGREGATE(16,6,FIND({0,1,2,3,4,5,6,7,8,9},A203,ROW(INDIRECT("1:"&amp;LEN(A203)))),1))," ",REPT(" ",LEN(A203))),LEN(A203)))), ROW(INDIRECT("1:"&amp;LEN((--TRIM(RIGHT(SUBSTITUTE(LEFT(A203,_xlfn.AGGREGATE(16,6,FIND({0,1,2,3,4,5,6,7,8,9},A203,ROW(INDIRECT("1:"&amp;LEN(A203)))),1))," ",REPT(" ",LEN(A203))),LEN(A203))))))), 1)) * ROW(INDIRECT("1:"&amp;LEN((--TRIM(RIGHT(SUBSTITUTE(LEFT(A203,_xlfn.AGGREGATE(16,6,FIND({0,1,2,3,4,5,6,7,8,9},A203,ROW(INDIRECT("1:"&amp;LEN(A203)))),1))," ",REPT(" ",LEN(A203))),LEN(A203))))))), 0), ROW(INDIRECT("1:"&amp;LEN((--TRIM(RIGHT(SUBSTITUTE(LEFT(A203,_xlfn.AGGREGATE(16,6,FIND({0,1,2,3,4,5,6,7,8,9},A203,ROW(INDIRECT("1:"&amp;LEN(A203)))),1))," ",REPT(" ",LEN(A203))),LEN(A203))))))))+1, 1) * 10^ROW(INDIRECT("1:"&amp;LEN((--TRIM(RIGHT(SUBSTITUTE(LEFT(A203,_xlfn.AGGREGATE(16,6,FIND({0,1,2,3,4,5,6,7,8,9},A203,ROW(INDIRECT("1:"&amp;LEN(A203)))),1))," ",REPT(" ",LEN(A203))),LEN(A203)))))))/10))*100+1</f>
        <v>201 ,.., 1001</v>
      </c>
      <c r="B204" s="78"/>
      <c r="C204" s="39" t="s">
        <v>194</v>
      </c>
      <c r="D204" s="58">
        <f t="shared" ref="D204:D211" si="28">(35.72)*10.764</f>
        <v>384.49007999999998</v>
      </c>
      <c r="E204" s="39">
        <v>0</v>
      </c>
      <c r="F204" s="39">
        <f t="shared" ref="F204:F205" si="29">D204*(($F$151)+1)+(IF(E204&lt;101,E204,IF(E204&lt;201,E204/2,IF(E204&lt;=301,E204/3,E204/4))))</f>
        <v>576.73511999999994</v>
      </c>
      <c r="G204" s="80" t="str">
        <f>A203</f>
        <v>2nd to 7th, 9th &amp; 10th Floor</v>
      </c>
      <c r="H204" s="81"/>
      <c r="I204" s="33"/>
    </row>
    <row r="205" spans="1:14" s="34" customFormat="1" ht="15.75" customHeight="1" x14ac:dyDescent="0.25">
      <c r="A205" s="77" t="str">
        <f ca="1">(SUMPRODUCT(MID(0&amp;(LEFT(A204,SUM(LEN(A204)-LEN(SUBSTITUTE(A204,{"0","1","2"},""))))), LARGE(INDEX(ISNUMBER(--MID((LEFT(A204,SUM(LEN(A204)-LEN(SUBSTITUTE(A204,{"0","1","2"},""))))), ROW(INDIRECT("1:"&amp;LEN((LEFT(A204,SUM(LEN(A204)-LEN(SUBSTITUTE(A204,{"0","1","2"},"")))))))), 1)) * ROW(INDIRECT("1:"&amp;LEN((LEFT(A204,SUM(LEN(A204)-LEN(SUBSTITUTE(A204,{"0","1","2"},"")))))))), 0), ROW(INDIRECT("1:"&amp;LEN((LEFT(A204,SUM(LEN(A204)-LEN(SUBSTITUTE(A204,{"0","1","2"},"")))))))))+1, 1) * 10^ROW(INDIRECT("1:"&amp;LEN((LEFT(A204,SUM(LEN(A204)-LEN(SUBSTITUTE(A204,{"0","1","2"},""))))))))/10))*1+1&amp;""&amp;" ,.., "&amp;""&amp;(SUMPRODUCT(MID(0&amp;(--TRIM(RIGHT(SUBSTITUTE(LEFT(A204,_xlfn.AGGREGATE(16,6,FIND({0,1,2,3,4,5,6,7,8,9},A204,ROW(INDIRECT("1:"&amp;LEN(A204)))),1))," ",REPT(" ",LEN(A204))),LEN(A204)))), LARGE(INDEX(ISNUMBER(--MID((--TRIM(RIGHT(SUBSTITUTE(LEFT(A204,_xlfn.AGGREGATE(16,6,FIND({0,1,2,3,4,5,6,7,8,9},A204,ROW(INDIRECT("1:"&amp;LEN(A204)))),1))," ",REPT(" ",LEN(A204))),LEN(A204)))), ROW(INDIRECT("1:"&amp;LEN((--TRIM(RIGHT(SUBSTITUTE(LEFT(A204,_xlfn.AGGREGATE(16,6,FIND({0,1,2,3,4,5,6,7,8,9},A204,ROW(INDIRECT("1:"&amp;LEN(A204)))),1))," ",REPT(" ",LEN(A204))),LEN(A204))))))), 1)) * ROW(INDIRECT("1:"&amp;LEN((--TRIM(RIGHT(SUBSTITUTE(LEFT(A204,_xlfn.AGGREGATE(16,6,FIND({0,1,2,3,4,5,6,7,8,9},A204,ROW(INDIRECT("1:"&amp;LEN(A204)))),1))," ",REPT(" ",LEN(A204))),LEN(A204))))))), 0), ROW(INDIRECT("1:"&amp;LEN((--TRIM(RIGHT(SUBSTITUTE(LEFT(A204,_xlfn.AGGREGATE(16,6,FIND({0,1,2,3,4,5,6,7,8,9},A204,ROW(INDIRECT("1:"&amp;LEN(A204)))),1))," ",REPT(" ",LEN(A204))),LEN(A204))))))))+1, 1) * 10^ROW(INDIRECT("1:"&amp;LEN((--TRIM(RIGHT(SUBSTITUTE(LEFT(A204,_xlfn.AGGREGATE(16,6,FIND({0,1,2,3,4,5,6,7,8,9},A204,ROW(INDIRECT("1:"&amp;LEN(A204)))),1))," ",REPT(" ",LEN(A204))),LEN(A204)))))))/10))*1+1</f>
        <v>202 ,.., 1002</v>
      </c>
      <c r="B205" s="78"/>
      <c r="C205" s="39" t="s">
        <v>194</v>
      </c>
      <c r="D205" s="58">
        <f t="shared" si="28"/>
        <v>384.49007999999998</v>
      </c>
      <c r="E205" s="39">
        <v>0</v>
      </c>
      <c r="F205" s="39">
        <f t="shared" si="29"/>
        <v>576.73511999999994</v>
      </c>
      <c r="G205" s="82"/>
      <c r="H205" s="83"/>
      <c r="I205" s="33"/>
    </row>
    <row r="206" spans="1:14" s="34" customFormat="1" ht="15.75" customHeight="1" x14ac:dyDescent="0.25">
      <c r="A206" s="77" t="str">
        <f ca="1">(SUMPRODUCT(MID(0&amp;(LEFT(A205,SUM(LEN(A205)-LEN(SUBSTITUTE(A205,{"0","1","2"},""))))), LARGE(INDEX(ISNUMBER(--MID((LEFT(A205,SUM(LEN(A205)-LEN(SUBSTITUTE(A205,{"0","1","2"},""))))), ROW(INDIRECT("1:"&amp;LEN((LEFT(A205,SUM(LEN(A205)-LEN(SUBSTITUTE(A205,{"0","1","2"},"")))))))), 1)) * ROW(INDIRECT("1:"&amp;LEN((LEFT(A205,SUM(LEN(A205)-LEN(SUBSTITUTE(A205,{"0","1","2"},"")))))))), 0), ROW(INDIRECT("1:"&amp;LEN((LEFT(A205,SUM(LEN(A205)-LEN(SUBSTITUTE(A205,{"0","1","2"},"")))))))))+1, 1) * 10^ROW(INDIRECT("1:"&amp;LEN((LEFT(A205,SUM(LEN(A205)-LEN(SUBSTITUTE(A205,{"0","1","2"},""))))))))/10))*1+1&amp;""&amp;" ,.., "&amp;""&amp;(SUMPRODUCT(MID(0&amp;(--TRIM(RIGHT(SUBSTITUTE(LEFT(A205,_xlfn.AGGREGATE(16,6,FIND({0,1,2,3,4,5,6,7,8,9},A205,ROW(INDIRECT("1:"&amp;LEN(A205)))),1))," ",REPT(" ",LEN(A205))),LEN(A205)))), LARGE(INDEX(ISNUMBER(--MID((--TRIM(RIGHT(SUBSTITUTE(LEFT(A205,_xlfn.AGGREGATE(16,6,FIND({0,1,2,3,4,5,6,7,8,9},A205,ROW(INDIRECT("1:"&amp;LEN(A205)))),1))," ",REPT(" ",LEN(A205))),LEN(A205)))), ROW(INDIRECT("1:"&amp;LEN((--TRIM(RIGHT(SUBSTITUTE(LEFT(A205,_xlfn.AGGREGATE(16,6,FIND({0,1,2,3,4,5,6,7,8,9},A205,ROW(INDIRECT("1:"&amp;LEN(A205)))),1))," ",REPT(" ",LEN(A205))),LEN(A205))))))), 1)) * ROW(INDIRECT("1:"&amp;LEN((--TRIM(RIGHT(SUBSTITUTE(LEFT(A205,_xlfn.AGGREGATE(16,6,FIND({0,1,2,3,4,5,6,7,8,9},A205,ROW(INDIRECT("1:"&amp;LEN(A205)))),1))," ",REPT(" ",LEN(A205))),LEN(A205))))))), 0), ROW(INDIRECT("1:"&amp;LEN((--TRIM(RIGHT(SUBSTITUTE(LEFT(A205,_xlfn.AGGREGATE(16,6,FIND({0,1,2,3,4,5,6,7,8,9},A205,ROW(INDIRECT("1:"&amp;LEN(A205)))),1))," ",REPT(" ",LEN(A205))),LEN(A205))))))))+1, 1) * 10^ROW(INDIRECT("1:"&amp;LEN((--TRIM(RIGHT(SUBSTITUTE(LEFT(A205,_xlfn.AGGREGATE(16,6,FIND({0,1,2,3,4,5,6,7,8,9},A205,ROW(INDIRECT("1:"&amp;LEN(A205)))),1))," ",REPT(" ",LEN(A205))),LEN(A205)))))))/10))*1+1</f>
        <v>203 ,.., 1003</v>
      </c>
      <c r="B206" s="78"/>
      <c r="C206" s="39" t="s">
        <v>194</v>
      </c>
      <c r="D206" s="58">
        <f t="shared" si="28"/>
        <v>384.49007999999998</v>
      </c>
      <c r="E206" s="39">
        <v>0</v>
      </c>
      <c r="F206" s="39">
        <f t="shared" ref="F206:F214" si="30">D206*(($F$151)+1)+(IF(E206&lt;101,E206,IF(E206&lt;201,E206/2,IF(E206&lt;=301,E206/3,E206/4))))</f>
        <v>576.73511999999994</v>
      </c>
      <c r="G206" s="82"/>
      <c r="H206" s="83"/>
      <c r="I206" s="33"/>
    </row>
    <row r="207" spans="1:14" s="34" customFormat="1" ht="15.75" customHeight="1" x14ac:dyDescent="0.25">
      <c r="A207" s="77" t="str">
        <f ca="1">(SUMPRODUCT(MID(0&amp;(LEFT(A206,SUM(LEN(A206)-LEN(SUBSTITUTE(A206,{"0","1","2"},""))))), LARGE(INDEX(ISNUMBER(--MID((LEFT(A206,SUM(LEN(A206)-LEN(SUBSTITUTE(A206,{"0","1","2"},""))))), ROW(INDIRECT("1:"&amp;LEN((LEFT(A206,SUM(LEN(A206)-LEN(SUBSTITUTE(A206,{"0","1","2"},"")))))))), 1)) * ROW(INDIRECT("1:"&amp;LEN((LEFT(A206,SUM(LEN(A206)-LEN(SUBSTITUTE(A206,{"0","1","2"},"")))))))), 0), ROW(INDIRECT("1:"&amp;LEN((LEFT(A206,SUM(LEN(A206)-LEN(SUBSTITUTE(A206,{"0","1","2"},"")))))))))+1, 1) * 10^ROW(INDIRECT("1:"&amp;LEN((LEFT(A206,SUM(LEN(A206)-LEN(SUBSTITUTE(A206,{"0","1","2"},""))))))))/10))*1+1&amp;""&amp;" ,.., "&amp;""&amp;(SUMPRODUCT(MID(0&amp;(--TRIM(RIGHT(SUBSTITUTE(LEFT(A206,_xlfn.AGGREGATE(16,6,FIND({0,1,2,3,4,5,6,7,8,9},A206,ROW(INDIRECT("1:"&amp;LEN(A206)))),1))," ",REPT(" ",LEN(A206))),LEN(A206)))), LARGE(INDEX(ISNUMBER(--MID((--TRIM(RIGHT(SUBSTITUTE(LEFT(A206,_xlfn.AGGREGATE(16,6,FIND({0,1,2,3,4,5,6,7,8,9},A206,ROW(INDIRECT("1:"&amp;LEN(A206)))),1))," ",REPT(" ",LEN(A206))),LEN(A206)))), ROW(INDIRECT("1:"&amp;LEN((--TRIM(RIGHT(SUBSTITUTE(LEFT(A206,_xlfn.AGGREGATE(16,6,FIND({0,1,2,3,4,5,6,7,8,9},A206,ROW(INDIRECT("1:"&amp;LEN(A206)))),1))," ",REPT(" ",LEN(A206))),LEN(A206))))))), 1)) * ROW(INDIRECT("1:"&amp;LEN((--TRIM(RIGHT(SUBSTITUTE(LEFT(A206,_xlfn.AGGREGATE(16,6,FIND({0,1,2,3,4,5,6,7,8,9},A206,ROW(INDIRECT("1:"&amp;LEN(A206)))),1))," ",REPT(" ",LEN(A206))),LEN(A206))))))), 0), ROW(INDIRECT("1:"&amp;LEN((--TRIM(RIGHT(SUBSTITUTE(LEFT(A206,_xlfn.AGGREGATE(16,6,FIND({0,1,2,3,4,5,6,7,8,9},A206,ROW(INDIRECT("1:"&amp;LEN(A206)))),1))," ",REPT(" ",LEN(A206))),LEN(A206))))))))+1, 1) * 10^ROW(INDIRECT("1:"&amp;LEN((--TRIM(RIGHT(SUBSTITUTE(LEFT(A206,_xlfn.AGGREGATE(16,6,FIND({0,1,2,3,4,5,6,7,8,9},A206,ROW(INDIRECT("1:"&amp;LEN(A206)))),1))," ",REPT(" ",LEN(A206))),LEN(A206)))))))/10))*1+1</f>
        <v>204 ,.., 1004</v>
      </c>
      <c r="B207" s="78"/>
      <c r="C207" s="39" t="s">
        <v>194</v>
      </c>
      <c r="D207" s="58">
        <f t="shared" si="28"/>
        <v>384.49007999999998</v>
      </c>
      <c r="E207" s="39">
        <v>0</v>
      </c>
      <c r="F207" s="39">
        <f t="shared" si="30"/>
        <v>576.73511999999994</v>
      </c>
      <c r="G207" s="82"/>
      <c r="H207" s="83"/>
      <c r="I207" s="33"/>
    </row>
    <row r="208" spans="1:14" s="34" customFormat="1" ht="15.75" customHeight="1" x14ac:dyDescent="0.25">
      <c r="A208" s="77" t="str">
        <f ca="1">(SUMPRODUCT(MID(0&amp;(LEFT(A207,SUM(LEN(A207)-LEN(SUBSTITUTE(A207,{"0","1","2"},""))))), LARGE(INDEX(ISNUMBER(--MID((LEFT(A207,SUM(LEN(A207)-LEN(SUBSTITUTE(A207,{"0","1","2"},""))))), ROW(INDIRECT("1:"&amp;LEN((LEFT(A207,SUM(LEN(A207)-LEN(SUBSTITUTE(A207,{"0","1","2"},"")))))))), 1)) * ROW(INDIRECT("1:"&amp;LEN((LEFT(A207,SUM(LEN(A207)-LEN(SUBSTITUTE(A207,{"0","1","2"},"")))))))), 0), ROW(INDIRECT("1:"&amp;LEN((LEFT(A207,SUM(LEN(A207)-LEN(SUBSTITUTE(A207,{"0","1","2"},"")))))))))+1, 1) * 10^ROW(INDIRECT("1:"&amp;LEN((LEFT(A207,SUM(LEN(A207)-LEN(SUBSTITUTE(A207,{"0","1","2"},""))))))))/10))*1+1&amp;""&amp;" ,.., "&amp;""&amp;(SUMPRODUCT(MID(0&amp;(--TRIM(RIGHT(SUBSTITUTE(LEFT(A207,_xlfn.AGGREGATE(16,6,FIND({0,1,2,3,4,5,6,7,8,9},A207,ROW(INDIRECT("1:"&amp;LEN(A207)))),1))," ",REPT(" ",LEN(A207))),LEN(A207)))), LARGE(INDEX(ISNUMBER(--MID((--TRIM(RIGHT(SUBSTITUTE(LEFT(A207,_xlfn.AGGREGATE(16,6,FIND({0,1,2,3,4,5,6,7,8,9},A207,ROW(INDIRECT("1:"&amp;LEN(A207)))),1))," ",REPT(" ",LEN(A207))),LEN(A207)))), ROW(INDIRECT("1:"&amp;LEN((--TRIM(RIGHT(SUBSTITUTE(LEFT(A207,_xlfn.AGGREGATE(16,6,FIND({0,1,2,3,4,5,6,7,8,9},A207,ROW(INDIRECT("1:"&amp;LEN(A207)))),1))," ",REPT(" ",LEN(A207))),LEN(A207))))))), 1)) * ROW(INDIRECT("1:"&amp;LEN((--TRIM(RIGHT(SUBSTITUTE(LEFT(A207,_xlfn.AGGREGATE(16,6,FIND({0,1,2,3,4,5,6,7,8,9},A207,ROW(INDIRECT("1:"&amp;LEN(A207)))),1))," ",REPT(" ",LEN(A207))),LEN(A207))))))), 0), ROW(INDIRECT("1:"&amp;LEN((--TRIM(RIGHT(SUBSTITUTE(LEFT(A207,_xlfn.AGGREGATE(16,6,FIND({0,1,2,3,4,5,6,7,8,9},A207,ROW(INDIRECT("1:"&amp;LEN(A207)))),1))," ",REPT(" ",LEN(A207))),LEN(A207))))))))+1, 1) * 10^ROW(INDIRECT("1:"&amp;LEN((--TRIM(RIGHT(SUBSTITUTE(LEFT(A207,_xlfn.AGGREGATE(16,6,FIND({0,1,2,3,4,5,6,7,8,9},A207,ROW(INDIRECT("1:"&amp;LEN(A207)))),1))," ",REPT(" ",LEN(A207))),LEN(A207)))))))/10))*1+1</f>
        <v>205 ,.., 1005</v>
      </c>
      <c r="B208" s="78"/>
      <c r="C208" s="39" t="s">
        <v>194</v>
      </c>
      <c r="D208" s="58">
        <f t="shared" si="28"/>
        <v>384.49007999999998</v>
      </c>
      <c r="E208" s="39">
        <v>0</v>
      </c>
      <c r="F208" s="39">
        <f t="shared" si="30"/>
        <v>576.73511999999994</v>
      </c>
      <c r="G208" s="82"/>
      <c r="H208" s="83"/>
      <c r="I208" s="33"/>
    </row>
    <row r="209" spans="1:9" s="34" customFormat="1" ht="15.75" customHeight="1" x14ac:dyDescent="0.25">
      <c r="A209" s="77" t="str">
        <f ca="1">(SUMPRODUCT(MID(0&amp;(LEFT(A208,SUM(LEN(A208)-LEN(SUBSTITUTE(A208,{"0","1","2"},""))))), LARGE(INDEX(ISNUMBER(--MID((LEFT(A208,SUM(LEN(A208)-LEN(SUBSTITUTE(A208,{"0","1","2"},""))))), ROW(INDIRECT("1:"&amp;LEN((LEFT(A208,SUM(LEN(A208)-LEN(SUBSTITUTE(A208,{"0","1","2"},"")))))))), 1)) * ROW(INDIRECT("1:"&amp;LEN((LEFT(A208,SUM(LEN(A208)-LEN(SUBSTITUTE(A208,{"0","1","2"},"")))))))), 0), ROW(INDIRECT("1:"&amp;LEN((LEFT(A208,SUM(LEN(A208)-LEN(SUBSTITUTE(A208,{"0","1","2"},"")))))))))+1, 1) * 10^ROW(INDIRECT("1:"&amp;LEN((LEFT(A208,SUM(LEN(A208)-LEN(SUBSTITUTE(A208,{"0","1","2"},""))))))))/10))*1+1&amp;""&amp;" ,.., "&amp;""&amp;(SUMPRODUCT(MID(0&amp;(--TRIM(RIGHT(SUBSTITUTE(LEFT(A208,_xlfn.AGGREGATE(16,6,FIND({0,1,2,3,4,5,6,7,8,9},A208,ROW(INDIRECT("1:"&amp;LEN(A208)))),1))," ",REPT(" ",LEN(A208))),LEN(A208)))), LARGE(INDEX(ISNUMBER(--MID((--TRIM(RIGHT(SUBSTITUTE(LEFT(A208,_xlfn.AGGREGATE(16,6,FIND({0,1,2,3,4,5,6,7,8,9},A208,ROW(INDIRECT("1:"&amp;LEN(A208)))),1))," ",REPT(" ",LEN(A208))),LEN(A208)))), ROW(INDIRECT("1:"&amp;LEN((--TRIM(RIGHT(SUBSTITUTE(LEFT(A208,_xlfn.AGGREGATE(16,6,FIND({0,1,2,3,4,5,6,7,8,9},A208,ROW(INDIRECT("1:"&amp;LEN(A208)))),1))," ",REPT(" ",LEN(A208))),LEN(A208))))))), 1)) * ROW(INDIRECT("1:"&amp;LEN((--TRIM(RIGHT(SUBSTITUTE(LEFT(A208,_xlfn.AGGREGATE(16,6,FIND({0,1,2,3,4,5,6,7,8,9},A208,ROW(INDIRECT("1:"&amp;LEN(A208)))),1))," ",REPT(" ",LEN(A208))),LEN(A208))))))), 0), ROW(INDIRECT("1:"&amp;LEN((--TRIM(RIGHT(SUBSTITUTE(LEFT(A208,_xlfn.AGGREGATE(16,6,FIND({0,1,2,3,4,5,6,7,8,9},A208,ROW(INDIRECT("1:"&amp;LEN(A208)))),1))," ",REPT(" ",LEN(A208))),LEN(A208))))))))+1, 1) * 10^ROW(INDIRECT("1:"&amp;LEN((--TRIM(RIGHT(SUBSTITUTE(LEFT(A208,_xlfn.AGGREGATE(16,6,FIND({0,1,2,3,4,5,6,7,8,9},A208,ROW(INDIRECT("1:"&amp;LEN(A208)))),1))," ",REPT(" ",LEN(A208))),LEN(A208)))))))/10))*1+1</f>
        <v>206 ,.., 1006</v>
      </c>
      <c r="B209" s="78"/>
      <c r="C209" s="39" t="s">
        <v>194</v>
      </c>
      <c r="D209" s="58">
        <f t="shared" si="28"/>
        <v>384.49007999999998</v>
      </c>
      <c r="E209" s="39">
        <v>0</v>
      </c>
      <c r="F209" s="39">
        <f t="shared" si="30"/>
        <v>576.73511999999994</v>
      </c>
      <c r="G209" s="82"/>
      <c r="H209" s="83"/>
      <c r="I209" s="33"/>
    </row>
    <row r="210" spans="1:9" s="34" customFormat="1" ht="15.75" customHeight="1" x14ac:dyDescent="0.25">
      <c r="A210" s="77" t="str">
        <f ca="1">(SUMPRODUCT(MID(0&amp;(LEFT(A209,SUM(LEN(A209)-LEN(SUBSTITUTE(A209,{"0","1","2"},""))))), LARGE(INDEX(ISNUMBER(--MID((LEFT(A209,SUM(LEN(A209)-LEN(SUBSTITUTE(A209,{"0","1","2"},""))))), ROW(INDIRECT("1:"&amp;LEN((LEFT(A209,SUM(LEN(A209)-LEN(SUBSTITUTE(A209,{"0","1","2"},"")))))))), 1)) * ROW(INDIRECT("1:"&amp;LEN((LEFT(A209,SUM(LEN(A209)-LEN(SUBSTITUTE(A209,{"0","1","2"},"")))))))), 0), ROW(INDIRECT("1:"&amp;LEN((LEFT(A209,SUM(LEN(A209)-LEN(SUBSTITUTE(A209,{"0","1","2"},"")))))))))+1, 1) * 10^ROW(INDIRECT("1:"&amp;LEN((LEFT(A209,SUM(LEN(A209)-LEN(SUBSTITUTE(A209,{"0","1","2"},""))))))))/10))*1+1&amp;""&amp;" ,.., "&amp;""&amp;(SUMPRODUCT(MID(0&amp;(--TRIM(RIGHT(SUBSTITUTE(LEFT(A209,_xlfn.AGGREGATE(16,6,FIND({0,1,2,3,4,5,6,7,8,9},A209,ROW(INDIRECT("1:"&amp;LEN(A209)))),1))," ",REPT(" ",LEN(A209))),LEN(A209)))), LARGE(INDEX(ISNUMBER(--MID((--TRIM(RIGHT(SUBSTITUTE(LEFT(A209,_xlfn.AGGREGATE(16,6,FIND({0,1,2,3,4,5,6,7,8,9},A209,ROW(INDIRECT("1:"&amp;LEN(A209)))),1))," ",REPT(" ",LEN(A209))),LEN(A209)))), ROW(INDIRECT("1:"&amp;LEN((--TRIM(RIGHT(SUBSTITUTE(LEFT(A209,_xlfn.AGGREGATE(16,6,FIND({0,1,2,3,4,5,6,7,8,9},A209,ROW(INDIRECT("1:"&amp;LEN(A209)))),1))," ",REPT(" ",LEN(A209))),LEN(A209))))))), 1)) * ROW(INDIRECT("1:"&amp;LEN((--TRIM(RIGHT(SUBSTITUTE(LEFT(A209,_xlfn.AGGREGATE(16,6,FIND({0,1,2,3,4,5,6,7,8,9},A209,ROW(INDIRECT("1:"&amp;LEN(A209)))),1))," ",REPT(" ",LEN(A209))),LEN(A209))))))), 0), ROW(INDIRECT("1:"&amp;LEN((--TRIM(RIGHT(SUBSTITUTE(LEFT(A209,_xlfn.AGGREGATE(16,6,FIND({0,1,2,3,4,5,6,7,8,9},A209,ROW(INDIRECT("1:"&amp;LEN(A209)))),1))," ",REPT(" ",LEN(A209))),LEN(A209))))))))+1, 1) * 10^ROW(INDIRECT("1:"&amp;LEN((--TRIM(RIGHT(SUBSTITUTE(LEFT(A209,_xlfn.AGGREGATE(16,6,FIND({0,1,2,3,4,5,6,7,8,9},A209,ROW(INDIRECT("1:"&amp;LEN(A209)))),1))," ",REPT(" ",LEN(A209))),LEN(A209)))))))/10))*1+1</f>
        <v>207 ,.., 1007</v>
      </c>
      <c r="B210" s="78"/>
      <c r="C210" s="39" t="s">
        <v>194</v>
      </c>
      <c r="D210" s="58">
        <f t="shared" si="28"/>
        <v>384.49007999999998</v>
      </c>
      <c r="E210" s="39">
        <v>0</v>
      </c>
      <c r="F210" s="39">
        <f t="shared" si="30"/>
        <v>576.73511999999994</v>
      </c>
      <c r="G210" s="82"/>
      <c r="H210" s="83"/>
      <c r="I210" s="33"/>
    </row>
    <row r="211" spans="1:9" s="34" customFormat="1" ht="15.75" customHeight="1" x14ac:dyDescent="0.25">
      <c r="A211" s="77" t="str">
        <f ca="1">(SUMPRODUCT(MID(0&amp;(LEFT(A210,SUM(LEN(A210)-LEN(SUBSTITUTE(A210,{"0","1","2"},""))))), LARGE(INDEX(ISNUMBER(--MID((LEFT(A210,SUM(LEN(A210)-LEN(SUBSTITUTE(A210,{"0","1","2"},""))))), ROW(INDIRECT("1:"&amp;LEN((LEFT(A210,SUM(LEN(A210)-LEN(SUBSTITUTE(A210,{"0","1","2"},"")))))))), 1)) * ROW(INDIRECT("1:"&amp;LEN((LEFT(A210,SUM(LEN(A210)-LEN(SUBSTITUTE(A210,{"0","1","2"},"")))))))), 0), ROW(INDIRECT("1:"&amp;LEN((LEFT(A210,SUM(LEN(A210)-LEN(SUBSTITUTE(A210,{"0","1","2"},"")))))))))+1, 1) * 10^ROW(INDIRECT("1:"&amp;LEN((LEFT(A210,SUM(LEN(A210)-LEN(SUBSTITUTE(A210,{"0","1","2"},""))))))))/10))*1+1&amp;""&amp;" ,.., "&amp;""&amp;(SUMPRODUCT(MID(0&amp;(--TRIM(RIGHT(SUBSTITUTE(LEFT(A210,_xlfn.AGGREGATE(16,6,FIND({0,1,2,3,4,5,6,7,8,9},A210,ROW(INDIRECT("1:"&amp;LEN(A210)))),1))," ",REPT(" ",LEN(A210))),LEN(A210)))), LARGE(INDEX(ISNUMBER(--MID((--TRIM(RIGHT(SUBSTITUTE(LEFT(A210,_xlfn.AGGREGATE(16,6,FIND({0,1,2,3,4,5,6,7,8,9},A210,ROW(INDIRECT("1:"&amp;LEN(A210)))),1))," ",REPT(" ",LEN(A210))),LEN(A210)))), ROW(INDIRECT("1:"&amp;LEN((--TRIM(RIGHT(SUBSTITUTE(LEFT(A210,_xlfn.AGGREGATE(16,6,FIND({0,1,2,3,4,5,6,7,8,9},A210,ROW(INDIRECT("1:"&amp;LEN(A210)))),1))," ",REPT(" ",LEN(A210))),LEN(A210))))))), 1)) * ROW(INDIRECT("1:"&amp;LEN((--TRIM(RIGHT(SUBSTITUTE(LEFT(A210,_xlfn.AGGREGATE(16,6,FIND({0,1,2,3,4,5,6,7,8,9},A210,ROW(INDIRECT("1:"&amp;LEN(A210)))),1))," ",REPT(" ",LEN(A210))),LEN(A210))))))), 0), ROW(INDIRECT("1:"&amp;LEN((--TRIM(RIGHT(SUBSTITUTE(LEFT(A210,_xlfn.AGGREGATE(16,6,FIND({0,1,2,3,4,5,6,7,8,9},A210,ROW(INDIRECT("1:"&amp;LEN(A210)))),1))," ",REPT(" ",LEN(A210))),LEN(A210))))))))+1, 1) * 10^ROW(INDIRECT("1:"&amp;LEN((--TRIM(RIGHT(SUBSTITUTE(LEFT(A210,_xlfn.AGGREGATE(16,6,FIND({0,1,2,3,4,5,6,7,8,9},A210,ROW(INDIRECT("1:"&amp;LEN(A210)))),1))," ",REPT(" ",LEN(A210))),LEN(A210)))))))/10))*1+1</f>
        <v>208 ,.., 1008</v>
      </c>
      <c r="B211" s="78"/>
      <c r="C211" s="39" t="s">
        <v>194</v>
      </c>
      <c r="D211" s="58">
        <f t="shared" si="28"/>
        <v>384.49007999999998</v>
      </c>
      <c r="E211" s="39">
        <v>0</v>
      </c>
      <c r="F211" s="39">
        <f t="shared" si="30"/>
        <v>576.73511999999994</v>
      </c>
      <c r="G211" s="82"/>
      <c r="H211" s="83"/>
      <c r="I211" s="33"/>
    </row>
    <row r="212" spans="1:9" s="34" customFormat="1" ht="15.75" customHeight="1" x14ac:dyDescent="0.25">
      <c r="A212" s="77" t="str">
        <f ca="1">(SUMPRODUCT(MID(0&amp;(LEFT(A211,SUM(LEN(A211)-LEN(SUBSTITUTE(A211,{"0","1","2"},""))))), LARGE(INDEX(ISNUMBER(--MID((LEFT(A211,SUM(LEN(A211)-LEN(SUBSTITUTE(A211,{"0","1","2"},""))))), ROW(INDIRECT("1:"&amp;LEN((LEFT(A211,SUM(LEN(A211)-LEN(SUBSTITUTE(A211,{"0","1","2"},"")))))))), 1)) * ROW(INDIRECT("1:"&amp;LEN((LEFT(A211,SUM(LEN(A211)-LEN(SUBSTITUTE(A211,{"0","1","2"},"")))))))), 0), ROW(INDIRECT("1:"&amp;LEN((LEFT(A211,SUM(LEN(A211)-LEN(SUBSTITUTE(A211,{"0","1","2"},"")))))))))+1, 1) * 10^ROW(INDIRECT("1:"&amp;LEN((LEFT(A211,SUM(LEN(A211)-LEN(SUBSTITUTE(A211,{"0","1","2"},""))))))))/10))*1+1&amp;""&amp;" ,.., "&amp;""&amp;(SUMPRODUCT(MID(0&amp;(--TRIM(RIGHT(SUBSTITUTE(LEFT(A211,_xlfn.AGGREGATE(16,6,FIND({0,1,2,3,4,5,6,7,8,9},A211,ROW(INDIRECT("1:"&amp;LEN(A211)))),1))," ",REPT(" ",LEN(A211))),LEN(A211)))), LARGE(INDEX(ISNUMBER(--MID((--TRIM(RIGHT(SUBSTITUTE(LEFT(A211,_xlfn.AGGREGATE(16,6,FIND({0,1,2,3,4,5,6,7,8,9},A211,ROW(INDIRECT("1:"&amp;LEN(A211)))),1))," ",REPT(" ",LEN(A211))),LEN(A211)))), ROW(INDIRECT("1:"&amp;LEN((--TRIM(RIGHT(SUBSTITUTE(LEFT(A211,_xlfn.AGGREGATE(16,6,FIND({0,1,2,3,4,5,6,7,8,9},A211,ROW(INDIRECT("1:"&amp;LEN(A211)))),1))," ",REPT(" ",LEN(A211))),LEN(A211))))))), 1)) * ROW(INDIRECT("1:"&amp;LEN((--TRIM(RIGHT(SUBSTITUTE(LEFT(A211,_xlfn.AGGREGATE(16,6,FIND({0,1,2,3,4,5,6,7,8,9},A211,ROW(INDIRECT("1:"&amp;LEN(A211)))),1))," ",REPT(" ",LEN(A211))),LEN(A211))))))), 0), ROW(INDIRECT("1:"&amp;LEN((--TRIM(RIGHT(SUBSTITUTE(LEFT(A211,_xlfn.AGGREGATE(16,6,FIND({0,1,2,3,4,5,6,7,8,9},A211,ROW(INDIRECT("1:"&amp;LEN(A211)))),1))," ",REPT(" ",LEN(A211))),LEN(A211))))))))+1, 1) * 10^ROW(INDIRECT("1:"&amp;LEN((--TRIM(RIGHT(SUBSTITUTE(LEFT(A211,_xlfn.AGGREGATE(16,6,FIND({0,1,2,3,4,5,6,7,8,9},A211,ROW(INDIRECT("1:"&amp;LEN(A211)))),1))," ",REPT(" ",LEN(A211))),LEN(A211)))))))/10))*1+1</f>
        <v>209 ,.., 1009</v>
      </c>
      <c r="B212" s="78"/>
      <c r="C212" s="39" t="s">
        <v>201</v>
      </c>
      <c r="D212" s="58">
        <f>(49.96)*10.764</f>
        <v>537.76944000000003</v>
      </c>
      <c r="E212" s="39">
        <v>0</v>
      </c>
      <c r="F212" s="39">
        <f t="shared" si="30"/>
        <v>806.65416000000005</v>
      </c>
      <c r="G212" s="82"/>
      <c r="H212" s="83"/>
      <c r="I212" s="33"/>
    </row>
    <row r="213" spans="1:9" s="34" customFormat="1" ht="15.75" customHeight="1" x14ac:dyDescent="0.25">
      <c r="A213" s="77" t="str">
        <f ca="1">(SUMPRODUCT(MID(0&amp;(LEFT(A212,SUM(LEN(A212)-LEN(SUBSTITUTE(A212,{"0","1","2"},""))))), LARGE(INDEX(ISNUMBER(--MID((LEFT(A212,SUM(LEN(A212)-LEN(SUBSTITUTE(A212,{"0","1","2"},""))))), ROW(INDIRECT("1:"&amp;LEN((LEFT(A212,SUM(LEN(A212)-LEN(SUBSTITUTE(A212,{"0","1","2"},"")))))))), 1)) * ROW(INDIRECT("1:"&amp;LEN((LEFT(A212,SUM(LEN(A212)-LEN(SUBSTITUTE(A212,{"0","1","2"},"")))))))), 0), ROW(INDIRECT("1:"&amp;LEN((LEFT(A212,SUM(LEN(A212)-LEN(SUBSTITUTE(A212,{"0","1","2"},"")))))))))+1, 1) * 10^ROW(INDIRECT("1:"&amp;LEN((LEFT(A212,SUM(LEN(A212)-LEN(SUBSTITUTE(A212,{"0","1","2"},""))))))))/10))*1+1&amp;""&amp;" ,.., "&amp;""&amp;(SUMPRODUCT(MID(0&amp;(--TRIM(RIGHT(SUBSTITUTE(LEFT(A212,_xlfn.AGGREGATE(16,6,FIND({0,1,2,3,4,5,6,7,8,9},A212,ROW(INDIRECT("1:"&amp;LEN(A212)))),1))," ",REPT(" ",LEN(A212))),LEN(A212)))), LARGE(INDEX(ISNUMBER(--MID((--TRIM(RIGHT(SUBSTITUTE(LEFT(A212,_xlfn.AGGREGATE(16,6,FIND({0,1,2,3,4,5,6,7,8,9},A212,ROW(INDIRECT("1:"&amp;LEN(A212)))),1))," ",REPT(" ",LEN(A212))),LEN(A212)))), ROW(INDIRECT("1:"&amp;LEN((--TRIM(RIGHT(SUBSTITUTE(LEFT(A212,_xlfn.AGGREGATE(16,6,FIND({0,1,2,3,4,5,6,7,8,9},A212,ROW(INDIRECT("1:"&amp;LEN(A212)))),1))," ",REPT(" ",LEN(A212))),LEN(A212))))))), 1)) * ROW(INDIRECT("1:"&amp;LEN((--TRIM(RIGHT(SUBSTITUTE(LEFT(A212,_xlfn.AGGREGATE(16,6,FIND({0,1,2,3,4,5,6,7,8,9},A212,ROW(INDIRECT("1:"&amp;LEN(A212)))),1))," ",REPT(" ",LEN(A212))),LEN(A212))))))), 0), ROW(INDIRECT("1:"&amp;LEN((--TRIM(RIGHT(SUBSTITUTE(LEFT(A212,_xlfn.AGGREGATE(16,6,FIND({0,1,2,3,4,5,6,7,8,9},A212,ROW(INDIRECT("1:"&amp;LEN(A212)))),1))," ",REPT(" ",LEN(A212))),LEN(A212))))))))+1, 1) * 10^ROW(INDIRECT("1:"&amp;LEN((--TRIM(RIGHT(SUBSTITUTE(LEFT(A212,_xlfn.AGGREGATE(16,6,FIND({0,1,2,3,4,5,6,7,8,9},A212,ROW(INDIRECT("1:"&amp;LEN(A212)))),1))," ",REPT(" ",LEN(A212))),LEN(A212)))))))/10))*1+1</f>
        <v>210 ,.., 1010</v>
      </c>
      <c r="B213" s="78"/>
      <c r="C213" s="39" t="s">
        <v>194</v>
      </c>
      <c r="D213" s="58">
        <f>(32.69)*10.764</f>
        <v>351.87515999999994</v>
      </c>
      <c r="E213" s="39">
        <v>0</v>
      </c>
      <c r="F213" s="39">
        <f t="shared" si="30"/>
        <v>527.81273999999985</v>
      </c>
      <c r="G213" s="82"/>
      <c r="H213" s="83"/>
      <c r="I213" s="33"/>
    </row>
    <row r="214" spans="1:9" s="34" customFormat="1" ht="15.75" customHeight="1" x14ac:dyDescent="0.25">
      <c r="A214" s="77" t="str">
        <f ca="1">(SUMPRODUCT(MID(0&amp;(LEFT(A213,SUM(LEN(A213)-LEN(SUBSTITUTE(A213,{"0","1","2"},""))))), LARGE(INDEX(ISNUMBER(--MID((LEFT(A213,SUM(LEN(A213)-LEN(SUBSTITUTE(A213,{"0","1","2"},""))))), ROW(INDIRECT("1:"&amp;LEN((LEFT(A213,SUM(LEN(A213)-LEN(SUBSTITUTE(A213,{"0","1","2"},"")))))))), 1)) * ROW(INDIRECT("1:"&amp;LEN((LEFT(A213,SUM(LEN(A213)-LEN(SUBSTITUTE(A213,{"0","1","2"},"")))))))), 0), ROW(INDIRECT("1:"&amp;LEN((LEFT(A213,SUM(LEN(A213)-LEN(SUBSTITUTE(A213,{"0","1","2"},"")))))))))+1, 1) * 10^ROW(INDIRECT("1:"&amp;LEN((LEFT(A213,SUM(LEN(A213)-LEN(SUBSTITUTE(A213,{"0","1","2"},""))))))))/10))*1+1&amp;""&amp;" ,.., "&amp;""&amp;(SUMPRODUCT(MID(0&amp;(--TRIM(RIGHT(SUBSTITUTE(LEFT(A213,_xlfn.AGGREGATE(16,6,FIND({0,1,2,3,4,5,6,7,8,9},A213,ROW(INDIRECT("1:"&amp;LEN(A213)))),1))," ",REPT(" ",LEN(A213))),LEN(A213)))), LARGE(INDEX(ISNUMBER(--MID((--TRIM(RIGHT(SUBSTITUTE(LEFT(A213,_xlfn.AGGREGATE(16,6,FIND({0,1,2,3,4,5,6,7,8,9},A213,ROW(INDIRECT("1:"&amp;LEN(A213)))),1))," ",REPT(" ",LEN(A213))),LEN(A213)))), ROW(INDIRECT("1:"&amp;LEN((--TRIM(RIGHT(SUBSTITUTE(LEFT(A213,_xlfn.AGGREGATE(16,6,FIND({0,1,2,3,4,5,6,7,8,9},A213,ROW(INDIRECT("1:"&amp;LEN(A213)))),1))," ",REPT(" ",LEN(A213))),LEN(A213))))))), 1)) * ROW(INDIRECT("1:"&amp;LEN((--TRIM(RIGHT(SUBSTITUTE(LEFT(A213,_xlfn.AGGREGATE(16,6,FIND({0,1,2,3,4,5,6,7,8,9},A213,ROW(INDIRECT("1:"&amp;LEN(A213)))),1))," ",REPT(" ",LEN(A213))),LEN(A213))))))), 0), ROW(INDIRECT("1:"&amp;LEN((--TRIM(RIGHT(SUBSTITUTE(LEFT(A213,_xlfn.AGGREGATE(16,6,FIND({0,1,2,3,4,5,6,7,8,9},A213,ROW(INDIRECT("1:"&amp;LEN(A213)))),1))," ",REPT(" ",LEN(A213))),LEN(A213))))))))+1, 1) * 10^ROW(INDIRECT("1:"&amp;LEN((--TRIM(RIGHT(SUBSTITUTE(LEFT(A213,_xlfn.AGGREGATE(16,6,FIND({0,1,2,3,4,5,6,7,8,9},A213,ROW(INDIRECT("1:"&amp;LEN(A213)))),1))," ",REPT(" ",LEN(A213))),LEN(A213)))))))/10))*1+1</f>
        <v>211 ,.., 1011</v>
      </c>
      <c r="B214" s="78"/>
      <c r="C214" s="39" t="s">
        <v>194</v>
      </c>
      <c r="D214" s="58">
        <f>(39.43)*10.764</f>
        <v>424.42451999999997</v>
      </c>
      <c r="E214" s="39">
        <v>0</v>
      </c>
      <c r="F214" s="39">
        <f t="shared" si="30"/>
        <v>636.63677999999993</v>
      </c>
      <c r="G214" s="84"/>
      <c r="H214" s="85"/>
      <c r="I214" s="33"/>
    </row>
    <row r="215" spans="1:9" s="34" customFormat="1" x14ac:dyDescent="0.25">
      <c r="A215" s="106" t="s">
        <v>193</v>
      </c>
      <c r="B215" s="107"/>
      <c r="C215" s="107"/>
      <c r="D215" s="107"/>
      <c r="E215" s="107"/>
      <c r="F215" s="107"/>
      <c r="G215" s="107"/>
      <c r="H215" s="108"/>
      <c r="I215" s="33"/>
    </row>
    <row r="216" spans="1:9" s="34" customFormat="1" ht="15.75" customHeight="1" x14ac:dyDescent="0.25">
      <c r="A216" s="77">
        <v>801</v>
      </c>
      <c r="B216" s="78"/>
      <c r="C216" s="39" t="s">
        <v>194</v>
      </c>
      <c r="D216" s="58">
        <f t="shared" ref="D216:D223" si="31">(35.72)*10.764</f>
        <v>384.49007999999998</v>
      </c>
      <c r="E216" s="39">
        <v>0</v>
      </c>
      <c r="F216" s="39">
        <f>D216*(($F$151)+1)+(IF(E216&lt;101,E216,IF(E216&lt;201,E216/2,IF(E216&lt;=301,E216/3,E216/4))))</f>
        <v>576.73511999999994</v>
      </c>
      <c r="G216" s="80" t="str">
        <f>A215</f>
        <v>8th Floor (Part Refuge Area)</v>
      </c>
      <c r="H216" s="81"/>
      <c r="I216" s="33"/>
    </row>
    <row r="217" spans="1:9" s="34" customFormat="1" ht="15.75" customHeight="1" x14ac:dyDescent="0.25">
      <c r="A217" s="77">
        <f>A216+1</f>
        <v>802</v>
      </c>
      <c r="B217" s="78"/>
      <c r="C217" s="39" t="s">
        <v>194</v>
      </c>
      <c r="D217" s="58">
        <f t="shared" si="31"/>
        <v>384.49007999999998</v>
      </c>
      <c r="E217" s="39">
        <v>0</v>
      </c>
      <c r="F217" s="39">
        <f>D217*(($F$151)+1)+(IF(E217&lt;101,E217,IF(E217&lt;201,E217/2,IF(E217&lt;=301,E217/3,E217/4))))</f>
        <v>576.73511999999994</v>
      </c>
      <c r="G217" s="82"/>
      <c r="H217" s="83"/>
      <c r="I217" s="33"/>
    </row>
    <row r="218" spans="1:9" s="34" customFormat="1" ht="15.75" customHeight="1" x14ac:dyDescent="0.25">
      <c r="A218" s="77">
        <f t="shared" ref="A218:A226" si="32">A217+1</f>
        <v>803</v>
      </c>
      <c r="B218" s="78"/>
      <c r="C218" s="77" t="s">
        <v>195</v>
      </c>
      <c r="D218" s="118"/>
      <c r="E218" s="118"/>
      <c r="F218" s="78"/>
      <c r="G218" s="82"/>
      <c r="H218" s="83"/>
      <c r="I218" s="33"/>
    </row>
    <row r="219" spans="1:9" s="34" customFormat="1" ht="15.75" customHeight="1" x14ac:dyDescent="0.25">
      <c r="A219" s="77">
        <f t="shared" si="32"/>
        <v>804</v>
      </c>
      <c r="B219" s="78"/>
      <c r="C219" s="39" t="s">
        <v>194</v>
      </c>
      <c r="D219" s="58">
        <f t="shared" si="31"/>
        <v>384.49007999999998</v>
      </c>
      <c r="E219" s="39">
        <v>0</v>
      </c>
      <c r="F219" s="39">
        <f t="shared" ref="F219:F226" si="33">D219*(($F$151)+1)+(IF(E219&lt;101,E219,IF(E219&lt;201,E219/2,IF(E219&lt;=301,E219/3,E219/4))))</f>
        <v>576.73511999999994</v>
      </c>
      <c r="G219" s="82"/>
      <c r="H219" s="83"/>
      <c r="I219" s="33"/>
    </row>
    <row r="220" spans="1:9" s="34" customFormat="1" ht="15.75" customHeight="1" x14ac:dyDescent="0.25">
      <c r="A220" s="77">
        <f t="shared" si="32"/>
        <v>805</v>
      </c>
      <c r="B220" s="78"/>
      <c r="C220" s="39" t="s">
        <v>194</v>
      </c>
      <c r="D220" s="58">
        <f t="shared" si="31"/>
        <v>384.49007999999998</v>
      </c>
      <c r="E220" s="39">
        <v>0</v>
      </c>
      <c r="F220" s="39">
        <f t="shared" si="33"/>
        <v>576.73511999999994</v>
      </c>
      <c r="G220" s="82"/>
      <c r="H220" s="83"/>
      <c r="I220" s="33"/>
    </row>
    <row r="221" spans="1:9" s="34" customFormat="1" ht="15.75" customHeight="1" x14ac:dyDescent="0.25">
      <c r="A221" s="77">
        <f t="shared" si="32"/>
        <v>806</v>
      </c>
      <c r="B221" s="78"/>
      <c r="C221" s="39" t="s">
        <v>194</v>
      </c>
      <c r="D221" s="58">
        <f t="shared" si="31"/>
        <v>384.49007999999998</v>
      </c>
      <c r="E221" s="39">
        <v>0</v>
      </c>
      <c r="F221" s="39">
        <f t="shared" si="33"/>
        <v>576.73511999999994</v>
      </c>
      <c r="G221" s="82"/>
      <c r="H221" s="83"/>
      <c r="I221" s="33"/>
    </row>
    <row r="222" spans="1:9" s="34" customFormat="1" ht="15.75" customHeight="1" x14ac:dyDescent="0.25">
      <c r="A222" s="77">
        <f t="shared" si="32"/>
        <v>807</v>
      </c>
      <c r="B222" s="78"/>
      <c r="C222" s="39" t="s">
        <v>194</v>
      </c>
      <c r="D222" s="58">
        <f t="shared" si="31"/>
        <v>384.49007999999998</v>
      </c>
      <c r="E222" s="39">
        <v>0</v>
      </c>
      <c r="F222" s="39">
        <f t="shared" si="33"/>
        <v>576.73511999999994</v>
      </c>
      <c r="G222" s="82"/>
      <c r="H222" s="83"/>
      <c r="I222" s="33"/>
    </row>
    <row r="223" spans="1:9" s="34" customFormat="1" ht="15.75" customHeight="1" x14ac:dyDescent="0.25">
      <c r="A223" s="77">
        <f t="shared" si="32"/>
        <v>808</v>
      </c>
      <c r="B223" s="78"/>
      <c r="C223" s="39" t="s">
        <v>194</v>
      </c>
      <c r="D223" s="58">
        <f t="shared" si="31"/>
        <v>384.49007999999998</v>
      </c>
      <c r="E223" s="39">
        <v>0</v>
      </c>
      <c r="F223" s="39">
        <f t="shared" si="33"/>
        <v>576.73511999999994</v>
      </c>
      <c r="G223" s="82"/>
      <c r="H223" s="83"/>
      <c r="I223" s="33"/>
    </row>
    <row r="224" spans="1:9" s="34" customFormat="1" ht="15.75" customHeight="1" x14ac:dyDescent="0.25">
      <c r="A224" s="77">
        <f t="shared" si="32"/>
        <v>809</v>
      </c>
      <c r="B224" s="78"/>
      <c r="C224" s="39" t="s">
        <v>201</v>
      </c>
      <c r="D224" s="58">
        <f>(49.96)*10.764</f>
        <v>537.76944000000003</v>
      </c>
      <c r="E224" s="39">
        <v>0</v>
      </c>
      <c r="F224" s="39">
        <f t="shared" si="33"/>
        <v>806.65416000000005</v>
      </c>
      <c r="G224" s="82"/>
      <c r="H224" s="83"/>
      <c r="I224" s="33"/>
    </row>
    <row r="225" spans="1:9" s="34" customFormat="1" ht="15.75" customHeight="1" x14ac:dyDescent="0.25">
      <c r="A225" s="77">
        <f t="shared" si="32"/>
        <v>810</v>
      </c>
      <c r="B225" s="78"/>
      <c r="C225" s="39" t="s">
        <v>194</v>
      </c>
      <c r="D225" s="58">
        <f>(32.69)*10.764</f>
        <v>351.87515999999994</v>
      </c>
      <c r="E225" s="39">
        <v>0</v>
      </c>
      <c r="F225" s="39">
        <f t="shared" si="33"/>
        <v>527.81273999999985</v>
      </c>
      <c r="G225" s="82"/>
      <c r="H225" s="83"/>
      <c r="I225" s="33"/>
    </row>
    <row r="226" spans="1:9" s="34" customFormat="1" ht="15.75" customHeight="1" x14ac:dyDescent="0.25">
      <c r="A226" s="77">
        <f t="shared" si="32"/>
        <v>811</v>
      </c>
      <c r="B226" s="78"/>
      <c r="C226" s="39" t="s">
        <v>194</v>
      </c>
      <c r="D226" s="58">
        <f>(39.43)*10.764</f>
        <v>424.42451999999997</v>
      </c>
      <c r="E226" s="39">
        <v>0</v>
      </c>
      <c r="F226" s="39">
        <f t="shared" si="33"/>
        <v>636.63677999999993</v>
      </c>
      <c r="G226" s="84"/>
      <c r="H226" s="85"/>
      <c r="I226" s="33"/>
    </row>
    <row r="227" spans="1:9" s="32" customFormat="1" x14ac:dyDescent="0.25">
      <c r="A227" s="119" t="s">
        <v>69</v>
      </c>
      <c r="B227" s="120"/>
      <c r="C227" s="120"/>
      <c r="D227" s="120"/>
      <c r="E227" s="120"/>
      <c r="F227" s="120"/>
      <c r="G227" s="120"/>
      <c r="H227" s="121"/>
    </row>
    <row r="228" spans="1:9" s="32" customFormat="1" ht="46.9" customHeight="1" x14ac:dyDescent="0.25">
      <c r="A228" s="57" t="s">
        <v>158</v>
      </c>
      <c r="B228" s="92" t="s">
        <v>257</v>
      </c>
      <c r="C228" s="92"/>
      <c r="D228" s="92"/>
      <c r="E228" s="92"/>
      <c r="F228" s="92"/>
      <c r="G228" s="92"/>
      <c r="H228" s="92"/>
    </row>
    <row r="229" spans="1:9" s="32" customFormat="1" x14ac:dyDescent="0.25">
      <c r="A229" s="57" t="s">
        <v>158</v>
      </c>
      <c r="B229" s="92" t="str">
        <f>(IF(F150="Saleable area Loading :","We have considered Saleable area of Flats as per our Calculation.","We considered Saleable area of Flat as per Builder area Sheet."))</f>
        <v>We have considered Saleable area of Flats as per our Calculation.</v>
      </c>
      <c r="C229" s="92"/>
      <c r="D229" s="92"/>
      <c r="E229" s="92"/>
      <c r="F229" s="92"/>
      <c r="G229" s="92"/>
      <c r="H229" s="92"/>
    </row>
    <row r="230" spans="1:9" s="32" customFormat="1" x14ac:dyDescent="0.25">
      <c r="A230" s="57" t="s">
        <v>158</v>
      </c>
      <c r="B230" s="92" t="str">
        <f>(IF(F131="Saleable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30" s="92"/>
      <c r="D230" s="92"/>
      <c r="E230" s="92"/>
      <c r="F230" s="92"/>
      <c r="G230" s="92"/>
      <c r="H230" s="92"/>
    </row>
    <row r="231" spans="1:9" s="32" customFormat="1" x14ac:dyDescent="0.25">
      <c r="A231" s="57" t="s">
        <v>158</v>
      </c>
      <c r="B231" s="105" t="s">
        <v>128</v>
      </c>
      <c r="C231" s="105"/>
      <c r="D231" s="105"/>
      <c r="E231" s="105"/>
      <c r="F231" s="105"/>
      <c r="G231" s="105"/>
      <c r="H231" s="105"/>
    </row>
    <row r="232" spans="1:9" s="32" customFormat="1" x14ac:dyDescent="0.25">
      <c r="A232" s="57" t="s">
        <v>158</v>
      </c>
      <c r="B232" s="105" t="s">
        <v>203</v>
      </c>
      <c r="C232" s="105"/>
      <c r="D232" s="105"/>
      <c r="E232" s="105"/>
      <c r="F232" s="105"/>
      <c r="G232" s="105"/>
      <c r="H232" s="105"/>
    </row>
    <row r="233" spans="1:9" s="32" customFormat="1" x14ac:dyDescent="0.25">
      <c r="A233" s="57" t="s">
        <v>158</v>
      </c>
      <c r="B233" s="105" t="s">
        <v>157</v>
      </c>
      <c r="C233" s="105"/>
      <c r="D233" s="105"/>
      <c r="E233" s="105"/>
      <c r="F233" s="105"/>
      <c r="G233" s="105"/>
      <c r="H233" s="105"/>
    </row>
    <row r="234" spans="1:9" s="32" customFormat="1" x14ac:dyDescent="0.25">
      <c r="A234" s="57" t="s">
        <v>158</v>
      </c>
      <c r="B234" s="105" t="s">
        <v>129</v>
      </c>
      <c r="C234" s="105"/>
      <c r="D234" s="105"/>
      <c r="E234" s="105"/>
      <c r="F234" s="105"/>
      <c r="G234" s="105"/>
      <c r="H234" s="105"/>
    </row>
    <row r="235" spans="1:9" s="32" customFormat="1" ht="34.5" customHeight="1" x14ac:dyDescent="0.25">
      <c r="A235" s="57" t="s">
        <v>158</v>
      </c>
      <c r="B235" s="105" t="s">
        <v>159</v>
      </c>
      <c r="C235" s="105"/>
      <c r="D235" s="105"/>
      <c r="E235" s="105"/>
      <c r="F235" s="105"/>
      <c r="G235" s="105"/>
      <c r="H235" s="105"/>
    </row>
    <row r="236" spans="1:9" s="32" customFormat="1" x14ac:dyDescent="0.25">
      <c r="A236" s="57" t="s">
        <v>158</v>
      </c>
      <c r="B236" s="105" t="s">
        <v>130</v>
      </c>
      <c r="C236" s="105"/>
      <c r="D236" s="105"/>
      <c r="E236" s="105"/>
      <c r="F236" s="105"/>
      <c r="G236" s="105"/>
      <c r="H236" s="105"/>
    </row>
    <row r="237" spans="1:9" s="32" customFormat="1" x14ac:dyDescent="0.25">
      <c r="A237" s="57" t="s">
        <v>158</v>
      </c>
      <c r="B237" s="92" t="s">
        <v>187</v>
      </c>
      <c r="C237" s="92"/>
      <c r="D237" s="92"/>
      <c r="E237" s="92"/>
      <c r="F237" s="92"/>
      <c r="G237" s="92"/>
      <c r="H237" s="92"/>
    </row>
    <row r="238" spans="1:9" s="32" customFormat="1" ht="67.5" customHeight="1" x14ac:dyDescent="0.25">
      <c r="A238" s="57" t="s">
        <v>158</v>
      </c>
      <c r="B238" s="92" t="s">
        <v>204</v>
      </c>
      <c r="C238" s="92"/>
      <c r="D238" s="92"/>
      <c r="E238" s="92"/>
      <c r="F238" s="92"/>
      <c r="G238" s="92"/>
      <c r="H238" s="92"/>
    </row>
    <row r="239" spans="1:9" s="32" customFormat="1" ht="31.5" customHeight="1" x14ac:dyDescent="0.25">
      <c r="A239" s="57" t="s">
        <v>158</v>
      </c>
      <c r="B239" s="92" t="s">
        <v>247</v>
      </c>
      <c r="C239" s="92"/>
      <c r="D239" s="92"/>
      <c r="E239" s="92"/>
      <c r="F239" s="92"/>
      <c r="G239" s="92"/>
      <c r="H239" s="92"/>
    </row>
    <row r="240" spans="1:9" s="32" customFormat="1" x14ac:dyDescent="0.25">
      <c r="A240" s="57" t="s">
        <v>158</v>
      </c>
      <c r="B240" s="89" t="s">
        <v>226</v>
      </c>
      <c r="C240" s="90"/>
      <c r="D240" s="90"/>
      <c r="E240" s="90"/>
      <c r="F240" s="90"/>
      <c r="G240" s="90"/>
      <c r="H240" s="91"/>
    </row>
    <row r="241" spans="1:8" s="32" customFormat="1" x14ac:dyDescent="0.25">
      <c r="A241" s="57" t="s">
        <v>158</v>
      </c>
      <c r="B241" s="89" t="s">
        <v>251</v>
      </c>
      <c r="C241" s="90"/>
      <c r="D241" s="90"/>
      <c r="E241" s="90"/>
      <c r="F241" s="90"/>
      <c r="G241" s="90"/>
      <c r="H241" s="91"/>
    </row>
    <row r="242" spans="1:8" s="32" customFormat="1" ht="15.6" customHeight="1" x14ac:dyDescent="0.25">
      <c r="A242" s="57" t="s">
        <v>158</v>
      </c>
      <c r="B242" s="89" t="s">
        <v>260</v>
      </c>
      <c r="C242" s="90"/>
      <c r="D242" s="90"/>
      <c r="E242" s="90"/>
      <c r="F242" s="90"/>
      <c r="G242" s="90"/>
      <c r="H242" s="91"/>
    </row>
    <row r="243" spans="1:8" x14ac:dyDescent="0.25">
      <c r="A243" s="164" t="s">
        <v>62</v>
      </c>
      <c r="B243" s="164"/>
      <c r="C243" s="164"/>
      <c r="D243" s="164"/>
      <c r="E243" s="164"/>
      <c r="F243" s="164"/>
      <c r="G243" s="164"/>
      <c r="H243" s="164"/>
    </row>
    <row r="244" spans="1:8" x14ac:dyDescent="0.25">
      <c r="A244" s="86" t="s">
        <v>63</v>
      </c>
      <c r="B244" s="86"/>
      <c r="C244" s="86"/>
      <c r="D244" s="86"/>
      <c r="E244" s="86"/>
      <c r="F244" s="86"/>
      <c r="G244" s="86"/>
      <c r="H244" s="86"/>
    </row>
    <row r="245" spans="1:8" ht="15.75" customHeight="1" x14ac:dyDescent="0.25">
      <c r="A245" s="205" t="s">
        <v>64</v>
      </c>
      <c r="B245" s="205"/>
      <c r="C245" s="205"/>
      <c r="D245" s="205"/>
      <c r="E245" s="205"/>
      <c r="F245" s="205"/>
      <c r="G245" s="205"/>
      <c r="H245" s="205"/>
    </row>
    <row r="246" spans="1:8" x14ac:dyDescent="0.25">
      <c r="A246" s="86" t="s">
        <v>65</v>
      </c>
      <c r="B246" s="86"/>
      <c r="C246" s="86"/>
      <c r="D246" s="86"/>
      <c r="E246" s="86"/>
      <c r="F246" s="86"/>
      <c r="G246" s="86"/>
      <c r="H246" s="86"/>
    </row>
    <row r="247" spans="1:8" x14ac:dyDescent="0.25">
      <c r="A247" s="86" t="s">
        <v>66</v>
      </c>
      <c r="B247" s="86"/>
      <c r="C247" s="86"/>
      <c r="D247" s="86"/>
      <c r="E247" s="86"/>
      <c r="F247" s="86"/>
      <c r="G247" s="86"/>
      <c r="H247" s="86"/>
    </row>
    <row r="248" spans="1:8" x14ac:dyDescent="0.25">
      <c r="A248" s="86" t="s">
        <v>131</v>
      </c>
      <c r="B248" s="86"/>
      <c r="C248" s="86"/>
      <c r="D248" s="86"/>
      <c r="E248" s="86"/>
      <c r="F248" s="86"/>
      <c r="G248" s="86"/>
      <c r="H248" s="86"/>
    </row>
    <row r="249" spans="1:8" ht="36" customHeight="1" x14ac:dyDescent="0.25">
      <c r="A249" s="150" t="s">
        <v>132</v>
      </c>
      <c r="B249" s="150"/>
      <c r="C249" s="150"/>
      <c r="D249" s="150"/>
      <c r="E249" s="150"/>
      <c r="F249" s="150"/>
      <c r="G249" s="150"/>
      <c r="H249" s="150"/>
    </row>
    <row r="250" spans="1:8" x14ac:dyDescent="0.25">
      <c r="A250" s="192" t="s">
        <v>79</v>
      </c>
      <c r="B250" s="192"/>
      <c r="C250" s="192" t="s">
        <v>252</v>
      </c>
      <c r="D250" s="192"/>
      <c r="E250" s="192" t="s">
        <v>109</v>
      </c>
      <c r="F250" s="192"/>
      <c r="G250" s="192" t="s">
        <v>262</v>
      </c>
      <c r="H250" s="192"/>
    </row>
    <row r="251" spans="1:8" x14ac:dyDescent="0.25">
      <c r="A251" s="191" t="s">
        <v>81</v>
      </c>
      <c r="B251" s="191"/>
      <c r="C251" s="191"/>
      <c r="D251" s="191"/>
      <c r="E251" s="191"/>
      <c r="F251" s="191"/>
      <c r="G251" s="191"/>
      <c r="H251" s="191"/>
    </row>
    <row r="252" spans="1:8" x14ac:dyDescent="0.25">
      <c r="A252" s="191"/>
      <c r="B252" s="191"/>
      <c r="C252" s="191"/>
      <c r="D252" s="191"/>
      <c r="E252" s="191"/>
      <c r="F252" s="191"/>
      <c r="G252" s="191"/>
      <c r="H252" s="191"/>
    </row>
    <row r="253" spans="1:8" x14ac:dyDescent="0.25">
      <c r="A253" s="191"/>
      <c r="B253" s="191"/>
      <c r="C253" s="191"/>
      <c r="D253" s="191"/>
      <c r="E253" s="191"/>
      <c r="F253" s="191"/>
      <c r="G253" s="191"/>
      <c r="H253" s="191"/>
    </row>
    <row r="254" spans="1:8" x14ac:dyDescent="0.25">
      <c r="A254" s="191"/>
      <c r="B254" s="191"/>
      <c r="C254" s="191"/>
      <c r="D254" s="191"/>
      <c r="E254" s="191"/>
      <c r="F254" s="191"/>
      <c r="G254" s="191"/>
      <c r="H254" s="191"/>
    </row>
    <row r="255" spans="1:8" x14ac:dyDescent="0.25">
      <c r="A255" s="35" t="s">
        <v>67</v>
      </c>
      <c r="B255" s="36"/>
      <c r="C255" s="36"/>
      <c r="D255" s="35" t="str">
        <f>E8</f>
        <v>Atmiya Centria</v>
      </c>
      <c r="F255" s="36"/>
      <c r="G255" s="36"/>
      <c r="H255" s="36"/>
    </row>
    <row r="256" spans="1:8" x14ac:dyDescent="0.25">
      <c r="A256" s="36"/>
      <c r="B256" s="36"/>
      <c r="C256" s="36"/>
      <c r="D256" s="36"/>
      <c r="E256" s="36"/>
      <c r="F256" s="36"/>
      <c r="G256" s="36"/>
      <c r="H256" s="36"/>
    </row>
    <row r="257" spans="1:8" x14ac:dyDescent="0.25">
      <c r="A257" s="36"/>
      <c r="B257" s="36"/>
      <c r="C257" s="36"/>
      <c r="D257" s="36"/>
      <c r="E257" s="36"/>
      <c r="F257" s="36"/>
      <c r="G257" s="36"/>
      <c r="H257" s="36"/>
    </row>
    <row r="258" spans="1:8" ht="15" customHeight="1" x14ac:dyDescent="0.25"/>
    <row r="298" spans="1:1" x14ac:dyDescent="0.25">
      <c r="A298" s="38" t="s">
        <v>173</v>
      </c>
    </row>
    <row r="327" spans="1:1" x14ac:dyDescent="0.25">
      <c r="A327" s="38" t="s">
        <v>68</v>
      </c>
    </row>
  </sheetData>
  <mergeCells count="418">
    <mergeCell ref="A201:B201"/>
    <mergeCell ref="A202:B202"/>
    <mergeCell ref="G192:H202"/>
    <mergeCell ref="C195:F195"/>
    <mergeCell ref="C196:F196"/>
    <mergeCell ref="C197:F197"/>
    <mergeCell ref="A215:H215"/>
    <mergeCell ref="A88:B88"/>
    <mergeCell ref="C88:D88"/>
    <mergeCell ref="E88:F88"/>
    <mergeCell ref="G88:H88"/>
    <mergeCell ref="E43:H43"/>
    <mergeCell ref="A43:D43"/>
    <mergeCell ref="A248:H248"/>
    <mergeCell ref="A245:H245"/>
    <mergeCell ref="A161:B161"/>
    <mergeCell ref="A123:B123"/>
    <mergeCell ref="D150:D151"/>
    <mergeCell ref="E150:E151"/>
    <mergeCell ref="G150:H151"/>
    <mergeCell ref="A83:B83"/>
    <mergeCell ref="F104:H104"/>
    <mergeCell ref="G119:H119"/>
    <mergeCell ref="A56:B56"/>
    <mergeCell ref="C56:E56"/>
    <mergeCell ref="C59:E59"/>
    <mergeCell ref="G59:H59"/>
    <mergeCell ref="G56:H56"/>
    <mergeCell ref="G58:H58"/>
    <mergeCell ref="D62:H62"/>
    <mergeCell ref="C58:E58"/>
    <mergeCell ref="D65:H65"/>
    <mergeCell ref="B241:H241"/>
    <mergeCell ref="A220:B220"/>
    <mergeCell ref="A221:B221"/>
    <mergeCell ref="A92:B92"/>
    <mergeCell ref="E92:F92"/>
    <mergeCell ref="G92:H92"/>
    <mergeCell ref="F103:H103"/>
    <mergeCell ref="C57:E57"/>
    <mergeCell ref="F113:H113"/>
    <mergeCell ref="A81:B81"/>
    <mergeCell ref="E77:F77"/>
    <mergeCell ref="A70:C70"/>
    <mergeCell ref="D70:H70"/>
    <mergeCell ref="A73:C73"/>
    <mergeCell ref="D73:H73"/>
    <mergeCell ref="A71:C71"/>
    <mergeCell ref="D71:H71"/>
    <mergeCell ref="A72:C72"/>
    <mergeCell ref="D72:H72"/>
    <mergeCell ref="A78:B78"/>
    <mergeCell ref="G77:H77"/>
    <mergeCell ref="E78:F87"/>
    <mergeCell ref="G78:H87"/>
    <mergeCell ref="A86:B86"/>
    <mergeCell ref="A69:C69"/>
    <mergeCell ref="D69:H69"/>
    <mergeCell ref="C76:H76"/>
    <mergeCell ref="A93:B93"/>
    <mergeCell ref="E93:F102"/>
    <mergeCell ref="E119:F119"/>
    <mergeCell ref="B131:B132"/>
    <mergeCell ref="A131:A132"/>
    <mergeCell ref="C150:C151"/>
    <mergeCell ref="C128:D128"/>
    <mergeCell ref="A135:H135"/>
    <mergeCell ref="A140:B140"/>
    <mergeCell ref="G136:H140"/>
    <mergeCell ref="A120:B120"/>
    <mergeCell ref="A129:H129"/>
    <mergeCell ref="C124:D124"/>
    <mergeCell ref="A143:H143"/>
    <mergeCell ref="A128:B128"/>
    <mergeCell ref="E128:F128"/>
    <mergeCell ref="A121:B121"/>
    <mergeCell ref="A251:H254"/>
    <mergeCell ref="A250:B250"/>
    <mergeCell ref="E250:F250"/>
    <mergeCell ref="C250:D250"/>
    <mergeCell ref="G250:H250"/>
    <mergeCell ref="A117:H117"/>
    <mergeCell ref="A115:E115"/>
    <mergeCell ref="F115:H115"/>
    <mergeCell ref="A116:E116"/>
    <mergeCell ref="F116:H116"/>
    <mergeCell ref="A160:H160"/>
    <mergeCell ref="A124:B124"/>
    <mergeCell ref="A119:B119"/>
    <mergeCell ref="A246:H246"/>
    <mergeCell ref="A122:H122"/>
    <mergeCell ref="A249:H249"/>
    <mergeCell ref="A247:H247"/>
    <mergeCell ref="A243:H243"/>
    <mergeCell ref="A244:H244"/>
    <mergeCell ref="E123:F123"/>
    <mergeCell ref="B236:H236"/>
    <mergeCell ref="B234:H234"/>
    <mergeCell ref="B230:H230"/>
    <mergeCell ref="C118:D118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G22:H22"/>
    <mergeCell ref="A17:B17"/>
    <mergeCell ref="A14:D14"/>
    <mergeCell ref="E14:H14"/>
    <mergeCell ref="A15:D15"/>
    <mergeCell ref="A10:D10"/>
    <mergeCell ref="E10:H10"/>
    <mergeCell ref="A13:D13"/>
    <mergeCell ref="E13:H13"/>
    <mergeCell ref="A11:D12"/>
    <mergeCell ref="E11:F11"/>
    <mergeCell ref="G11:H11"/>
    <mergeCell ref="E12:F12"/>
    <mergeCell ref="G12:H12"/>
    <mergeCell ref="A18:B18"/>
    <mergeCell ref="C18:H18"/>
    <mergeCell ref="E27:H27"/>
    <mergeCell ref="A23:D24"/>
    <mergeCell ref="E23:H24"/>
    <mergeCell ref="E15:H15"/>
    <mergeCell ref="A16:B16"/>
    <mergeCell ref="C16:H16"/>
    <mergeCell ref="C17:H17"/>
    <mergeCell ref="A25:D25"/>
    <mergeCell ref="E25:H25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22:B22"/>
    <mergeCell ref="C22:D22"/>
    <mergeCell ref="E22:F22"/>
    <mergeCell ref="A40:B40"/>
    <mergeCell ref="A26:D26"/>
    <mergeCell ref="E26:H26"/>
    <mergeCell ref="A30:D30"/>
    <mergeCell ref="E30:H30"/>
    <mergeCell ref="A27:D27"/>
    <mergeCell ref="A36:B36"/>
    <mergeCell ref="C36:E36"/>
    <mergeCell ref="A31:D31"/>
    <mergeCell ref="E31:H31"/>
    <mergeCell ref="A32:D32"/>
    <mergeCell ref="E32:H32"/>
    <mergeCell ref="A28:D28"/>
    <mergeCell ref="E28:H28"/>
    <mergeCell ref="C33:E33"/>
    <mergeCell ref="F36:H36"/>
    <mergeCell ref="F33:H33"/>
    <mergeCell ref="A34:B34"/>
    <mergeCell ref="A33:B33"/>
    <mergeCell ref="C34:E34"/>
    <mergeCell ref="A35:B35"/>
    <mergeCell ref="C35:E35"/>
    <mergeCell ref="F34:H34"/>
    <mergeCell ref="F35:H35"/>
    <mergeCell ref="C52:E52"/>
    <mergeCell ref="A29:D29"/>
    <mergeCell ref="E29:H29"/>
    <mergeCell ref="A60:B60"/>
    <mergeCell ref="C60:E60"/>
    <mergeCell ref="A57:B57"/>
    <mergeCell ref="A61:H61"/>
    <mergeCell ref="A62:C62"/>
    <mergeCell ref="A63:C63"/>
    <mergeCell ref="D63:H63"/>
    <mergeCell ref="G60:H60"/>
    <mergeCell ref="A44:D44"/>
    <mergeCell ref="E44:H44"/>
    <mergeCell ref="E45:H45"/>
    <mergeCell ref="E46:H46"/>
    <mergeCell ref="E47:H47"/>
    <mergeCell ref="A45:D45"/>
    <mergeCell ref="F37:H37"/>
    <mergeCell ref="A39:B39"/>
    <mergeCell ref="A38:H38"/>
    <mergeCell ref="A37:B37"/>
    <mergeCell ref="C37:E37"/>
    <mergeCell ref="A42:D42"/>
    <mergeCell ref="E42:H42"/>
    <mergeCell ref="A84:B84"/>
    <mergeCell ref="C39:H39"/>
    <mergeCell ref="A46:D46"/>
    <mergeCell ref="A47:D47"/>
    <mergeCell ref="A48:H48"/>
    <mergeCell ref="D66:H66"/>
    <mergeCell ref="A65:C66"/>
    <mergeCell ref="A67:C67"/>
    <mergeCell ref="A68:C68"/>
    <mergeCell ref="D67:H67"/>
    <mergeCell ref="D68:H68"/>
    <mergeCell ref="D64:H64"/>
    <mergeCell ref="A64:C64"/>
    <mergeCell ref="G57:H57"/>
    <mergeCell ref="A58:B59"/>
    <mergeCell ref="A50:H50"/>
    <mergeCell ref="A41:H41"/>
    <mergeCell ref="C40:H40"/>
    <mergeCell ref="A49:B49"/>
    <mergeCell ref="C49:H49"/>
    <mergeCell ref="A51:B51"/>
    <mergeCell ref="C51:E51"/>
    <mergeCell ref="G51:H51"/>
    <mergeCell ref="A52:B52"/>
    <mergeCell ref="A77:B77"/>
    <mergeCell ref="A80:B80"/>
    <mergeCell ref="A76:B76"/>
    <mergeCell ref="A74:B74"/>
    <mergeCell ref="C74:H74"/>
    <mergeCell ref="A85:B85"/>
    <mergeCell ref="A118:B118"/>
    <mergeCell ref="G118:H118"/>
    <mergeCell ref="A114:E114"/>
    <mergeCell ref="A79:B79"/>
    <mergeCell ref="F106:H106"/>
    <mergeCell ref="A111:E111"/>
    <mergeCell ref="A106:E106"/>
    <mergeCell ref="A103:E103"/>
    <mergeCell ref="F107:H107"/>
    <mergeCell ref="F111:H111"/>
    <mergeCell ref="F110:H110"/>
    <mergeCell ref="A104:E104"/>
    <mergeCell ref="A89:B89"/>
    <mergeCell ref="C89:H89"/>
    <mergeCell ref="A91:B91"/>
    <mergeCell ref="C91:H91"/>
    <mergeCell ref="A82:B82"/>
    <mergeCell ref="A87:B87"/>
    <mergeCell ref="B232:H232"/>
    <mergeCell ref="A144:H144"/>
    <mergeCell ref="A134:H134"/>
    <mergeCell ref="A145:B145"/>
    <mergeCell ref="G145:H148"/>
    <mergeCell ref="A146:B146"/>
    <mergeCell ref="A148:B148"/>
    <mergeCell ref="E131:E132"/>
    <mergeCell ref="G131:H132"/>
    <mergeCell ref="C131:C132"/>
    <mergeCell ref="B150:B151"/>
    <mergeCell ref="A153:H153"/>
    <mergeCell ref="A147:B147"/>
    <mergeCell ref="A149:H149"/>
    <mergeCell ref="A150:A151"/>
    <mergeCell ref="A152:H152"/>
    <mergeCell ref="A154:B154"/>
    <mergeCell ref="A156:B156"/>
    <mergeCell ref="A176:H176"/>
    <mergeCell ref="A177:B177"/>
    <mergeCell ref="A222:B222"/>
    <mergeCell ref="A223:B223"/>
    <mergeCell ref="A224:B224"/>
    <mergeCell ref="A225:B225"/>
    <mergeCell ref="A179:B179"/>
    <mergeCell ref="A180:B180"/>
    <mergeCell ref="C121:D121"/>
    <mergeCell ref="E121:F121"/>
    <mergeCell ref="G121:H121"/>
    <mergeCell ref="C125:D125"/>
    <mergeCell ref="E126:F126"/>
    <mergeCell ref="G126:H126"/>
    <mergeCell ref="B231:H231"/>
    <mergeCell ref="E127:F127"/>
    <mergeCell ref="G127:H127"/>
    <mergeCell ref="A130:H130"/>
    <mergeCell ref="G124:H124"/>
    <mergeCell ref="A226:B226"/>
    <mergeCell ref="C186:F186"/>
    <mergeCell ref="C218:F218"/>
    <mergeCell ref="A192:B192"/>
    <mergeCell ref="A207:B207"/>
    <mergeCell ref="A205:B205"/>
    <mergeCell ref="A197:B197"/>
    <mergeCell ref="A203:H203"/>
    <mergeCell ref="A198:B198"/>
    <mergeCell ref="A199:B199"/>
    <mergeCell ref="A200:B200"/>
    <mergeCell ref="C171:F171"/>
    <mergeCell ref="G170:H175"/>
    <mergeCell ref="G161:H166"/>
    <mergeCell ref="A168:H168"/>
    <mergeCell ref="A169:H169"/>
    <mergeCell ref="A170:B170"/>
    <mergeCell ref="A171:B171"/>
    <mergeCell ref="A172:B172"/>
    <mergeCell ref="A173:B173"/>
    <mergeCell ref="F114:H114"/>
    <mergeCell ref="F112:H112"/>
    <mergeCell ref="A109:E109"/>
    <mergeCell ref="C120:D120"/>
    <mergeCell ref="E120:F120"/>
    <mergeCell ref="G120:H120"/>
    <mergeCell ref="E124:F124"/>
    <mergeCell ref="E125:F125"/>
    <mergeCell ref="A155:B155"/>
    <mergeCell ref="A142:H142"/>
    <mergeCell ref="A141:H141"/>
    <mergeCell ref="C126:D126"/>
    <mergeCell ref="G128:H128"/>
    <mergeCell ref="B229:H229"/>
    <mergeCell ref="A183:H183"/>
    <mergeCell ref="A184:B184"/>
    <mergeCell ref="G184:H189"/>
    <mergeCell ref="B233:H233"/>
    <mergeCell ref="A216:B216"/>
    <mergeCell ref="A194:B194"/>
    <mergeCell ref="A125:A126"/>
    <mergeCell ref="A127:B127"/>
    <mergeCell ref="C127:D127"/>
    <mergeCell ref="D131:D132"/>
    <mergeCell ref="A136:B136"/>
    <mergeCell ref="A137:B137"/>
    <mergeCell ref="A138:B138"/>
    <mergeCell ref="A139:B139"/>
    <mergeCell ref="A133:H133"/>
    <mergeCell ref="A178:B178"/>
    <mergeCell ref="A167:H167"/>
    <mergeCell ref="C166:F166"/>
    <mergeCell ref="A227:H227"/>
    <mergeCell ref="A164:B164"/>
    <mergeCell ref="A174:B174"/>
    <mergeCell ref="A175:B175"/>
    <mergeCell ref="A166:B166"/>
    <mergeCell ref="A102:B102"/>
    <mergeCell ref="A210:B210"/>
    <mergeCell ref="A211:B211"/>
    <mergeCell ref="A212:B212"/>
    <mergeCell ref="A213:B213"/>
    <mergeCell ref="A214:B214"/>
    <mergeCell ref="A209:B209"/>
    <mergeCell ref="G125:H125"/>
    <mergeCell ref="C123:D123"/>
    <mergeCell ref="G123:H123"/>
    <mergeCell ref="A110:E110"/>
    <mergeCell ref="A112:E112"/>
    <mergeCell ref="A157:B157"/>
    <mergeCell ref="A158:B158"/>
    <mergeCell ref="A165:B165"/>
    <mergeCell ref="A162:B162"/>
    <mergeCell ref="A163:B163"/>
    <mergeCell ref="A159:B159"/>
    <mergeCell ref="A191:H191"/>
    <mergeCell ref="F105:H105"/>
    <mergeCell ref="A105:E105"/>
    <mergeCell ref="A107:E107"/>
    <mergeCell ref="A108:E108"/>
    <mergeCell ref="F108:H108"/>
    <mergeCell ref="G204:H214"/>
    <mergeCell ref="A206:B206"/>
    <mergeCell ref="A113:E113"/>
    <mergeCell ref="C119:D119"/>
    <mergeCell ref="G177:H182"/>
    <mergeCell ref="B242:H242"/>
    <mergeCell ref="A208:B208"/>
    <mergeCell ref="G154:H159"/>
    <mergeCell ref="A204:B204"/>
    <mergeCell ref="A185:B185"/>
    <mergeCell ref="A186:B186"/>
    <mergeCell ref="A187:B187"/>
    <mergeCell ref="A188:B188"/>
    <mergeCell ref="A189:B189"/>
    <mergeCell ref="B240:H240"/>
    <mergeCell ref="B239:H239"/>
    <mergeCell ref="B238:H238"/>
    <mergeCell ref="B237:H237"/>
    <mergeCell ref="B235:H235"/>
    <mergeCell ref="G216:H226"/>
    <mergeCell ref="A217:B217"/>
    <mergeCell ref="A218:B218"/>
    <mergeCell ref="A219:B219"/>
    <mergeCell ref="B228:H228"/>
    <mergeCell ref="G52:H52"/>
    <mergeCell ref="A53:B54"/>
    <mergeCell ref="C53:E53"/>
    <mergeCell ref="G53:H53"/>
    <mergeCell ref="C54:E54"/>
    <mergeCell ref="G54:H54"/>
    <mergeCell ref="A55:H55"/>
    <mergeCell ref="A195:B195"/>
    <mergeCell ref="A196:B196"/>
    <mergeCell ref="A193:B193"/>
    <mergeCell ref="F109:H109"/>
    <mergeCell ref="E118:F118"/>
    <mergeCell ref="A181:B181"/>
    <mergeCell ref="A182:B182"/>
    <mergeCell ref="A190:H190"/>
    <mergeCell ref="G93:H102"/>
    <mergeCell ref="A94:B94"/>
    <mergeCell ref="A95:B95"/>
    <mergeCell ref="A96:B96"/>
    <mergeCell ref="A97:B97"/>
    <mergeCell ref="A98:B98"/>
    <mergeCell ref="A99:B99"/>
    <mergeCell ref="A100:B100"/>
    <mergeCell ref="A101:B101"/>
  </mergeCells>
  <hyperlinks>
    <hyperlink ref="C40" r:id="rId1"/>
    <hyperlink ref="I70" r:id="rId2"/>
  </hyperlinks>
  <printOptions horizontalCentered="1"/>
  <pageMargins left="0.39370078740157483" right="0.39370078740157483" top="0.78740157480314965" bottom="0.78740157480314965" header="0.15748031496062992" footer="0.19685039370078741"/>
  <pageSetup paperSize="2" fitToHeight="0" orientation="portrait" r:id="rId3"/>
  <headerFooter>
    <oddHeader>&amp;C&amp;G</oddHeader>
    <oddFooter>&amp;L&amp;"Times New Roman,Bold"&amp;12Ref No: &amp;F&amp;C&amp;G&amp;R&amp;"Times New Roman,Bold"&amp;12&amp;P</oddFooter>
  </headerFooter>
  <rowBreaks count="5" manualBreakCount="5">
    <brk id="57" max="7" man="1"/>
    <brk id="88" max="7" man="1"/>
    <brk id="254" max="16383" man="1"/>
    <brk id="297" max="16383" man="1"/>
    <brk id="326" max="16383" man="1"/>
  </rowBreaks>
  <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28515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07" t="s">
        <v>110</v>
      </c>
      <c r="C3" s="207"/>
      <c r="D3" s="207"/>
      <c r="E3" s="207"/>
      <c r="F3" s="207"/>
      <c r="G3" s="207"/>
      <c r="H3" s="207"/>
    </row>
    <row r="4" spans="1:9" x14ac:dyDescent="0.25">
      <c r="A4" s="2"/>
      <c r="B4" s="3" t="s">
        <v>111</v>
      </c>
      <c r="C4" s="3" t="s">
        <v>112</v>
      </c>
      <c r="D4" s="3" t="s">
        <v>70</v>
      </c>
      <c r="E4" s="3" t="s">
        <v>113</v>
      </c>
      <c r="F4" s="3" t="s">
        <v>119</v>
      </c>
      <c r="G4" s="3" t="s">
        <v>120</v>
      </c>
      <c r="H4" s="3" t="s">
        <v>114</v>
      </c>
    </row>
    <row r="5" spans="1:9" ht="15" customHeight="1" x14ac:dyDescent="0.25">
      <c r="A5" s="2"/>
      <c r="B5" s="5" t="s">
        <v>115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115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115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115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115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116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116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117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118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Welcome</cp:lastModifiedBy>
  <cp:lastPrinted>2025-08-13T08:02:42Z</cp:lastPrinted>
  <dcterms:created xsi:type="dcterms:W3CDTF">2019-07-16T09:29:46Z</dcterms:created>
  <dcterms:modified xsi:type="dcterms:W3CDTF">2025-08-13T08:03:19Z</dcterms:modified>
</cp:coreProperties>
</file>