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Sept 25\Rate Revision\"/>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Report!$A$1:$H$717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 l="1"/>
  <c r="K245" i="1"/>
  <c r="L245" i="1" s="1"/>
  <c r="K246" i="1"/>
  <c r="L246" i="1" s="1"/>
  <c r="K244" i="1"/>
  <c r="L244" i="1" s="1"/>
  <c r="D515" i="1"/>
  <c r="D495" i="1"/>
  <c r="D479" i="1"/>
  <c r="E528" i="1"/>
  <c r="E527" i="1"/>
  <c r="E526" i="1"/>
  <c r="E524" i="1"/>
  <c r="E523" i="1"/>
  <c r="E522" i="1"/>
  <c r="E529" i="1"/>
  <c r="E525" i="1"/>
  <c r="E519" i="1"/>
  <c r="E518" i="1"/>
  <c r="E517" i="1"/>
  <c r="E515" i="1"/>
  <c r="E514" i="1"/>
  <c r="E513" i="1"/>
  <c r="E520" i="1"/>
  <c r="E516" i="1"/>
  <c r="E511" i="1"/>
  <c r="E507" i="1"/>
  <c r="E510" i="1"/>
  <c r="E509" i="1"/>
  <c r="E508" i="1"/>
  <c r="E506" i="1"/>
  <c r="E505" i="1"/>
  <c r="E504" i="1"/>
  <c r="E502" i="1"/>
  <c r="E498" i="1"/>
  <c r="E499" i="1"/>
  <c r="E497" i="1"/>
  <c r="E496" i="1"/>
  <c r="E495" i="1"/>
  <c r="E492" i="1"/>
  <c r="E491" i="1"/>
  <c r="E490" i="1"/>
  <c r="E488" i="1"/>
  <c r="E487" i="1"/>
  <c r="E486" i="1"/>
  <c r="E493" i="1"/>
  <c r="E489" i="1"/>
  <c r="E484" i="1"/>
  <c r="E482" i="1"/>
  <c r="E480" i="1"/>
  <c r="E479" i="1"/>
  <c r="E478" i="1"/>
  <c r="E483" i="1"/>
  <c r="E481" i="1"/>
  <c r="E477" i="1"/>
  <c r="E475" i="1"/>
  <c r="E471" i="1"/>
  <c r="E469" i="1"/>
  <c r="E472" i="1"/>
  <c r="E470" i="1"/>
  <c r="E468" i="1"/>
  <c r="E466" i="1"/>
  <c r="E465" i="1"/>
  <c r="E459" i="1"/>
  <c r="E464" i="1"/>
  <c r="E463" i="1"/>
  <c r="E462" i="1"/>
  <c r="E461" i="1"/>
  <c r="E460" i="1"/>
  <c r="E455" i="1"/>
  <c r="E452" i="1"/>
  <c r="E454" i="1"/>
  <c r="E453" i="1"/>
  <c r="E451" i="1"/>
  <c r="D433" i="1" l="1"/>
  <c r="D432" i="1"/>
  <c r="D364" i="1"/>
  <c r="D356" i="1"/>
  <c r="E445" i="1"/>
  <c r="E444" i="1"/>
  <c r="E443" i="1"/>
  <c r="E442" i="1"/>
  <c r="E438" i="1"/>
  <c r="E437" i="1"/>
  <c r="E440" i="1"/>
  <c r="E439" i="1"/>
  <c r="D445" i="1"/>
  <c r="F445" i="1" s="1"/>
  <c r="H445" i="1" s="1"/>
  <c r="D444" i="1"/>
  <c r="D443" i="1"/>
  <c r="A443" i="1"/>
  <c r="A444" i="1" s="1"/>
  <c r="A445" i="1" s="1"/>
  <c r="D442" i="1"/>
  <c r="E435" i="1"/>
  <c r="E434" i="1"/>
  <c r="E433" i="1"/>
  <c r="E432" i="1"/>
  <c r="E430" i="1"/>
  <c r="E429" i="1"/>
  <c r="E428" i="1"/>
  <c r="E426" i="1"/>
  <c r="E419" i="1"/>
  <c r="E418" i="1"/>
  <c r="E417" i="1"/>
  <c r="E416" i="1"/>
  <c r="E423" i="1"/>
  <c r="E421" i="1"/>
  <c r="E424" i="1"/>
  <c r="E422" i="1"/>
  <c r="E414" i="1"/>
  <c r="E413" i="1"/>
  <c r="E412" i="1"/>
  <c r="E411" i="1"/>
  <c r="E410" i="1"/>
  <c r="E409" i="1"/>
  <c r="E407" i="1"/>
  <c r="E404" i="1"/>
  <c r="E403" i="1"/>
  <c r="E402" i="1"/>
  <c r="E406" i="1"/>
  <c r="E405" i="1"/>
  <c r="E400" i="1"/>
  <c r="E399" i="1"/>
  <c r="E398" i="1"/>
  <c r="E397" i="1"/>
  <c r="E396" i="1"/>
  <c r="E395" i="1"/>
  <c r="E390" i="1"/>
  <c r="E388" i="1"/>
  <c r="E393" i="1"/>
  <c r="E392" i="1"/>
  <c r="E391" i="1"/>
  <c r="E386" i="1"/>
  <c r="E385" i="1"/>
  <c r="E384" i="1"/>
  <c r="E383" i="1"/>
  <c r="E382" i="1"/>
  <c r="E381" i="1"/>
  <c r="E376" i="1"/>
  <c r="E375" i="1"/>
  <c r="E374" i="1"/>
  <c r="E379" i="1"/>
  <c r="E378" i="1"/>
  <c r="E377" i="1"/>
  <c r="E372" i="1"/>
  <c r="E371" i="1"/>
  <c r="E370" i="1"/>
  <c r="E369" i="1"/>
  <c r="E368" i="1"/>
  <c r="E367" i="1"/>
  <c r="E365" i="1"/>
  <c r="E360" i="1"/>
  <c r="E364" i="1"/>
  <c r="E363" i="1"/>
  <c r="E358" i="1"/>
  <c r="E357" i="1"/>
  <c r="E356" i="1"/>
  <c r="E355" i="1"/>
  <c r="E354" i="1"/>
  <c r="E353" i="1"/>
  <c r="E348" i="1"/>
  <c r="E347" i="1"/>
  <c r="E346" i="1"/>
  <c r="E341" i="1"/>
  <c r="E339" i="1"/>
  <c r="E338" i="1"/>
  <c r="E337" i="1"/>
  <c r="E336" i="1"/>
  <c r="E335" i="1"/>
  <c r="E334" i="1"/>
  <c r="E332" i="1"/>
  <c r="E331" i="1"/>
  <c r="E330" i="1"/>
  <c r="E329" i="1"/>
  <c r="E328" i="1"/>
  <c r="E327" i="1"/>
  <c r="E326" i="1"/>
  <c r="E325" i="1"/>
  <c r="E322" i="1"/>
  <c r="E321" i="1"/>
  <c r="E318" i="1"/>
  <c r="E317" i="1"/>
  <c r="E323" i="1"/>
  <c r="E320" i="1"/>
  <c r="E319" i="1"/>
  <c r="E316" i="1"/>
  <c r="E314" i="1"/>
  <c r="E313" i="1"/>
  <c r="E312" i="1"/>
  <c r="E311" i="1"/>
  <c r="E310" i="1"/>
  <c r="E309" i="1"/>
  <c r="E308" i="1"/>
  <c r="E307" i="1"/>
  <c r="E296" i="1"/>
  <c r="E295" i="1"/>
  <c r="E294" i="1"/>
  <c r="E293" i="1"/>
  <c r="E292" i="1"/>
  <c r="E291" i="1"/>
  <c r="E290" i="1"/>
  <c r="E289" i="1"/>
  <c r="E286" i="1"/>
  <c r="E285" i="1"/>
  <c r="E284" i="1"/>
  <c r="E282" i="1"/>
  <c r="E281" i="1"/>
  <c r="E280" i="1"/>
  <c r="E287" i="1"/>
  <c r="E283" i="1"/>
  <c r="E277" i="1"/>
  <c r="E276" i="1"/>
  <c r="E278" i="1"/>
  <c r="E275" i="1"/>
  <c r="E274" i="1"/>
  <c r="E273" i="1"/>
  <c r="E272" i="1"/>
  <c r="E271" i="1"/>
  <c r="E305" i="1"/>
  <c r="E302" i="1"/>
  <c r="E301" i="1"/>
  <c r="E300" i="1"/>
  <c r="E299" i="1"/>
  <c r="E298" i="1"/>
  <c r="E269" i="1"/>
  <c r="E266" i="1"/>
  <c r="E265" i="1"/>
  <c r="E264" i="1"/>
  <c r="E263" i="1"/>
  <c r="E262" i="1"/>
  <c r="E260" i="1"/>
  <c r="E259" i="1"/>
  <c r="E258" i="1"/>
  <c r="E257" i="1"/>
  <c r="E256" i="1"/>
  <c r="E255" i="1"/>
  <c r="E254" i="1"/>
  <c r="E253" i="1"/>
  <c r="E250" i="1"/>
  <c r="E249" i="1"/>
  <c r="E248" i="1"/>
  <c r="E246" i="1"/>
  <c r="E245" i="1"/>
  <c r="E244" i="1"/>
  <c r="E251" i="1"/>
  <c r="E247" i="1"/>
  <c r="E242" i="1"/>
  <c r="E241" i="1"/>
  <c r="E238" i="1"/>
  <c r="E237" i="1"/>
  <c r="E240" i="1"/>
  <c r="E239" i="1"/>
  <c r="E236" i="1"/>
  <c r="E235" i="1"/>
  <c r="D233" i="1"/>
  <c r="D229" i="1"/>
  <c r="D228" i="1"/>
  <c r="E229" i="1"/>
  <c r="E228" i="1"/>
  <c r="E233" i="1"/>
  <c r="E230" i="1"/>
  <c r="E227" i="1"/>
  <c r="E226" i="1"/>
  <c r="E224" i="1"/>
  <c r="E223" i="1"/>
  <c r="E222" i="1"/>
  <c r="E221" i="1"/>
  <c r="E220" i="1"/>
  <c r="E219" i="1"/>
  <c r="E218" i="1"/>
  <c r="E217" i="1"/>
  <c r="E213" i="1"/>
  <c r="D210" i="1"/>
  <c r="D211" i="1"/>
  <c r="E212" i="1"/>
  <c r="E211" i="1"/>
  <c r="E210" i="1"/>
  <c r="E209" i="1"/>
  <c r="D190" i="1"/>
  <c r="D186" i="1"/>
  <c r="D164" i="1"/>
  <c r="D160" i="1"/>
  <c r="D159" i="1"/>
  <c r="F442" i="1" l="1"/>
  <c r="H442" i="1" s="1"/>
  <c r="F443" i="1"/>
  <c r="H443" i="1" s="1"/>
  <c r="F444" i="1"/>
  <c r="H444" i="1" s="1"/>
  <c r="D181" i="1"/>
  <c r="D180" i="1"/>
  <c r="D179" i="1"/>
  <c r="D176" i="1"/>
  <c r="D175" i="1"/>
  <c r="D174" i="1"/>
  <c r="D173" i="1"/>
  <c r="D172" i="1"/>
  <c r="D171" i="1"/>
  <c r="D529" i="1" l="1"/>
  <c r="F529" i="1" s="1"/>
  <c r="H529" i="1" s="1"/>
  <c r="D528" i="1"/>
  <c r="F528" i="1" s="1"/>
  <c r="H528" i="1" s="1"/>
  <c r="D527" i="1"/>
  <c r="F527" i="1" s="1"/>
  <c r="H527" i="1" s="1"/>
  <c r="D526" i="1"/>
  <c r="F526" i="1" s="1"/>
  <c r="H526" i="1" s="1"/>
  <c r="D524" i="1"/>
  <c r="F524" i="1" s="1"/>
  <c r="H524" i="1" s="1"/>
  <c r="D523" i="1"/>
  <c r="F523" i="1" s="1"/>
  <c r="H523" i="1" s="1"/>
  <c r="D522" i="1"/>
  <c r="F522" i="1" s="1"/>
  <c r="H522" i="1" s="1"/>
  <c r="D525" i="1"/>
  <c r="F525" i="1" s="1"/>
  <c r="H525" i="1" s="1"/>
  <c r="D519" i="1"/>
  <c r="F519" i="1" s="1"/>
  <c r="H519" i="1" s="1"/>
  <c r="D518" i="1"/>
  <c r="F518" i="1" s="1"/>
  <c r="H518" i="1" s="1"/>
  <c r="D517" i="1"/>
  <c r="F517" i="1" s="1"/>
  <c r="H517" i="1" s="1"/>
  <c r="F515" i="1"/>
  <c r="H515" i="1" s="1"/>
  <c r="I515" i="1" s="1"/>
  <c r="D514" i="1"/>
  <c r="F514" i="1" s="1"/>
  <c r="H514" i="1" s="1"/>
  <c r="D513" i="1"/>
  <c r="F513" i="1" s="1"/>
  <c r="H513" i="1" s="1"/>
  <c r="D520" i="1"/>
  <c r="F520" i="1" s="1"/>
  <c r="H520" i="1" s="1"/>
  <c r="D516" i="1"/>
  <c r="F516" i="1" s="1"/>
  <c r="H516" i="1" s="1"/>
  <c r="D511" i="1"/>
  <c r="F511" i="1" s="1"/>
  <c r="H511" i="1" s="1"/>
  <c r="D510" i="1"/>
  <c r="F510" i="1" s="1"/>
  <c r="H510" i="1" s="1"/>
  <c r="D509" i="1"/>
  <c r="F509" i="1" s="1"/>
  <c r="H509" i="1" s="1"/>
  <c r="D508" i="1"/>
  <c r="F508" i="1" s="1"/>
  <c r="H508" i="1" s="1"/>
  <c r="D507" i="1"/>
  <c r="F507" i="1" s="1"/>
  <c r="H507" i="1" s="1"/>
  <c r="D506" i="1"/>
  <c r="F506" i="1" s="1"/>
  <c r="H506" i="1" s="1"/>
  <c r="D505" i="1"/>
  <c r="F505" i="1" s="1"/>
  <c r="H505" i="1" s="1"/>
  <c r="D504" i="1"/>
  <c r="F504" i="1" s="1"/>
  <c r="H504" i="1" s="1"/>
  <c r="A505" i="1"/>
  <c r="A506" i="1" s="1"/>
  <c r="A507" i="1" s="1"/>
  <c r="A508" i="1" s="1"/>
  <c r="A509" i="1" s="1"/>
  <c r="A510" i="1" s="1"/>
  <c r="A511" i="1" s="1"/>
  <c r="A514" i="1"/>
  <c r="A515" i="1" s="1"/>
  <c r="A516" i="1" s="1"/>
  <c r="A517" i="1" s="1"/>
  <c r="A518" i="1" s="1"/>
  <c r="A519" i="1" s="1"/>
  <c r="A520" i="1" s="1"/>
  <c r="A523" i="1"/>
  <c r="A524" i="1" s="1"/>
  <c r="A525" i="1" s="1"/>
  <c r="A526" i="1" s="1"/>
  <c r="A527" i="1" s="1"/>
  <c r="A528" i="1" s="1"/>
  <c r="A529" i="1" s="1"/>
  <c r="D502" i="1"/>
  <c r="F502" i="1" s="1"/>
  <c r="H502" i="1" s="1"/>
  <c r="D499" i="1"/>
  <c r="F499" i="1" s="1"/>
  <c r="H499" i="1" s="1"/>
  <c r="D498" i="1"/>
  <c r="F498" i="1" s="1"/>
  <c r="H498" i="1" s="1"/>
  <c r="D497" i="1"/>
  <c r="F497" i="1" s="1"/>
  <c r="H497" i="1" s="1"/>
  <c r="D496" i="1"/>
  <c r="F496" i="1" s="1"/>
  <c r="H496" i="1" s="1"/>
  <c r="F495" i="1"/>
  <c r="H495" i="1" s="1"/>
  <c r="D493" i="1"/>
  <c r="F493" i="1" s="1"/>
  <c r="H493" i="1" s="1"/>
  <c r="D492" i="1"/>
  <c r="F492" i="1" s="1"/>
  <c r="H492" i="1" s="1"/>
  <c r="D491" i="1"/>
  <c r="F491" i="1" s="1"/>
  <c r="H491" i="1" s="1"/>
  <c r="D490" i="1"/>
  <c r="F490" i="1" s="1"/>
  <c r="H490" i="1" s="1"/>
  <c r="D489" i="1"/>
  <c r="F489" i="1" s="1"/>
  <c r="H489" i="1" s="1"/>
  <c r="D488" i="1"/>
  <c r="F488" i="1" s="1"/>
  <c r="H488" i="1" s="1"/>
  <c r="D487" i="1"/>
  <c r="F487" i="1" s="1"/>
  <c r="H487" i="1" s="1"/>
  <c r="D486" i="1"/>
  <c r="F486" i="1" s="1"/>
  <c r="H486" i="1" s="1"/>
  <c r="A487" i="1"/>
  <c r="A488" i="1" s="1"/>
  <c r="A489" i="1" s="1"/>
  <c r="A490" i="1" s="1"/>
  <c r="A491" i="1" s="1"/>
  <c r="A492" i="1" s="1"/>
  <c r="A493" i="1" s="1"/>
  <c r="A496" i="1"/>
  <c r="A497" i="1" s="1"/>
  <c r="A498" i="1" s="1"/>
  <c r="A499" i="1" s="1"/>
  <c r="A500" i="1" s="1"/>
  <c r="A501" i="1" s="1"/>
  <c r="A502" i="1" s="1"/>
  <c r="D484" i="1"/>
  <c r="F484" i="1" s="1"/>
  <c r="H484" i="1" s="1"/>
  <c r="D482" i="1"/>
  <c r="F482" i="1" s="1"/>
  <c r="H482" i="1" s="1"/>
  <c r="D480" i="1"/>
  <c r="F480" i="1" s="1"/>
  <c r="H480" i="1" s="1"/>
  <c r="D478" i="1"/>
  <c r="F478" i="1" s="1"/>
  <c r="H478" i="1" s="1"/>
  <c r="D477" i="1"/>
  <c r="F477" i="1" s="1"/>
  <c r="H477" i="1" s="1"/>
  <c r="D483" i="1"/>
  <c r="F483" i="1" s="1"/>
  <c r="H483" i="1" s="1"/>
  <c r="D481" i="1"/>
  <c r="F481" i="1" s="1"/>
  <c r="H481" i="1" s="1"/>
  <c r="F479" i="1"/>
  <c r="H479" i="1" s="1"/>
  <c r="D475" i="1"/>
  <c r="F475" i="1" s="1"/>
  <c r="H475" i="1" s="1"/>
  <c r="D472" i="1"/>
  <c r="F472" i="1" s="1"/>
  <c r="H472" i="1" s="1"/>
  <c r="D471" i="1"/>
  <c r="F471" i="1" s="1"/>
  <c r="H471" i="1" s="1"/>
  <c r="D470" i="1"/>
  <c r="F470" i="1" s="1"/>
  <c r="H470" i="1" s="1"/>
  <c r="D469" i="1"/>
  <c r="F469" i="1" s="1"/>
  <c r="H469" i="1" s="1"/>
  <c r="D468" i="1"/>
  <c r="F468" i="1" s="1"/>
  <c r="H468" i="1" s="1"/>
  <c r="D466" i="1"/>
  <c r="F466" i="1" s="1"/>
  <c r="H466" i="1" s="1"/>
  <c r="D465" i="1"/>
  <c r="F465" i="1" s="1"/>
  <c r="H465" i="1" s="1"/>
  <c r="D464" i="1"/>
  <c r="F464" i="1" s="1"/>
  <c r="H464" i="1" s="1"/>
  <c r="D463" i="1"/>
  <c r="F463" i="1" s="1"/>
  <c r="H463" i="1" s="1"/>
  <c r="D462" i="1"/>
  <c r="F462" i="1" s="1"/>
  <c r="H462" i="1" s="1"/>
  <c r="D461" i="1"/>
  <c r="F461" i="1" s="1"/>
  <c r="H461" i="1" s="1"/>
  <c r="D460" i="1"/>
  <c r="F460" i="1" s="1"/>
  <c r="H460" i="1" s="1"/>
  <c r="D459" i="1"/>
  <c r="F459" i="1" s="1"/>
  <c r="H459" i="1" s="1"/>
  <c r="A469" i="1"/>
  <c r="A470" i="1" s="1"/>
  <c r="A471" i="1" s="1"/>
  <c r="A472" i="1" s="1"/>
  <c r="A473" i="1" s="1"/>
  <c r="A474" i="1" s="1"/>
  <c r="A475" i="1" s="1"/>
  <c r="A478" i="1"/>
  <c r="A479" i="1" s="1"/>
  <c r="A480" i="1" s="1"/>
  <c r="A481" i="1" s="1"/>
  <c r="A482" i="1" s="1"/>
  <c r="A483" i="1" s="1"/>
  <c r="A484" i="1" s="1"/>
  <c r="D455" i="1"/>
  <c r="F455" i="1" s="1"/>
  <c r="H455" i="1" s="1"/>
  <c r="D454" i="1"/>
  <c r="F454" i="1" s="1"/>
  <c r="H454" i="1" s="1"/>
  <c r="D453" i="1"/>
  <c r="F453" i="1" s="1"/>
  <c r="H453" i="1" s="1"/>
  <c r="D452" i="1"/>
  <c r="F452" i="1" s="1"/>
  <c r="H452" i="1" s="1"/>
  <c r="D451" i="1"/>
  <c r="D440" i="1"/>
  <c r="F440" i="1" s="1"/>
  <c r="H440" i="1" s="1"/>
  <c r="D439" i="1"/>
  <c r="F439" i="1" s="1"/>
  <c r="H439" i="1" s="1"/>
  <c r="D438" i="1"/>
  <c r="F438" i="1" s="1"/>
  <c r="H438" i="1" s="1"/>
  <c r="D437" i="1"/>
  <c r="F437" i="1" s="1"/>
  <c r="H437" i="1" s="1"/>
  <c r="D435" i="1"/>
  <c r="F435" i="1" s="1"/>
  <c r="H435" i="1" s="1"/>
  <c r="D434" i="1"/>
  <c r="F434" i="1" s="1"/>
  <c r="H434" i="1" s="1"/>
  <c r="F433" i="1"/>
  <c r="H433" i="1" s="1"/>
  <c r="F432" i="1"/>
  <c r="H432" i="1" s="1"/>
  <c r="A438" i="1"/>
  <c r="A439" i="1" s="1"/>
  <c r="A440" i="1" s="1"/>
  <c r="A433" i="1"/>
  <c r="A434" i="1" s="1"/>
  <c r="A435" i="1" s="1"/>
  <c r="D430" i="1"/>
  <c r="F430" i="1" s="1"/>
  <c r="H430" i="1" s="1"/>
  <c r="D429" i="1"/>
  <c r="F429" i="1" s="1"/>
  <c r="H429" i="1" s="1"/>
  <c r="D426" i="1"/>
  <c r="F426" i="1" s="1"/>
  <c r="H426" i="1" s="1"/>
  <c r="D428" i="1"/>
  <c r="F428" i="1" s="1"/>
  <c r="H428" i="1" s="1"/>
  <c r="A429" i="1"/>
  <c r="A430" i="1" s="1"/>
  <c r="F451" i="1"/>
  <c r="A451" i="1"/>
  <c r="A452" i="1" s="1"/>
  <c r="A453" i="1" s="1"/>
  <c r="A454" i="1" s="1"/>
  <c r="A455" i="1" s="1"/>
  <c r="A456" i="1" s="1"/>
  <c r="A457" i="1" s="1"/>
  <c r="A460" i="1"/>
  <c r="A461" i="1" s="1"/>
  <c r="A462" i="1" s="1"/>
  <c r="A463" i="1" s="1"/>
  <c r="A464" i="1" s="1"/>
  <c r="A465" i="1" s="1"/>
  <c r="A466" i="1" s="1"/>
  <c r="D424" i="1"/>
  <c r="F424" i="1" s="1"/>
  <c r="H424" i="1" s="1"/>
  <c r="D423" i="1"/>
  <c r="F423" i="1" s="1"/>
  <c r="H423" i="1" s="1"/>
  <c r="D422" i="1"/>
  <c r="F422" i="1" s="1"/>
  <c r="H422" i="1" s="1"/>
  <c r="D421" i="1"/>
  <c r="F421" i="1" s="1"/>
  <c r="H421" i="1" s="1"/>
  <c r="D419" i="1"/>
  <c r="F419" i="1" s="1"/>
  <c r="H419" i="1" s="1"/>
  <c r="D418" i="1"/>
  <c r="F418" i="1" s="1"/>
  <c r="H418" i="1" s="1"/>
  <c r="D417" i="1"/>
  <c r="F417" i="1" s="1"/>
  <c r="H417" i="1" s="1"/>
  <c r="D416" i="1"/>
  <c r="F416" i="1" s="1"/>
  <c r="H416" i="1" s="1"/>
  <c r="A417" i="1"/>
  <c r="A418" i="1" s="1"/>
  <c r="A419" i="1" s="1"/>
  <c r="D414" i="1"/>
  <c r="F414" i="1" s="1"/>
  <c r="H414" i="1" s="1"/>
  <c r="D413" i="1"/>
  <c r="F413" i="1" s="1"/>
  <c r="H413" i="1" s="1"/>
  <c r="D412" i="1"/>
  <c r="F412" i="1" s="1"/>
  <c r="H412" i="1" s="1"/>
  <c r="D411" i="1"/>
  <c r="F411" i="1" s="1"/>
  <c r="H411" i="1" s="1"/>
  <c r="D410" i="1"/>
  <c r="F410" i="1" s="1"/>
  <c r="H410" i="1" s="1"/>
  <c r="D409" i="1"/>
  <c r="F409" i="1" s="1"/>
  <c r="H409" i="1" s="1"/>
  <c r="D405" i="1"/>
  <c r="F405" i="1" s="1"/>
  <c r="H405" i="1" s="1"/>
  <c r="D404" i="1"/>
  <c r="F404" i="1" s="1"/>
  <c r="H404" i="1" s="1"/>
  <c r="D403" i="1"/>
  <c r="F403" i="1" s="1"/>
  <c r="H403" i="1" s="1"/>
  <c r="D402" i="1"/>
  <c r="F402" i="1" s="1"/>
  <c r="H402" i="1" s="1"/>
  <c r="D407" i="1"/>
  <c r="F407" i="1" s="1"/>
  <c r="H407" i="1" s="1"/>
  <c r="D406" i="1"/>
  <c r="F406" i="1" s="1"/>
  <c r="H406" i="1" s="1"/>
  <c r="A403" i="1"/>
  <c r="A404" i="1" s="1"/>
  <c r="A405" i="1" s="1"/>
  <c r="A406" i="1" s="1"/>
  <c r="A407" i="1" s="1"/>
  <c r="A410" i="1"/>
  <c r="A411" i="1" s="1"/>
  <c r="A412" i="1" s="1"/>
  <c r="A413" i="1" s="1"/>
  <c r="A414" i="1" s="1"/>
  <c r="D400" i="1"/>
  <c r="F400" i="1" s="1"/>
  <c r="H400" i="1" s="1"/>
  <c r="D399" i="1"/>
  <c r="F399" i="1" s="1"/>
  <c r="H399" i="1" s="1"/>
  <c r="D398" i="1"/>
  <c r="F398" i="1" s="1"/>
  <c r="H398" i="1" s="1"/>
  <c r="D397" i="1"/>
  <c r="F397" i="1" s="1"/>
  <c r="H397" i="1" s="1"/>
  <c r="D396" i="1"/>
  <c r="F396" i="1" s="1"/>
  <c r="H396" i="1" s="1"/>
  <c r="D395" i="1"/>
  <c r="F395" i="1" s="1"/>
  <c r="H395" i="1" s="1"/>
  <c r="D393" i="1"/>
  <c r="F393" i="1" s="1"/>
  <c r="H393" i="1" s="1"/>
  <c r="D392" i="1"/>
  <c r="F392" i="1" s="1"/>
  <c r="H392" i="1" s="1"/>
  <c r="D391" i="1"/>
  <c r="F391" i="1" s="1"/>
  <c r="H391" i="1" s="1"/>
  <c r="D390" i="1"/>
  <c r="F390" i="1" s="1"/>
  <c r="H390" i="1" s="1"/>
  <c r="D388" i="1"/>
  <c r="F388" i="1" s="1"/>
  <c r="H388" i="1" s="1"/>
  <c r="A389" i="1"/>
  <c r="A390" i="1" s="1"/>
  <c r="A391" i="1" s="1"/>
  <c r="A392" i="1" s="1"/>
  <c r="A393" i="1" s="1"/>
  <c r="A396" i="1"/>
  <c r="A397" i="1" s="1"/>
  <c r="A398" i="1" s="1"/>
  <c r="A399" i="1" s="1"/>
  <c r="A400" i="1" s="1"/>
  <c r="A422" i="1"/>
  <c r="A423" i="1" s="1"/>
  <c r="A424" i="1" s="1"/>
  <c r="D386" i="1"/>
  <c r="F386" i="1" s="1"/>
  <c r="H386" i="1" s="1"/>
  <c r="D385" i="1"/>
  <c r="F385" i="1" s="1"/>
  <c r="H385" i="1" s="1"/>
  <c r="D384" i="1"/>
  <c r="F384" i="1" s="1"/>
  <c r="H384" i="1" s="1"/>
  <c r="D383" i="1"/>
  <c r="F383" i="1" s="1"/>
  <c r="H383" i="1" s="1"/>
  <c r="D382" i="1"/>
  <c r="F382" i="1" s="1"/>
  <c r="H382" i="1" s="1"/>
  <c r="D381" i="1"/>
  <c r="F381" i="1" s="1"/>
  <c r="H381" i="1" s="1"/>
  <c r="D377" i="1"/>
  <c r="F377" i="1" s="1"/>
  <c r="H377" i="1" s="1"/>
  <c r="D376" i="1"/>
  <c r="F376" i="1" s="1"/>
  <c r="H376" i="1" s="1"/>
  <c r="D375" i="1"/>
  <c r="F375" i="1" s="1"/>
  <c r="H375" i="1" s="1"/>
  <c r="D374" i="1"/>
  <c r="F374" i="1" s="1"/>
  <c r="H374" i="1" s="1"/>
  <c r="D379" i="1"/>
  <c r="F379" i="1" s="1"/>
  <c r="H379" i="1" s="1"/>
  <c r="D378" i="1"/>
  <c r="F378" i="1" s="1"/>
  <c r="H378" i="1" s="1"/>
  <c r="D372" i="1"/>
  <c r="F372" i="1" s="1"/>
  <c r="H372" i="1" s="1"/>
  <c r="D371" i="1"/>
  <c r="F371" i="1" s="1"/>
  <c r="H371" i="1" s="1"/>
  <c r="D370" i="1"/>
  <c r="F370" i="1" s="1"/>
  <c r="H370" i="1" s="1"/>
  <c r="D369" i="1"/>
  <c r="F369" i="1" s="1"/>
  <c r="H369" i="1" s="1"/>
  <c r="D368" i="1"/>
  <c r="F368" i="1" s="1"/>
  <c r="H368" i="1" s="1"/>
  <c r="D367" i="1"/>
  <c r="F367" i="1" s="1"/>
  <c r="H367" i="1" s="1"/>
  <c r="A368" i="1"/>
  <c r="A369" i="1" s="1"/>
  <c r="A370" i="1" s="1"/>
  <c r="A371" i="1" s="1"/>
  <c r="A372" i="1" s="1"/>
  <c r="A375" i="1"/>
  <c r="A376" i="1" s="1"/>
  <c r="A377" i="1" s="1"/>
  <c r="A378" i="1" s="1"/>
  <c r="A379" i="1" s="1"/>
  <c r="A382" i="1"/>
  <c r="A383" i="1" s="1"/>
  <c r="A384" i="1" s="1"/>
  <c r="A385" i="1" s="1"/>
  <c r="A386" i="1" s="1"/>
  <c r="D365" i="1"/>
  <c r="F365" i="1" s="1"/>
  <c r="H365" i="1" s="1"/>
  <c r="F364" i="1"/>
  <c r="H364" i="1" s="1"/>
  <c r="D363" i="1"/>
  <c r="F363" i="1" s="1"/>
  <c r="H363" i="1" s="1"/>
  <c r="D362" i="1"/>
  <c r="D360" i="1"/>
  <c r="F360" i="1" s="1"/>
  <c r="H360" i="1" s="1"/>
  <c r="D358" i="1"/>
  <c r="F358" i="1" s="1"/>
  <c r="H358" i="1" s="1"/>
  <c r="D357" i="1"/>
  <c r="F357" i="1" s="1"/>
  <c r="H357" i="1" s="1"/>
  <c r="F356" i="1"/>
  <c r="H356" i="1" s="1"/>
  <c r="D355" i="1"/>
  <c r="F355" i="1" s="1"/>
  <c r="H355" i="1" s="1"/>
  <c r="D354" i="1"/>
  <c r="F354" i="1" s="1"/>
  <c r="H354" i="1" s="1"/>
  <c r="D353" i="1"/>
  <c r="F353" i="1" s="1"/>
  <c r="H353" i="1" s="1"/>
  <c r="D348" i="1"/>
  <c r="F348" i="1" s="1"/>
  <c r="H348" i="1" s="1"/>
  <c r="D347" i="1"/>
  <c r="D346" i="1"/>
  <c r="A354" i="1"/>
  <c r="A355" i="1" s="1"/>
  <c r="A356" i="1" s="1"/>
  <c r="A357" i="1" s="1"/>
  <c r="A358" i="1" s="1"/>
  <c r="A361" i="1"/>
  <c r="A362" i="1" s="1"/>
  <c r="A363" i="1" s="1"/>
  <c r="A364" i="1" s="1"/>
  <c r="A365" i="1" s="1"/>
  <c r="D341" i="1"/>
  <c r="F341" i="1" s="1"/>
  <c r="H341" i="1" s="1"/>
  <c r="D339" i="1"/>
  <c r="F339" i="1" s="1"/>
  <c r="H339" i="1" s="1"/>
  <c r="D338" i="1"/>
  <c r="F338" i="1" s="1"/>
  <c r="H338" i="1" s="1"/>
  <c r="D337" i="1"/>
  <c r="F337" i="1" s="1"/>
  <c r="H337" i="1" s="1"/>
  <c r="D336" i="1"/>
  <c r="F336" i="1" s="1"/>
  <c r="H336" i="1" s="1"/>
  <c r="D335" i="1"/>
  <c r="F335" i="1" s="1"/>
  <c r="H335" i="1" s="1"/>
  <c r="D334" i="1"/>
  <c r="F334" i="1" s="1"/>
  <c r="H334" i="1" s="1"/>
  <c r="A335" i="1"/>
  <c r="A336" i="1" s="1"/>
  <c r="A337" i="1" s="1"/>
  <c r="A338" i="1" s="1"/>
  <c r="A339" i="1" s="1"/>
  <c r="A340" i="1" s="1"/>
  <c r="A341" i="1" s="1"/>
  <c r="A347" i="1"/>
  <c r="A348" i="1" s="1"/>
  <c r="A349" i="1" s="1"/>
  <c r="A350" i="1" s="1"/>
  <c r="A351" i="1" s="1"/>
  <c r="D332" i="1"/>
  <c r="F332" i="1" s="1"/>
  <c r="H332" i="1" s="1"/>
  <c r="D331" i="1"/>
  <c r="F331" i="1" s="1"/>
  <c r="H331" i="1" s="1"/>
  <c r="D330" i="1"/>
  <c r="F330" i="1" s="1"/>
  <c r="H330" i="1" s="1"/>
  <c r="D329" i="1"/>
  <c r="F329" i="1" s="1"/>
  <c r="H329" i="1" s="1"/>
  <c r="D328" i="1"/>
  <c r="F328" i="1" s="1"/>
  <c r="H328" i="1" s="1"/>
  <c r="D327" i="1"/>
  <c r="F327" i="1" s="1"/>
  <c r="H327" i="1" s="1"/>
  <c r="D326" i="1"/>
  <c r="F326" i="1" s="1"/>
  <c r="H326" i="1" s="1"/>
  <c r="D325" i="1"/>
  <c r="F325" i="1" s="1"/>
  <c r="H325" i="1" s="1"/>
  <c r="D322" i="1"/>
  <c r="F322" i="1" s="1"/>
  <c r="H322" i="1" s="1"/>
  <c r="D321" i="1"/>
  <c r="F321" i="1" s="1"/>
  <c r="H321" i="1" s="1"/>
  <c r="D319" i="1"/>
  <c r="F319" i="1" s="1"/>
  <c r="H319" i="1" s="1"/>
  <c r="D318" i="1"/>
  <c r="F318" i="1" s="1"/>
  <c r="H318" i="1" s="1"/>
  <c r="D317" i="1"/>
  <c r="F317" i="1" s="1"/>
  <c r="H317" i="1" s="1"/>
  <c r="D316" i="1"/>
  <c r="F316" i="1" s="1"/>
  <c r="H316" i="1" s="1"/>
  <c r="D323" i="1"/>
  <c r="F323" i="1" s="1"/>
  <c r="H323" i="1" s="1"/>
  <c r="D320" i="1"/>
  <c r="F320" i="1" s="1"/>
  <c r="H320" i="1" s="1"/>
  <c r="A317" i="1"/>
  <c r="A318" i="1" s="1"/>
  <c r="A319" i="1" s="1"/>
  <c r="A320" i="1" s="1"/>
  <c r="A321" i="1" s="1"/>
  <c r="A322" i="1" s="1"/>
  <c r="A323" i="1" s="1"/>
  <c r="A326" i="1"/>
  <c r="A327" i="1" s="1"/>
  <c r="A328" i="1" s="1"/>
  <c r="A329" i="1" s="1"/>
  <c r="A330" i="1" s="1"/>
  <c r="A331" i="1" s="1"/>
  <c r="A332" i="1" s="1"/>
  <c r="D313" i="1"/>
  <c r="F313" i="1" s="1"/>
  <c r="H313" i="1" s="1"/>
  <c r="D312" i="1"/>
  <c r="F312" i="1" s="1"/>
  <c r="H312" i="1" s="1"/>
  <c r="D311" i="1"/>
  <c r="F311" i="1" s="1"/>
  <c r="H311" i="1" s="1"/>
  <c r="D310" i="1"/>
  <c r="F310" i="1" s="1"/>
  <c r="H310" i="1" s="1"/>
  <c r="D309" i="1"/>
  <c r="F309" i="1" s="1"/>
  <c r="H309" i="1" s="1"/>
  <c r="D308" i="1"/>
  <c r="F308" i="1" s="1"/>
  <c r="H308" i="1" s="1"/>
  <c r="D307" i="1"/>
  <c r="F307" i="1" s="1"/>
  <c r="H307" i="1" s="1"/>
  <c r="D314" i="1"/>
  <c r="F314" i="1" s="1"/>
  <c r="H314" i="1" s="1"/>
  <c r="D305" i="1"/>
  <c r="F305" i="1" s="1"/>
  <c r="H305" i="1" s="1"/>
  <c r="D302" i="1"/>
  <c r="F302" i="1" s="1"/>
  <c r="H302" i="1" s="1"/>
  <c r="D301" i="1"/>
  <c r="F301" i="1" s="1"/>
  <c r="H301" i="1" s="1"/>
  <c r="D300" i="1"/>
  <c r="F300" i="1" s="1"/>
  <c r="H300" i="1" s="1"/>
  <c r="D299" i="1"/>
  <c r="F299" i="1" s="1"/>
  <c r="H299" i="1" s="1"/>
  <c r="D298" i="1"/>
  <c r="F298" i="1" s="1"/>
  <c r="H298" i="1" s="1"/>
  <c r="A299" i="1"/>
  <c r="A300" i="1" s="1"/>
  <c r="A301" i="1" s="1"/>
  <c r="A302" i="1" s="1"/>
  <c r="A303" i="1" s="1"/>
  <c r="A304" i="1" s="1"/>
  <c r="A305" i="1" s="1"/>
  <c r="A308" i="1"/>
  <c r="A309" i="1" s="1"/>
  <c r="A310" i="1" s="1"/>
  <c r="A311" i="1" s="1"/>
  <c r="A312" i="1" s="1"/>
  <c r="A313" i="1" s="1"/>
  <c r="A314" i="1" s="1"/>
  <c r="D296" i="1"/>
  <c r="F296" i="1" s="1"/>
  <c r="H296" i="1" s="1"/>
  <c r="D295" i="1"/>
  <c r="F295" i="1" s="1"/>
  <c r="H295" i="1" s="1"/>
  <c r="D294" i="1"/>
  <c r="F294" i="1" s="1"/>
  <c r="H294" i="1" s="1"/>
  <c r="D293" i="1"/>
  <c r="F293" i="1" s="1"/>
  <c r="H293" i="1" s="1"/>
  <c r="D292" i="1"/>
  <c r="F292" i="1" s="1"/>
  <c r="H292" i="1" s="1"/>
  <c r="D291" i="1"/>
  <c r="F291" i="1" s="1"/>
  <c r="H291" i="1" s="1"/>
  <c r="D290" i="1"/>
  <c r="F290" i="1" s="1"/>
  <c r="H290" i="1" s="1"/>
  <c r="D289" i="1"/>
  <c r="F289" i="1" s="1"/>
  <c r="H289" i="1" s="1"/>
  <c r="D285" i="1"/>
  <c r="F285" i="1" s="1"/>
  <c r="H285" i="1" s="1"/>
  <c r="D284" i="1"/>
  <c r="F284" i="1" s="1"/>
  <c r="H284" i="1" s="1"/>
  <c r="D282" i="1"/>
  <c r="F282" i="1" s="1"/>
  <c r="H282" i="1" s="1"/>
  <c r="D281" i="1"/>
  <c r="F281" i="1" s="1"/>
  <c r="H281" i="1" s="1"/>
  <c r="D280" i="1"/>
  <c r="F280" i="1" s="1"/>
  <c r="H280" i="1" s="1"/>
  <c r="D287" i="1"/>
  <c r="F287" i="1" s="1"/>
  <c r="H287" i="1" s="1"/>
  <c r="D286" i="1"/>
  <c r="F286" i="1" s="1"/>
  <c r="H286" i="1" s="1"/>
  <c r="D283" i="1"/>
  <c r="F283" i="1" s="1"/>
  <c r="H283" i="1" s="1"/>
  <c r="A281" i="1"/>
  <c r="A282" i="1" s="1"/>
  <c r="A283" i="1" s="1"/>
  <c r="A284" i="1" s="1"/>
  <c r="A285" i="1" s="1"/>
  <c r="A286" i="1" s="1"/>
  <c r="A287" i="1" s="1"/>
  <c r="A290" i="1"/>
  <c r="A291" i="1" s="1"/>
  <c r="A292" i="1" s="1"/>
  <c r="A293" i="1" s="1"/>
  <c r="A294" i="1" s="1"/>
  <c r="A295" i="1" s="1"/>
  <c r="A296" i="1" s="1"/>
  <c r="D277" i="1"/>
  <c r="F277" i="1" s="1"/>
  <c r="H277" i="1" s="1"/>
  <c r="D278" i="1"/>
  <c r="F278" i="1" s="1"/>
  <c r="H278" i="1" s="1"/>
  <c r="D276" i="1"/>
  <c r="F276" i="1" s="1"/>
  <c r="H276" i="1" s="1"/>
  <c r="D275" i="1"/>
  <c r="F275" i="1" s="1"/>
  <c r="H275" i="1" s="1"/>
  <c r="D274" i="1"/>
  <c r="F274" i="1" s="1"/>
  <c r="H274" i="1" s="1"/>
  <c r="D273" i="1"/>
  <c r="F273" i="1" s="1"/>
  <c r="H273" i="1" s="1"/>
  <c r="D272" i="1"/>
  <c r="F272" i="1" s="1"/>
  <c r="H272" i="1" s="1"/>
  <c r="D271" i="1"/>
  <c r="F271" i="1" s="1"/>
  <c r="H271" i="1" s="1"/>
  <c r="D266" i="1"/>
  <c r="F266" i="1" s="1"/>
  <c r="H266" i="1" s="1"/>
  <c r="D269" i="1"/>
  <c r="F269" i="1" s="1"/>
  <c r="H269" i="1" s="1"/>
  <c r="D265" i="1"/>
  <c r="F265" i="1" s="1"/>
  <c r="H265" i="1" s="1"/>
  <c r="D264" i="1"/>
  <c r="F264" i="1" s="1"/>
  <c r="H264" i="1" s="1"/>
  <c r="D263" i="1"/>
  <c r="F263" i="1" s="1"/>
  <c r="H263" i="1" s="1"/>
  <c r="D262" i="1"/>
  <c r="F262" i="1" s="1"/>
  <c r="H262" i="1" s="1"/>
  <c r="A263" i="1"/>
  <c r="A264" i="1" s="1"/>
  <c r="A265" i="1" s="1"/>
  <c r="A266" i="1" s="1"/>
  <c r="A267" i="1" s="1"/>
  <c r="A268" i="1" s="1"/>
  <c r="A269" i="1" s="1"/>
  <c r="A272" i="1"/>
  <c r="A273" i="1" s="1"/>
  <c r="A274" i="1" s="1"/>
  <c r="A275" i="1" s="1"/>
  <c r="A276" i="1" s="1"/>
  <c r="A277" i="1" s="1"/>
  <c r="A278" i="1" s="1"/>
  <c r="D260" i="1"/>
  <c r="F260" i="1" s="1"/>
  <c r="H260" i="1" s="1"/>
  <c r="D259" i="1"/>
  <c r="F259" i="1" s="1"/>
  <c r="H259" i="1" s="1"/>
  <c r="D258" i="1"/>
  <c r="F258" i="1" s="1"/>
  <c r="H258" i="1" s="1"/>
  <c r="D257" i="1"/>
  <c r="F257" i="1" s="1"/>
  <c r="H257" i="1" s="1"/>
  <c r="D256" i="1"/>
  <c r="F256" i="1" s="1"/>
  <c r="H256" i="1" s="1"/>
  <c r="D255" i="1"/>
  <c r="F255" i="1" s="1"/>
  <c r="H255" i="1" s="1"/>
  <c r="D254" i="1"/>
  <c r="F254" i="1" s="1"/>
  <c r="H254" i="1" s="1"/>
  <c r="D253" i="1"/>
  <c r="F253" i="1" s="1"/>
  <c r="H253" i="1" s="1"/>
  <c r="D250" i="1"/>
  <c r="D249" i="1"/>
  <c r="F249" i="1" s="1"/>
  <c r="H249" i="1" s="1"/>
  <c r="D248" i="1"/>
  <c r="F248" i="1" s="1"/>
  <c r="H248" i="1" s="1"/>
  <c r="D246" i="1"/>
  <c r="F246" i="1" s="1"/>
  <c r="H246" i="1" s="1"/>
  <c r="D245" i="1"/>
  <c r="F245" i="1" s="1"/>
  <c r="H245" i="1" s="1"/>
  <c r="D244" i="1"/>
  <c r="F244" i="1" s="1"/>
  <c r="H244" i="1" s="1"/>
  <c r="D251" i="1"/>
  <c r="F251" i="1" s="1"/>
  <c r="H251" i="1" s="1"/>
  <c r="D247" i="1"/>
  <c r="F247" i="1" s="1"/>
  <c r="H247" i="1" s="1"/>
  <c r="F250" i="1"/>
  <c r="H250" i="1" s="1"/>
  <c r="A245" i="1"/>
  <c r="A246" i="1" s="1"/>
  <c r="A247" i="1" s="1"/>
  <c r="A248" i="1" s="1"/>
  <c r="A249" i="1" s="1"/>
  <c r="A250" i="1" s="1"/>
  <c r="A251" i="1" s="1"/>
  <c r="A254" i="1"/>
  <c r="A255" i="1" s="1"/>
  <c r="A256" i="1" s="1"/>
  <c r="A257" i="1" s="1"/>
  <c r="A258" i="1" s="1"/>
  <c r="A259" i="1" s="1"/>
  <c r="A260" i="1" s="1"/>
  <c r="D242" i="1"/>
  <c r="F242" i="1" s="1"/>
  <c r="H242" i="1" s="1"/>
  <c r="D241" i="1"/>
  <c r="F241" i="1" s="1"/>
  <c r="H241" i="1" s="1"/>
  <c r="D240" i="1"/>
  <c r="F240" i="1" s="1"/>
  <c r="H240" i="1" s="1"/>
  <c r="D238" i="1"/>
  <c r="F238" i="1" s="1"/>
  <c r="H238" i="1" s="1"/>
  <c r="D237" i="1"/>
  <c r="F237" i="1" s="1"/>
  <c r="H237" i="1" s="1"/>
  <c r="D235" i="1"/>
  <c r="F235" i="1" s="1"/>
  <c r="H235" i="1" s="1"/>
  <c r="D236" i="1"/>
  <c r="F236" i="1" s="1"/>
  <c r="H236" i="1" s="1"/>
  <c r="D239" i="1"/>
  <c r="F239" i="1" s="1"/>
  <c r="H239" i="1" s="1"/>
  <c r="A236" i="1"/>
  <c r="A237" i="1" s="1"/>
  <c r="A238" i="1" s="1"/>
  <c r="A239" i="1" s="1"/>
  <c r="A240" i="1" s="1"/>
  <c r="A241" i="1" s="1"/>
  <c r="A242" i="1" s="1"/>
  <c r="D230" i="1"/>
  <c r="F230" i="1" s="1"/>
  <c r="H230" i="1" s="1"/>
  <c r="F228" i="1"/>
  <c r="H228" i="1" s="1"/>
  <c r="D227" i="1"/>
  <c r="F227" i="1" s="1"/>
  <c r="H227" i="1" s="1"/>
  <c r="D226" i="1"/>
  <c r="F226" i="1" s="1"/>
  <c r="H226" i="1" s="1"/>
  <c r="F233" i="1"/>
  <c r="H233" i="1" s="1"/>
  <c r="F229" i="1"/>
  <c r="H229" i="1" s="1"/>
  <c r="I229" i="1" s="1"/>
  <c r="A227" i="1"/>
  <c r="A228" i="1" s="1"/>
  <c r="A229" i="1" s="1"/>
  <c r="A230" i="1" s="1"/>
  <c r="A231" i="1" s="1"/>
  <c r="A232" i="1" s="1"/>
  <c r="A233" i="1" s="1"/>
  <c r="F538" i="1"/>
  <c r="H538" i="1" s="1"/>
  <c r="D223" i="1"/>
  <c r="F223" i="1" s="1"/>
  <c r="H223" i="1" s="1"/>
  <c r="D217" i="1"/>
  <c r="F217" i="1" s="1"/>
  <c r="H217" i="1" s="1"/>
  <c r="D219" i="1"/>
  <c r="F219" i="1" s="1"/>
  <c r="H219" i="1" s="1"/>
  <c r="D218" i="1"/>
  <c r="F218" i="1" s="1"/>
  <c r="H218" i="1" s="1"/>
  <c r="D222" i="1"/>
  <c r="F222" i="1" s="1"/>
  <c r="H222" i="1" s="1"/>
  <c r="D221" i="1"/>
  <c r="F221" i="1" s="1"/>
  <c r="H221" i="1" s="1"/>
  <c r="D224" i="1"/>
  <c r="F224" i="1" s="1"/>
  <c r="H224" i="1" s="1"/>
  <c r="D220" i="1"/>
  <c r="A218" i="1"/>
  <c r="A219" i="1" s="1"/>
  <c r="A220" i="1" s="1"/>
  <c r="A221" i="1" s="1"/>
  <c r="A222" i="1" s="1"/>
  <c r="A223" i="1" s="1"/>
  <c r="A224" i="1" s="1"/>
  <c r="D213" i="1"/>
  <c r="D212" i="1"/>
  <c r="F212" i="1" s="1"/>
  <c r="H212" i="1" s="1"/>
  <c r="F211" i="1"/>
  <c r="F210" i="1"/>
  <c r="D209" i="1"/>
  <c r="F537" i="1"/>
  <c r="H537" i="1" s="1"/>
  <c r="F536" i="1"/>
  <c r="H536" i="1" s="1"/>
  <c r="F535" i="1"/>
  <c r="H535" i="1" s="1"/>
  <c r="A209" i="1"/>
  <c r="A210" i="1" s="1"/>
  <c r="A211" i="1" s="1"/>
  <c r="A212" i="1" s="1"/>
  <c r="A213" i="1" s="1"/>
  <c r="A214" i="1" s="1"/>
  <c r="A215" i="1" s="1"/>
  <c r="D199" i="1"/>
  <c r="F199" i="1" s="1"/>
  <c r="H199" i="1" s="1"/>
  <c r="D198" i="1"/>
  <c r="F198" i="1" s="1"/>
  <c r="H198" i="1" s="1"/>
  <c r="D197" i="1"/>
  <c r="F197" i="1" s="1"/>
  <c r="H197" i="1" s="1"/>
  <c r="A197" i="1"/>
  <c r="A198" i="1" s="1"/>
  <c r="A199" i="1" s="1"/>
  <c r="A200" i="1" s="1"/>
  <c r="F181" i="1"/>
  <c r="H181" i="1" s="1"/>
  <c r="F180" i="1"/>
  <c r="H180" i="1" s="1"/>
  <c r="F179" i="1"/>
  <c r="H179" i="1" s="1"/>
  <c r="F176" i="1"/>
  <c r="H176" i="1" s="1"/>
  <c r="F175" i="1"/>
  <c r="H175" i="1" s="1"/>
  <c r="F174" i="1"/>
  <c r="H174" i="1" s="1"/>
  <c r="F173" i="1"/>
  <c r="H173" i="1" s="1"/>
  <c r="F172" i="1"/>
  <c r="H172" i="1" s="1"/>
  <c r="F171" i="1"/>
  <c r="A171" i="1"/>
  <c r="A172" i="1" s="1"/>
  <c r="A173" i="1" s="1"/>
  <c r="A174" i="1" s="1"/>
  <c r="A175" i="1" s="1"/>
  <c r="A176" i="1" s="1"/>
  <c r="A177" i="1" s="1"/>
  <c r="A178" i="1" s="1"/>
  <c r="A179" i="1" s="1"/>
  <c r="A180" i="1" s="1"/>
  <c r="A181" i="1" s="1"/>
  <c r="A182" i="1" s="1"/>
  <c r="D193" i="1"/>
  <c r="D192" i="1"/>
  <c r="D191" i="1"/>
  <c r="D189" i="1"/>
  <c r="D188" i="1"/>
  <c r="D187" i="1"/>
  <c r="C138" i="1" l="1"/>
  <c r="F362" i="1"/>
  <c r="C140" i="1"/>
  <c r="C139" i="1"/>
  <c r="H210" i="1"/>
  <c r="F213" i="1"/>
  <c r="H213" i="1" s="1"/>
  <c r="F347" i="1"/>
  <c r="C141" i="1"/>
  <c r="C137" i="1"/>
  <c r="F220" i="1"/>
  <c r="H220" i="1" s="1"/>
  <c r="F346" i="1"/>
  <c r="H346" i="1" s="1"/>
  <c r="C133" i="1"/>
  <c r="F209" i="1"/>
  <c r="H209" i="1" s="1"/>
  <c r="H451" i="1"/>
  <c r="G141" i="1" s="1"/>
  <c r="E141" i="1"/>
  <c r="H211" i="1"/>
  <c r="F193" i="1"/>
  <c r="H171" i="1"/>
  <c r="D167" i="1"/>
  <c r="D166" i="1"/>
  <c r="F166" i="1" s="1"/>
  <c r="H166" i="1" s="1"/>
  <c r="D165" i="1"/>
  <c r="F165" i="1" s="1"/>
  <c r="H165" i="1" s="1"/>
  <c r="F164" i="1"/>
  <c r="H164" i="1" s="1"/>
  <c r="D163" i="1"/>
  <c r="F163" i="1" s="1"/>
  <c r="H163" i="1" s="1"/>
  <c r="D162" i="1"/>
  <c r="F162" i="1" s="1"/>
  <c r="H162" i="1" s="1"/>
  <c r="D161" i="1"/>
  <c r="F161" i="1" s="1"/>
  <c r="H161" i="1" s="1"/>
  <c r="F160" i="1"/>
  <c r="H160" i="1" s="1"/>
  <c r="D158" i="1"/>
  <c r="F158" i="1" s="1"/>
  <c r="H158" i="1" s="1"/>
  <c r="D157" i="1"/>
  <c r="F157" i="1" s="1"/>
  <c r="H157" i="1" s="1"/>
  <c r="D156" i="1"/>
  <c r="F156" i="1" s="1"/>
  <c r="H156" i="1" s="1"/>
  <c r="D155" i="1"/>
  <c r="F155" i="1" s="1"/>
  <c r="H155" i="1" s="1"/>
  <c r="D154" i="1"/>
  <c r="D153" i="1"/>
  <c r="D152" i="1"/>
  <c r="D151" i="1"/>
  <c r="F167" i="1"/>
  <c r="H167" i="1" s="1"/>
  <c r="F159" i="1"/>
  <c r="H159" i="1" s="1"/>
  <c r="F192" i="1"/>
  <c r="H192" i="1" s="1"/>
  <c r="F191" i="1"/>
  <c r="H191" i="1" s="1"/>
  <c r="F190" i="1"/>
  <c r="H190" i="1" s="1"/>
  <c r="F189" i="1"/>
  <c r="H189" i="1" s="1"/>
  <c r="F188" i="1"/>
  <c r="H188" i="1" s="1"/>
  <c r="F187" i="1"/>
  <c r="A187" i="1"/>
  <c r="A188" i="1" s="1"/>
  <c r="A189" i="1" s="1"/>
  <c r="A190" i="1" s="1"/>
  <c r="A191" i="1" s="1"/>
  <c r="A192" i="1" s="1"/>
  <c r="F186" i="1"/>
  <c r="E43" i="1"/>
  <c r="G138" i="1" l="1"/>
  <c r="I139" i="1"/>
  <c r="E139" i="1"/>
  <c r="G137" i="1"/>
  <c r="H362" i="1"/>
  <c r="G140" i="1" s="1"/>
  <c r="E140" i="1"/>
  <c r="I141" i="1"/>
  <c r="C142" i="1"/>
  <c r="E138" i="1"/>
  <c r="H347" i="1"/>
  <c r="G139" i="1" s="1"/>
  <c r="E137" i="1"/>
  <c r="C132" i="1"/>
  <c r="C134" i="1" s="1"/>
  <c r="F151" i="1"/>
  <c r="H151" i="1" s="1"/>
  <c r="H193" i="1"/>
  <c r="H187" i="1"/>
  <c r="H186" i="1"/>
  <c r="E133"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593" i="1"/>
  <c r="B566" i="1"/>
  <c r="B565" i="1"/>
  <c r="F562" i="1"/>
  <c r="H562" i="1" s="1"/>
  <c r="F561" i="1"/>
  <c r="H561" i="1" s="1"/>
  <c r="F560" i="1"/>
  <c r="H560" i="1" s="1"/>
  <c r="F559" i="1"/>
  <c r="H559" i="1" s="1"/>
  <c r="F558" i="1"/>
  <c r="H558" i="1" s="1"/>
  <c r="F556" i="1"/>
  <c r="H556" i="1" s="1"/>
  <c r="F555" i="1"/>
  <c r="H555" i="1" s="1"/>
  <c r="F554" i="1"/>
  <c r="H554" i="1" s="1"/>
  <c r="F553" i="1"/>
  <c r="H553" i="1" s="1"/>
  <c r="F552" i="1"/>
  <c r="H552" i="1" s="1"/>
  <c r="F550" i="1"/>
  <c r="H550" i="1" s="1"/>
  <c r="F549" i="1"/>
  <c r="H549" i="1" s="1"/>
  <c r="F548" i="1"/>
  <c r="H548" i="1" s="1"/>
  <c r="F547" i="1"/>
  <c r="H547" i="1" s="1"/>
  <c r="F546" i="1"/>
  <c r="H546" i="1" s="1"/>
  <c r="F544" i="1"/>
  <c r="H544" i="1" s="1"/>
  <c r="F543" i="1"/>
  <c r="H543" i="1" s="1"/>
  <c r="F542" i="1"/>
  <c r="H542" i="1" s="1"/>
  <c r="F541" i="1"/>
  <c r="H541" i="1" s="1"/>
  <c r="F540" i="1"/>
  <c r="H540" i="1" s="1"/>
  <c r="A540" i="1"/>
  <c r="A541" i="1" s="1"/>
  <c r="A542" i="1" s="1"/>
  <c r="A543" i="1" s="1"/>
  <c r="A544" i="1" s="1"/>
  <c r="F534" i="1"/>
  <c r="H534" i="1" s="1"/>
  <c r="F533" i="1"/>
  <c r="H533" i="1" s="1"/>
  <c r="F532" i="1"/>
  <c r="H532" i="1" s="1"/>
  <c r="A532" i="1"/>
  <c r="A533" i="1" s="1"/>
  <c r="A534" i="1" s="1"/>
  <c r="A535" i="1" s="1"/>
  <c r="A536" i="1" s="1"/>
  <c r="A537" i="1" s="1"/>
  <c r="A538" i="1" s="1"/>
  <c r="F531" i="1"/>
  <c r="H531" i="1" s="1"/>
  <c r="F154" i="1"/>
  <c r="H154" i="1" s="1"/>
  <c r="F153" i="1"/>
  <c r="H153" i="1" s="1"/>
  <c r="F152" i="1"/>
  <c r="H152" i="1" s="1"/>
  <c r="A152" i="1"/>
  <c r="A153" i="1" s="1"/>
  <c r="A154" i="1" s="1"/>
  <c r="A155" i="1" s="1"/>
  <c r="A156" i="1" s="1"/>
  <c r="A157" i="1" s="1"/>
  <c r="A158" i="1" s="1"/>
  <c r="A159" i="1" s="1"/>
  <c r="A160" i="1" s="1"/>
  <c r="A161" i="1" s="1"/>
  <c r="F129" i="1"/>
  <c r="C103" i="1"/>
  <c r="B104" i="1" s="1"/>
  <c r="J112" i="1" s="1"/>
  <c r="C89" i="1"/>
  <c r="C75" i="1"/>
  <c r="B76" i="1" s="1"/>
  <c r="J83" i="1" s="1"/>
  <c r="D69" i="1"/>
  <c r="D62" i="1"/>
  <c r="K54" i="1"/>
  <c r="G51" i="1"/>
  <c r="C51" i="1"/>
  <c r="E44" i="1"/>
  <c r="E45" i="1" s="1"/>
  <c r="S33" i="1"/>
  <c r="E31" i="1"/>
  <c r="E28" i="1"/>
  <c r="E26" i="1"/>
  <c r="C16" i="1"/>
  <c r="I15" i="1"/>
  <c r="Z13" i="1"/>
  <c r="E8" i="1"/>
  <c r="E3" i="1"/>
  <c r="B576" i="1" s="1"/>
  <c r="A546" i="1"/>
  <c r="H90" i="1"/>
  <c r="H76" i="1"/>
  <c r="A552" i="1"/>
  <c r="A558" i="1"/>
  <c r="C143" i="1" l="1"/>
  <c r="E42" i="7"/>
  <c r="G142" i="1"/>
  <c r="E142" i="1"/>
  <c r="G133" i="1"/>
  <c r="G132" i="1"/>
  <c r="E132" i="1"/>
  <c r="E134" i="1" s="1"/>
  <c r="A162" i="1"/>
  <c r="I42" i="7"/>
  <c r="H42" i="7" s="1"/>
  <c r="J84" i="1"/>
  <c r="L42" i="7"/>
  <c r="K42" i="7" s="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42" i="7"/>
  <c r="D44" i="7" s="1"/>
  <c r="L54" i="1"/>
  <c r="B90" i="1"/>
  <c r="J85" i="1"/>
  <c r="J114" i="1"/>
  <c r="J86" i="1"/>
  <c r="I52" i="1"/>
  <c r="J113" i="1"/>
  <c r="J81" i="1"/>
  <c r="J111" i="1"/>
  <c r="A547" i="1"/>
  <c r="H104" i="1"/>
  <c r="A559" i="1"/>
  <c r="A553" i="1"/>
  <c r="D111" i="1" l="1"/>
  <c r="D113" i="1"/>
  <c r="D112" i="1"/>
  <c r="D116" i="1"/>
  <c r="D109" i="1"/>
  <c r="D110" i="1"/>
  <c r="D115" i="1"/>
  <c r="J107" i="1"/>
  <c r="J103" i="1"/>
  <c r="J105" i="1" s="1"/>
  <c r="J108" i="1"/>
  <c r="C107" i="1" s="1"/>
  <c r="D107" i="1" s="1"/>
  <c r="J109" i="1"/>
  <c r="J110" i="1" s="1"/>
  <c r="J115" i="1" s="1"/>
  <c r="J116" i="1" s="1"/>
  <c r="C108" i="1" s="1"/>
  <c r="E107" i="1" s="1"/>
  <c r="J106" i="1"/>
  <c r="D114" i="1"/>
  <c r="E143" i="1"/>
  <c r="J82" i="1"/>
  <c r="E44" i="7"/>
  <c r="G134" i="1"/>
  <c r="G143" i="1" s="1"/>
  <c r="A163" i="1"/>
  <c r="A164" i="1" s="1"/>
  <c r="A165" i="1" s="1"/>
  <c r="A166" i="1" s="1"/>
  <c r="A167" i="1" s="1"/>
  <c r="D79" i="1"/>
  <c r="D93" i="1"/>
  <c r="J98" i="1"/>
  <c r="J95" i="1"/>
  <c r="J96" i="1" s="1"/>
  <c r="J101" i="1" s="1"/>
  <c r="J102" i="1" s="1"/>
  <c r="C94" i="1" s="1"/>
  <c r="J100" i="1"/>
  <c r="J97" i="1"/>
  <c r="J99" i="1"/>
  <c r="A560" i="1"/>
  <c r="A554" i="1"/>
  <c r="A548" i="1"/>
  <c r="J87" i="1" l="1"/>
  <c r="D108" i="1"/>
  <c r="I104" i="1" s="1"/>
  <c r="I105" i="1" s="1"/>
  <c r="J104" i="1"/>
  <c r="G107" i="1"/>
  <c r="E93" i="1"/>
  <c r="D94" i="1"/>
  <c r="I90" i="1" s="1"/>
  <c r="J90" i="1"/>
  <c r="G93" i="1"/>
  <c r="A561" i="1"/>
  <c r="A549" i="1"/>
  <c r="A555" i="1"/>
  <c r="J88" i="1" l="1"/>
  <c r="C80" i="1"/>
  <c r="E79" i="1" s="1"/>
  <c r="I103" i="1"/>
  <c r="C105" i="1" s="1"/>
  <c r="I91" i="1"/>
  <c r="I89" i="1" s="1"/>
  <c r="C91" i="1" s="1"/>
  <c r="A550" i="1"/>
  <c r="A556" i="1"/>
  <c r="A562" i="1"/>
  <c r="J76" i="1" l="1"/>
  <c r="G79" i="1"/>
  <c r="D73" i="1" s="1"/>
  <c r="D74" i="1" s="1"/>
  <c r="D80" i="1"/>
  <c r="I76" i="1" s="1"/>
  <c r="I77" i="1" s="1"/>
  <c r="F74" i="1" l="1"/>
  <c r="I75" i="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<sst xmlns="http://schemas.openxmlformats.org/spreadsheetml/2006/main" count="1070" uniqueCount="468">
  <si>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</si>
  <si>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</si>
  <si>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</si>
  <si>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</si>
  <si>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</si>
  <si>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</si>
  <si>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</si>
  <si>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</si>
  <si>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</si>
  <si>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</si>
  <si>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</si>
  <si>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</si>
  <si>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</si>
  <si>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</si>
  <si>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</si>
  <si>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</si>
  <si>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</si>
  <si>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</si>
  <si>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</si>
  <si>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</si>
  <si>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</si>
  <si>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</si>
  <si>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</si>
  <si>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</si>
  <si>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</si>
  <si>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</si>
  <si>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</si>
  <si>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</si>
  <si>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</si>
  <si>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</si>
  <si>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</si>
  <si>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</si>
  <si>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</si>
  <si>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</si>
  <si>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</si>
  <si>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</si>
  <si>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</si>
  <si>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</si>
  <si>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</si>
  <si>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</si>
  <si>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</si>
  <si>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</si>
  <si>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</si>
  <si>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</si>
  <si>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</si>
  <si>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</si>
  <si>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</si>
  <si>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</si>
  <si>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</si>
  <si>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</si>
  <si>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</si>
  <si>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</si>
  <si>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</si>
  <si>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</si>
  <si>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</si>
  <si>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</si>
  <si>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</si>
  <si>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</si>
  <si>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</si>
  <si>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</si>
  <si>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</si>
  <si>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</si>
  <si>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</si>
  <si>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</si>
  <si>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</si>
  <si>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</si>
  <si>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</si>
  <si>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</si>
  <si>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</si>
  <si>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</si>
  <si>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</si>
  <si>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</si>
  <si>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</si>
  <si>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</si>
  <si>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</si>
  <si>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</si>
  <si>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</si>
  <si>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</si>
  <si>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</si>
  <si>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</si>
  <si>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</si>
  <si>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</si>
  <si>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</si>
  <si>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</si>
  <si>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</si>
  <si>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</si>
  <si>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</si>
  <si>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</si>
  <si>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</si>
  <si>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</si>
  <si>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</si>
  <si>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</si>
  <si>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</si>
  <si>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</si>
  <si>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</si>
  <si>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</si>
  <si>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</si>
  <si>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</si>
  <si>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</si>
  <si>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</si>
  <si>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</si>
  <si>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</si>
  <si>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</si>
  <si>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</si>
  <si>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</si>
  <si>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</si>
  <si>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</si>
  <si>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</si>
  <si>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</si>
  <si>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</si>
  <si>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</si>
  <si>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</si>
  <si>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</si>
  <si>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</si>
  <si>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</si>
  <si>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</si>
  <si>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</si>
  <si>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</si>
  <si>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</si>
  <si>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</si>
  <si>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</si>
  <si>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</si>
  <si>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</si>
  <si>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</si>
  <si>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</si>
  <si>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</si>
  <si>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</si>
  <si>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</si>
  <si>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</si>
  <si>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</si>
  <si>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</si>
  <si>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</si>
  <si>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</si>
  <si>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</si>
  <si>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</si>
  <si>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</si>
  <si>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</si>
  <si>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</si>
  <si>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</si>
  <si>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</si>
  <si>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</si>
  <si>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</si>
  <si>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</si>
  <si>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</si>
  <si>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</si>
  <si>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</si>
  <si>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</si>
  <si>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</si>
  <si>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</si>
  <si>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</si>
  <si>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</si>
  <si>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</si>
  <si>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</si>
  <si>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</si>
  <si>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</si>
  <si>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</si>
  <si>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</si>
  <si>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</si>
  <si>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</si>
  <si>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</si>
  <si>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</si>
  <si>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</si>
  <si>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</si>
  <si>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</si>
  <si>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</si>
  <si>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</si>
  <si>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</si>
  <si>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</si>
  <si>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</si>
  <si>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</si>
  <si>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</si>
  <si>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</si>
  <si>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</si>
  <si>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</si>
  <si>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</si>
  <si>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</si>
  <si>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</si>
  <si>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</si>
  <si>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</si>
  <si>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</si>
  <si>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</si>
  <si>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</si>
  <si>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</si>
  <si>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</si>
  <si>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</si>
  <si>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</si>
  <si>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</si>
  <si>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</si>
  <si>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</si>
  <si>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</si>
  <si>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</si>
  <si>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</si>
  <si>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</si>
  <si>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</si>
  <si>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</si>
  <si>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</si>
  <si>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</si>
  <si>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</si>
  <si>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</si>
  <si>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</si>
  <si>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</si>
  <si>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</si>
  <si>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</si>
  <si>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</si>
  <si>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</si>
  <si>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</si>
  <si>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</si>
  <si>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</si>
  <si>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</si>
  <si>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</si>
  <si>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</si>
  <si>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</si>
  <si>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</si>
  <si>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</si>
  <si>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</si>
  <si>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</si>
  <si>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</si>
  <si>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</si>
  <si>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</si>
  <si>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</si>
  <si>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</si>
  <si>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</si>
  <si>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</si>
  <si>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</si>
  <si>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</si>
  <si>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</si>
  <si>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</si>
  <si>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</si>
  <si>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</si>
  <si>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</si>
  <si>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</si>
  <si>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</si>
  <si>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</si>
  <si>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</si>
  <si>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</si>
  <si>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</si>
  <si>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</si>
  <si>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</si>
  <si>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</si>
  <si>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</si>
  <si>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</si>
  <si>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</si>
  <si>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</si>
  <si>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</si>
  <si>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</si>
  <si>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</si>
  <si>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</si>
  <si>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</si>
  <si>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</si>
  <si>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</si>
  <si>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</si>
  <si>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</si>
  <si>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</si>
  <si>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</si>
  <si>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</si>
  <si>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</si>
  <si>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</si>
  <si>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</si>
  <si>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</si>
  <si>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</si>
  <si>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</si>
  <si>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</si>
  <si>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</si>
  <si>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</si>
  <si>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</si>
  <si>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</si>
  <si>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</si>
  <si>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</si>
  <si>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</si>
  <si>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</si>
  <si>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</si>
  <si>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</si>
  <si>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</si>
  <si>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</si>
  <si>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</si>
  <si>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</si>
  <si>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</si>
  <si>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</si>
  <si>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</si>
  <si>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</si>
  <si>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</si>
  <si>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</si>
  <si>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</si>
  <si>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</si>
  <si>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</si>
  <si>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</si>
  <si>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</si>
  <si>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</si>
  <si>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</si>
  <si>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</si>
  <si>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</si>
  <si>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</si>
  <si>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</si>
  <si>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</si>
  <si>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</si>
  <si>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</si>
  <si>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</si>
  <si>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</si>
  <si>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</si>
  <si>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</si>
  <si>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</si>
  <si>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</si>
  <si>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</si>
  <si>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</si>
  <si>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</si>
  <si>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</si>
  <si>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</si>
  <si>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</si>
  <si>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</si>
  <si>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</si>
  <si>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</si>
  <si>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</si>
  <si>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</si>
  <si>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</si>
  <si>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</si>
  <si>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</si>
  <si>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</si>
  <si>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</si>
  <si>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</si>
  <si>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</si>
  <si>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</si>
  <si>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</si>
  <si>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</si>
  <si>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</si>
  <si>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</si>
  <si>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</si>
  <si>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</si>
  <si>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</si>
  <si>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</si>
  <si>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</si>
  <si>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</si>
  <si>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</si>
  <si>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</si>
  <si>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</si>
  <si>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</si>
  <si>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</si>
  <si>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</si>
  <si>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</si>
  <si>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</si>
  <si>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</si>
  <si>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</si>
  <si>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</si>
  <si>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</si>
  <si>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</si>
  <si>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</si>
  <si>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</si>
  <si>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</si>
  <si>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</si>
  <si>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</si>
  <si>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</si>
  <si>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</si>
  <si>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</si>
  <si>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</si>
  <si>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</si>
  <si>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</si>
  <si>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</si>
  <si>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Jai Hind Oil Mills Company</t>
  </si>
  <si>
    <t>Airica Tower 1, 2 &amp; 4</t>
  </si>
  <si>
    <t>Tower 1, 2 &amp; 4</t>
  </si>
  <si>
    <t>Approved Plans, CC, Cost Sheet</t>
  </si>
  <si>
    <t>Tower 1 = P51800055125
Tower 2 = P51800077756
Tower 4 = P51800055166</t>
  </si>
  <si>
    <t>611, 611/1 to 611/10</t>
  </si>
  <si>
    <t>Kanjur</t>
  </si>
  <si>
    <t>Bhandup West</t>
  </si>
  <si>
    <t>LBS Road</t>
  </si>
  <si>
    <t>Mahindra Splendour Tower</t>
  </si>
  <si>
    <t>Ambedkar Nagar</t>
  </si>
  <si>
    <t>I to R converted</t>
  </si>
  <si>
    <t>03 Buildings</t>
  </si>
  <si>
    <t>LBS Marg</t>
  </si>
  <si>
    <t>Open Plot</t>
  </si>
  <si>
    <t>Raj Embassy</t>
  </si>
  <si>
    <t>30.40MT Wide L.B.S Marg</t>
  </si>
  <si>
    <t>13.40MT Wide D.P Road</t>
  </si>
  <si>
    <t>Other Plot</t>
  </si>
  <si>
    <t>P-12131/2022/(611 And Other)/S Ward/KANJUR-W/337/3/Amend</t>
  </si>
  <si>
    <t>P-12131/2022/(611 And Other)/S Ward/KANJUR-W/
CFO/1/Amend</t>
  </si>
  <si>
    <t xml:space="preserve">Wing T-1, T-2, T4 = B + G + 3P + Part Service Floor + 1st to 34th Floor
(Height = 119.05m) </t>
  </si>
  <si>
    <t>https://housiey.com/projects/adani-airica</t>
  </si>
  <si>
    <t>Outdoor Gym, Multipurpose Court, Wellness Spa, Children Play Area, Pergola Sit out Area, etc.</t>
  </si>
  <si>
    <t>As per Sale Brochure provided</t>
  </si>
  <si>
    <t>Ground Floor For Commercial, Entrance Lobby &amp; Parking</t>
  </si>
  <si>
    <t>Basement Floor For Parking</t>
  </si>
  <si>
    <t>Tower 1 + 2</t>
  </si>
  <si>
    <t>Tower 4</t>
  </si>
  <si>
    <t>Shop</t>
  </si>
  <si>
    <t>-</t>
  </si>
  <si>
    <t>FTTH Room</t>
  </si>
  <si>
    <t>Tower 1</t>
  </si>
  <si>
    <t>Ground Floor For Commercial, Entrance Lobby, LT Panel Room, Metre Room &amp; Parking</t>
  </si>
  <si>
    <t>1st Podium Floor For Parking</t>
  </si>
  <si>
    <t xml:space="preserve">Café / Restaurant </t>
  </si>
  <si>
    <t>3rd Podium Floor For Meter Room, Squash Court (Fitness Center) &amp; Parking</t>
  </si>
  <si>
    <t xml:space="preserve">Service Floor </t>
  </si>
  <si>
    <t>1st Floor For Residential &amp; Fitness Center</t>
  </si>
  <si>
    <t>Fitness Center</t>
  </si>
  <si>
    <t>2BHK</t>
  </si>
  <si>
    <t>1BHK 
(I to R Flat)</t>
  </si>
  <si>
    <t>3rd Floor For Part Refuge Area</t>
  </si>
  <si>
    <t>Refuge Area</t>
  </si>
  <si>
    <t>3BHK</t>
  </si>
  <si>
    <t>4th Floor</t>
  </si>
  <si>
    <t>5th Floor</t>
  </si>
  <si>
    <t>6th to 9th Floor</t>
  </si>
  <si>
    <t>11th &amp; 18th Floor</t>
  </si>
  <si>
    <t>12th &amp; 19th Floor</t>
  </si>
  <si>
    <t>13th to 16th &amp; 20th to 23rd Floor</t>
  </si>
  <si>
    <t>24th Floor For Part Refuge Area</t>
  </si>
  <si>
    <t>10th &amp; 17th Floor For Part Refuge Area</t>
  </si>
  <si>
    <t>25th Floor</t>
  </si>
  <si>
    <t>26th Floor</t>
  </si>
  <si>
    <t>27th to 29th Floor</t>
  </si>
  <si>
    <t>30th Floor (Part Terrace)</t>
  </si>
  <si>
    <t>Expected Completion
(As per RERA)</t>
  </si>
  <si>
    <t>Terrace Area</t>
  </si>
  <si>
    <t>Tower 2</t>
  </si>
  <si>
    <t>4BHK</t>
  </si>
  <si>
    <t>12th Floor</t>
  </si>
  <si>
    <t>13th to 16th Floor</t>
  </si>
  <si>
    <t>19th Floor</t>
  </si>
  <si>
    <t>20th to 23rd Floor</t>
  </si>
  <si>
    <t>26th to 29th Floor</t>
  </si>
  <si>
    <t>5th to 9th Floor</t>
  </si>
  <si>
    <t>10th, 17th &amp; 24th Floor For Part Refuge Area</t>
  </si>
  <si>
    <t>11th, 18th &amp; 25th Floor</t>
  </si>
  <si>
    <t>12th to 16th &amp; 19th to 23rd Floor</t>
  </si>
  <si>
    <t>We considered Gross carpet area = Net carpet + Deck Area + Utility Area.</t>
  </si>
  <si>
    <t>I to R Flats</t>
  </si>
  <si>
    <t>19.138705,72.931555</t>
  </si>
  <si>
    <t>https://maps.app.goo.gl/89YFwBJxFdzQ4S9C9</t>
  </si>
  <si>
    <t>1.7 KM from bhandup Railway Station</t>
  </si>
  <si>
    <r>
      <t xml:space="preserve">Flat No.
</t>
    </r>
    <r>
      <rPr>
        <b/>
        <sz val="11"/>
        <color theme="1"/>
        <rFont val="Times New Roman"/>
        <family val="1"/>
      </rPr>
      <t>(Approved Plan)</t>
    </r>
  </si>
  <si>
    <t>Deck/ Utility Area</t>
  </si>
  <si>
    <t>3.5BHK</t>
  </si>
  <si>
    <t>Amenity Area</t>
  </si>
  <si>
    <t>1st Floor For Residential &amp; Amenity Area</t>
  </si>
  <si>
    <t>Construction work is in process at the time of Visit. (Internal Visit Not Allowed)</t>
  </si>
  <si>
    <t>We have referred approved plan, CC and Fire Noc from MCGM site on 02/12/2024.</t>
  </si>
  <si>
    <r>
      <t xml:space="preserve">Proposed Amenities :                                                                                                                                                                                                                         </t>
    </r>
    <r>
      <rPr>
        <b/>
        <sz val="12"/>
        <color theme="1"/>
        <rFont val="Times New Roman"/>
        <family val="1"/>
      </rPr>
      <t xml:space="preserve">                                               </t>
    </r>
  </si>
  <si>
    <t>Recommended rate of the Shop Per Sq. Ft. @ Ground Floor</t>
  </si>
  <si>
    <t>Recommended rate of the Shop Per Sq. Ft. @ 2P Floor</t>
  </si>
  <si>
    <t>2nd Podium Floor For Commercial, Fitness Center &amp; Parking</t>
  </si>
  <si>
    <t>https://www.adanisairica.com/</t>
  </si>
  <si>
    <t>Sale Flats</t>
  </si>
  <si>
    <t>Flats - 532, I to R Flats - 63, Shops - 36</t>
  </si>
  <si>
    <t>Jai Hind Oil Mill</t>
  </si>
  <si>
    <t>As per the approved floor plan, out of 595 flats, there are 63 flats that are "I to R" flats. Please check from your end.</t>
  </si>
  <si>
    <t>Tower 1 = 1B + G + 3P + Service Floor + 1st to 30th (pt) Floor
Tower 2 &amp; 4 = 1B + G + 3P + Service Floor + 1st to 29th Floor</t>
  </si>
  <si>
    <t>Tower 1, 2 &amp; 4 = 1B + G + 3P + Service Floor + 1st to 35th Floor</t>
  </si>
  <si>
    <t>SNCR/WEST/B/051122/671342</t>
  </si>
  <si>
    <t>Site Elevation = 9.66M (AMSL)
Permissible Top Elevation = 166.99M</t>
  </si>
  <si>
    <t>SIA/MH/INFRA2/447582/2023</t>
  </si>
  <si>
    <t>Tower 1, 2 &amp; 4 = 1B + Gr/St + 3P + Service Floor + 1st to 34th Floor (119.05M Height)</t>
  </si>
  <si>
    <t xml:space="preserve">We have updated Environment Clearance Certificate &amp; Airport Noc on 16/01/2025.
</t>
  </si>
  <si>
    <t>P-12131/2022/(611 And Other)/S Ward/KANJUR-W/CC/1/Amend</t>
  </si>
  <si>
    <t>Re-endorsement of C.C. up to top of basement i.e. C.C. up to Plinth level as per approved amended plan dtd. 17.10.2024. (CC valid upto 19.02.2026).</t>
  </si>
  <si>
    <t>Tower 1 &amp; 4 = 31/12/2029
Tower 2 = 30/06/2030</t>
  </si>
  <si>
    <t xml:space="preserve">We have updated latest CC from MCGM site (On 24/02/2025).
</t>
  </si>
  <si>
    <t>Office No. 1031, Wing J, Akshar Business Park, Plot No. 03 Sector 25, Near APMC Market, 
Vashi, Navi Mumbai, Maharashtra 400703 TEL: 022-46090378/79/80
E mail : vsjcapf@gmail.com. Web site : www.vsjadon.com</t>
  </si>
  <si>
    <t>Shruti Tathare</t>
  </si>
  <si>
    <t>Nainesh Tambe</t>
  </si>
  <si>
    <t>Mr. Jay 8655962697</t>
  </si>
  <si>
    <t>16000 to 17500</t>
  </si>
  <si>
    <t>cost sheet smith verbal</t>
  </si>
  <si>
    <t>Flat 1804 Tower 2</t>
  </si>
  <si>
    <t>on 03/10/2025</t>
  </si>
  <si>
    <t xml:space="preserve">Recommended Rates / Other charges of the Property have been revised on 03/10/2025.
</t>
  </si>
  <si>
    <t>Advance Maintenance Charges (12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</si>
</sst>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2"/>
      <color rgb="FFFFFF00"/>
      <name val="Times New Roman"/>
      <family val="1"/>
    </font>
    <font>
      <b/>
      <sz val="11"/>
      <color theme="1"/>
      <name val="Times New Roman"/>
      <family val="1"/>
    </font>
    <font>
      <sz val="8"/>
      <name val="Calibri"/>
      <family val="2"/>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31" fillId="0" borderId="0" xfId="1" applyFont="1"/>
    <xf numFmtId="0" fontId="27" fillId="0" borderId="0" xfId="10"/>
    <xf numFmtId="0" fontId="17" fillId="0" borderId="0" xfId="1" applyFont="1"/>
    <xf numFmtId="1" fontId="10" fillId="0" borderId="3" xfId="1" applyNumberFormat="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9" fontId="10"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0" fontId="7"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5" borderId="1" xfId="1" applyNumberFormat="1"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8" fillId="5" borderId="8" xfId="1" applyNumberFormat="1" applyFont="1" applyFill="1" applyBorder="1" applyAlignment="1" applyProtection="1">
      <alignment horizontal="center" vertical="center" wrapText="1"/>
      <protection locked="0"/>
    </xf>
    <xf numFmtId="1" fontId="8" fillId="5" borderId="21" xfId="1" applyNumberFormat="1" applyFont="1" applyFill="1" applyBorder="1" applyAlignment="1" applyProtection="1">
      <alignment horizontal="center" vertical="center" wrapText="1"/>
      <protection locked="0"/>
    </xf>
    <xf numFmtId="1" fontId="8" fillId="5" borderId="9" xfId="1" applyNumberFormat="1" applyFont="1" applyFill="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7"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1" fontId="10" fillId="0" borderId="17"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0" fontId="15"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10" fillId="0" borderId="16" xfId="1" applyFont="1" applyBorder="1" applyAlignment="1" applyProtection="1">
      <alignment horizontal="center"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0"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6" borderId="1" xfId="1" applyNumberFormat="1" applyFont="1" applyFill="1" applyBorder="1" applyAlignment="1" applyProtection="1">
      <alignment horizontal="left" vertical="top"/>
      <protection locked="0"/>
    </xf>
    <xf numFmtId="0" fontId="12" fillId="6"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6" borderId="1" xfId="1" applyFont="1" applyFill="1" applyBorder="1" applyAlignment="1" applyProtection="1">
      <alignment horizontal="left"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0" fillId="3" borderId="8" xfId="0" applyNumberFormat="1" applyFont="1" applyFill="1" applyBorder="1" applyAlignment="1" applyProtection="1">
      <alignment vertical="top" wrapText="1"/>
      <protection locked="0"/>
    </xf>
    <xf numFmtId="1" fontId="10" fillId="3" borderId="21" xfId="0" applyNumberFormat="1" applyFont="1" applyFill="1" applyBorder="1" applyAlignment="1" applyProtection="1">
      <alignment vertical="top" wrapText="1"/>
      <protection locked="0"/>
    </xf>
    <xf numFmtId="1" fontId="10" fillId="3" borderId="9" xfId="0" applyNumberFormat="1" applyFont="1" applyFill="1" applyBorder="1" applyAlignment="1" applyProtection="1">
      <alignmen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457201</xdr:colOff>
      <xdr:row>634</xdr:row>
      <xdr:rowOff>114301</xdr:rowOff>
    </xdr:from>
    <xdr:to>
      <xdr:col>7</xdr:col>
      <xdr:colOff>304800</xdr:colOff>
      <xdr:row>673</xdr:row>
      <xdr:rowOff>83821</xdr:rowOff>
    </xdr:to>
    <xdr:grpSp>
      <xdr:nvGrpSpPr>
        <xdr:cNvPr id="2" name="Group 1">
          <a:extLst>
            <a:ext uri="{FF2B5EF4-FFF2-40B4-BE49-F238E27FC236}">
              <a16:creationId xmlns:a16="http://schemas.microsoft.com/office/drawing/2014/main" xmlns="" id="{FDFA808A-BD9D-42AF-8FFA-6EE4FF609AE3}"/>
            </a:ext>
          </a:extLst>
        </xdr:cNvPr>
        <xdr:cNvGrpSpPr/>
      </xdr:nvGrpSpPr>
      <xdr:grpSpPr>
        <a:xfrm>
          <a:off x="457201" y="125189975"/>
          <a:ext cx="5438360" cy="7722042"/>
          <a:chOff x="704850" y="224287"/>
          <a:chExt cx="5400000" cy="7706385"/>
        </a:xfrm>
      </xdr:grpSpPr>
      <xdr:pic>
        <xdr:nvPicPr>
          <xdr:cNvPr id="3" name="Picture 2">
            <a:extLst>
              <a:ext uri="{FF2B5EF4-FFF2-40B4-BE49-F238E27FC236}">
                <a16:creationId xmlns:a16="http://schemas.microsoft.com/office/drawing/2014/main" xmlns="" id="{CA2C707E-0026-4088-848A-DA721A44A1DC}"/>
              </a:ext>
            </a:extLst>
          </xdr:cNvPr>
          <xdr:cNvPicPr>
            <a:picLocks noChangeAspect="1"/>
          </xdr:cNvPicPr>
        </xdr:nvPicPr>
        <xdr:blipFill>
          <a:blip xmlns:r="http://schemas.openxmlformats.org/officeDocument/2006/relationships" r:embed="rId1"/>
          <a:stretch>
            <a:fillRect/>
          </a:stretch>
        </xdr:blipFill>
        <xdr:spPr>
          <a:xfrm>
            <a:off x="1784850" y="5147010"/>
            <a:ext cx="3240000" cy="2783662"/>
          </a:xfrm>
          <a:prstGeom prst="rect">
            <a:avLst/>
          </a:prstGeom>
          <a:ln>
            <a:solidFill>
              <a:schemeClr val="tx1"/>
            </a:solidFill>
          </a:ln>
        </xdr:spPr>
      </xdr:pic>
      <xdr:grpSp>
        <xdr:nvGrpSpPr>
          <xdr:cNvPr id="4" name="Group 3">
            <a:extLst>
              <a:ext uri="{FF2B5EF4-FFF2-40B4-BE49-F238E27FC236}">
                <a16:creationId xmlns:a16="http://schemas.microsoft.com/office/drawing/2014/main" xmlns="" id="{1D871895-CC53-4BD6-AC54-0393FC1DE465}"/>
              </a:ext>
            </a:extLst>
          </xdr:cNvPr>
          <xdr:cNvGrpSpPr/>
        </xdr:nvGrpSpPr>
        <xdr:grpSpPr>
          <a:xfrm>
            <a:off x="704850" y="224287"/>
            <a:ext cx="5400000" cy="4795804"/>
            <a:chOff x="704850" y="224287"/>
            <a:chExt cx="5400000" cy="4795804"/>
          </a:xfrm>
        </xdr:grpSpPr>
        <xdr:pic>
          <xdr:nvPicPr>
            <xdr:cNvPr id="5" name="Picture 4">
              <a:extLst>
                <a:ext uri="{FF2B5EF4-FFF2-40B4-BE49-F238E27FC236}">
                  <a16:creationId xmlns:a16="http://schemas.microsoft.com/office/drawing/2014/main" xmlns="" id="{84B5A1E7-4D76-4027-A091-2865E7FFD31E}"/>
                </a:ext>
              </a:extLst>
            </xdr:cNvPr>
            <xdr:cNvPicPr>
              <a:picLocks noChangeAspect="1"/>
            </xdr:cNvPicPr>
          </xdr:nvPicPr>
          <xdr:blipFill>
            <a:blip xmlns:r="http://schemas.openxmlformats.org/officeDocument/2006/relationships" r:embed="rId2"/>
            <a:stretch>
              <a:fillRect/>
            </a:stretch>
          </xdr:blipFill>
          <xdr:spPr>
            <a:xfrm>
              <a:off x="704850" y="224287"/>
              <a:ext cx="5400000" cy="4795804"/>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xmlns="" id="{1A3224B5-E10A-4281-9CDF-46CC892A901A}"/>
                </a:ext>
              </a:extLst>
            </xdr:cNvPr>
            <xdr:cNvSpPr/>
          </xdr:nvSpPr>
          <xdr:spPr>
            <a:xfrm>
              <a:off x="2743200" y="1121434"/>
              <a:ext cx="845389" cy="7591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a:extLst>
                <a:ext uri="{FF2B5EF4-FFF2-40B4-BE49-F238E27FC236}">
                  <a16:creationId xmlns:a16="http://schemas.microsoft.com/office/drawing/2014/main" xmlns="" id="{03A58304-3044-4364-A3B4-C9DF66FE8220}"/>
                </a:ext>
              </a:extLst>
            </xdr:cNvPr>
            <xdr:cNvSpPr/>
          </xdr:nvSpPr>
          <xdr:spPr>
            <a:xfrm>
              <a:off x="3610814" y="1863065"/>
              <a:ext cx="845389" cy="7591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5">
              <a:extLst>
                <a:ext uri="{FF2B5EF4-FFF2-40B4-BE49-F238E27FC236}">
                  <a16:creationId xmlns:a16="http://schemas.microsoft.com/office/drawing/2014/main" xmlns="" id="{3594CCC1-75EE-4819-A041-6466B19161F1}"/>
                </a:ext>
              </a:extLst>
            </xdr:cNvPr>
            <xdr:cNvSpPr txBox="1"/>
          </xdr:nvSpPr>
          <xdr:spPr>
            <a:xfrm>
              <a:off x="3439218" y="770140"/>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9" name="TextBox 6">
              <a:extLst>
                <a:ext uri="{FF2B5EF4-FFF2-40B4-BE49-F238E27FC236}">
                  <a16:creationId xmlns:a16="http://schemas.microsoft.com/office/drawing/2014/main" xmlns="" id="{E7618BC3-36E8-47B2-8B7E-2056975DC382}"/>
                </a:ext>
              </a:extLst>
            </xdr:cNvPr>
            <xdr:cNvSpPr txBox="1"/>
          </xdr:nvSpPr>
          <xdr:spPr>
            <a:xfrm>
              <a:off x="3483431" y="2591248"/>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grpSp>
    </xdr:grpSp>
    <xdr:clientData/>
  </xdr:twoCellAnchor>
  <xdr:twoCellAnchor>
    <xdr:from>
      <xdr:col>2</xdr:col>
      <xdr:colOff>257176</xdr:colOff>
      <xdr:row>646</xdr:row>
      <xdr:rowOff>85725</xdr:rowOff>
    </xdr:from>
    <xdr:to>
      <xdr:col>3</xdr:col>
      <xdr:colOff>255877</xdr:colOff>
      <xdr:row>650</xdr:row>
      <xdr:rowOff>94938</xdr:rowOff>
    </xdr:to>
    <xdr:sp macro="" textlink="">
      <xdr:nvSpPr>
        <xdr:cNvPr id="10" name="Rectangle 9">
          <a:extLst>
            <a:ext uri="{FF2B5EF4-FFF2-40B4-BE49-F238E27FC236}">
              <a16:creationId xmlns:a16="http://schemas.microsoft.com/office/drawing/2014/main" xmlns="" id="{F72B4673-CB21-4FB4-AD40-5FE7968373CA}"/>
            </a:ext>
          </a:extLst>
        </xdr:cNvPr>
        <xdr:cNvSpPr/>
      </xdr:nvSpPr>
      <xdr:spPr>
        <a:xfrm>
          <a:off x="1819276" y="120319800"/>
          <a:ext cx="846426" cy="80931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276226</xdr:colOff>
      <xdr:row>644</xdr:row>
      <xdr:rowOff>57150</xdr:rowOff>
    </xdr:from>
    <xdr:to>
      <xdr:col>3</xdr:col>
      <xdr:colOff>368607</xdr:colOff>
      <xdr:row>646</xdr:row>
      <xdr:rowOff>50805</xdr:rowOff>
    </xdr:to>
    <xdr:sp macro="" textlink="">
      <xdr:nvSpPr>
        <xdr:cNvPr id="12" name="TextBox 6">
          <a:extLst>
            <a:ext uri="{FF2B5EF4-FFF2-40B4-BE49-F238E27FC236}">
              <a16:creationId xmlns:a16="http://schemas.microsoft.com/office/drawing/2014/main" xmlns="" id="{8CD2BBE0-DDDB-45CC-BFCB-E730E9E848E6}"/>
            </a:ext>
          </a:extLst>
        </xdr:cNvPr>
        <xdr:cNvSpPr txBox="1"/>
      </xdr:nvSpPr>
      <xdr:spPr>
        <a:xfrm>
          <a:off x="1838326" y="119891175"/>
          <a:ext cx="940106" cy="39370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clientData/>
  </xdr:twoCellAnchor>
  <xdr:twoCellAnchor>
    <xdr:from>
      <xdr:col>0</xdr:col>
      <xdr:colOff>582706</xdr:colOff>
      <xdr:row>695</xdr:row>
      <xdr:rowOff>29884</xdr:rowOff>
    </xdr:from>
    <xdr:to>
      <xdr:col>7</xdr:col>
      <xdr:colOff>74193</xdr:colOff>
      <xdr:row>714</xdr:row>
      <xdr:rowOff>177543</xdr:rowOff>
    </xdr:to>
    <xdr:grpSp>
      <xdr:nvGrpSpPr>
        <xdr:cNvPr id="15" name="Group 14">
          <a:extLst>
            <a:ext uri="{FF2B5EF4-FFF2-40B4-BE49-F238E27FC236}">
              <a16:creationId xmlns:a16="http://schemas.microsoft.com/office/drawing/2014/main" xmlns="" id="{7F72E5B1-2D49-49E1-8ACD-51B2490890B8}"/>
            </a:ext>
          </a:extLst>
        </xdr:cNvPr>
        <xdr:cNvGrpSpPr/>
      </xdr:nvGrpSpPr>
      <xdr:grpSpPr>
        <a:xfrm>
          <a:off x="582706" y="137231297"/>
          <a:ext cx="5082248" cy="3924529"/>
          <a:chOff x="859198" y="3449196"/>
          <a:chExt cx="5040000" cy="3991305"/>
        </a:xfrm>
      </xdr:grpSpPr>
      <xdr:pic>
        <xdr:nvPicPr>
          <xdr:cNvPr id="16" name="Picture 15">
            <a:extLst>
              <a:ext uri="{FF2B5EF4-FFF2-40B4-BE49-F238E27FC236}">
                <a16:creationId xmlns:a16="http://schemas.microsoft.com/office/drawing/2014/main" xmlns="" id="{3E799C7C-4395-494D-8FCB-1BA4A1F5EC3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59198" y="3449196"/>
            <a:ext cx="5040000" cy="3991305"/>
          </a:xfrm>
          <a:prstGeom prst="rect">
            <a:avLst/>
          </a:prstGeom>
          <a:ln>
            <a:solidFill>
              <a:schemeClr val="tx1"/>
            </a:solidFill>
          </a:ln>
        </xdr:spPr>
      </xdr:pic>
      <xdr:grpSp>
        <xdr:nvGrpSpPr>
          <xdr:cNvPr id="17" name="Group 16">
            <a:extLst>
              <a:ext uri="{FF2B5EF4-FFF2-40B4-BE49-F238E27FC236}">
                <a16:creationId xmlns:a16="http://schemas.microsoft.com/office/drawing/2014/main" xmlns="" id="{CDBCAEF5-A95D-4FC5-B5C8-E55AD443350D}"/>
              </a:ext>
            </a:extLst>
          </xdr:cNvPr>
          <xdr:cNvGrpSpPr/>
        </xdr:nvGrpSpPr>
        <xdr:grpSpPr>
          <a:xfrm>
            <a:off x="2349500" y="3575050"/>
            <a:ext cx="2724150" cy="2546350"/>
            <a:chOff x="2349500" y="3575050"/>
            <a:chExt cx="2724150" cy="2546350"/>
          </a:xfrm>
        </xdr:grpSpPr>
        <xdr:cxnSp macro="">
          <xdr:nvCxnSpPr>
            <xdr:cNvPr id="18" name="Straight Connector 17">
              <a:extLst>
                <a:ext uri="{FF2B5EF4-FFF2-40B4-BE49-F238E27FC236}">
                  <a16:creationId xmlns:a16="http://schemas.microsoft.com/office/drawing/2014/main" xmlns="" id="{4860E5DE-2BB3-455D-B464-D8F6FF578A14}"/>
                </a:ext>
              </a:extLst>
            </xdr:cNvPr>
            <xdr:cNvCxnSpPr/>
          </xdr:nvCxnSpPr>
          <xdr:spPr>
            <a:xfrm flipH="1">
              <a:off x="2349500" y="3575050"/>
              <a:ext cx="1003300" cy="22987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xmlns="" id="{5B066A19-EA23-44E1-9042-6E6577FAAEE3}"/>
                </a:ext>
              </a:extLst>
            </xdr:cNvPr>
            <xdr:cNvCxnSpPr/>
          </xdr:nvCxnSpPr>
          <xdr:spPr>
            <a:xfrm>
              <a:off x="2349500" y="5873750"/>
              <a:ext cx="717550" cy="2286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xmlns="" id="{F43087EB-23E2-48A0-91DF-5D2E8677C152}"/>
                </a:ext>
              </a:extLst>
            </xdr:cNvPr>
            <xdr:cNvCxnSpPr/>
          </xdr:nvCxnSpPr>
          <xdr:spPr>
            <a:xfrm flipV="1">
              <a:off x="3060700" y="6102350"/>
              <a:ext cx="539750" cy="190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xmlns="" id="{F3D2908F-D375-4345-950B-5EE6D486DB08}"/>
                </a:ext>
              </a:extLst>
            </xdr:cNvPr>
            <xdr:cNvCxnSpPr/>
          </xdr:nvCxnSpPr>
          <xdr:spPr>
            <a:xfrm flipV="1">
              <a:off x="3613150" y="5492750"/>
              <a:ext cx="996950" cy="6096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xmlns="" id="{9725E24D-4024-46CB-9313-AE97354DBB57}"/>
                </a:ext>
              </a:extLst>
            </xdr:cNvPr>
            <xdr:cNvCxnSpPr/>
          </xdr:nvCxnSpPr>
          <xdr:spPr>
            <a:xfrm flipV="1">
              <a:off x="4616450" y="4781550"/>
              <a:ext cx="457200" cy="7175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xmlns="" id="{7CBA5CA9-704E-4DDD-8CF7-D9E142C8E4E8}"/>
                </a:ext>
              </a:extLst>
            </xdr:cNvPr>
            <xdr:cNvCxnSpPr/>
          </xdr:nvCxnSpPr>
          <xdr:spPr>
            <a:xfrm flipH="1" flipV="1">
              <a:off x="3352800" y="3575050"/>
              <a:ext cx="1720850" cy="12065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367392</xdr:colOff>
      <xdr:row>52</xdr:row>
      <xdr:rowOff>353786</xdr:rowOff>
    </xdr:from>
    <xdr:to>
      <xdr:col>15</xdr:col>
      <xdr:colOff>70197</xdr:colOff>
      <xdr:row>53</xdr:row>
      <xdr:rowOff>543067</xdr:rowOff>
    </xdr:to>
    <xdr:pic>
      <xdr:nvPicPr>
        <xdr:cNvPr id="24" name="Picture 23">
          <a:extLst>
            <a:ext uri="{FF2B5EF4-FFF2-40B4-BE49-F238E27FC236}">
              <a16:creationId xmlns:a16="http://schemas.microsoft.com/office/drawing/2014/main" xmlns="" id="{24CDAE22-0FC0-4C7F-9179-608AD65AD9B3}"/>
            </a:ext>
          </a:extLst>
        </xdr:cNvPr>
        <xdr:cNvPicPr>
          <a:picLocks noChangeAspect="1"/>
        </xdr:cNvPicPr>
      </xdr:nvPicPr>
      <xdr:blipFill>
        <a:blip xmlns:r="http://schemas.openxmlformats.org/officeDocument/2006/relationships" r:embed="rId4"/>
        <a:stretch>
          <a:fillRect/>
        </a:stretch>
      </xdr:blipFill>
      <xdr:spPr>
        <a:xfrm>
          <a:off x="6681106" y="13117286"/>
          <a:ext cx="5744377" cy="1019317"/>
        </a:xfrm>
        <a:prstGeom prst="rect">
          <a:avLst/>
        </a:prstGeom>
        <a:ln>
          <a:solidFill>
            <a:schemeClr val="tx1"/>
          </a:solidFill>
        </a:ln>
      </xdr:spPr>
    </xdr:pic>
    <xdr:clientData/>
  </xdr:twoCellAnchor>
  <xdr:twoCellAnchor editAs="oneCell">
    <xdr:from>
      <xdr:col>8</xdr:col>
      <xdr:colOff>367393</xdr:colOff>
      <xdr:row>49</xdr:row>
      <xdr:rowOff>68036</xdr:rowOff>
    </xdr:from>
    <xdr:to>
      <xdr:col>13</xdr:col>
      <xdr:colOff>485893</xdr:colOff>
      <xdr:row>52</xdr:row>
      <xdr:rowOff>150547</xdr:rowOff>
    </xdr:to>
    <xdr:pic>
      <xdr:nvPicPr>
        <xdr:cNvPr id="25" name="Picture 24">
          <a:extLst>
            <a:ext uri="{FF2B5EF4-FFF2-40B4-BE49-F238E27FC236}">
              <a16:creationId xmlns:a16="http://schemas.microsoft.com/office/drawing/2014/main" xmlns="" id="{198649D4-955C-4278-9115-74F4F34EC22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681107" y="11647715"/>
          <a:ext cx="4500000" cy="1266332"/>
        </a:xfrm>
        <a:prstGeom prst="rect">
          <a:avLst/>
        </a:prstGeom>
        <a:ln>
          <a:solidFill>
            <a:schemeClr val="tx1"/>
          </a:solidFill>
        </a:ln>
      </xdr:spPr>
    </xdr:pic>
    <xdr:clientData/>
  </xdr:twoCellAnchor>
  <xdr:twoCellAnchor editAs="oneCell">
    <xdr:from>
      <xdr:col>1</xdr:col>
      <xdr:colOff>612321</xdr:colOff>
      <xdr:row>678</xdr:row>
      <xdr:rowOff>176893</xdr:rowOff>
    </xdr:from>
    <xdr:to>
      <xdr:col>5</xdr:col>
      <xdr:colOff>571500</xdr:colOff>
      <xdr:row>693</xdr:row>
      <xdr:rowOff>110344</xdr:rowOff>
    </xdr:to>
    <xdr:pic>
      <xdr:nvPicPr>
        <xdr:cNvPr id="31" name="Picture 30">
          <a:extLst>
            <a:ext uri="{FF2B5EF4-FFF2-40B4-BE49-F238E27FC236}">
              <a16:creationId xmlns:a16="http://schemas.microsoft.com/office/drawing/2014/main" xmlns="" id="{E9775A73-38F4-486C-9CA2-F7F343C81EC9}"/>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374321" y="129526393"/>
          <a:ext cx="3292929" cy="2995058"/>
        </a:xfrm>
        <a:prstGeom prst="rect">
          <a:avLst/>
        </a:prstGeom>
        <a:ln>
          <a:solidFill>
            <a:schemeClr val="tx1"/>
          </a:solidFill>
        </a:ln>
      </xdr:spPr>
    </xdr:pic>
    <xdr:clientData/>
  </xdr:twoCellAnchor>
  <xdr:twoCellAnchor editAs="oneCell">
    <xdr:from>
      <xdr:col>8</xdr:col>
      <xdr:colOff>136071</xdr:colOff>
      <xdr:row>15</xdr:row>
      <xdr:rowOff>27214</xdr:rowOff>
    </xdr:from>
    <xdr:to>
      <xdr:col>14</xdr:col>
      <xdr:colOff>417146</xdr:colOff>
      <xdr:row>15</xdr:row>
      <xdr:rowOff>532109</xdr:rowOff>
    </xdr:to>
    <xdr:pic>
      <xdr:nvPicPr>
        <xdr:cNvPr id="32" name="Picture 31">
          <a:extLst>
            <a:ext uri="{FF2B5EF4-FFF2-40B4-BE49-F238E27FC236}">
              <a16:creationId xmlns:a16="http://schemas.microsoft.com/office/drawing/2014/main" xmlns="" id="{1C12A625-1CFA-4F0A-96CB-069287AB12C5}"/>
            </a:ext>
          </a:extLst>
        </xdr:cNvPr>
        <xdr:cNvPicPr>
          <a:picLocks noChangeAspect="1"/>
        </xdr:cNvPicPr>
      </xdr:nvPicPr>
      <xdr:blipFill>
        <a:blip xmlns:r="http://schemas.openxmlformats.org/officeDocument/2006/relationships" r:embed="rId7"/>
        <a:stretch>
          <a:fillRect/>
        </a:stretch>
      </xdr:blipFill>
      <xdr:spPr>
        <a:xfrm>
          <a:off x="6449785" y="3823607"/>
          <a:ext cx="5506218" cy="504895"/>
        </a:xfrm>
        <a:prstGeom prst="rect">
          <a:avLst/>
        </a:prstGeom>
        <a:ln>
          <a:solidFill>
            <a:schemeClr val="tx1"/>
          </a:solidFill>
        </a:ln>
      </xdr:spPr>
    </xdr:pic>
    <xdr:clientData/>
  </xdr:twoCellAnchor>
  <xdr:twoCellAnchor editAs="oneCell">
    <xdr:from>
      <xdr:col>8</xdr:col>
      <xdr:colOff>279400</xdr:colOff>
      <xdr:row>41</xdr:row>
      <xdr:rowOff>22225</xdr:rowOff>
    </xdr:from>
    <xdr:to>
      <xdr:col>16</xdr:col>
      <xdr:colOff>116027</xdr:colOff>
      <xdr:row>51</xdr:row>
      <xdr:rowOff>273325</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rotWithShape="1">
        <a:blip xmlns:r="http://schemas.openxmlformats.org/officeDocument/2006/relationships" r:embed="rId8"/>
        <a:srcRect r="34328" b="49750"/>
        <a:stretch/>
      </xdr:blipFill>
      <xdr:spPr>
        <a:xfrm>
          <a:off x="6902450" y="9534525"/>
          <a:ext cx="6980377" cy="2854600"/>
        </a:xfrm>
        <a:prstGeom prst="rect">
          <a:avLst/>
        </a:prstGeom>
      </xdr:spPr>
    </xdr:pic>
    <xdr:clientData/>
  </xdr:twoCellAnchor>
  <xdr:twoCellAnchor>
    <xdr:from>
      <xdr:col>0</xdr:col>
      <xdr:colOff>123825</xdr:colOff>
      <xdr:row>593</xdr:row>
      <xdr:rowOff>76199</xdr:rowOff>
    </xdr:from>
    <xdr:to>
      <xdr:col>7</xdr:col>
      <xdr:colOff>634150</xdr:colOff>
      <xdr:row>632</xdr:row>
      <xdr:rowOff>121650</xdr:rowOff>
    </xdr:to>
    <xdr:grpSp>
      <xdr:nvGrpSpPr>
        <xdr:cNvPr id="64" name="Group 63"/>
        <xdr:cNvGrpSpPr/>
      </xdr:nvGrpSpPr>
      <xdr:grpSpPr>
        <a:xfrm>
          <a:off x="123825" y="117010069"/>
          <a:ext cx="6101086" cy="7789690"/>
          <a:chOff x="104775" y="116376449"/>
          <a:chExt cx="6101500" cy="7836901"/>
        </a:xfrm>
      </xdr:grpSpPr>
      <xdr:pic>
        <xdr:nvPicPr>
          <xdr:cNvPr id="58" name="Picture 57" descr="https://vsjcllp.vsjadon.com/upload/insp-243234-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05050" y="1220533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3234-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33350" y="116389149"/>
            <a:ext cx="3803304" cy="2867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3234-849.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162175" y="119348250"/>
            <a:ext cx="1977175" cy="2628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3234-88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029075" y="116376449"/>
            <a:ext cx="2156267" cy="2867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3234-88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04775" y="119348250"/>
            <a:ext cx="1977175" cy="2628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3234-93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229100" y="119348250"/>
            <a:ext cx="1977175" cy="2628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605118</xdr:colOff>
      <xdr:row>5</xdr:row>
      <xdr:rowOff>179294</xdr:rowOff>
    </xdr:from>
    <xdr:to>
      <xdr:col>6</xdr:col>
      <xdr:colOff>609684</xdr:colOff>
      <xdr:row>24</xdr:row>
      <xdr:rowOff>159794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1187824" y="1143000"/>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danisairica.com/" TargetMode="External"/><Relationship Id="rId7" Type="http://schemas.openxmlformats.org/officeDocument/2006/relationships/vmlDrawing" Target="../drawings/vmlDrawing2.vml"/><Relationship Id="rId2" Type="http://schemas.openxmlformats.org/officeDocument/2006/relationships/hyperlink" Target="https://housiey.com/projects/adani-airica" TargetMode="External"/><Relationship Id="rId1" Type="http://schemas.openxmlformats.org/officeDocument/2006/relationships/hyperlink" Target="https://maps.app.goo.gl/89YFwBJxFdzQ4S9C9"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76"/>
  <sheetViews>
    <sheetView tabSelected="1" view="pageBreakPreview" zoomScale="115" zoomScaleNormal="100" zoomScaleSheetLayoutView="115" zoomScalePageLayoutView="85" workbookViewId="0">
      <selection activeCell="J579" sqref="J579"/>
    </sheetView>
  </sheetViews>
  <sheetFormatPr defaultColWidth="9.28515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28515625" style="40" customWidth="1"/>
    <col min="7" max="8" width="11" style="40" customWidth="1"/>
    <col min="9" max="9" width="17.42578125" style="21" customWidth="1"/>
    <col min="10" max="10" width="11.42578125" style="21" customWidth="1"/>
    <col min="11" max="11" width="11.28515625" style="21" bestFit="1" customWidth="1"/>
    <col min="12" max="12" width="13.7109375" style="21" bestFit="1" customWidth="1"/>
    <col min="13" max="13" width="11.7109375" style="21" customWidth="1"/>
    <col min="14" max="14" width="12.5703125" style="21" customWidth="1"/>
    <col min="15" max="15" width="12.28515625" style="21" customWidth="1"/>
    <col min="16" max="16" width="11.7109375" style="21" customWidth="1"/>
    <col min="17" max="18" width="9.28515625" style="21"/>
    <col min="19" max="19" width="10.7109375" style="21" bestFit="1" customWidth="1"/>
    <col min="20" max="20" width="10.7109375" style="21" customWidth="1"/>
    <col min="21" max="247" width="9.28515625" style="21"/>
    <col min="248" max="248" width="8.7109375" style="21" customWidth="1"/>
    <col min="249" max="249" width="9.7109375" style="21" customWidth="1"/>
    <col min="250" max="250" width="14.42578125" style="21" customWidth="1"/>
    <col min="251" max="251" width="7.28515625" style="21" customWidth="1"/>
    <col min="252" max="252" width="5.5703125" style="21" customWidth="1"/>
    <col min="253" max="253" width="9" style="21" customWidth="1"/>
    <col min="254" max="255" width="9.7109375" style="21" customWidth="1"/>
    <col min="256" max="256" width="11.28515625" style="21" customWidth="1"/>
    <col min="257" max="257" width="2.7109375" style="21" customWidth="1"/>
    <col min="258" max="258" width="3.5703125" style="21" customWidth="1"/>
    <col min="259" max="503" width="9.28515625" style="21"/>
    <col min="504" max="504" width="8.7109375" style="21" customWidth="1"/>
    <col min="505" max="505" width="9.7109375" style="21" customWidth="1"/>
    <col min="506" max="506" width="14.42578125" style="21" customWidth="1"/>
    <col min="507" max="507" width="7.28515625" style="21" customWidth="1"/>
    <col min="508" max="508" width="5.5703125" style="21" customWidth="1"/>
    <col min="509" max="509" width="9" style="21" customWidth="1"/>
    <col min="510" max="511" width="9.7109375" style="21" customWidth="1"/>
    <col min="512" max="512" width="11.28515625" style="21" customWidth="1"/>
    <col min="513" max="513" width="2.7109375" style="21" customWidth="1"/>
    <col min="514" max="514" width="3.5703125" style="21" customWidth="1"/>
    <col min="515" max="759" width="9.28515625" style="21"/>
    <col min="760" max="760" width="8.7109375" style="21" customWidth="1"/>
    <col min="761" max="761" width="9.7109375" style="21" customWidth="1"/>
    <col min="762" max="762" width="14.42578125" style="21" customWidth="1"/>
    <col min="763" max="763" width="7.28515625" style="21" customWidth="1"/>
    <col min="764" max="764" width="5.5703125" style="21" customWidth="1"/>
    <col min="765" max="765" width="9" style="21" customWidth="1"/>
    <col min="766" max="767" width="9.7109375" style="21" customWidth="1"/>
    <col min="768" max="768" width="11.28515625" style="21" customWidth="1"/>
    <col min="769" max="769" width="2.7109375" style="21" customWidth="1"/>
    <col min="770" max="770" width="3.5703125" style="21" customWidth="1"/>
    <col min="771" max="1015" width="9.28515625" style="21"/>
    <col min="1016" max="1016" width="8.7109375" style="21" customWidth="1"/>
    <col min="1017" max="1017" width="9.7109375" style="21" customWidth="1"/>
    <col min="1018" max="1018" width="14.42578125" style="21" customWidth="1"/>
    <col min="1019" max="1019" width="7.28515625" style="21" customWidth="1"/>
    <col min="1020" max="1020" width="5.5703125" style="21" customWidth="1"/>
    <col min="1021" max="1021" width="9" style="21" customWidth="1"/>
    <col min="1022" max="1023" width="9.7109375" style="21" customWidth="1"/>
    <col min="1024" max="1024" width="11.28515625" style="21" customWidth="1"/>
    <col min="1025" max="1025" width="2.7109375" style="21" customWidth="1"/>
    <col min="1026" max="1026" width="3.5703125" style="21" customWidth="1"/>
    <col min="1027" max="1271" width="9.28515625" style="21"/>
    <col min="1272" max="1272" width="8.7109375" style="21" customWidth="1"/>
    <col min="1273" max="1273" width="9.7109375" style="21" customWidth="1"/>
    <col min="1274" max="1274" width="14.42578125" style="21" customWidth="1"/>
    <col min="1275" max="1275" width="7.28515625" style="21" customWidth="1"/>
    <col min="1276" max="1276" width="5.5703125" style="21" customWidth="1"/>
    <col min="1277" max="1277" width="9" style="21" customWidth="1"/>
    <col min="1278" max="1279" width="9.7109375" style="21" customWidth="1"/>
    <col min="1280" max="1280" width="11.28515625" style="21" customWidth="1"/>
    <col min="1281" max="1281" width="2.7109375" style="21" customWidth="1"/>
    <col min="1282" max="1282" width="3.5703125" style="21" customWidth="1"/>
    <col min="1283" max="1527" width="9.28515625" style="21"/>
    <col min="1528" max="1528" width="8.7109375" style="21" customWidth="1"/>
    <col min="1529" max="1529" width="9.7109375" style="21" customWidth="1"/>
    <col min="1530" max="1530" width="14.42578125" style="21" customWidth="1"/>
    <col min="1531" max="1531" width="7.28515625" style="21" customWidth="1"/>
    <col min="1532" max="1532" width="5.5703125" style="21" customWidth="1"/>
    <col min="1533" max="1533" width="9" style="21" customWidth="1"/>
    <col min="1534" max="1535" width="9.7109375" style="21" customWidth="1"/>
    <col min="1536" max="1536" width="11.28515625" style="21" customWidth="1"/>
    <col min="1537" max="1537" width="2.7109375" style="21" customWidth="1"/>
    <col min="1538" max="1538" width="3.5703125" style="21" customWidth="1"/>
    <col min="1539" max="1783" width="9.28515625" style="21"/>
    <col min="1784" max="1784" width="8.7109375" style="21" customWidth="1"/>
    <col min="1785" max="1785" width="9.7109375" style="21" customWidth="1"/>
    <col min="1786" max="1786" width="14.42578125" style="21" customWidth="1"/>
    <col min="1787" max="1787" width="7.28515625" style="21" customWidth="1"/>
    <col min="1788" max="1788" width="5.5703125" style="21" customWidth="1"/>
    <col min="1789" max="1789" width="9" style="21" customWidth="1"/>
    <col min="1790" max="1791" width="9.7109375" style="21" customWidth="1"/>
    <col min="1792" max="1792" width="11.28515625" style="21" customWidth="1"/>
    <col min="1793" max="1793" width="2.7109375" style="21" customWidth="1"/>
    <col min="1794" max="1794" width="3.5703125" style="21" customWidth="1"/>
    <col min="1795" max="2039" width="9.28515625" style="21"/>
    <col min="2040" max="2040" width="8.7109375" style="21" customWidth="1"/>
    <col min="2041" max="2041" width="9.7109375" style="21" customWidth="1"/>
    <col min="2042" max="2042" width="14.42578125" style="21" customWidth="1"/>
    <col min="2043" max="2043" width="7.28515625" style="21" customWidth="1"/>
    <col min="2044" max="2044" width="5.5703125" style="21" customWidth="1"/>
    <col min="2045" max="2045" width="9" style="21" customWidth="1"/>
    <col min="2046" max="2047" width="9.7109375" style="21" customWidth="1"/>
    <col min="2048" max="2048" width="11.28515625" style="21" customWidth="1"/>
    <col min="2049" max="2049" width="2.7109375" style="21" customWidth="1"/>
    <col min="2050" max="2050" width="3.5703125" style="21" customWidth="1"/>
    <col min="2051" max="2295" width="9.28515625" style="21"/>
    <col min="2296" max="2296" width="8.7109375" style="21" customWidth="1"/>
    <col min="2297" max="2297" width="9.7109375" style="21" customWidth="1"/>
    <col min="2298" max="2298" width="14.42578125" style="21" customWidth="1"/>
    <col min="2299" max="2299" width="7.28515625" style="21" customWidth="1"/>
    <col min="2300" max="2300" width="5.5703125" style="21" customWidth="1"/>
    <col min="2301" max="2301" width="9" style="21" customWidth="1"/>
    <col min="2302" max="2303" width="9.7109375" style="21" customWidth="1"/>
    <col min="2304" max="2304" width="11.28515625" style="21" customWidth="1"/>
    <col min="2305" max="2305" width="2.7109375" style="21" customWidth="1"/>
    <col min="2306" max="2306" width="3.5703125" style="21" customWidth="1"/>
    <col min="2307" max="2551" width="9.28515625" style="21"/>
    <col min="2552" max="2552" width="8.7109375" style="21" customWidth="1"/>
    <col min="2553" max="2553" width="9.7109375" style="21" customWidth="1"/>
    <col min="2554" max="2554" width="14.42578125" style="21" customWidth="1"/>
    <col min="2555" max="2555" width="7.28515625" style="21" customWidth="1"/>
    <col min="2556" max="2556" width="5.5703125" style="21" customWidth="1"/>
    <col min="2557" max="2557" width="9" style="21" customWidth="1"/>
    <col min="2558" max="2559" width="9.7109375" style="21" customWidth="1"/>
    <col min="2560" max="2560" width="11.28515625" style="21" customWidth="1"/>
    <col min="2561" max="2561" width="2.7109375" style="21" customWidth="1"/>
    <col min="2562" max="2562" width="3.5703125" style="21" customWidth="1"/>
    <col min="2563" max="2807" width="9.28515625" style="21"/>
    <col min="2808" max="2808" width="8.7109375" style="21" customWidth="1"/>
    <col min="2809" max="2809" width="9.7109375" style="21" customWidth="1"/>
    <col min="2810" max="2810" width="14.42578125" style="21" customWidth="1"/>
    <col min="2811" max="2811" width="7.28515625" style="21" customWidth="1"/>
    <col min="2812" max="2812" width="5.5703125" style="21" customWidth="1"/>
    <col min="2813" max="2813" width="9" style="21" customWidth="1"/>
    <col min="2814" max="2815" width="9.7109375" style="21" customWidth="1"/>
    <col min="2816" max="2816" width="11.28515625" style="21" customWidth="1"/>
    <col min="2817" max="2817" width="2.7109375" style="21" customWidth="1"/>
    <col min="2818" max="2818" width="3.5703125" style="21" customWidth="1"/>
    <col min="2819" max="3063" width="9.28515625" style="21"/>
    <col min="3064" max="3064" width="8.7109375" style="21" customWidth="1"/>
    <col min="3065" max="3065" width="9.7109375" style="21" customWidth="1"/>
    <col min="3066" max="3066" width="14.42578125" style="21" customWidth="1"/>
    <col min="3067" max="3067" width="7.28515625" style="21" customWidth="1"/>
    <col min="3068" max="3068" width="5.5703125" style="21" customWidth="1"/>
    <col min="3069" max="3069" width="9" style="21" customWidth="1"/>
    <col min="3070" max="3071" width="9.7109375" style="21" customWidth="1"/>
    <col min="3072" max="3072" width="11.28515625" style="21" customWidth="1"/>
    <col min="3073" max="3073" width="2.7109375" style="21" customWidth="1"/>
    <col min="3074" max="3074" width="3.5703125" style="21" customWidth="1"/>
    <col min="3075" max="3319" width="9.28515625" style="21"/>
    <col min="3320" max="3320" width="8.7109375" style="21" customWidth="1"/>
    <col min="3321" max="3321" width="9.7109375" style="21" customWidth="1"/>
    <col min="3322" max="3322" width="14.42578125" style="21" customWidth="1"/>
    <col min="3323" max="3323" width="7.28515625" style="21" customWidth="1"/>
    <col min="3324" max="3324" width="5.5703125" style="21" customWidth="1"/>
    <col min="3325" max="3325" width="9" style="21" customWidth="1"/>
    <col min="3326" max="3327" width="9.7109375" style="21" customWidth="1"/>
    <col min="3328" max="3328" width="11.28515625" style="21" customWidth="1"/>
    <col min="3329" max="3329" width="2.7109375" style="21" customWidth="1"/>
    <col min="3330" max="3330" width="3.5703125" style="21" customWidth="1"/>
    <col min="3331" max="3575" width="9.28515625" style="21"/>
    <col min="3576" max="3576" width="8.7109375" style="21" customWidth="1"/>
    <col min="3577" max="3577" width="9.7109375" style="21" customWidth="1"/>
    <col min="3578" max="3578" width="14.42578125" style="21" customWidth="1"/>
    <col min="3579" max="3579" width="7.28515625" style="21" customWidth="1"/>
    <col min="3580" max="3580" width="5.5703125" style="21" customWidth="1"/>
    <col min="3581" max="3581" width="9" style="21" customWidth="1"/>
    <col min="3582" max="3583" width="9.7109375" style="21" customWidth="1"/>
    <col min="3584" max="3584" width="11.28515625" style="21" customWidth="1"/>
    <col min="3585" max="3585" width="2.7109375" style="21" customWidth="1"/>
    <col min="3586" max="3586" width="3.5703125" style="21" customWidth="1"/>
    <col min="3587" max="3831" width="9.28515625" style="21"/>
    <col min="3832" max="3832" width="8.7109375" style="21" customWidth="1"/>
    <col min="3833" max="3833" width="9.7109375" style="21" customWidth="1"/>
    <col min="3834" max="3834" width="14.42578125" style="21" customWidth="1"/>
    <col min="3835" max="3835" width="7.28515625" style="21" customWidth="1"/>
    <col min="3836" max="3836" width="5.5703125" style="21" customWidth="1"/>
    <col min="3837" max="3837" width="9" style="21" customWidth="1"/>
    <col min="3838" max="3839" width="9.7109375" style="21" customWidth="1"/>
    <col min="3840" max="3840" width="11.28515625" style="21" customWidth="1"/>
    <col min="3841" max="3841" width="2.7109375" style="21" customWidth="1"/>
    <col min="3842" max="3842" width="3.5703125" style="21" customWidth="1"/>
    <col min="3843" max="4087" width="9.28515625" style="21"/>
    <col min="4088" max="4088" width="8.7109375" style="21" customWidth="1"/>
    <col min="4089" max="4089" width="9.7109375" style="21" customWidth="1"/>
    <col min="4090" max="4090" width="14.42578125" style="21" customWidth="1"/>
    <col min="4091" max="4091" width="7.28515625" style="21" customWidth="1"/>
    <col min="4092" max="4092" width="5.5703125" style="21" customWidth="1"/>
    <col min="4093" max="4093" width="9" style="21" customWidth="1"/>
    <col min="4094" max="4095" width="9.7109375" style="21" customWidth="1"/>
    <col min="4096" max="4096" width="11.28515625" style="21" customWidth="1"/>
    <col min="4097" max="4097" width="2.7109375" style="21" customWidth="1"/>
    <col min="4098" max="4098" width="3.5703125" style="21" customWidth="1"/>
    <col min="4099" max="4343" width="9.28515625" style="21"/>
    <col min="4344" max="4344" width="8.7109375" style="21" customWidth="1"/>
    <col min="4345" max="4345" width="9.7109375" style="21" customWidth="1"/>
    <col min="4346" max="4346" width="14.42578125" style="21" customWidth="1"/>
    <col min="4347" max="4347" width="7.28515625" style="21" customWidth="1"/>
    <col min="4348" max="4348" width="5.5703125" style="21" customWidth="1"/>
    <col min="4349" max="4349" width="9" style="21" customWidth="1"/>
    <col min="4350" max="4351" width="9.7109375" style="21" customWidth="1"/>
    <col min="4352" max="4352" width="11.28515625" style="21" customWidth="1"/>
    <col min="4353" max="4353" width="2.7109375" style="21" customWidth="1"/>
    <col min="4354" max="4354" width="3.5703125" style="21" customWidth="1"/>
    <col min="4355" max="4599" width="9.28515625" style="21"/>
    <col min="4600" max="4600" width="8.7109375" style="21" customWidth="1"/>
    <col min="4601" max="4601" width="9.7109375" style="21" customWidth="1"/>
    <col min="4602" max="4602" width="14.42578125" style="21" customWidth="1"/>
    <col min="4603" max="4603" width="7.28515625" style="21" customWidth="1"/>
    <col min="4604" max="4604" width="5.5703125" style="21" customWidth="1"/>
    <col min="4605" max="4605" width="9" style="21" customWidth="1"/>
    <col min="4606" max="4607" width="9.7109375" style="21" customWidth="1"/>
    <col min="4608" max="4608" width="11.28515625" style="21" customWidth="1"/>
    <col min="4609" max="4609" width="2.7109375" style="21" customWidth="1"/>
    <col min="4610" max="4610" width="3.5703125" style="21" customWidth="1"/>
    <col min="4611" max="4855" width="9.28515625" style="21"/>
    <col min="4856" max="4856" width="8.7109375" style="21" customWidth="1"/>
    <col min="4857" max="4857" width="9.7109375" style="21" customWidth="1"/>
    <col min="4858" max="4858" width="14.42578125" style="21" customWidth="1"/>
    <col min="4859" max="4859" width="7.28515625" style="21" customWidth="1"/>
    <col min="4860" max="4860" width="5.5703125" style="21" customWidth="1"/>
    <col min="4861" max="4861" width="9" style="21" customWidth="1"/>
    <col min="4862" max="4863" width="9.7109375" style="21" customWidth="1"/>
    <col min="4864" max="4864" width="11.28515625" style="21" customWidth="1"/>
    <col min="4865" max="4865" width="2.7109375" style="21" customWidth="1"/>
    <col min="4866" max="4866" width="3.5703125" style="21" customWidth="1"/>
    <col min="4867" max="5111" width="9.28515625" style="21"/>
    <col min="5112" max="5112" width="8.7109375" style="21" customWidth="1"/>
    <col min="5113" max="5113" width="9.7109375" style="21" customWidth="1"/>
    <col min="5114" max="5114" width="14.42578125" style="21" customWidth="1"/>
    <col min="5115" max="5115" width="7.28515625" style="21" customWidth="1"/>
    <col min="5116" max="5116" width="5.5703125" style="21" customWidth="1"/>
    <col min="5117" max="5117" width="9" style="21" customWidth="1"/>
    <col min="5118" max="5119" width="9.7109375" style="21" customWidth="1"/>
    <col min="5120" max="5120" width="11.28515625" style="21" customWidth="1"/>
    <col min="5121" max="5121" width="2.7109375" style="21" customWidth="1"/>
    <col min="5122" max="5122" width="3.5703125" style="21" customWidth="1"/>
    <col min="5123" max="5367" width="9.28515625" style="21"/>
    <col min="5368" max="5368" width="8.7109375" style="21" customWidth="1"/>
    <col min="5369" max="5369" width="9.7109375" style="21" customWidth="1"/>
    <col min="5370" max="5370" width="14.42578125" style="21" customWidth="1"/>
    <col min="5371" max="5371" width="7.28515625" style="21" customWidth="1"/>
    <col min="5372" max="5372" width="5.5703125" style="21" customWidth="1"/>
    <col min="5373" max="5373" width="9" style="21" customWidth="1"/>
    <col min="5374" max="5375" width="9.7109375" style="21" customWidth="1"/>
    <col min="5376" max="5376" width="11.28515625" style="21" customWidth="1"/>
    <col min="5377" max="5377" width="2.7109375" style="21" customWidth="1"/>
    <col min="5378" max="5378" width="3.5703125" style="21" customWidth="1"/>
    <col min="5379" max="5623" width="9.28515625" style="21"/>
    <col min="5624" max="5624" width="8.7109375" style="21" customWidth="1"/>
    <col min="5625" max="5625" width="9.7109375" style="21" customWidth="1"/>
    <col min="5626" max="5626" width="14.42578125" style="21" customWidth="1"/>
    <col min="5627" max="5627" width="7.28515625" style="21" customWidth="1"/>
    <col min="5628" max="5628" width="5.5703125" style="21" customWidth="1"/>
    <col min="5629" max="5629" width="9" style="21" customWidth="1"/>
    <col min="5630" max="5631" width="9.7109375" style="21" customWidth="1"/>
    <col min="5632" max="5632" width="11.28515625" style="21" customWidth="1"/>
    <col min="5633" max="5633" width="2.7109375" style="21" customWidth="1"/>
    <col min="5634" max="5634" width="3.5703125" style="21" customWidth="1"/>
    <col min="5635" max="5879" width="9.28515625" style="21"/>
    <col min="5880" max="5880" width="8.7109375" style="21" customWidth="1"/>
    <col min="5881" max="5881" width="9.7109375" style="21" customWidth="1"/>
    <col min="5882" max="5882" width="14.42578125" style="21" customWidth="1"/>
    <col min="5883" max="5883" width="7.28515625" style="21" customWidth="1"/>
    <col min="5884" max="5884" width="5.5703125" style="21" customWidth="1"/>
    <col min="5885" max="5885" width="9" style="21" customWidth="1"/>
    <col min="5886" max="5887" width="9.7109375" style="21" customWidth="1"/>
    <col min="5888" max="5888" width="11.28515625" style="21" customWidth="1"/>
    <col min="5889" max="5889" width="2.7109375" style="21" customWidth="1"/>
    <col min="5890" max="5890" width="3.5703125" style="21" customWidth="1"/>
    <col min="5891" max="6135" width="9.28515625" style="21"/>
    <col min="6136" max="6136" width="8.7109375" style="21" customWidth="1"/>
    <col min="6137" max="6137" width="9.7109375" style="21" customWidth="1"/>
    <col min="6138" max="6138" width="14.42578125" style="21" customWidth="1"/>
    <col min="6139" max="6139" width="7.28515625" style="21" customWidth="1"/>
    <col min="6140" max="6140" width="5.5703125" style="21" customWidth="1"/>
    <col min="6141" max="6141" width="9" style="21" customWidth="1"/>
    <col min="6142" max="6143" width="9.7109375" style="21" customWidth="1"/>
    <col min="6144" max="6144" width="11.28515625" style="21" customWidth="1"/>
    <col min="6145" max="6145" width="2.7109375" style="21" customWidth="1"/>
    <col min="6146" max="6146" width="3.5703125" style="21" customWidth="1"/>
    <col min="6147" max="6391" width="9.28515625" style="21"/>
    <col min="6392" max="6392" width="8.7109375" style="21" customWidth="1"/>
    <col min="6393" max="6393" width="9.7109375" style="21" customWidth="1"/>
    <col min="6394" max="6394" width="14.42578125" style="21" customWidth="1"/>
    <col min="6395" max="6395" width="7.28515625" style="21" customWidth="1"/>
    <col min="6396" max="6396" width="5.5703125" style="21" customWidth="1"/>
    <col min="6397" max="6397" width="9" style="21" customWidth="1"/>
    <col min="6398" max="6399" width="9.7109375" style="21" customWidth="1"/>
    <col min="6400" max="6400" width="11.28515625" style="21" customWidth="1"/>
    <col min="6401" max="6401" width="2.7109375" style="21" customWidth="1"/>
    <col min="6402" max="6402" width="3.5703125" style="21" customWidth="1"/>
    <col min="6403" max="6647" width="9.28515625" style="21"/>
    <col min="6648" max="6648" width="8.7109375" style="21" customWidth="1"/>
    <col min="6649" max="6649" width="9.7109375" style="21" customWidth="1"/>
    <col min="6650" max="6650" width="14.42578125" style="21" customWidth="1"/>
    <col min="6651" max="6651" width="7.28515625" style="21" customWidth="1"/>
    <col min="6652" max="6652" width="5.5703125" style="21" customWidth="1"/>
    <col min="6653" max="6653" width="9" style="21" customWidth="1"/>
    <col min="6654" max="6655" width="9.7109375" style="21" customWidth="1"/>
    <col min="6656" max="6656" width="11.28515625" style="21" customWidth="1"/>
    <col min="6657" max="6657" width="2.7109375" style="21" customWidth="1"/>
    <col min="6658" max="6658" width="3.5703125" style="21" customWidth="1"/>
    <col min="6659" max="6903" width="9.28515625" style="21"/>
    <col min="6904" max="6904" width="8.7109375" style="21" customWidth="1"/>
    <col min="6905" max="6905" width="9.7109375" style="21" customWidth="1"/>
    <col min="6906" max="6906" width="14.42578125" style="21" customWidth="1"/>
    <col min="6907" max="6907" width="7.28515625" style="21" customWidth="1"/>
    <col min="6908" max="6908" width="5.5703125" style="21" customWidth="1"/>
    <col min="6909" max="6909" width="9" style="21" customWidth="1"/>
    <col min="6910" max="6911" width="9.7109375" style="21" customWidth="1"/>
    <col min="6912" max="6912" width="11.28515625" style="21" customWidth="1"/>
    <col min="6913" max="6913" width="2.7109375" style="21" customWidth="1"/>
    <col min="6914" max="6914" width="3.5703125" style="21" customWidth="1"/>
    <col min="6915" max="7159" width="9.28515625" style="21"/>
    <col min="7160" max="7160" width="8.7109375" style="21" customWidth="1"/>
    <col min="7161" max="7161" width="9.7109375" style="21" customWidth="1"/>
    <col min="7162" max="7162" width="14.42578125" style="21" customWidth="1"/>
    <col min="7163" max="7163" width="7.28515625" style="21" customWidth="1"/>
    <col min="7164" max="7164" width="5.5703125" style="21" customWidth="1"/>
    <col min="7165" max="7165" width="9" style="21" customWidth="1"/>
    <col min="7166" max="7167" width="9.7109375" style="21" customWidth="1"/>
    <col min="7168" max="7168" width="11.28515625" style="21" customWidth="1"/>
    <col min="7169" max="7169" width="2.7109375" style="21" customWidth="1"/>
    <col min="7170" max="7170" width="3.5703125" style="21" customWidth="1"/>
    <col min="7171" max="7415" width="9.28515625" style="21"/>
    <col min="7416" max="7416" width="8.7109375" style="21" customWidth="1"/>
    <col min="7417" max="7417" width="9.7109375" style="21" customWidth="1"/>
    <col min="7418" max="7418" width="14.42578125" style="21" customWidth="1"/>
    <col min="7419" max="7419" width="7.28515625" style="21" customWidth="1"/>
    <col min="7420" max="7420" width="5.5703125" style="21" customWidth="1"/>
    <col min="7421" max="7421" width="9" style="21" customWidth="1"/>
    <col min="7422" max="7423" width="9.7109375" style="21" customWidth="1"/>
    <col min="7424" max="7424" width="11.28515625" style="21" customWidth="1"/>
    <col min="7425" max="7425" width="2.7109375" style="21" customWidth="1"/>
    <col min="7426" max="7426" width="3.5703125" style="21" customWidth="1"/>
    <col min="7427" max="7671" width="9.28515625" style="21"/>
    <col min="7672" max="7672" width="8.7109375" style="21" customWidth="1"/>
    <col min="7673" max="7673" width="9.7109375" style="21" customWidth="1"/>
    <col min="7674" max="7674" width="14.42578125" style="21" customWidth="1"/>
    <col min="7675" max="7675" width="7.28515625" style="21" customWidth="1"/>
    <col min="7676" max="7676" width="5.5703125" style="21" customWidth="1"/>
    <col min="7677" max="7677" width="9" style="21" customWidth="1"/>
    <col min="7678" max="7679" width="9.7109375" style="21" customWidth="1"/>
    <col min="7680" max="7680" width="11.28515625" style="21" customWidth="1"/>
    <col min="7681" max="7681" width="2.7109375" style="21" customWidth="1"/>
    <col min="7682" max="7682" width="3.5703125" style="21" customWidth="1"/>
    <col min="7683" max="7927" width="9.28515625" style="21"/>
    <col min="7928" max="7928" width="8.7109375" style="21" customWidth="1"/>
    <col min="7929" max="7929" width="9.7109375" style="21" customWidth="1"/>
    <col min="7930" max="7930" width="14.42578125" style="21" customWidth="1"/>
    <col min="7931" max="7931" width="7.28515625" style="21" customWidth="1"/>
    <col min="7932" max="7932" width="5.5703125" style="21" customWidth="1"/>
    <col min="7933" max="7933" width="9" style="21" customWidth="1"/>
    <col min="7934" max="7935" width="9.7109375" style="21" customWidth="1"/>
    <col min="7936" max="7936" width="11.28515625" style="21" customWidth="1"/>
    <col min="7937" max="7937" width="2.7109375" style="21" customWidth="1"/>
    <col min="7938" max="7938" width="3.5703125" style="21" customWidth="1"/>
    <col min="7939" max="8183" width="9.28515625" style="21"/>
    <col min="8184" max="8184" width="8.7109375" style="21" customWidth="1"/>
    <col min="8185" max="8185" width="9.7109375" style="21" customWidth="1"/>
    <col min="8186" max="8186" width="14.42578125" style="21" customWidth="1"/>
    <col min="8187" max="8187" width="7.28515625" style="21" customWidth="1"/>
    <col min="8188" max="8188" width="5.5703125" style="21" customWidth="1"/>
    <col min="8189" max="8189" width="9" style="21" customWidth="1"/>
    <col min="8190" max="8191" width="9.7109375" style="21" customWidth="1"/>
    <col min="8192" max="8192" width="11.28515625" style="21" customWidth="1"/>
    <col min="8193" max="8193" width="2.7109375" style="21" customWidth="1"/>
    <col min="8194" max="8194" width="3.5703125" style="21" customWidth="1"/>
    <col min="8195" max="8439" width="9.28515625" style="21"/>
    <col min="8440" max="8440" width="8.7109375" style="21" customWidth="1"/>
    <col min="8441" max="8441" width="9.7109375" style="21" customWidth="1"/>
    <col min="8442" max="8442" width="14.42578125" style="21" customWidth="1"/>
    <col min="8443" max="8443" width="7.28515625" style="21" customWidth="1"/>
    <col min="8444" max="8444" width="5.5703125" style="21" customWidth="1"/>
    <col min="8445" max="8445" width="9" style="21" customWidth="1"/>
    <col min="8446" max="8447" width="9.7109375" style="21" customWidth="1"/>
    <col min="8448" max="8448" width="11.28515625" style="21" customWidth="1"/>
    <col min="8449" max="8449" width="2.7109375" style="21" customWidth="1"/>
    <col min="8450" max="8450" width="3.5703125" style="21" customWidth="1"/>
    <col min="8451" max="8695" width="9.28515625" style="21"/>
    <col min="8696" max="8696" width="8.7109375" style="21" customWidth="1"/>
    <col min="8697" max="8697" width="9.7109375" style="21" customWidth="1"/>
    <col min="8698" max="8698" width="14.42578125" style="21" customWidth="1"/>
    <col min="8699" max="8699" width="7.28515625" style="21" customWidth="1"/>
    <col min="8700" max="8700" width="5.5703125" style="21" customWidth="1"/>
    <col min="8701" max="8701" width="9" style="21" customWidth="1"/>
    <col min="8702" max="8703" width="9.7109375" style="21" customWidth="1"/>
    <col min="8704" max="8704" width="11.28515625" style="21" customWidth="1"/>
    <col min="8705" max="8705" width="2.7109375" style="21" customWidth="1"/>
    <col min="8706" max="8706" width="3.5703125" style="21" customWidth="1"/>
    <col min="8707" max="8951" width="9.28515625" style="21"/>
    <col min="8952" max="8952" width="8.7109375" style="21" customWidth="1"/>
    <col min="8953" max="8953" width="9.7109375" style="21" customWidth="1"/>
    <col min="8954" max="8954" width="14.42578125" style="21" customWidth="1"/>
    <col min="8955" max="8955" width="7.28515625" style="21" customWidth="1"/>
    <col min="8956" max="8956" width="5.5703125" style="21" customWidth="1"/>
    <col min="8957" max="8957" width="9" style="21" customWidth="1"/>
    <col min="8958" max="8959" width="9.7109375" style="21" customWidth="1"/>
    <col min="8960" max="8960" width="11.28515625" style="21" customWidth="1"/>
    <col min="8961" max="8961" width="2.7109375" style="21" customWidth="1"/>
    <col min="8962" max="8962" width="3.5703125" style="21" customWidth="1"/>
    <col min="8963" max="9207" width="9.28515625" style="21"/>
    <col min="9208" max="9208" width="8.7109375" style="21" customWidth="1"/>
    <col min="9209" max="9209" width="9.7109375" style="21" customWidth="1"/>
    <col min="9210" max="9210" width="14.42578125" style="21" customWidth="1"/>
    <col min="9211" max="9211" width="7.28515625" style="21" customWidth="1"/>
    <col min="9212" max="9212" width="5.5703125" style="21" customWidth="1"/>
    <col min="9213" max="9213" width="9" style="21" customWidth="1"/>
    <col min="9214" max="9215" width="9.7109375" style="21" customWidth="1"/>
    <col min="9216" max="9216" width="11.28515625" style="21" customWidth="1"/>
    <col min="9217" max="9217" width="2.7109375" style="21" customWidth="1"/>
    <col min="9218" max="9218" width="3.5703125" style="21" customWidth="1"/>
    <col min="9219" max="9463" width="9.28515625" style="21"/>
    <col min="9464" max="9464" width="8.7109375" style="21" customWidth="1"/>
    <col min="9465" max="9465" width="9.7109375" style="21" customWidth="1"/>
    <col min="9466" max="9466" width="14.42578125" style="21" customWidth="1"/>
    <col min="9467" max="9467" width="7.28515625" style="21" customWidth="1"/>
    <col min="9468" max="9468" width="5.5703125" style="21" customWidth="1"/>
    <col min="9469" max="9469" width="9" style="21" customWidth="1"/>
    <col min="9470" max="9471" width="9.7109375" style="21" customWidth="1"/>
    <col min="9472" max="9472" width="11.28515625" style="21" customWidth="1"/>
    <col min="9473" max="9473" width="2.7109375" style="21" customWidth="1"/>
    <col min="9474" max="9474" width="3.5703125" style="21" customWidth="1"/>
    <col min="9475" max="9719" width="9.28515625" style="21"/>
    <col min="9720" max="9720" width="8.7109375" style="21" customWidth="1"/>
    <col min="9721" max="9721" width="9.7109375" style="21" customWidth="1"/>
    <col min="9722" max="9722" width="14.42578125" style="21" customWidth="1"/>
    <col min="9723" max="9723" width="7.28515625" style="21" customWidth="1"/>
    <col min="9724" max="9724" width="5.5703125" style="21" customWidth="1"/>
    <col min="9725" max="9725" width="9" style="21" customWidth="1"/>
    <col min="9726" max="9727" width="9.7109375" style="21" customWidth="1"/>
    <col min="9728" max="9728" width="11.28515625" style="21" customWidth="1"/>
    <col min="9729" max="9729" width="2.7109375" style="21" customWidth="1"/>
    <col min="9730" max="9730" width="3.5703125" style="21" customWidth="1"/>
    <col min="9731" max="9975" width="9.28515625" style="21"/>
    <col min="9976" max="9976" width="8.7109375" style="21" customWidth="1"/>
    <col min="9977" max="9977" width="9.7109375" style="21" customWidth="1"/>
    <col min="9978" max="9978" width="14.42578125" style="21" customWidth="1"/>
    <col min="9979" max="9979" width="7.28515625" style="21" customWidth="1"/>
    <col min="9980" max="9980" width="5.5703125" style="21" customWidth="1"/>
    <col min="9981" max="9981" width="9" style="21" customWidth="1"/>
    <col min="9982" max="9983" width="9.7109375" style="21" customWidth="1"/>
    <col min="9984" max="9984" width="11.28515625" style="21" customWidth="1"/>
    <col min="9985" max="9985" width="2.7109375" style="21" customWidth="1"/>
    <col min="9986" max="9986" width="3.5703125" style="21" customWidth="1"/>
    <col min="9987" max="10231" width="9.28515625" style="21"/>
    <col min="10232" max="10232" width="8.7109375" style="21" customWidth="1"/>
    <col min="10233" max="10233" width="9.7109375" style="21" customWidth="1"/>
    <col min="10234" max="10234" width="14.42578125" style="21" customWidth="1"/>
    <col min="10235" max="10235" width="7.28515625" style="21" customWidth="1"/>
    <col min="10236" max="10236" width="5.5703125" style="21" customWidth="1"/>
    <col min="10237" max="10237" width="9" style="21" customWidth="1"/>
    <col min="10238" max="10239" width="9.7109375" style="21" customWidth="1"/>
    <col min="10240" max="10240" width="11.28515625" style="21" customWidth="1"/>
    <col min="10241" max="10241" width="2.7109375" style="21" customWidth="1"/>
    <col min="10242" max="10242" width="3.5703125" style="21" customWidth="1"/>
    <col min="10243" max="10487" width="9.28515625" style="21"/>
    <col min="10488" max="10488" width="8.7109375" style="21" customWidth="1"/>
    <col min="10489" max="10489" width="9.7109375" style="21" customWidth="1"/>
    <col min="10490" max="10490" width="14.42578125" style="21" customWidth="1"/>
    <col min="10491" max="10491" width="7.28515625" style="21" customWidth="1"/>
    <col min="10492" max="10492" width="5.5703125" style="21" customWidth="1"/>
    <col min="10493" max="10493" width="9" style="21" customWidth="1"/>
    <col min="10494" max="10495" width="9.7109375" style="21" customWidth="1"/>
    <col min="10496" max="10496" width="11.28515625" style="21" customWidth="1"/>
    <col min="10497" max="10497" width="2.7109375" style="21" customWidth="1"/>
    <col min="10498" max="10498" width="3.5703125" style="21" customWidth="1"/>
    <col min="10499" max="10743" width="9.28515625" style="21"/>
    <col min="10744" max="10744" width="8.7109375" style="21" customWidth="1"/>
    <col min="10745" max="10745" width="9.7109375" style="21" customWidth="1"/>
    <col min="10746" max="10746" width="14.42578125" style="21" customWidth="1"/>
    <col min="10747" max="10747" width="7.28515625" style="21" customWidth="1"/>
    <col min="10748" max="10748" width="5.5703125" style="21" customWidth="1"/>
    <col min="10749" max="10749" width="9" style="21" customWidth="1"/>
    <col min="10750" max="10751" width="9.7109375" style="21" customWidth="1"/>
    <col min="10752" max="10752" width="11.28515625" style="21" customWidth="1"/>
    <col min="10753" max="10753" width="2.7109375" style="21" customWidth="1"/>
    <col min="10754" max="10754" width="3.5703125" style="21" customWidth="1"/>
    <col min="10755" max="10999" width="9.28515625" style="21"/>
    <col min="11000" max="11000" width="8.7109375" style="21" customWidth="1"/>
    <col min="11001" max="11001" width="9.7109375" style="21" customWidth="1"/>
    <col min="11002" max="11002" width="14.42578125" style="21" customWidth="1"/>
    <col min="11003" max="11003" width="7.28515625" style="21" customWidth="1"/>
    <col min="11004" max="11004" width="5.5703125" style="21" customWidth="1"/>
    <col min="11005" max="11005" width="9" style="21" customWidth="1"/>
    <col min="11006" max="11007" width="9.7109375" style="21" customWidth="1"/>
    <col min="11008" max="11008" width="11.28515625" style="21" customWidth="1"/>
    <col min="11009" max="11009" width="2.7109375" style="21" customWidth="1"/>
    <col min="11010" max="11010" width="3.5703125" style="21" customWidth="1"/>
    <col min="11011" max="11255" width="9.28515625" style="21"/>
    <col min="11256" max="11256" width="8.7109375" style="21" customWidth="1"/>
    <col min="11257" max="11257" width="9.7109375" style="21" customWidth="1"/>
    <col min="11258" max="11258" width="14.42578125" style="21" customWidth="1"/>
    <col min="11259" max="11259" width="7.28515625" style="21" customWidth="1"/>
    <col min="11260" max="11260" width="5.5703125" style="21" customWidth="1"/>
    <col min="11261" max="11261" width="9" style="21" customWidth="1"/>
    <col min="11262" max="11263" width="9.7109375" style="21" customWidth="1"/>
    <col min="11264" max="11264" width="11.28515625" style="21" customWidth="1"/>
    <col min="11265" max="11265" width="2.7109375" style="21" customWidth="1"/>
    <col min="11266" max="11266" width="3.5703125" style="21" customWidth="1"/>
    <col min="11267" max="11511" width="9.28515625" style="21"/>
    <col min="11512" max="11512" width="8.7109375" style="21" customWidth="1"/>
    <col min="11513" max="11513" width="9.7109375" style="21" customWidth="1"/>
    <col min="11514" max="11514" width="14.42578125" style="21" customWidth="1"/>
    <col min="11515" max="11515" width="7.28515625" style="21" customWidth="1"/>
    <col min="11516" max="11516" width="5.5703125" style="21" customWidth="1"/>
    <col min="11517" max="11517" width="9" style="21" customWidth="1"/>
    <col min="11518" max="11519" width="9.7109375" style="21" customWidth="1"/>
    <col min="11520" max="11520" width="11.28515625" style="21" customWidth="1"/>
    <col min="11521" max="11521" width="2.7109375" style="21" customWidth="1"/>
    <col min="11522" max="11522" width="3.5703125" style="21" customWidth="1"/>
    <col min="11523" max="11767" width="9.28515625" style="21"/>
    <col min="11768" max="11768" width="8.7109375" style="21" customWidth="1"/>
    <col min="11769" max="11769" width="9.7109375" style="21" customWidth="1"/>
    <col min="11770" max="11770" width="14.42578125" style="21" customWidth="1"/>
    <col min="11771" max="11771" width="7.28515625" style="21" customWidth="1"/>
    <col min="11772" max="11772" width="5.5703125" style="21" customWidth="1"/>
    <col min="11773" max="11773" width="9" style="21" customWidth="1"/>
    <col min="11774" max="11775" width="9.7109375" style="21" customWidth="1"/>
    <col min="11776" max="11776" width="11.28515625" style="21" customWidth="1"/>
    <col min="11777" max="11777" width="2.7109375" style="21" customWidth="1"/>
    <col min="11778" max="11778" width="3.5703125" style="21" customWidth="1"/>
    <col min="11779" max="12023" width="9.28515625" style="21"/>
    <col min="12024" max="12024" width="8.7109375" style="21" customWidth="1"/>
    <col min="12025" max="12025" width="9.7109375" style="21" customWidth="1"/>
    <col min="12026" max="12026" width="14.42578125" style="21" customWidth="1"/>
    <col min="12027" max="12027" width="7.28515625" style="21" customWidth="1"/>
    <col min="12028" max="12028" width="5.5703125" style="21" customWidth="1"/>
    <col min="12029" max="12029" width="9" style="21" customWidth="1"/>
    <col min="12030" max="12031" width="9.7109375" style="21" customWidth="1"/>
    <col min="12032" max="12032" width="11.28515625" style="21" customWidth="1"/>
    <col min="12033" max="12033" width="2.7109375" style="21" customWidth="1"/>
    <col min="12034" max="12034" width="3.5703125" style="21" customWidth="1"/>
    <col min="12035" max="12279" width="9.28515625" style="21"/>
    <col min="12280" max="12280" width="8.7109375" style="21" customWidth="1"/>
    <col min="12281" max="12281" width="9.7109375" style="21" customWidth="1"/>
    <col min="12282" max="12282" width="14.42578125" style="21" customWidth="1"/>
    <col min="12283" max="12283" width="7.28515625" style="21" customWidth="1"/>
    <col min="12284" max="12284" width="5.5703125" style="21" customWidth="1"/>
    <col min="12285" max="12285" width="9" style="21" customWidth="1"/>
    <col min="12286" max="12287" width="9.7109375" style="21" customWidth="1"/>
    <col min="12288" max="12288" width="11.28515625" style="21" customWidth="1"/>
    <col min="12289" max="12289" width="2.7109375" style="21" customWidth="1"/>
    <col min="12290" max="12290" width="3.5703125" style="21" customWidth="1"/>
    <col min="12291" max="12535" width="9.28515625" style="21"/>
    <col min="12536" max="12536" width="8.7109375" style="21" customWidth="1"/>
    <col min="12537" max="12537" width="9.7109375" style="21" customWidth="1"/>
    <col min="12538" max="12538" width="14.42578125" style="21" customWidth="1"/>
    <col min="12539" max="12539" width="7.28515625" style="21" customWidth="1"/>
    <col min="12540" max="12540" width="5.5703125" style="21" customWidth="1"/>
    <col min="12541" max="12541" width="9" style="21" customWidth="1"/>
    <col min="12542" max="12543" width="9.7109375" style="21" customWidth="1"/>
    <col min="12544" max="12544" width="11.28515625" style="21" customWidth="1"/>
    <col min="12545" max="12545" width="2.7109375" style="21" customWidth="1"/>
    <col min="12546" max="12546" width="3.5703125" style="21" customWidth="1"/>
    <col min="12547" max="12791" width="9.28515625" style="21"/>
    <col min="12792" max="12792" width="8.7109375" style="21" customWidth="1"/>
    <col min="12793" max="12793" width="9.7109375" style="21" customWidth="1"/>
    <col min="12794" max="12794" width="14.42578125" style="21" customWidth="1"/>
    <col min="12795" max="12795" width="7.28515625" style="21" customWidth="1"/>
    <col min="12796" max="12796" width="5.5703125" style="21" customWidth="1"/>
    <col min="12797" max="12797" width="9" style="21" customWidth="1"/>
    <col min="12798" max="12799" width="9.7109375" style="21" customWidth="1"/>
    <col min="12800" max="12800" width="11.28515625" style="21" customWidth="1"/>
    <col min="12801" max="12801" width="2.7109375" style="21" customWidth="1"/>
    <col min="12802" max="12802" width="3.5703125" style="21" customWidth="1"/>
    <col min="12803" max="13047" width="9.28515625" style="21"/>
    <col min="13048" max="13048" width="8.7109375" style="21" customWidth="1"/>
    <col min="13049" max="13049" width="9.7109375" style="21" customWidth="1"/>
    <col min="13050" max="13050" width="14.42578125" style="21" customWidth="1"/>
    <col min="13051" max="13051" width="7.28515625" style="21" customWidth="1"/>
    <col min="13052" max="13052" width="5.5703125" style="21" customWidth="1"/>
    <col min="13053" max="13053" width="9" style="21" customWidth="1"/>
    <col min="13054" max="13055" width="9.7109375" style="21" customWidth="1"/>
    <col min="13056" max="13056" width="11.28515625" style="21" customWidth="1"/>
    <col min="13057" max="13057" width="2.7109375" style="21" customWidth="1"/>
    <col min="13058" max="13058" width="3.5703125" style="21" customWidth="1"/>
    <col min="13059" max="13303" width="9.28515625" style="21"/>
    <col min="13304" max="13304" width="8.7109375" style="21" customWidth="1"/>
    <col min="13305" max="13305" width="9.7109375" style="21" customWidth="1"/>
    <col min="13306" max="13306" width="14.42578125" style="21" customWidth="1"/>
    <col min="13307" max="13307" width="7.28515625" style="21" customWidth="1"/>
    <col min="13308" max="13308" width="5.5703125" style="21" customWidth="1"/>
    <col min="13309" max="13309" width="9" style="21" customWidth="1"/>
    <col min="13310" max="13311" width="9.7109375" style="21" customWidth="1"/>
    <col min="13312" max="13312" width="11.28515625" style="21" customWidth="1"/>
    <col min="13313" max="13313" width="2.7109375" style="21" customWidth="1"/>
    <col min="13314" max="13314" width="3.5703125" style="21" customWidth="1"/>
    <col min="13315" max="13559" width="9.28515625" style="21"/>
    <col min="13560" max="13560" width="8.7109375" style="21" customWidth="1"/>
    <col min="13561" max="13561" width="9.7109375" style="21" customWidth="1"/>
    <col min="13562" max="13562" width="14.42578125" style="21" customWidth="1"/>
    <col min="13563" max="13563" width="7.28515625" style="21" customWidth="1"/>
    <col min="13564" max="13564" width="5.5703125" style="21" customWidth="1"/>
    <col min="13565" max="13565" width="9" style="21" customWidth="1"/>
    <col min="13566" max="13567" width="9.7109375" style="21" customWidth="1"/>
    <col min="13568" max="13568" width="11.28515625" style="21" customWidth="1"/>
    <col min="13569" max="13569" width="2.7109375" style="21" customWidth="1"/>
    <col min="13570" max="13570" width="3.5703125" style="21" customWidth="1"/>
    <col min="13571" max="13815" width="9.28515625" style="21"/>
    <col min="13816" max="13816" width="8.7109375" style="21" customWidth="1"/>
    <col min="13817" max="13817" width="9.7109375" style="21" customWidth="1"/>
    <col min="13818" max="13818" width="14.42578125" style="21" customWidth="1"/>
    <col min="13819" max="13819" width="7.28515625" style="21" customWidth="1"/>
    <col min="13820" max="13820" width="5.5703125" style="21" customWidth="1"/>
    <col min="13821" max="13821" width="9" style="21" customWidth="1"/>
    <col min="13822" max="13823" width="9.7109375" style="21" customWidth="1"/>
    <col min="13824" max="13824" width="11.28515625" style="21" customWidth="1"/>
    <col min="13825" max="13825" width="2.7109375" style="21" customWidth="1"/>
    <col min="13826" max="13826" width="3.5703125" style="21" customWidth="1"/>
    <col min="13827" max="14071" width="9.28515625" style="21"/>
    <col min="14072" max="14072" width="8.7109375" style="21" customWidth="1"/>
    <col min="14073" max="14073" width="9.7109375" style="21" customWidth="1"/>
    <col min="14074" max="14074" width="14.42578125" style="21" customWidth="1"/>
    <col min="14075" max="14075" width="7.28515625" style="21" customWidth="1"/>
    <col min="14076" max="14076" width="5.5703125" style="21" customWidth="1"/>
    <col min="14077" max="14077" width="9" style="21" customWidth="1"/>
    <col min="14078" max="14079" width="9.7109375" style="21" customWidth="1"/>
    <col min="14080" max="14080" width="11.28515625" style="21" customWidth="1"/>
    <col min="14081" max="14081" width="2.7109375" style="21" customWidth="1"/>
    <col min="14082" max="14082" width="3.5703125" style="21" customWidth="1"/>
    <col min="14083" max="14327" width="9.28515625" style="21"/>
    <col min="14328" max="14328" width="8.7109375" style="21" customWidth="1"/>
    <col min="14329" max="14329" width="9.7109375" style="21" customWidth="1"/>
    <col min="14330" max="14330" width="14.42578125" style="21" customWidth="1"/>
    <col min="14331" max="14331" width="7.28515625" style="21" customWidth="1"/>
    <col min="14332" max="14332" width="5.5703125" style="21" customWidth="1"/>
    <col min="14333" max="14333" width="9" style="21" customWidth="1"/>
    <col min="14334" max="14335" width="9.7109375" style="21" customWidth="1"/>
    <col min="14336" max="14336" width="11.28515625" style="21" customWidth="1"/>
    <col min="14337" max="14337" width="2.7109375" style="21" customWidth="1"/>
    <col min="14338" max="14338" width="3.5703125" style="21" customWidth="1"/>
    <col min="14339" max="14583" width="9.28515625" style="21"/>
    <col min="14584" max="14584" width="8.7109375" style="21" customWidth="1"/>
    <col min="14585" max="14585" width="9.7109375" style="21" customWidth="1"/>
    <col min="14586" max="14586" width="14.42578125" style="21" customWidth="1"/>
    <col min="14587" max="14587" width="7.28515625" style="21" customWidth="1"/>
    <col min="14588" max="14588" width="5.5703125" style="21" customWidth="1"/>
    <col min="14589" max="14589" width="9" style="21" customWidth="1"/>
    <col min="14590" max="14591" width="9.7109375" style="21" customWidth="1"/>
    <col min="14592" max="14592" width="11.28515625" style="21" customWidth="1"/>
    <col min="14593" max="14593" width="2.7109375" style="21" customWidth="1"/>
    <col min="14594" max="14594" width="3.5703125" style="21" customWidth="1"/>
    <col min="14595" max="14839" width="9.28515625" style="21"/>
    <col min="14840" max="14840" width="8.7109375" style="21" customWidth="1"/>
    <col min="14841" max="14841" width="9.7109375" style="21" customWidth="1"/>
    <col min="14842" max="14842" width="14.42578125" style="21" customWidth="1"/>
    <col min="14843" max="14843" width="7.28515625" style="21" customWidth="1"/>
    <col min="14844" max="14844" width="5.5703125" style="21" customWidth="1"/>
    <col min="14845" max="14845" width="9" style="21" customWidth="1"/>
    <col min="14846" max="14847" width="9.7109375" style="21" customWidth="1"/>
    <col min="14848" max="14848" width="11.28515625" style="21" customWidth="1"/>
    <col min="14849" max="14849" width="2.7109375" style="21" customWidth="1"/>
    <col min="14850" max="14850" width="3.5703125" style="21" customWidth="1"/>
    <col min="14851" max="15095" width="9.28515625" style="21"/>
    <col min="15096" max="15096" width="8.7109375" style="21" customWidth="1"/>
    <col min="15097" max="15097" width="9.7109375" style="21" customWidth="1"/>
    <col min="15098" max="15098" width="14.42578125" style="21" customWidth="1"/>
    <col min="15099" max="15099" width="7.28515625" style="21" customWidth="1"/>
    <col min="15100" max="15100" width="5.5703125" style="21" customWidth="1"/>
    <col min="15101" max="15101" width="9" style="21" customWidth="1"/>
    <col min="15102" max="15103" width="9.7109375" style="21" customWidth="1"/>
    <col min="15104" max="15104" width="11.28515625" style="21" customWidth="1"/>
    <col min="15105" max="15105" width="2.7109375" style="21" customWidth="1"/>
    <col min="15106" max="15106" width="3.5703125" style="21" customWidth="1"/>
    <col min="15107" max="15351" width="9.28515625" style="21"/>
    <col min="15352" max="15352" width="8.7109375" style="21" customWidth="1"/>
    <col min="15353" max="15353" width="9.7109375" style="21" customWidth="1"/>
    <col min="15354" max="15354" width="14.42578125" style="21" customWidth="1"/>
    <col min="15355" max="15355" width="7.28515625" style="21" customWidth="1"/>
    <col min="15356" max="15356" width="5.5703125" style="21" customWidth="1"/>
    <col min="15357" max="15357" width="9" style="21" customWidth="1"/>
    <col min="15358" max="15359" width="9.7109375" style="21" customWidth="1"/>
    <col min="15360" max="15360" width="11.28515625" style="21" customWidth="1"/>
    <col min="15361" max="15361" width="2.7109375" style="21" customWidth="1"/>
    <col min="15362" max="15362" width="3.5703125" style="21" customWidth="1"/>
    <col min="15363" max="15607" width="9.28515625" style="21"/>
    <col min="15608" max="15608" width="8.7109375" style="21" customWidth="1"/>
    <col min="15609" max="15609" width="9.7109375" style="21" customWidth="1"/>
    <col min="15610" max="15610" width="14.42578125" style="21" customWidth="1"/>
    <col min="15611" max="15611" width="7.28515625" style="21" customWidth="1"/>
    <col min="15612" max="15612" width="5.5703125" style="21" customWidth="1"/>
    <col min="15613" max="15613" width="9" style="21" customWidth="1"/>
    <col min="15614" max="15615" width="9.7109375" style="21" customWidth="1"/>
    <col min="15616" max="15616" width="11.28515625" style="21" customWidth="1"/>
    <col min="15617" max="15617" width="2.7109375" style="21" customWidth="1"/>
    <col min="15618" max="15618" width="3.5703125" style="21" customWidth="1"/>
    <col min="15619" max="15863" width="9.28515625" style="21"/>
    <col min="15864" max="15864" width="8.7109375" style="21" customWidth="1"/>
    <col min="15865" max="15865" width="9.7109375" style="21" customWidth="1"/>
    <col min="15866" max="15866" width="14.42578125" style="21" customWidth="1"/>
    <col min="15867" max="15867" width="7.28515625" style="21" customWidth="1"/>
    <col min="15868" max="15868" width="5.5703125" style="21" customWidth="1"/>
    <col min="15869" max="15869" width="9" style="21" customWidth="1"/>
    <col min="15870" max="15871" width="9.7109375" style="21" customWidth="1"/>
    <col min="15872" max="15872" width="11.28515625" style="21" customWidth="1"/>
    <col min="15873" max="15873" width="2.7109375" style="21" customWidth="1"/>
    <col min="15874" max="15874" width="3.5703125" style="21" customWidth="1"/>
    <col min="15875" max="16119" width="9.28515625" style="21"/>
    <col min="16120" max="16120" width="8.7109375" style="21" customWidth="1"/>
    <col min="16121" max="16121" width="9.7109375" style="21" customWidth="1"/>
    <col min="16122" max="16122" width="14.42578125" style="21" customWidth="1"/>
    <col min="16123" max="16123" width="7.28515625" style="21" customWidth="1"/>
    <col min="16124" max="16124" width="5.5703125" style="21" customWidth="1"/>
    <col min="16125" max="16125" width="9" style="21" customWidth="1"/>
    <col min="16126" max="16127" width="9.7109375" style="21" customWidth="1"/>
    <col min="16128" max="16128" width="11.28515625" style="21" customWidth="1"/>
    <col min="16129" max="16129" width="2.7109375" style="21" customWidth="1"/>
    <col min="16130" max="16130" width="3.5703125" style="21" customWidth="1"/>
    <col min="16131" max="16384" width="9.28515625" style="21"/>
  </cols>
  <sheetData>
    <row r="1" spans="1:26" ht="46.5" customHeight="1" x14ac:dyDescent="0.25">
      <c r="A1" s="189" t="s">
        <v>458</v>
      </c>
      <c r="B1" s="189"/>
      <c r="C1" s="189"/>
      <c r="D1" s="189"/>
      <c r="E1" s="189"/>
      <c r="F1" s="189"/>
      <c r="G1" s="189"/>
      <c r="H1" s="189"/>
    </row>
    <row r="2" spans="1:26" ht="16.5" customHeight="1" x14ac:dyDescent="0.25">
      <c r="A2" s="171" t="s">
        <v>0</v>
      </c>
      <c r="B2" s="171"/>
      <c r="C2" s="171"/>
      <c r="D2" s="171"/>
      <c r="E2" s="171"/>
      <c r="F2" s="171"/>
      <c r="G2" s="171"/>
      <c r="H2" s="171"/>
    </row>
    <row r="3" spans="1:26" x14ac:dyDescent="0.25">
      <c r="A3" s="190" t="s">
        <v>1</v>
      </c>
      <c r="B3" s="190"/>
      <c r="C3" s="190"/>
      <c r="D3" s="190"/>
      <c r="E3" s="190" t="str">
        <f ca="1">TEXT(TODAY(),"DD/MM/YYYY")</f>
        <v>06/10/2025</v>
      </c>
      <c r="F3" s="190"/>
      <c r="G3" s="190"/>
      <c r="H3" s="190"/>
      <c r="K3" s="55" t="s">
        <v>236</v>
      </c>
      <c r="L3" s="54" t="s">
        <v>234</v>
      </c>
      <c r="M3" s="54" t="s">
        <v>239</v>
      </c>
      <c r="N3" s="54" t="s">
        <v>237</v>
      </c>
      <c r="O3" s="54" t="s">
        <v>342</v>
      </c>
      <c r="P3" s="54" t="s">
        <v>240</v>
      </c>
    </row>
    <row r="4" spans="1:26" ht="15" customHeight="1" x14ac:dyDescent="0.25">
      <c r="A4" s="190" t="s">
        <v>233</v>
      </c>
      <c r="B4" s="190"/>
      <c r="C4" s="190"/>
      <c r="D4" s="190"/>
      <c r="E4" s="142" t="s">
        <v>234</v>
      </c>
      <c r="F4" s="142"/>
      <c r="G4" s="142"/>
      <c r="H4" s="142"/>
      <c r="K4" s="53" t="s">
        <v>235</v>
      </c>
      <c r="L4" s="54" t="s">
        <v>169</v>
      </c>
      <c r="M4" s="54" t="s">
        <v>244</v>
      </c>
      <c r="N4" s="54" t="s">
        <v>246</v>
      </c>
      <c r="O4" s="54" t="s">
        <v>343</v>
      </c>
      <c r="P4" s="54"/>
    </row>
    <row r="5" spans="1:26" ht="15" customHeight="1" x14ac:dyDescent="0.25">
      <c r="A5" s="190" t="s">
        <v>2</v>
      </c>
      <c r="B5" s="190"/>
      <c r="C5" s="190"/>
      <c r="D5" s="190"/>
      <c r="E5" s="142" t="s">
        <v>241</v>
      </c>
      <c r="F5" s="142"/>
      <c r="G5" s="142"/>
      <c r="H5" s="142"/>
      <c r="K5" s="53"/>
      <c r="L5" s="54" t="s">
        <v>241</v>
      </c>
      <c r="M5" s="54" t="s">
        <v>245</v>
      </c>
      <c r="N5" s="54" t="s">
        <v>247</v>
      </c>
      <c r="O5" s="54" t="s">
        <v>344</v>
      </c>
      <c r="P5" s="54"/>
    </row>
    <row r="6" spans="1:26" x14ac:dyDescent="0.25">
      <c r="A6" s="190" t="s">
        <v>3</v>
      </c>
      <c r="B6" s="190"/>
      <c r="C6" s="190"/>
      <c r="D6" s="190"/>
      <c r="E6" s="192">
        <v>45881</v>
      </c>
      <c r="F6" s="193"/>
      <c r="G6" s="193"/>
      <c r="H6" s="193"/>
      <c r="K6" s="53"/>
      <c r="L6" s="54" t="s">
        <v>242</v>
      </c>
      <c r="M6" s="54" t="s">
        <v>355</v>
      </c>
      <c r="N6" s="54"/>
      <c r="O6" s="54" t="s">
        <v>345</v>
      </c>
      <c r="P6" s="54"/>
    </row>
    <row r="7" spans="1:26" ht="16.5" customHeight="1" x14ac:dyDescent="0.25">
      <c r="A7" s="190" t="s">
        <v>4</v>
      </c>
      <c r="B7" s="190"/>
      <c r="C7" s="190"/>
      <c r="D7" s="190"/>
      <c r="E7" s="190" t="s">
        <v>356</v>
      </c>
      <c r="F7" s="190"/>
      <c r="G7" s="190"/>
      <c r="H7" s="190"/>
      <c r="K7" s="53"/>
      <c r="L7" s="54" t="s">
        <v>243</v>
      </c>
      <c r="M7" s="54"/>
      <c r="N7" s="54"/>
      <c r="O7" s="54" t="s">
        <v>345</v>
      </c>
      <c r="P7" s="54"/>
    </row>
    <row r="8" spans="1:26" ht="15" customHeight="1" x14ac:dyDescent="0.25">
      <c r="A8" s="190" t="s">
        <v>5</v>
      </c>
      <c r="B8" s="190"/>
      <c r="C8" s="190"/>
      <c r="D8" s="190"/>
      <c r="E8" s="190" t="str">
        <f>E7</f>
        <v>Jai Hind Oil Mills Company</v>
      </c>
      <c r="F8" s="190"/>
      <c r="G8" s="190"/>
      <c r="H8" s="190"/>
      <c r="K8" s="53"/>
      <c r="L8" s="54"/>
      <c r="M8" s="54"/>
      <c r="N8" s="54"/>
      <c r="O8" s="54" t="s">
        <v>346</v>
      </c>
      <c r="P8" s="54"/>
    </row>
    <row r="9" spans="1:26" x14ac:dyDescent="0.25">
      <c r="A9" s="190" t="s">
        <v>6</v>
      </c>
      <c r="B9" s="190"/>
      <c r="C9" s="190"/>
      <c r="D9" s="190"/>
      <c r="E9" s="191" t="s">
        <v>357</v>
      </c>
      <c r="F9" s="191"/>
      <c r="G9" s="191"/>
      <c r="H9" s="191"/>
      <c r="K9" s="53"/>
      <c r="L9" s="54"/>
      <c r="M9" s="54"/>
      <c r="N9" s="54"/>
      <c r="O9" s="54" t="s">
        <v>347</v>
      </c>
      <c r="P9" s="54"/>
    </row>
    <row r="10" spans="1:26" x14ac:dyDescent="0.25">
      <c r="A10" s="190" t="s">
        <v>165</v>
      </c>
      <c r="B10" s="190"/>
      <c r="C10" s="190"/>
      <c r="D10" s="190"/>
      <c r="E10" s="190">
        <v>7045596360</v>
      </c>
      <c r="F10" s="190"/>
      <c r="G10" s="190"/>
      <c r="H10" s="190"/>
      <c r="K10" s="53"/>
      <c r="L10" s="54"/>
      <c r="M10" s="54"/>
      <c r="N10" s="54"/>
      <c r="O10" s="54" t="s">
        <v>348</v>
      </c>
      <c r="P10" s="54"/>
    </row>
    <row r="11" spans="1:26" x14ac:dyDescent="0.25">
      <c r="A11" s="190" t="s">
        <v>166</v>
      </c>
      <c r="B11" s="190"/>
      <c r="C11" s="190"/>
      <c r="D11" s="190"/>
      <c r="E11" s="193" t="s">
        <v>461</v>
      </c>
      <c r="F11" s="193"/>
      <c r="G11" s="193"/>
      <c r="H11" s="193"/>
      <c r="O11" s="54" t="s">
        <v>349</v>
      </c>
    </row>
    <row r="12" spans="1:26" x14ac:dyDescent="0.25">
      <c r="A12" s="190" t="s">
        <v>7</v>
      </c>
      <c r="B12" s="190"/>
      <c r="C12" s="190"/>
      <c r="D12" s="190"/>
      <c r="E12" s="190" t="s">
        <v>358</v>
      </c>
      <c r="F12" s="190"/>
      <c r="G12" s="190"/>
      <c r="H12" s="190"/>
    </row>
    <row r="13" spans="1:26" x14ac:dyDescent="0.25">
      <c r="A13" s="196" t="s">
        <v>170</v>
      </c>
      <c r="B13" s="196"/>
      <c r="C13" s="196"/>
      <c r="D13" s="196"/>
      <c r="E13" s="190" t="s">
        <v>445</v>
      </c>
      <c r="F13" s="190"/>
      <c r="G13" s="190"/>
      <c r="H13" s="190"/>
      <c r="S13" s="54" t="s">
        <v>180</v>
      </c>
      <c r="T13" s="54" t="s">
        <v>189</v>
      </c>
      <c r="U13" s="54" t="s">
        <v>171</v>
      </c>
      <c r="V13" s="54" t="s">
        <v>194</v>
      </c>
      <c r="W13" s="54" t="s">
        <v>212</v>
      </c>
      <c r="X13"/>
      <c r="Y13" t="s">
        <v>194</v>
      </c>
      <c r="Z13" t="e">
        <f ca="1">OFFSET($S$13,1,MATCH($G20,$S$13:$W$13,0)-1,15,1)</f>
        <v>#VALUE!</v>
      </c>
    </row>
    <row r="14" spans="1:26" x14ac:dyDescent="0.25">
      <c r="A14" s="146" t="s">
        <v>279</v>
      </c>
      <c r="B14" s="146"/>
      <c r="C14" s="146"/>
      <c r="D14" s="146"/>
      <c r="E14" s="194" t="s">
        <v>359</v>
      </c>
      <c r="F14" s="194"/>
      <c r="G14" s="194"/>
      <c r="H14" s="194"/>
      <c r="S14" s="54" t="s">
        <v>180</v>
      </c>
      <c r="T14" s="54" t="s">
        <v>187</v>
      </c>
      <c r="U14" s="54" t="s">
        <v>209</v>
      </c>
      <c r="V14" s="54" t="s">
        <v>195</v>
      </c>
      <c r="W14" s="54" t="s">
        <v>213</v>
      </c>
      <c r="X14"/>
      <c r="Y14"/>
      <c r="Z14"/>
    </row>
    <row r="15" spans="1:26" ht="47.25" customHeight="1" x14ac:dyDescent="0.25">
      <c r="A15" s="146" t="s">
        <v>8</v>
      </c>
      <c r="B15" s="146"/>
      <c r="C15" s="146"/>
      <c r="D15" s="146"/>
      <c r="E15" s="194" t="s">
        <v>360</v>
      </c>
      <c r="F15" s="142"/>
      <c r="G15" s="142"/>
      <c r="H15" s="142"/>
      <c r="I15" s="137" t="e">
        <f ca="1">OFFSET($D$5,1,MATCH($J13,$D$5:$H$5,0)-1,15,1)</f>
        <v>#N/A</v>
      </c>
      <c r="J15" s="138"/>
      <c r="K15" s="138"/>
      <c r="L15" s="138"/>
      <c r="M15" s="138"/>
      <c r="N15" s="138"/>
      <c r="O15" s="138"/>
      <c r="P15" s="138"/>
      <c r="S15" s="54" t="s">
        <v>181</v>
      </c>
      <c r="T15" s="54" t="s">
        <v>188</v>
      </c>
      <c r="U15" s="54" t="s">
        <v>210</v>
      </c>
      <c r="V15" s="54" t="s">
        <v>196</v>
      </c>
      <c r="W15" s="54" t="s">
        <v>226</v>
      </c>
      <c r="X15"/>
      <c r="Y15"/>
      <c r="Z15"/>
    </row>
    <row r="16" spans="1:26" ht="48.75" customHeight="1" x14ac:dyDescent="0.25">
      <c r="A16" s="132" t="s">
        <v>9</v>
      </c>
      <c r="B16" s="132"/>
      <c r="C16" s="132" t="str">
        <f>CONCATENATE((IF(OR(E9="",E9="NA"),"",E9)),", ",(IF(OR(A17="",A17="NA"),"",A17)),".",(IF(OR(C17="",C17="NA"),"",C17)),", near ",(IF(OR(C22="",C22="NA"),"",C22)),", ",(IF(OR(C19="",C19="NA"),"",C19)),", ",(IF(OR(C18="",C18="NA"),"",C18)),", ",(IF(OR(G19="",G19="NA"),"",G19)),", ",(IF(OR(C20="",C20="NA"),"",C20)),", ",(IF(OR(C21="",C21="NA"),"",C21)),", ",(IF(OR(G20="",G20="NA"),"",G20))," - ",(IF(OR(G21="",G21="NA"),"",G21)),".")</f>
        <v>Airica Tower 1, 2 &amp; 4, CTS No.611, 611/1 to 611/10, near Mahindra Splendour Tower, LBS Road, Ambedkar Nagar, Kanjur, Bhandup West, Kurla, Mumbai - 400078.</v>
      </c>
      <c r="D16" s="132"/>
      <c r="E16" s="132"/>
      <c r="F16" s="132"/>
      <c r="G16" s="132"/>
      <c r="H16" s="132"/>
      <c r="S16" s="54" t="s">
        <v>182</v>
      </c>
      <c r="T16" s="54" t="s">
        <v>190</v>
      </c>
      <c r="U16" s="54" t="s">
        <v>211</v>
      </c>
      <c r="V16" s="54" t="s">
        <v>197</v>
      </c>
      <c r="W16" s="54" t="s">
        <v>214</v>
      </c>
      <c r="X16"/>
      <c r="Y16"/>
      <c r="Z16"/>
    </row>
    <row r="17" spans="1:26" x14ac:dyDescent="0.25">
      <c r="A17" s="194" t="s">
        <v>175</v>
      </c>
      <c r="B17" s="194"/>
      <c r="C17" s="194" t="s">
        <v>361</v>
      </c>
      <c r="D17" s="194"/>
      <c r="E17" s="194"/>
      <c r="F17" s="194"/>
      <c r="G17" s="194"/>
      <c r="H17" s="194"/>
      <c r="S17" s="54" t="s">
        <v>183</v>
      </c>
      <c r="T17" s="54" t="s">
        <v>191</v>
      </c>
      <c r="U17" s="54" t="s">
        <v>171</v>
      </c>
      <c r="V17" s="54" t="s">
        <v>198</v>
      </c>
      <c r="W17" s="54" t="s">
        <v>215</v>
      </c>
      <c r="X17"/>
      <c r="Y17"/>
      <c r="Z17"/>
    </row>
    <row r="18" spans="1:26" ht="15.75" customHeight="1" x14ac:dyDescent="0.25">
      <c r="A18" s="195" t="s">
        <v>161</v>
      </c>
      <c r="B18" s="195"/>
      <c r="C18" s="195" t="s">
        <v>366</v>
      </c>
      <c r="D18" s="195"/>
      <c r="E18" s="195"/>
      <c r="F18" s="195"/>
      <c r="G18" s="195"/>
      <c r="H18" s="195"/>
      <c r="I18" s="78" t="s">
        <v>367</v>
      </c>
      <c r="S18" s="54" t="s">
        <v>184</v>
      </c>
      <c r="T18" s="54" t="s">
        <v>189</v>
      </c>
      <c r="U18" s="54"/>
      <c r="V18" s="54" t="s">
        <v>199</v>
      </c>
      <c r="W18" s="54" t="s">
        <v>216</v>
      </c>
      <c r="X18"/>
      <c r="Y18"/>
      <c r="Z18"/>
    </row>
    <row r="19" spans="1:26" ht="15.75" customHeight="1" x14ac:dyDescent="0.25">
      <c r="A19" s="132" t="s">
        <v>10</v>
      </c>
      <c r="B19" s="132"/>
      <c r="C19" s="190" t="s">
        <v>364</v>
      </c>
      <c r="D19" s="190"/>
      <c r="E19" s="132" t="s">
        <v>69</v>
      </c>
      <c r="F19" s="132"/>
      <c r="G19" s="195" t="s">
        <v>362</v>
      </c>
      <c r="H19" s="195"/>
      <c r="S19" s="54" t="s">
        <v>185</v>
      </c>
      <c r="T19" s="54" t="s">
        <v>192</v>
      </c>
      <c r="U19" s="54"/>
      <c r="V19" s="54" t="s">
        <v>200</v>
      </c>
      <c r="W19" s="54" t="s">
        <v>217</v>
      </c>
      <c r="X19"/>
      <c r="Y19"/>
      <c r="Z19"/>
    </row>
    <row r="20" spans="1:26" x14ac:dyDescent="0.25">
      <c r="A20" s="146" t="s">
        <v>12</v>
      </c>
      <c r="B20" s="146"/>
      <c r="C20" s="195" t="s">
        <v>363</v>
      </c>
      <c r="D20" s="195"/>
      <c r="E20" s="132" t="s">
        <v>11</v>
      </c>
      <c r="F20" s="132"/>
      <c r="G20" s="197" t="s">
        <v>171</v>
      </c>
      <c r="H20" s="197"/>
      <c r="S20" s="54" t="s">
        <v>186</v>
      </c>
      <c r="T20" s="54" t="s">
        <v>193</v>
      </c>
      <c r="U20" s="54"/>
      <c r="V20" s="54" t="s">
        <v>201</v>
      </c>
      <c r="W20" s="54" t="s">
        <v>218</v>
      </c>
      <c r="X20"/>
      <c r="Y20"/>
      <c r="Z20"/>
    </row>
    <row r="21" spans="1:26" x14ac:dyDescent="0.25">
      <c r="A21" s="146" t="s">
        <v>70</v>
      </c>
      <c r="B21" s="146"/>
      <c r="C21" s="194" t="s">
        <v>211</v>
      </c>
      <c r="D21" s="194"/>
      <c r="E21" s="132" t="s">
        <v>13</v>
      </c>
      <c r="F21" s="132"/>
      <c r="G21" s="195">
        <v>400078</v>
      </c>
      <c r="H21" s="195"/>
      <c r="S21" s="54"/>
      <c r="T21" s="54"/>
      <c r="U21" s="54"/>
      <c r="V21" s="54" t="s">
        <v>202</v>
      </c>
      <c r="W21" s="54" t="s">
        <v>219</v>
      </c>
      <c r="X21"/>
      <c r="Y21"/>
      <c r="Z21"/>
    </row>
    <row r="22" spans="1:26" ht="32.25" customHeight="1" x14ac:dyDescent="0.25">
      <c r="A22" s="146" t="s">
        <v>119</v>
      </c>
      <c r="B22" s="146"/>
      <c r="C22" s="195" t="s">
        <v>365</v>
      </c>
      <c r="D22" s="195"/>
      <c r="E22" s="132" t="s">
        <v>14</v>
      </c>
      <c r="F22" s="132"/>
      <c r="G22" s="194" t="s">
        <v>430</v>
      </c>
      <c r="H22" s="194"/>
      <c r="S22" s="54"/>
      <c r="T22" s="54"/>
      <c r="U22" s="54"/>
      <c r="V22" s="54" t="s">
        <v>203</v>
      </c>
      <c r="W22" s="54" t="s">
        <v>220</v>
      </c>
      <c r="X22"/>
      <c r="Y22"/>
      <c r="Z22"/>
    </row>
    <row r="23" spans="1:26" ht="15" customHeight="1" x14ac:dyDescent="0.25">
      <c r="A23" s="132" t="s">
        <v>72</v>
      </c>
      <c r="B23" s="132"/>
      <c r="C23" s="132"/>
      <c r="D23" s="132"/>
      <c r="E23" s="190" t="s">
        <v>15</v>
      </c>
      <c r="F23" s="190"/>
      <c r="G23" s="190"/>
      <c r="H23" s="190"/>
      <c r="S23" s="54"/>
      <c r="T23" s="54"/>
      <c r="U23" s="54"/>
      <c r="V23" s="54" t="s">
        <v>204</v>
      </c>
      <c r="W23" s="54" t="s">
        <v>221</v>
      </c>
      <c r="X23"/>
      <c r="Y23"/>
      <c r="Z23"/>
    </row>
    <row r="24" spans="1:26" ht="18.75" customHeight="1" x14ac:dyDescent="0.25">
      <c r="A24" s="132"/>
      <c r="B24" s="132"/>
      <c r="C24" s="132"/>
      <c r="D24" s="132"/>
      <c r="E24" s="190"/>
      <c r="F24" s="190"/>
      <c r="G24" s="190"/>
      <c r="H24" s="190"/>
      <c r="S24" s="54"/>
      <c r="T24" s="54"/>
      <c r="U24" s="54"/>
      <c r="V24" s="54" t="s">
        <v>205</v>
      </c>
      <c r="W24" s="54" t="s">
        <v>222</v>
      </c>
      <c r="X24"/>
      <c r="Y24"/>
      <c r="Z24"/>
    </row>
    <row r="25" spans="1:26" ht="15" customHeight="1" x14ac:dyDescent="0.25">
      <c r="A25" s="132" t="s">
        <v>16</v>
      </c>
      <c r="B25" s="132"/>
      <c r="C25" s="132"/>
      <c r="D25" s="132"/>
      <c r="E25" s="195" t="s">
        <v>17</v>
      </c>
      <c r="F25" s="195"/>
      <c r="G25" s="195"/>
      <c r="H25" s="195"/>
      <c r="S25" s="54"/>
      <c r="T25" s="54"/>
      <c r="U25" s="54"/>
      <c r="V25" s="54" t="s">
        <v>206</v>
      </c>
      <c r="W25" s="54" t="s">
        <v>223</v>
      </c>
      <c r="X25"/>
      <c r="Y25"/>
      <c r="Z25"/>
    </row>
    <row r="26" spans="1:26" ht="15" customHeight="1" x14ac:dyDescent="0.25">
      <c r="A26" s="146" t="s">
        <v>18</v>
      </c>
      <c r="B26" s="146"/>
      <c r="C26" s="146"/>
      <c r="D26" s="146"/>
      <c r="E26" s="195" t="str">
        <f>IF(AND(G20="Mumbai"),"Upper Class","Middle Class")</f>
        <v>Upper Class</v>
      </c>
      <c r="F26" s="195"/>
      <c r="G26" s="195"/>
      <c r="H26" s="195"/>
      <c r="S26" s="54"/>
      <c r="T26" s="54"/>
      <c r="U26" s="54"/>
      <c r="V26" s="54" t="s">
        <v>207</v>
      </c>
      <c r="W26" s="54" t="s">
        <v>224</v>
      </c>
      <c r="X26"/>
      <c r="Y26"/>
      <c r="Z26"/>
    </row>
    <row r="27" spans="1:26" x14ac:dyDescent="0.25">
      <c r="A27" s="146" t="s">
        <v>19</v>
      </c>
      <c r="B27" s="146"/>
      <c r="C27" s="146"/>
      <c r="D27" s="146"/>
      <c r="E27" s="195" t="s">
        <v>20</v>
      </c>
      <c r="F27" s="195"/>
      <c r="G27" s="195"/>
      <c r="H27" s="195"/>
      <c r="S27" s="54"/>
      <c r="T27" s="54"/>
      <c r="U27" s="54"/>
      <c r="V27" s="54" t="s">
        <v>208</v>
      </c>
      <c r="W27" s="54" t="s">
        <v>225</v>
      </c>
      <c r="X27"/>
      <c r="Y27"/>
      <c r="Z27"/>
    </row>
    <row r="28" spans="1:26" ht="15.75" customHeight="1" x14ac:dyDescent="0.25">
      <c r="A28" s="146" t="s">
        <v>21</v>
      </c>
      <c r="B28" s="146"/>
      <c r="C28" s="146"/>
      <c r="D28" s="146"/>
      <c r="E28" s="195" t="str">
        <f>IF(AND(G20="Mumbai"),"Developed","Developing")</f>
        <v>Developed</v>
      </c>
      <c r="F28" s="195"/>
      <c r="G28" s="195"/>
      <c r="H28" s="195"/>
    </row>
    <row r="29" spans="1:26" x14ac:dyDescent="0.25">
      <c r="A29" s="146" t="s">
        <v>22</v>
      </c>
      <c r="B29" s="146"/>
      <c r="C29" s="146"/>
      <c r="D29" s="146"/>
      <c r="E29" s="195" t="s">
        <v>23</v>
      </c>
      <c r="F29" s="195"/>
      <c r="G29" s="195"/>
      <c r="H29" s="195"/>
    </row>
    <row r="30" spans="1:26" ht="15.75" customHeight="1" x14ac:dyDescent="0.25">
      <c r="A30" s="146" t="s">
        <v>77</v>
      </c>
      <c r="B30" s="146"/>
      <c r="C30" s="146"/>
      <c r="D30" s="146"/>
      <c r="E30" s="195" t="s">
        <v>78</v>
      </c>
      <c r="F30" s="195"/>
      <c r="G30" s="195"/>
      <c r="H30" s="195"/>
    </row>
    <row r="31" spans="1:26" ht="15" customHeight="1" x14ac:dyDescent="0.25">
      <c r="A31" s="146" t="s">
        <v>30</v>
      </c>
      <c r="B31" s="146"/>
      <c r="C31" s="146"/>
      <c r="D31" s="146"/>
      <c r="E31" s="19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95"/>
      <c r="G31" s="195"/>
      <c r="H31" s="195"/>
    </row>
    <row r="32" spans="1:26" ht="15.75" customHeight="1" x14ac:dyDescent="0.25">
      <c r="A32" s="146" t="s">
        <v>89</v>
      </c>
      <c r="B32" s="146"/>
      <c r="C32" s="146"/>
      <c r="D32" s="146"/>
      <c r="E32" s="195" t="s">
        <v>31</v>
      </c>
      <c r="F32" s="195"/>
      <c r="G32" s="195"/>
      <c r="H32" s="195"/>
    </row>
    <row r="33" spans="1:19" s="22" customFormat="1" x14ac:dyDescent="0.25">
      <c r="A33" s="201" t="s">
        <v>90</v>
      </c>
      <c r="B33" s="201"/>
      <c r="C33" s="200" t="s">
        <v>172</v>
      </c>
      <c r="D33" s="200"/>
      <c r="E33" s="200"/>
      <c r="F33" s="200" t="s">
        <v>29</v>
      </c>
      <c r="G33" s="200"/>
      <c r="H33" s="200"/>
      <c r="S33" s="22" t="e">
        <f ca="1">OFFSET($S$13,1,MATCH($G20,$S$13:$W$13,0)-1,15,1)</f>
        <v>#VALUE!</v>
      </c>
    </row>
    <row r="34" spans="1:19" s="22" customFormat="1" x14ac:dyDescent="0.25">
      <c r="A34" s="198" t="s">
        <v>24</v>
      </c>
      <c r="B34" s="198" t="s">
        <v>28</v>
      </c>
      <c r="C34" s="199" t="s">
        <v>373</v>
      </c>
      <c r="D34" s="199"/>
      <c r="E34" s="199"/>
      <c r="F34" s="199" t="s">
        <v>371</v>
      </c>
      <c r="G34" s="199"/>
      <c r="H34" s="199"/>
    </row>
    <row r="35" spans="1:19" x14ac:dyDescent="0.25">
      <c r="A35" s="198" t="s">
        <v>25</v>
      </c>
      <c r="B35" s="198" t="s">
        <v>28</v>
      </c>
      <c r="C35" s="199" t="s">
        <v>372</v>
      </c>
      <c r="D35" s="199"/>
      <c r="E35" s="199"/>
      <c r="F35" s="199" t="s">
        <v>369</v>
      </c>
      <c r="G35" s="199"/>
      <c r="H35" s="199"/>
    </row>
    <row r="36" spans="1:19" s="22" customFormat="1" x14ac:dyDescent="0.25">
      <c r="A36" s="198" t="s">
        <v>27</v>
      </c>
      <c r="B36" s="198" t="s">
        <v>28</v>
      </c>
      <c r="C36" s="199" t="s">
        <v>372</v>
      </c>
      <c r="D36" s="199"/>
      <c r="E36" s="199"/>
      <c r="F36" s="199" t="s">
        <v>10</v>
      </c>
      <c r="G36" s="199"/>
      <c r="H36" s="199"/>
    </row>
    <row r="37" spans="1:19" x14ac:dyDescent="0.25">
      <c r="A37" s="198" t="s">
        <v>26</v>
      </c>
      <c r="B37" s="198" t="s">
        <v>28</v>
      </c>
      <c r="C37" s="199" t="s">
        <v>374</v>
      </c>
      <c r="D37" s="199"/>
      <c r="E37" s="199"/>
      <c r="F37" s="199" t="s">
        <v>370</v>
      </c>
      <c r="G37" s="199"/>
      <c r="H37" s="199"/>
    </row>
    <row r="38" spans="1:19" x14ac:dyDescent="0.25">
      <c r="A38" s="146" t="s">
        <v>280</v>
      </c>
      <c r="B38" s="146"/>
      <c r="C38" s="146"/>
      <c r="D38" s="146"/>
      <c r="E38" s="146"/>
      <c r="F38" s="146"/>
      <c r="G38" s="146"/>
      <c r="H38" s="146"/>
      <c r="I38" s="21">
        <f>30000/1.5</f>
        <v>20000</v>
      </c>
    </row>
    <row r="39" spans="1:19" ht="15.75" customHeight="1" x14ac:dyDescent="0.25">
      <c r="A39" s="146" t="s">
        <v>163</v>
      </c>
      <c r="B39" s="146"/>
      <c r="C39" s="186" t="s">
        <v>428</v>
      </c>
      <c r="D39" s="186"/>
      <c r="E39" s="186"/>
      <c r="F39" s="186"/>
      <c r="G39" s="186"/>
      <c r="H39" s="186"/>
    </row>
    <row r="40" spans="1:19" x14ac:dyDescent="0.25">
      <c r="A40" s="146" t="s">
        <v>160</v>
      </c>
      <c r="B40" s="146"/>
      <c r="C40" s="236" t="s">
        <v>429</v>
      </c>
      <c r="D40" s="195"/>
      <c r="E40" s="195"/>
      <c r="F40" s="195"/>
      <c r="G40" s="195"/>
      <c r="H40" s="195"/>
    </row>
    <row r="41" spans="1:19" x14ac:dyDescent="0.25">
      <c r="A41" s="186" t="s">
        <v>32</v>
      </c>
      <c r="B41" s="186"/>
      <c r="C41" s="186"/>
      <c r="D41" s="186"/>
      <c r="E41" s="186"/>
      <c r="F41" s="186"/>
      <c r="G41" s="186"/>
      <c r="H41" s="186"/>
    </row>
    <row r="42" spans="1:19" x14ac:dyDescent="0.25">
      <c r="A42" s="146" t="s">
        <v>33</v>
      </c>
      <c r="B42" s="146"/>
      <c r="C42" s="146"/>
      <c r="D42" s="146"/>
      <c r="E42" s="220">
        <v>27240.84</v>
      </c>
      <c r="F42" s="220"/>
      <c r="G42" s="220"/>
      <c r="H42" s="220"/>
    </row>
    <row r="43" spans="1:19" x14ac:dyDescent="0.25">
      <c r="A43" s="146" t="s">
        <v>34</v>
      </c>
      <c r="B43" s="146"/>
      <c r="C43" s="146"/>
      <c r="D43" s="146"/>
      <c r="E43" s="213">
        <f>29194.05/E42</f>
        <v>1.0717015334328897</v>
      </c>
      <c r="F43" s="213"/>
      <c r="G43" s="213"/>
      <c r="H43" s="213"/>
    </row>
    <row r="44" spans="1:19" x14ac:dyDescent="0.25">
      <c r="A44" s="146" t="s">
        <v>35</v>
      </c>
      <c r="B44" s="146"/>
      <c r="C44" s="146"/>
      <c r="D44" s="146"/>
      <c r="E44" s="213">
        <f>E46/E42-E43</f>
        <v>1.1435943238167396</v>
      </c>
      <c r="F44" s="213"/>
      <c r="G44" s="213"/>
      <c r="H44" s="213"/>
    </row>
    <row r="45" spans="1:19" x14ac:dyDescent="0.25">
      <c r="A45" s="146" t="s">
        <v>36</v>
      </c>
      <c r="B45" s="146"/>
      <c r="C45" s="146"/>
      <c r="D45" s="146"/>
      <c r="E45" s="213">
        <f>E43+E44</f>
        <v>2.2152958572496293</v>
      </c>
      <c r="F45" s="213"/>
      <c r="G45" s="213"/>
      <c r="H45" s="213"/>
    </row>
    <row r="46" spans="1:19" x14ac:dyDescent="0.25">
      <c r="A46" s="146" t="s">
        <v>88</v>
      </c>
      <c r="B46" s="146"/>
      <c r="C46" s="146"/>
      <c r="D46" s="146"/>
      <c r="E46" s="214">
        <v>60346.52</v>
      </c>
      <c r="F46" s="214"/>
      <c r="G46" s="214"/>
      <c r="H46" s="214"/>
    </row>
    <row r="47" spans="1:19" x14ac:dyDescent="0.25">
      <c r="A47" s="190" t="s">
        <v>37</v>
      </c>
      <c r="B47" s="190"/>
      <c r="C47" s="190"/>
      <c r="D47" s="190"/>
      <c r="E47" s="142" t="s">
        <v>368</v>
      </c>
      <c r="F47" s="142"/>
      <c r="G47" s="142"/>
      <c r="H47" s="142"/>
    </row>
    <row r="48" spans="1:19" x14ac:dyDescent="0.25">
      <c r="A48" s="186" t="s">
        <v>38</v>
      </c>
      <c r="B48" s="186"/>
      <c r="C48" s="186"/>
      <c r="D48" s="186"/>
      <c r="E48" s="186"/>
      <c r="F48" s="186"/>
      <c r="G48" s="186"/>
      <c r="H48" s="186"/>
    </row>
    <row r="49" spans="1:24" ht="33.75" customHeight="1" x14ac:dyDescent="0.25">
      <c r="A49" s="168" t="s">
        <v>151</v>
      </c>
      <c r="B49" s="170"/>
      <c r="C49" s="215" t="s">
        <v>255</v>
      </c>
      <c r="D49" s="216"/>
      <c r="E49" s="216"/>
      <c r="F49" s="216"/>
      <c r="G49" s="216"/>
      <c r="H49" s="217"/>
      <c r="R49" t="s">
        <v>253</v>
      </c>
      <c r="S49" s="56" t="s">
        <v>171</v>
      </c>
      <c r="T49" s="56" t="s">
        <v>180</v>
      </c>
      <c r="U49" s="56" t="s">
        <v>194</v>
      </c>
      <c r="V49" s="56" t="s">
        <v>189</v>
      </c>
    </row>
    <row r="50" spans="1:24" ht="31.5" customHeight="1" x14ac:dyDescent="0.25">
      <c r="A50" s="168" t="s">
        <v>39</v>
      </c>
      <c r="B50" s="170"/>
      <c r="C50" s="168" t="s">
        <v>375</v>
      </c>
      <c r="D50" s="169"/>
      <c r="E50" s="170"/>
      <c r="F50" s="18" t="s">
        <v>40</v>
      </c>
      <c r="G50" s="218">
        <v>45582</v>
      </c>
      <c r="H50" s="219"/>
      <c r="R50"/>
      <c r="S50" s="56" t="s">
        <v>254</v>
      </c>
      <c r="T50" s="56" t="s">
        <v>259</v>
      </c>
      <c r="U50" s="56" t="s">
        <v>270</v>
      </c>
      <c r="V50" s="56" t="s">
        <v>275</v>
      </c>
    </row>
    <row r="51" spans="1:24" ht="31.5" customHeight="1" x14ac:dyDescent="0.25">
      <c r="A51" s="168" t="s">
        <v>41</v>
      </c>
      <c r="B51" s="170"/>
      <c r="C51" s="168" t="str">
        <f>C50</f>
        <v>P-12131/2022/(611 And Other)/S Ward/KANJUR-W/337/3/Amend</v>
      </c>
      <c r="D51" s="169"/>
      <c r="E51" s="170"/>
      <c r="F51" s="18" t="s">
        <v>40</v>
      </c>
      <c r="G51" s="218">
        <f>G50</f>
        <v>45582</v>
      </c>
      <c r="H51" s="219"/>
      <c r="R51"/>
      <c r="S51" s="56" t="s">
        <v>255</v>
      </c>
      <c r="T51" s="56" t="s">
        <v>260</v>
      </c>
      <c r="U51" s="56" t="s">
        <v>268</v>
      </c>
      <c r="V51" s="56" t="s">
        <v>276</v>
      </c>
    </row>
    <row r="52" spans="1:24" s="23" customFormat="1" ht="31.5" customHeight="1" x14ac:dyDescent="0.25">
      <c r="A52" s="221" t="s">
        <v>155</v>
      </c>
      <c r="B52" s="222"/>
      <c r="C52" s="168" t="s">
        <v>454</v>
      </c>
      <c r="D52" s="169"/>
      <c r="E52" s="170"/>
      <c r="F52" s="18" t="s">
        <v>40</v>
      </c>
      <c r="G52" s="218">
        <v>45712</v>
      </c>
      <c r="H52" s="219"/>
      <c r="I52" s="22" t="str">
        <f ca="1">IF(G52&gt;EDATE(E3,-48),"NO REMARK","CC REMARK FOR CC")</f>
        <v>NO REMARK</v>
      </c>
      <c r="J52" s="76"/>
      <c r="R52"/>
      <c r="S52" s="56" t="s">
        <v>256</v>
      </c>
      <c r="T52" s="56" t="s">
        <v>261</v>
      </c>
      <c r="U52" s="56" t="s">
        <v>258</v>
      </c>
      <c r="V52" s="56" t="s">
        <v>277</v>
      </c>
    </row>
    <row r="53" spans="1:24" s="23" customFormat="1" ht="64.900000000000006" customHeight="1" x14ac:dyDescent="0.25">
      <c r="A53" s="223"/>
      <c r="B53" s="224"/>
      <c r="C53" s="168" t="s">
        <v>455</v>
      </c>
      <c r="D53" s="169"/>
      <c r="E53" s="170"/>
      <c r="F53" s="18" t="s">
        <v>118</v>
      </c>
      <c r="G53" s="218">
        <v>46076</v>
      </c>
      <c r="H53" s="170"/>
      <c r="R53"/>
      <c r="S53" s="56" t="s">
        <v>257</v>
      </c>
      <c r="T53" s="56" t="s">
        <v>264</v>
      </c>
      <c r="U53" s="56" t="s">
        <v>271</v>
      </c>
      <c r="V53" s="72" t="s">
        <v>351</v>
      </c>
    </row>
    <row r="54" spans="1:24" s="23" customFormat="1" ht="48" customHeight="1" x14ac:dyDescent="0.25">
      <c r="A54" s="162" t="s">
        <v>281</v>
      </c>
      <c r="B54" s="163"/>
      <c r="C54" s="225" t="s">
        <v>376</v>
      </c>
      <c r="D54" s="226"/>
      <c r="E54" s="227"/>
      <c r="F54" s="87" t="s">
        <v>40</v>
      </c>
      <c r="G54" s="166">
        <v>45185</v>
      </c>
      <c r="H54" s="167"/>
      <c r="K54" s="77">
        <f>EDATE(G52,-48)</f>
        <v>44251</v>
      </c>
      <c r="L54" s="23" t="str">
        <f ca="1">IF(G52&gt;EDATE(E3,-48),"NO REMARK","CC REMARK FOR CC")</f>
        <v>NO REMARK</v>
      </c>
      <c r="R54"/>
      <c r="S54" s="56" t="s">
        <v>256</v>
      </c>
      <c r="T54" s="56" t="s">
        <v>261</v>
      </c>
      <c r="U54" s="56" t="s">
        <v>258</v>
      </c>
      <c r="V54" s="56" t="s">
        <v>277</v>
      </c>
    </row>
    <row r="55" spans="1:24" s="23" customFormat="1" ht="32.25" customHeight="1" x14ac:dyDescent="0.25">
      <c r="A55" s="164"/>
      <c r="B55" s="165"/>
      <c r="C55" s="239" t="s">
        <v>377</v>
      </c>
      <c r="D55" s="240"/>
      <c r="E55" s="240"/>
      <c r="F55" s="240"/>
      <c r="G55" s="240"/>
      <c r="H55" s="241"/>
      <c r="R55"/>
      <c r="S55" s="56" t="s">
        <v>258</v>
      </c>
      <c r="T55" s="56" t="s">
        <v>262</v>
      </c>
      <c r="U55" s="56" t="s">
        <v>272</v>
      </c>
      <c r="V55" s="73"/>
      <c r="W55" s="21"/>
      <c r="X55" s="21"/>
    </row>
    <row r="56" spans="1:24" s="23" customFormat="1" ht="34.5" customHeight="1" x14ac:dyDescent="0.25">
      <c r="A56" s="162" t="s">
        <v>282</v>
      </c>
      <c r="B56" s="163"/>
      <c r="C56" s="168" t="s">
        <v>451</v>
      </c>
      <c r="D56" s="169"/>
      <c r="E56" s="170"/>
      <c r="F56" s="18" t="s">
        <v>40</v>
      </c>
      <c r="G56" s="218">
        <v>45330</v>
      </c>
      <c r="H56" s="219"/>
      <c r="R56"/>
      <c r="S56" s="73"/>
      <c r="T56" s="56" t="s">
        <v>263</v>
      </c>
      <c r="U56" s="56" t="s">
        <v>273</v>
      </c>
      <c r="V56" s="73"/>
      <c r="W56" s="21"/>
      <c r="X56" s="21"/>
    </row>
    <row r="57" spans="1:24" s="23" customFormat="1" ht="33" customHeight="1" x14ac:dyDescent="0.25">
      <c r="A57" s="164"/>
      <c r="B57" s="165"/>
      <c r="C57" s="168" t="s">
        <v>452</v>
      </c>
      <c r="D57" s="169"/>
      <c r="E57" s="169"/>
      <c r="F57" s="169"/>
      <c r="G57" s="169"/>
      <c r="H57" s="170"/>
      <c r="R57"/>
      <c r="S57" s="73"/>
      <c r="T57" s="56" t="s">
        <v>265</v>
      </c>
      <c r="U57" s="56" t="s">
        <v>274</v>
      </c>
      <c r="V57" s="73"/>
      <c r="W57" s="21"/>
      <c r="X57" s="21"/>
    </row>
    <row r="58" spans="1:24" s="23" customFormat="1" ht="15.75" customHeight="1" x14ac:dyDescent="0.25">
      <c r="A58" s="162" t="s">
        <v>353</v>
      </c>
      <c r="B58" s="163"/>
      <c r="C58" s="168" t="s">
        <v>449</v>
      </c>
      <c r="D58" s="169"/>
      <c r="E58" s="170"/>
      <c r="F58" s="18" t="s">
        <v>40</v>
      </c>
      <c r="G58" s="218">
        <v>44728</v>
      </c>
      <c r="H58" s="219"/>
      <c r="R58"/>
      <c r="S58" s="73"/>
      <c r="T58" s="56" t="s">
        <v>266</v>
      </c>
      <c r="U58" s="73" t="s">
        <v>296</v>
      </c>
      <c r="V58" s="73"/>
      <c r="W58" s="21"/>
      <c r="X58" s="21"/>
    </row>
    <row r="59" spans="1:24" s="23" customFormat="1" ht="33.75" customHeight="1" x14ac:dyDescent="0.25">
      <c r="A59" s="164"/>
      <c r="B59" s="165"/>
      <c r="C59" s="132" t="s">
        <v>450</v>
      </c>
      <c r="D59" s="132"/>
      <c r="E59" s="132"/>
      <c r="F59" s="18" t="s">
        <v>354</v>
      </c>
      <c r="G59" s="218">
        <v>47649</v>
      </c>
      <c r="H59" s="219"/>
      <c r="R59"/>
      <c r="S59" s="73"/>
      <c r="T59" s="56" t="s">
        <v>267</v>
      </c>
      <c r="U59" s="73"/>
      <c r="V59" s="73"/>
      <c r="W59" s="21"/>
      <c r="X59" s="21"/>
    </row>
    <row r="60" spans="1:24" x14ac:dyDescent="0.25">
      <c r="A60" s="143" t="s">
        <v>42</v>
      </c>
      <c r="B60" s="144"/>
      <c r="C60" s="143" t="s">
        <v>101</v>
      </c>
      <c r="D60" s="145"/>
      <c r="E60" s="144"/>
      <c r="F60" s="45" t="s">
        <v>40</v>
      </c>
      <c r="G60" s="149" t="s">
        <v>28</v>
      </c>
      <c r="H60" s="150"/>
      <c r="R60"/>
      <c r="S60" s="73"/>
      <c r="T60" s="56" t="s">
        <v>269</v>
      </c>
      <c r="U60" s="73"/>
      <c r="V60" s="73"/>
    </row>
    <row r="61" spans="1:24" x14ac:dyDescent="0.25">
      <c r="A61" s="188" t="s">
        <v>43</v>
      </c>
      <c r="B61" s="188"/>
      <c r="C61" s="188"/>
      <c r="D61" s="188"/>
      <c r="E61" s="188"/>
      <c r="F61" s="188"/>
      <c r="G61" s="188"/>
      <c r="H61" s="188"/>
      <c r="S61" s="73"/>
      <c r="T61" s="56" t="s">
        <v>278</v>
      </c>
      <c r="U61" s="73"/>
      <c r="V61" s="73"/>
    </row>
    <row r="62" spans="1:24" x14ac:dyDescent="0.25">
      <c r="A62" s="132" t="s">
        <v>87</v>
      </c>
      <c r="B62" s="132"/>
      <c r="C62" s="132"/>
      <c r="D62" s="146">
        <f>E46</f>
        <v>60346.52</v>
      </c>
      <c r="E62" s="146"/>
      <c r="F62" s="146"/>
      <c r="G62" s="146"/>
      <c r="H62" s="146"/>
      <c r="R62"/>
    </row>
    <row r="63" spans="1:24" x14ac:dyDescent="0.25">
      <c r="A63" s="195" t="s">
        <v>44</v>
      </c>
      <c r="B63" s="190"/>
      <c r="C63" s="190"/>
      <c r="D63" s="142" t="s">
        <v>444</v>
      </c>
      <c r="E63" s="142"/>
      <c r="F63" s="142"/>
      <c r="G63" s="142"/>
      <c r="H63" s="142"/>
      <c r="I63" s="24"/>
      <c r="R63"/>
    </row>
    <row r="64" spans="1:24" ht="33" customHeight="1" x14ac:dyDescent="0.25">
      <c r="A64" s="195" t="s">
        <v>45</v>
      </c>
      <c r="B64" s="195"/>
      <c r="C64" s="195"/>
      <c r="D64" s="194" t="s">
        <v>447</v>
      </c>
      <c r="E64" s="142"/>
      <c r="F64" s="142"/>
      <c r="G64" s="142"/>
      <c r="H64" s="142"/>
      <c r="R64"/>
    </row>
    <row r="65" spans="1:19" x14ac:dyDescent="0.25">
      <c r="A65" s="195" t="s">
        <v>85</v>
      </c>
      <c r="B65" s="195"/>
      <c r="C65" s="195"/>
      <c r="D65" s="194" t="s">
        <v>448</v>
      </c>
      <c r="E65" s="142"/>
      <c r="F65" s="142"/>
      <c r="G65" s="142"/>
      <c r="H65" s="142"/>
      <c r="I65" s="79" t="s">
        <v>378</v>
      </c>
      <c r="R65"/>
    </row>
    <row r="66" spans="1:19" ht="15.75" hidden="1" customHeight="1" x14ac:dyDescent="0.25">
      <c r="A66" s="195"/>
      <c r="B66" s="195"/>
      <c r="C66" s="195"/>
      <c r="D66" s="174" t="s">
        <v>297</v>
      </c>
      <c r="E66" s="174"/>
      <c r="F66" s="174"/>
      <c r="G66" s="174"/>
      <c r="H66" s="174"/>
      <c r="R66"/>
    </row>
    <row r="67" spans="1:19" ht="15.75" hidden="1" customHeight="1" x14ac:dyDescent="0.25">
      <c r="A67" s="195"/>
      <c r="B67" s="195"/>
      <c r="C67" s="195"/>
      <c r="D67" s="174" t="s">
        <v>167</v>
      </c>
      <c r="E67" s="174"/>
      <c r="F67" s="174"/>
      <c r="G67" s="174"/>
      <c r="H67" s="174"/>
      <c r="S67"/>
    </row>
    <row r="68" spans="1:19" ht="32.25" customHeight="1" x14ac:dyDescent="0.25">
      <c r="A68" s="132" t="s">
        <v>413</v>
      </c>
      <c r="B68" s="146"/>
      <c r="C68" s="146"/>
      <c r="D68" s="194" t="s">
        <v>456</v>
      </c>
      <c r="E68" s="194"/>
      <c r="F68" s="194"/>
      <c r="G68" s="194"/>
      <c r="H68" s="194"/>
      <c r="J68" s="25"/>
      <c r="K68" s="24"/>
      <c r="N68" s="24"/>
      <c r="S68"/>
    </row>
    <row r="69" spans="1:19" ht="15.75" customHeight="1" x14ac:dyDescent="0.25">
      <c r="A69" s="146" t="s">
        <v>83</v>
      </c>
      <c r="B69" s="146"/>
      <c r="C69" s="146"/>
      <c r="D69" s="212" t="str">
        <f>(IF(G60="NA","60 Years After Completion",IF(G60&lt;&gt;"NA",""&amp;60-ROUNDDOWN((E3-G60)/360,0)&amp;" Years"," ")))</f>
        <v>60 Years After Completion</v>
      </c>
      <c r="E69" s="212"/>
      <c r="F69" s="212"/>
      <c r="G69" s="212"/>
      <c r="H69" s="212"/>
      <c r="N69" s="24"/>
      <c r="S69"/>
    </row>
    <row r="70" spans="1:19" ht="15.75" customHeight="1" x14ac:dyDescent="0.25">
      <c r="A70" s="146" t="s">
        <v>84</v>
      </c>
      <c r="B70" s="146"/>
      <c r="C70" s="146"/>
      <c r="D70" s="132" t="s">
        <v>23</v>
      </c>
      <c r="E70" s="132"/>
      <c r="F70" s="132"/>
      <c r="G70" s="132"/>
      <c r="H70" s="132"/>
      <c r="J70" s="26"/>
      <c r="K70" s="26"/>
      <c r="S70"/>
    </row>
    <row r="71" spans="1:19" ht="31.5" customHeight="1" x14ac:dyDescent="0.25">
      <c r="A71" s="142" t="s">
        <v>438</v>
      </c>
      <c r="B71" s="142"/>
      <c r="C71" s="142"/>
      <c r="D71" s="195" t="s">
        <v>379</v>
      </c>
      <c r="E71" s="132"/>
      <c r="F71" s="132"/>
      <c r="G71" s="132"/>
      <c r="H71" s="132"/>
      <c r="I71" s="80" t="s">
        <v>380</v>
      </c>
      <c r="S71"/>
    </row>
    <row r="72" spans="1:19" x14ac:dyDescent="0.25">
      <c r="A72" s="132" t="s">
        <v>147</v>
      </c>
      <c r="B72" s="132"/>
      <c r="C72" s="132"/>
      <c r="D72" s="132" t="s">
        <v>28</v>
      </c>
      <c r="E72" s="132"/>
      <c r="F72" s="132"/>
      <c r="G72" s="132"/>
      <c r="H72" s="132"/>
      <c r="I72" s="27"/>
      <c r="J72" s="27"/>
      <c r="K72" s="27"/>
      <c r="L72" s="27"/>
      <c r="M72" s="27"/>
      <c r="N72" s="27"/>
    </row>
    <row r="73" spans="1:19" ht="15.75" customHeight="1" x14ac:dyDescent="0.25">
      <c r="A73" s="211" t="s">
        <v>82</v>
      </c>
      <c r="B73" s="211"/>
      <c r="C73" s="211"/>
      <c r="D73" s="133" t="str">
        <f ca="1">(IF(G79&gt;95%,"Nothing",IF(G79&gt;0%,"Cement, Aggregate, Steel, etc",IF(G79=0%,"Work not yet Started"))))</f>
        <v>Cement, Aggregate, Steel, etc</v>
      </c>
      <c r="E73" s="133"/>
      <c r="F73" s="133"/>
      <c r="G73" s="133"/>
      <c r="H73" s="133"/>
      <c r="J73" s="26"/>
      <c r="S73"/>
    </row>
    <row r="74" spans="1:19" ht="33.75" customHeight="1" thickBot="1" x14ac:dyDescent="0.3">
      <c r="A74" s="210" t="s">
        <v>114</v>
      </c>
      <c r="B74" s="210"/>
      <c r="C74" s="210"/>
      <c r="D74" s="133" t="str">
        <f ca="1">(IF(D73="Nothing","Yes",IF(D73="Cement, Aggregate, Steel, etc","Under Construction",IF(D73="Work not yet Started","Work not yet Started"))))</f>
        <v>Under Construction</v>
      </c>
      <c r="E74" s="133"/>
      <c r="F74" s="133" t="str">
        <f ca="1">(IF(D73="Nothing","Yes",IF(D73="Cement, Aggregate, Steel, etc","Under Construction",IF(D73="Work not yet Started","Work not yet Started"))))</f>
        <v>Under Construction</v>
      </c>
      <c r="G74" s="133"/>
      <c r="H74" s="133"/>
      <c r="S74"/>
    </row>
    <row r="75" spans="1:19" ht="15.75" customHeight="1" x14ac:dyDescent="0.25">
      <c r="A75" s="203" t="s">
        <v>137</v>
      </c>
      <c r="B75" s="204"/>
      <c r="C75" s="205" t="str">
        <f>D65</f>
        <v>Tower 1, 2 &amp; 4 = 1B + G + 3P + Service Floor + 1st to 35th Floor</v>
      </c>
      <c r="D75" s="206"/>
      <c r="E75" s="206"/>
      <c r="F75" s="206"/>
      <c r="G75" s="206"/>
      <c r="H75" s="207"/>
      <c r="I75" s="49" t="str">
        <f ca="1">IF(D88=100%,"All work Completed. Possession granted to the Building.",IF(D87=100%,"All work Completed, Waiting for OC",I76&amp;""&amp;I77&amp;""&amp;J76&amp;""&amp;J75&amp;" "&amp;J77))</f>
        <v xml:space="preserve">Excavation Completed, Plinth work is process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6" t="s">
        <v>139</v>
      </c>
      <c r="B76" s="47">
        <f>IF(AND(ISNUMBER(SEARCH("1B",C75))),1,IF(AND(ISNUMBER(SEARCH("2B",C75))),2,IF(AND(ISNUMBER(SEARCH("3B",C75))),3,IF(AND(ISNUMBER(SEARCH("4B",C75))),4,IF(ISNUMBER(SEARCH("5B",C75)),5,0)))))</f>
        <v>1</v>
      </c>
      <c r="C76" s="47" t="s">
        <v>68</v>
      </c>
      <c r="D76" s="47">
        <v>1</v>
      </c>
      <c r="E76" s="47" t="s">
        <v>67</v>
      </c>
      <c r="F76" s="83">
        <v>3</v>
      </c>
      <c r="G76" s="48" t="s">
        <v>76</v>
      </c>
      <c r="H76" s="17">
        <f ca="1">--TRIM(RIGHT(SUBSTITUTE(LEFT(C75,_xlfn.AGGREGATE(16,6,FIND({0,1,2,3,4,5,6,7,8,9},C75,ROW(INDIRECT("1:"&amp;LEN(C75)))),1))," ",REPT(" ",LEN(C75))),LEN(C75)))</f>
        <v>35</v>
      </c>
      <c r="I76" s="51" t="str">
        <f ca="1">IF(D79=100%,"Excavation","")&amp;IF(D80=100%,", Plinth","")&amp;IF(D81=100%,", RCC Slab","")&amp;IF(D82=100%,", Brickwork","")&amp;IF(D83=100%,", Internal Plaster","")&amp;IF(D84=100%,", External Plaster","")&amp;IF(D85=100%,", Flooring","")&amp;IF(D86=100%,", Painting","")&amp;IF(D87=100%,", Building common Amenities","")</f>
        <v>Excavation</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Plinth work is process</v>
      </c>
      <c r="S76"/>
    </row>
    <row r="77" spans="1:19" x14ac:dyDescent="0.25">
      <c r="A77" s="202" t="s">
        <v>86</v>
      </c>
      <c r="B77" s="191"/>
      <c r="C77" s="208" t="str">
        <f ca="1">I75</f>
        <v xml:space="preserve">Excavation Completed, Plinth work is process </v>
      </c>
      <c r="D77" s="208"/>
      <c r="E77" s="208"/>
      <c r="F77" s="208"/>
      <c r="G77" s="208"/>
      <c r="H77" s="209"/>
      <c r="I77" s="51" t="str">
        <f ca="1">IF(I76&lt;&gt;""," Completed","")</f>
        <v xml:space="preserve"> Completed</v>
      </c>
      <c r="J77" s="52" t="str">
        <f ca="1">IF(J75&lt;&gt;"","Completed","")</f>
        <v/>
      </c>
      <c r="S77"/>
    </row>
    <row r="78" spans="1:19" ht="15.75" customHeight="1" x14ac:dyDescent="0.25">
      <c r="A78" s="134" t="s">
        <v>46</v>
      </c>
      <c r="B78" s="135"/>
      <c r="C78" s="43" t="s">
        <v>136</v>
      </c>
      <c r="D78" s="43" t="s">
        <v>79</v>
      </c>
      <c r="E78" s="135" t="s">
        <v>81</v>
      </c>
      <c r="F78" s="135"/>
      <c r="G78" s="135" t="s">
        <v>80</v>
      </c>
      <c r="H78" s="136"/>
      <c r="I78" s="13" t="s">
        <v>138</v>
      </c>
      <c r="J78" s="28">
        <f ca="1">H76*25%</f>
        <v>8.75</v>
      </c>
      <c r="S78"/>
    </row>
    <row r="79" spans="1:19" x14ac:dyDescent="0.25">
      <c r="A79" s="134" t="s">
        <v>125</v>
      </c>
      <c r="B79" s="135"/>
      <c r="C79" s="43">
        <f ca="1">J80</f>
        <v>35</v>
      </c>
      <c r="D79" s="19">
        <f ca="1">((100/H76)*C79)/100</f>
        <v>1</v>
      </c>
      <c r="E79" s="230">
        <f ca="1">(((C80/H76*10)+(40/(D76+F76+H76)*C81)+(7.5/(H76)*C82)+(7.5/(H76)*C83)+(10/H76*C84)+(10/H76*C85)+(5/H76*C86)+(5/H76*C87)+(5/H76*C88))/100)</f>
        <v>7.4999999999999997E-2</v>
      </c>
      <c r="F79" s="242"/>
      <c r="G79" s="230">
        <f ca="1">((((C79/H76)*20)+((C80/H76)*25)+(30/(H76+F76+D76)*C81)+(5/H76*C82)+(5/H76*C83)+(5/H76*C84)+(5/H76*C85)+(0/H76*C86)+(0/H76*C87)+(5/H76*C88))/100)</f>
        <v>0.38750000000000001</v>
      </c>
      <c r="H79" s="231"/>
      <c r="I79" s="13" t="s">
        <v>96</v>
      </c>
      <c r="J79" s="29">
        <f ca="1">H76*50%</f>
        <v>17.5</v>
      </c>
    </row>
    <row r="80" spans="1:19" x14ac:dyDescent="0.25">
      <c r="A80" s="134" t="s">
        <v>47</v>
      </c>
      <c r="B80" s="135"/>
      <c r="C80" s="88">
        <f ca="1">J87</f>
        <v>26.25</v>
      </c>
      <c r="D80" s="19">
        <f ca="1">((100/H76)*C80)/100</f>
        <v>0.75</v>
      </c>
      <c r="E80" s="232"/>
      <c r="F80" s="243"/>
      <c r="G80" s="232"/>
      <c r="H80" s="233"/>
      <c r="I80" s="13" t="s">
        <v>97</v>
      </c>
      <c r="J80" s="29">
        <f ca="1">H76</f>
        <v>35</v>
      </c>
      <c r="S80"/>
    </row>
    <row r="81" spans="1:19" ht="15.75" customHeight="1" x14ac:dyDescent="0.25">
      <c r="A81" s="134" t="s">
        <v>126</v>
      </c>
      <c r="B81" s="135"/>
      <c r="C81" s="43">
        <v>0</v>
      </c>
      <c r="D81" s="19">
        <f ca="1">((100/(D76+F76+H76))*C81)/100</f>
        <v>0</v>
      </c>
      <c r="E81" s="232"/>
      <c r="F81" s="243"/>
      <c r="G81" s="232"/>
      <c r="H81" s="233"/>
      <c r="I81" s="13" t="s">
        <v>98</v>
      </c>
      <c r="J81" s="30">
        <f ca="1">(IF(B76&gt;1,(H76/(B76+2)),H76/4))</f>
        <v>8.75</v>
      </c>
      <c r="S81"/>
    </row>
    <row r="82" spans="1:19" ht="15.75" customHeight="1" x14ac:dyDescent="0.25">
      <c r="A82" s="134" t="s">
        <v>133</v>
      </c>
      <c r="B82" s="135" t="s">
        <v>127</v>
      </c>
      <c r="C82" s="43">
        <v>0</v>
      </c>
      <c r="D82" s="19">
        <f ca="1">((100/H76)*C82)/100</f>
        <v>0</v>
      </c>
      <c r="E82" s="232"/>
      <c r="F82" s="243"/>
      <c r="G82" s="232"/>
      <c r="H82" s="233"/>
      <c r="I82" s="13" t="s">
        <v>99</v>
      </c>
      <c r="J82" s="30">
        <f ca="1">(IF(B76&gt;1,(H76/(B76+2)+J81),H76/4+J81))</f>
        <v>17.5</v>
      </c>
    </row>
    <row r="83" spans="1:19" ht="15.75" customHeight="1" x14ac:dyDescent="0.25">
      <c r="A83" s="134" t="s">
        <v>134</v>
      </c>
      <c r="B83" s="135" t="s">
        <v>127</v>
      </c>
      <c r="C83" s="43">
        <v>0</v>
      </c>
      <c r="D83" s="19">
        <f ca="1">((100/H76)*C83)/100</f>
        <v>0</v>
      </c>
      <c r="E83" s="232"/>
      <c r="F83" s="243"/>
      <c r="G83" s="232"/>
      <c r="H83" s="233"/>
      <c r="I83" s="13" t="s">
        <v>145</v>
      </c>
      <c r="J83" s="30">
        <f>(IF(B76&gt;1,(H76/(B76+2)+J82),0))</f>
        <v>0</v>
      </c>
    </row>
    <row r="84" spans="1:19" ht="15" customHeight="1" x14ac:dyDescent="0.25">
      <c r="A84" s="134" t="s">
        <v>132</v>
      </c>
      <c r="B84" s="135" t="s">
        <v>129</v>
      </c>
      <c r="C84" s="43">
        <v>0</v>
      </c>
      <c r="D84" s="19">
        <f ca="1">((100/(H76))*C84)/100</f>
        <v>0</v>
      </c>
      <c r="E84" s="232"/>
      <c r="F84" s="243"/>
      <c r="G84" s="232"/>
      <c r="H84" s="233"/>
      <c r="I84" s="13" t="s">
        <v>140</v>
      </c>
      <c r="J84" s="30">
        <f>(IF(B76&gt;2,(H76/(B76+2)+J83),0))</f>
        <v>0</v>
      </c>
    </row>
    <row r="85" spans="1:19" ht="15.75" customHeight="1" x14ac:dyDescent="0.25">
      <c r="A85" s="134" t="s">
        <v>128</v>
      </c>
      <c r="B85" s="135" t="s">
        <v>128</v>
      </c>
      <c r="C85" s="43">
        <v>0</v>
      </c>
      <c r="D85" s="19">
        <f ca="1">((100/H76)*C85)/100</f>
        <v>0</v>
      </c>
      <c r="E85" s="232"/>
      <c r="F85" s="243"/>
      <c r="G85" s="232"/>
      <c r="H85" s="233"/>
      <c r="I85" s="13" t="s">
        <v>141</v>
      </c>
      <c r="J85" s="31">
        <f>(IF(B76&gt;3,(H76/(B76+2)+J84),0))</f>
        <v>0</v>
      </c>
    </row>
    <row r="86" spans="1:19" ht="15.75" customHeight="1" x14ac:dyDescent="0.25">
      <c r="A86" s="134" t="s">
        <v>135</v>
      </c>
      <c r="B86" s="135"/>
      <c r="C86" s="43">
        <v>0</v>
      </c>
      <c r="D86" s="19">
        <f ca="1">((100/H76)*C86)/100</f>
        <v>0</v>
      </c>
      <c r="E86" s="232"/>
      <c r="F86" s="243"/>
      <c r="G86" s="232"/>
      <c r="H86" s="233"/>
      <c r="I86" s="13" t="s">
        <v>142</v>
      </c>
      <c r="J86" s="30">
        <f>(IF(B76&gt;4,(H76/(B76+2)+J85),0))</f>
        <v>0</v>
      </c>
    </row>
    <row r="87" spans="1:19" ht="15.75" customHeight="1" x14ac:dyDescent="0.25">
      <c r="A87" s="134" t="s">
        <v>130</v>
      </c>
      <c r="B87" s="135" t="s">
        <v>130</v>
      </c>
      <c r="C87" s="43">
        <v>0</v>
      </c>
      <c r="D87" s="19">
        <f ca="1">((100/(H76))*C87)/100</f>
        <v>0</v>
      </c>
      <c r="E87" s="232"/>
      <c r="F87" s="243"/>
      <c r="G87" s="232"/>
      <c r="H87" s="233"/>
      <c r="I87" s="13" t="s">
        <v>146</v>
      </c>
      <c r="J87" s="30">
        <f ca="1">(IF(B76=1,(H76/(B76+3)+J82),IF(B76=0,(H76/4+J82),IF(B76&gt;1,0))))</f>
        <v>26.25</v>
      </c>
    </row>
    <row r="88" spans="1:19" ht="16.5" thickBot="1" x14ac:dyDescent="0.3">
      <c r="A88" s="155" t="s">
        <v>131</v>
      </c>
      <c r="B88" s="156"/>
      <c r="C88" s="44">
        <v>0</v>
      </c>
      <c r="D88" s="20">
        <f ca="1">((100/(H76))*C88)/100</f>
        <v>0</v>
      </c>
      <c r="E88" s="234"/>
      <c r="F88" s="244"/>
      <c r="G88" s="234"/>
      <c r="H88" s="235"/>
      <c r="I88" s="15" t="s">
        <v>100</v>
      </c>
      <c r="J88" s="32">
        <f ca="1">(IF(B76&gt;1.5,(H76/(B76+2)+J82+MAX(0,J83-J82)+MAX(0,J84-J83)+MAX(0,J85-J84)+MAX(0,J86-J85)+MAX(0,J87-J86)),IF(B76=1,(H76/(B76+3)+J87),IF(B76=0,H76/4+J87))))</f>
        <v>35</v>
      </c>
    </row>
    <row r="89" spans="1:19" ht="15.75" hidden="1" customHeight="1" x14ac:dyDescent="0.25">
      <c r="A89" s="203" t="s">
        <v>137</v>
      </c>
      <c r="B89" s="204"/>
      <c r="C89" s="205" t="str">
        <f>D66</f>
        <v>B Wing = 1B + G + 1st to 19th Floor</v>
      </c>
      <c r="D89" s="206"/>
      <c r="E89" s="206"/>
      <c r="F89" s="206"/>
      <c r="G89" s="206"/>
      <c r="H89" s="207"/>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139</v>
      </c>
      <c r="B90" s="47">
        <f>IF(AND(ISNUMBER(SEARCH("1B",C89))),1,IF(AND(ISNUMBER(SEARCH("2B",C89))),2,IF(AND(ISNUMBER(SEARCH("3B",C89))),3,IF(AND(ISNUMBER(SEARCH("4B",C89))),4,IF(ISNUMBER(SEARCH("5B",C89)),5,0)))))</f>
        <v>1</v>
      </c>
      <c r="C90" s="47" t="s">
        <v>68</v>
      </c>
      <c r="D90" s="47">
        <v>1</v>
      </c>
      <c r="E90" s="47" t="s">
        <v>67</v>
      </c>
      <c r="F90" s="14">
        <v>0</v>
      </c>
      <c r="G90" s="48" t="s">
        <v>76</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202" t="s">
        <v>86</v>
      </c>
      <c r="B91" s="191"/>
      <c r="C91" s="208" t="str">
        <f ca="1">I89</f>
        <v xml:space="preserve">Excavation, Plinth Completed </v>
      </c>
      <c r="D91" s="208"/>
      <c r="E91" s="208"/>
      <c r="F91" s="208"/>
      <c r="G91" s="208"/>
      <c r="H91" s="209"/>
      <c r="I91" s="51" t="str">
        <f ca="1">IF(I90&lt;&gt;""," Completed","")</f>
        <v xml:space="preserve"> Completed</v>
      </c>
      <c r="J91" s="52" t="str">
        <f ca="1">IF(J89&lt;&gt;"","Completed","")</f>
        <v/>
      </c>
      <c r="S91"/>
    </row>
    <row r="92" spans="1:19" ht="15.75" hidden="1" customHeight="1" x14ac:dyDescent="0.25">
      <c r="A92" s="134" t="s">
        <v>46</v>
      </c>
      <c r="B92" s="135"/>
      <c r="C92" s="43" t="s">
        <v>136</v>
      </c>
      <c r="D92" s="43" t="s">
        <v>79</v>
      </c>
      <c r="E92" s="135" t="s">
        <v>81</v>
      </c>
      <c r="F92" s="135"/>
      <c r="G92" s="135" t="s">
        <v>80</v>
      </c>
      <c r="H92" s="136"/>
      <c r="I92" s="13" t="s">
        <v>138</v>
      </c>
      <c r="J92" s="28">
        <f ca="1">H90*25%</f>
        <v>4.75</v>
      </c>
      <c r="S92"/>
    </row>
    <row r="93" spans="1:19" hidden="1" x14ac:dyDescent="0.25">
      <c r="A93" s="134" t="s">
        <v>125</v>
      </c>
      <c r="B93" s="135"/>
      <c r="C93" s="59">
        <f ca="1">J94</f>
        <v>19</v>
      </c>
      <c r="D93" s="19">
        <f ca="1">((100/H90)*C93)/100</f>
        <v>1</v>
      </c>
      <c r="E93" s="230">
        <f ca="1">(((C94/H90*10)+(40/(D90+F90+H90)*C95)+(7.5/(H90)*C96)+(7.5/(H90)*C97)+(10/H90*C98)+(10/H90*C99)+(5/H90*C100)+(5/H90*C101)+(5/H90*C102))/100)</f>
        <v>0.1</v>
      </c>
      <c r="F93" s="242"/>
      <c r="G93" s="230">
        <f ca="1">((((C93/H90)*20)+((C94/H90)*25)+(30/(H90+F90+D90)*C95)+(5/H90*C96)+(5/H90*C97)+(5/H90*C98)+(5/H90*C99)+(0/H90*C100)+(0/H90*C101)+(5/H90*C102))/100)</f>
        <v>0.45</v>
      </c>
      <c r="H93" s="231"/>
      <c r="I93" s="13" t="s">
        <v>96</v>
      </c>
      <c r="J93" s="29">
        <f ca="1">H90*50%</f>
        <v>9.5</v>
      </c>
    </row>
    <row r="94" spans="1:19" hidden="1" x14ac:dyDescent="0.25">
      <c r="A94" s="134" t="s">
        <v>47</v>
      </c>
      <c r="B94" s="135"/>
      <c r="C94" s="43">
        <f ca="1">J102</f>
        <v>19</v>
      </c>
      <c r="D94" s="19">
        <f ca="1">((100/H90)*C94)/100</f>
        <v>1</v>
      </c>
      <c r="E94" s="232"/>
      <c r="F94" s="243"/>
      <c r="G94" s="232"/>
      <c r="H94" s="233"/>
      <c r="I94" s="13" t="s">
        <v>97</v>
      </c>
      <c r="J94" s="29">
        <f ca="1">H90</f>
        <v>19</v>
      </c>
      <c r="S94"/>
    </row>
    <row r="95" spans="1:19" ht="15.75" hidden="1" customHeight="1" x14ac:dyDescent="0.25">
      <c r="A95" s="134" t="s">
        <v>126</v>
      </c>
      <c r="B95" s="135"/>
      <c r="C95" s="43">
        <v>0</v>
      </c>
      <c r="D95" s="19">
        <f ca="1">((100/(D90+F90+H90))*C95)/100</f>
        <v>0</v>
      </c>
      <c r="E95" s="232"/>
      <c r="F95" s="243"/>
      <c r="G95" s="232"/>
      <c r="H95" s="233"/>
      <c r="I95" s="13" t="s">
        <v>98</v>
      </c>
      <c r="J95" s="30">
        <f ca="1">(IF(B90&gt;1,(H90/(B90+2)),H90/4))</f>
        <v>4.75</v>
      </c>
      <c r="S95"/>
    </row>
    <row r="96" spans="1:19" ht="15.75" hidden="1" customHeight="1" x14ac:dyDescent="0.25">
      <c r="A96" s="134" t="s">
        <v>133</v>
      </c>
      <c r="B96" s="135" t="s">
        <v>127</v>
      </c>
      <c r="C96" s="43">
        <v>0</v>
      </c>
      <c r="D96" s="19">
        <f ca="1">((100/H90)*C96)/100</f>
        <v>0</v>
      </c>
      <c r="E96" s="232"/>
      <c r="F96" s="243"/>
      <c r="G96" s="232"/>
      <c r="H96" s="233"/>
      <c r="I96" s="13" t="s">
        <v>99</v>
      </c>
      <c r="J96" s="30">
        <f ca="1">(IF(B90&gt;1,(H90/(B90+2)+J95),H90/4+J95))</f>
        <v>9.5</v>
      </c>
    </row>
    <row r="97" spans="1:19" ht="15.75" hidden="1" customHeight="1" x14ac:dyDescent="0.25">
      <c r="A97" s="134" t="s">
        <v>134</v>
      </c>
      <c r="B97" s="135" t="s">
        <v>127</v>
      </c>
      <c r="C97" s="43">
        <v>0</v>
      </c>
      <c r="D97" s="19">
        <f ca="1">((100/H90)*C97)/100</f>
        <v>0</v>
      </c>
      <c r="E97" s="232"/>
      <c r="F97" s="243"/>
      <c r="G97" s="232"/>
      <c r="H97" s="233"/>
      <c r="I97" s="13" t="s">
        <v>145</v>
      </c>
      <c r="J97" s="30">
        <f>(IF(B90&gt;1,(H90/(B90+2)+J96),0))</f>
        <v>0</v>
      </c>
    </row>
    <row r="98" spans="1:19" ht="15" hidden="1" customHeight="1" x14ac:dyDescent="0.25">
      <c r="A98" s="134" t="s">
        <v>132</v>
      </c>
      <c r="B98" s="135" t="s">
        <v>129</v>
      </c>
      <c r="C98" s="43">
        <v>0</v>
      </c>
      <c r="D98" s="19">
        <f ca="1">((100/(H90))*C98)/100</f>
        <v>0</v>
      </c>
      <c r="E98" s="232"/>
      <c r="F98" s="243"/>
      <c r="G98" s="232"/>
      <c r="H98" s="233"/>
      <c r="I98" s="13" t="s">
        <v>140</v>
      </c>
      <c r="J98" s="30">
        <f>(IF(B90&gt;2,(H90/(B90+2)+J97),0))</f>
        <v>0</v>
      </c>
    </row>
    <row r="99" spans="1:19" ht="15.75" hidden="1" customHeight="1" x14ac:dyDescent="0.25">
      <c r="A99" s="134" t="s">
        <v>128</v>
      </c>
      <c r="B99" s="135" t="s">
        <v>128</v>
      </c>
      <c r="C99" s="43">
        <v>0</v>
      </c>
      <c r="D99" s="19">
        <f ca="1">((100/H90)*C99)/100</f>
        <v>0</v>
      </c>
      <c r="E99" s="232"/>
      <c r="F99" s="243"/>
      <c r="G99" s="232"/>
      <c r="H99" s="233"/>
      <c r="I99" s="13" t="s">
        <v>141</v>
      </c>
      <c r="J99" s="31">
        <f>(IF(B90&gt;3,(H90/(B90+2)+J98),0))</f>
        <v>0</v>
      </c>
    </row>
    <row r="100" spans="1:19" ht="15.75" hidden="1" customHeight="1" x14ac:dyDescent="0.25">
      <c r="A100" s="134" t="s">
        <v>135</v>
      </c>
      <c r="B100" s="135"/>
      <c r="C100" s="43">
        <v>0</v>
      </c>
      <c r="D100" s="19">
        <f ca="1">((100/H90)*C100)/100</f>
        <v>0</v>
      </c>
      <c r="E100" s="232"/>
      <c r="F100" s="243"/>
      <c r="G100" s="232"/>
      <c r="H100" s="233"/>
      <c r="I100" s="13" t="s">
        <v>142</v>
      </c>
      <c r="J100" s="30">
        <f>(IF(B90&gt;4,(H90/(B90+2)+J99),0))</f>
        <v>0</v>
      </c>
    </row>
    <row r="101" spans="1:19" ht="15.75" hidden="1" customHeight="1" x14ac:dyDescent="0.25">
      <c r="A101" s="134" t="s">
        <v>130</v>
      </c>
      <c r="B101" s="135" t="s">
        <v>130</v>
      </c>
      <c r="C101" s="43">
        <v>0</v>
      </c>
      <c r="D101" s="19">
        <f ca="1">((100/(H90))*C101)/100</f>
        <v>0</v>
      </c>
      <c r="E101" s="232"/>
      <c r="F101" s="243"/>
      <c r="G101" s="232"/>
      <c r="H101" s="233"/>
      <c r="I101" s="13" t="s">
        <v>146</v>
      </c>
      <c r="J101" s="30">
        <f ca="1">(IF(B90=1,(H90/(B90+3)+J96),IF(B90=0,(H90/4+J96),IF(B90&gt;1,0))))</f>
        <v>14.25</v>
      </c>
    </row>
    <row r="102" spans="1:19" ht="16.5" hidden="1" thickBot="1" x14ac:dyDescent="0.3">
      <c r="A102" s="155" t="s">
        <v>131</v>
      </c>
      <c r="B102" s="156"/>
      <c r="C102" s="44">
        <v>0</v>
      </c>
      <c r="D102" s="20">
        <f ca="1">((100/(H90))*C102)/100</f>
        <v>0</v>
      </c>
      <c r="E102" s="234"/>
      <c r="F102" s="244"/>
      <c r="G102" s="234"/>
      <c r="H102" s="235"/>
      <c r="I102" s="15" t="s">
        <v>100</v>
      </c>
      <c r="J102" s="32">
        <f ca="1">(IF(B90&gt;1.5,(H90/(B90+2)+J96+MAX(0,J97-J96)+MAX(0,J98-J97)+MAX(0,J99-J98)+MAX(0,J100-J99)+MAX(0,J101-J100)),IF(B90=1,(H90/(B90+3)+J101),IF(B90=0,H90/4+J101))))</f>
        <v>19</v>
      </c>
    </row>
    <row r="103" spans="1:19" ht="15.75" hidden="1" customHeight="1" x14ac:dyDescent="0.25">
      <c r="A103" s="203" t="s">
        <v>137</v>
      </c>
      <c r="B103" s="204"/>
      <c r="C103" s="205" t="str">
        <f>D67</f>
        <v>C Wing = 1B + G + 1st to 20th Floor</v>
      </c>
      <c r="D103" s="206"/>
      <c r="E103" s="206"/>
      <c r="F103" s="206"/>
      <c r="G103" s="206"/>
      <c r="H103" s="207"/>
      <c r="I103" s="49" t="str">
        <f ca="1">IF(D116=100%,"All work Completed. Possession granted to the Building.",IF(D115=100%,"All work Completed, Waiting for OC",I104&amp;""&amp;I105&amp;""&amp;J104&amp;""&amp;J103&amp;" "&amp;J105))</f>
        <v xml:space="preserve">Excavation, Plinth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139</v>
      </c>
      <c r="B104" s="47">
        <f>IF(AND(ISNUMBER(SEARCH("1B",C103))),1,IF(AND(ISNUMBER(SEARCH("2B",C103))),2,IF(AND(ISNUMBER(SEARCH("3B",C103))),3,IF(AND(ISNUMBER(SEARCH("4B",C103))),4,IF(ISNUMBER(SEARCH("5B",C103)),5,0)))))</f>
        <v>1</v>
      </c>
      <c r="C104" s="47" t="s">
        <v>68</v>
      </c>
      <c r="D104" s="47">
        <v>1</v>
      </c>
      <c r="E104" s="47" t="s">
        <v>67</v>
      </c>
      <c r="F104" s="14">
        <v>0</v>
      </c>
      <c r="G104" s="48" t="s">
        <v>76</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25">
      <c r="A105" s="202" t="s">
        <v>86</v>
      </c>
      <c r="B105" s="191"/>
      <c r="C105" s="208" t="str">
        <f ca="1">I103</f>
        <v xml:space="preserve">Excavation, Plinth Completed </v>
      </c>
      <c r="D105" s="208"/>
      <c r="E105" s="208"/>
      <c r="F105" s="208"/>
      <c r="G105" s="208"/>
      <c r="H105" s="209"/>
      <c r="I105" s="51" t="str">
        <f ca="1">IF(I104&lt;&gt;""," Completed","")</f>
        <v xml:space="preserve"> Completed</v>
      </c>
      <c r="J105" s="52" t="str">
        <f ca="1">IF(J103&lt;&gt;"","Completed","")</f>
        <v/>
      </c>
      <c r="S105"/>
    </row>
    <row r="106" spans="1:19" ht="15.75" hidden="1" customHeight="1" x14ac:dyDescent="0.25">
      <c r="A106" s="134" t="s">
        <v>46</v>
      </c>
      <c r="B106" s="135"/>
      <c r="C106" s="43" t="s">
        <v>136</v>
      </c>
      <c r="D106" s="43" t="s">
        <v>79</v>
      </c>
      <c r="E106" s="135" t="s">
        <v>81</v>
      </c>
      <c r="F106" s="135"/>
      <c r="G106" s="135" t="s">
        <v>80</v>
      </c>
      <c r="H106" s="136"/>
      <c r="I106" s="13" t="s">
        <v>138</v>
      </c>
      <c r="J106" s="28">
        <f ca="1">H104*25%</f>
        <v>5</v>
      </c>
      <c r="S106"/>
    </row>
    <row r="107" spans="1:19" hidden="1" x14ac:dyDescent="0.25">
      <c r="A107" s="134" t="s">
        <v>125</v>
      </c>
      <c r="B107" s="135"/>
      <c r="C107" s="59">
        <f ca="1">J108</f>
        <v>20</v>
      </c>
      <c r="D107" s="19">
        <f ca="1">((100/H104)*C107)/100</f>
        <v>1</v>
      </c>
      <c r="E107" s="230">
        <f ca="1">(((C108/H104*10)+(40/(D104+F104+H104)*C109)+(7.5/(H104)*C110)+(7.5/(H104)*C111)+(10/H104*C112)+(10/H104*C113)+(5/H104*C114)+(5/H104*C115)+(5/H104*C116))/100)</f>
        <v>0.1</v>
      </c>
      <c r="F107" s="242"/>
      <c r="G107" s="230">
        <f ca="1">((((C107/H104)*20)+((C108/H104)*25)+(30/(H104+F104+D104)*C109)+(5/H104*C110)+(5/H104*C111)+(5/H104*C112)+(5/H104*C113)+(0/H104*C114)+(0/H104*C115)+(5/H104*C116))/100)</f>
        <v>0.45</v>
      </c>
      <c r="H107" s="231"/>
      <c r="I107" s="13" t="s">
        <v>96</v>
      </c>
      <c r="J107" s="29">
        <f ca="1">H104*50%</f>
        <v>10</v>
      </c>
    </row>
    <row r="108" spans="1:19" hidden="1" x14ac:dyDescent="0.25">
      <c r="A108" s="134" t="s">
        <v>47</v>
      </c>
      <c r="B108" s="135"/>
      <c r="C108" s="43">
        <f ca="1">J116</f>
        <v>20</v>
      </c>
      <c r="D108" s="19">
        <f ca="1">((100/H104)*C108)/100</f>
        <v>1</v>
      </c>
      <c r="E108" s="232"/>
      <c r="F108" s="243"/>
      <c r="G108" s="232"/>
      <c r="H108" s="233"/>
      <c r="I108" s="13" t="s">
        <v>97</v>
      </c>
      <c r="J108" s="29">
        <f ca="1">H104</f>
        <v>20</v>
      </c>
      <c r="S108"/>
    </row>
    <row r="109" spans="1:19" ht="15.75" hidden="1" customHeight="1" x14ac:dyDescent="0.25">
      <c r="A109" s="134" t="s">
        <v>126</v>
      </c>
      <c r="B109" s="135"/>
      <c r="C109" s="43">
        <v>0</v>
      </c>
      <c r="D109" s="19">
        <f ca="1">((100/(D104+F104+H104))*C109)/100</f>
        <v>0</v>
      </c>
      <c r="E109" s="232"/>
      <c r="F109" s="243"/>
      <c r="G109" s="232"/>
      <c r="H109" s="233"/>
      <c r="I109" s="13" t="s">
        <v>98</v>
      </c>
      <c r="J109" s="30">
        <f ca="1">(IF(B104&gt;1,(H104/(B104+2)),H104/4))</f>
        <v>5</v>
      </c>
      <c r="S109"/>
    </row>
    <row r="110" spans="1:19" ht="15.75" hidden="1" customHeight="1" x14ac:dyDescent="0.25">
      <c r="A110" s="134" t="s">
        <v>133</v>
      </c>
      <c r="B110" s="135" t="s">
        <v>127</v>
      </c>
      <c r="C110" s="43">
        <v>0</v>
      </c>
      <c r="D110" s="19">
        <f ca="1">((100/H104)*C110)/100</f>
        <v>0</v>
      </c>
      <c r="E110" s="232"/>
      <c r="F110" s="243"/>
      <c r="G110" s="232"/>
      <c r="H110" s="233"/>
      <c r="I110" s="13" t="s">
        <v>99</v>
      </c>
      <c r="J110" s="30">
        <f ca="1">(IF(B104&gt;1,(H104/(B104+2)+J109),H104/4+J109))</f>
        <v>10</v>
      </c>
    </row>
    <row r="111" spans="1:19" ht="15.75" hidden="1" customHeight="1" x14ac:dyDescent="0.25">
      <c r="A111" s="134" t="s">
        <v>134</v>
      </c>
      <c r="B111" s="135" t="s">
        <v>127</v>
      </c>
      <c r="C111" s="43">
        <v>0</v>
      </c>
      <c r="D111" s="19">
        <f ca="1">((100/H104)*C111)/100</f>
        <v>0</v>
      </c>
      <c r="E111" s="232"/>
      <c r="F111" s="243"/>
      <c r="G111" s="232"/>
      <c r="H111" s="233"/>
      <c r="I111" s="13" t="s">
        <v>145</v>
      </c>
      <c r="J111" s="30">
        <f>(IF(B104&gt;1,(H104/(B104+2)+J110),0))</f>
        <v>0</v>
      </c>
    </row>
    <row r="112" spans="1:19" ht="15" hidden="1" customHeight="1" x14ac:dyDescent="0.25">
      <c r="A112" s="134" t="s">
        <v>132</v>
      </c>
      <c r="B112" s="135" t="s">
        <v>129</v>
      </c>
      <c r="C112" s="43">
        <v>0</v>
      </c>
      <c r="D112" s="19">
        <f ca="1">((100/(H104))*C112)/100</f>
        <v>0</v>
      </c>
      <c r="E112" s="232"/>
      <c r="F112" s="243"/>
      <c r="G112" s="232"/>
      <c r="H112" s="233"/>
      <c r="I112" s="13" t="s">
        <v>140</v>
      </c>
      <c r="J112" s="30">
        <f>(IF(B104&gt;2,(H104/(B104+2)+J111),0))</f>
        <v>0</v>
      </c>
    </row>
    <row r="113" spans="1:22" ht="15.75" hidden="1" customHeight="1" x14ac:dyDescent="0.25">
      <c r="A113" s="134" t="s">
        <v>128</v>
      </c>
      <c r="B113" s="135" t="s">
        <v>128</v>
      </c>
      <c r="C113" s="43">
        <v>0</v>
      </c>
      <c r="D113" s="19">
        <f ca="1">((100/H104)*C113)/100</f>
        <v>0</v>
      </c>
      <c r="E113" s="232"/>
      <c r="F113" s="243"/>
      <c r="G113" s="232"/>
      <c r="H113" s="233"/>
      <c r="I113" s="13" t="s">
        <v>141</v>
      </c>
      <c r="J113" s="31">
        <f>(IF(B104&gt;3,(H104/(B104+2)+J112),0))</f>
        <v>0</v>
      </c>
    </row>
    <row r="114" spans="1:22" ht="15.75" hidden="1" customHeight="1" x14ac:dyDescent="0.25">
      <c r="A114" s="134" t="s">
        <v>135</v>
      </c>
      <c r="B114" s="135"/>
      <c r="C114" s="43">
        <v>0</v>
      </c>
      <c r="D114" s="19">
        <f ca="1">((100/H104)*C114)/100</f>
        <v>0</v>
      </c>
      <c r="E114" s="232"/>
      <c r="F114" s="243"/>
      <c r="G114" s="232"/>
      <c r="H114" s="233"/>
      <c r="I114" s="13" t="s">
        <v>142</v>
      </c>
      <c r="J114" s="30">
        <f>(IF(B104&gt;4,(H104/(B104+2)+J113),0))</f>
        <v>0</v>
      </c>
    </row>
    <row r="115" spans="1:22" ht="15.75" hidden="1" customHeight="1" x14ac:dyDescent="0.25">
      <c r="A115" s="134" t="s">
        <v>130</v>
      </c>
      <c r="B115" s="135" t="s">
        <v>130</v>
      </c>
      <c r="C115" s="43">
        <v>0</v>
      </c>
      <c r="D115" s="19">
        <f ca="1">((100/(H104))*C115)/100</f>
        <v>0</v>
      </c>
      <c r="E115" s="232"/>
      <c r="F115" s="243"/>
      <c r="G115" s="232"/>
      <c r="H115" s="233"/>
      <c r="I115" s="13" t="s">
        <v>146</v>
      </c>
      <c r="J115" s="30">
        <f ca="1">(IF(B104=1,(H104/(B104+3)+J110),IF(B104=0,(H104/4+J110),IF(B104&gt;1,0))))</f>
        <v>15</v>
      </c>
    </row>
    <row r="116" spans="1:22" ht="16.5" hidden="1" thickBot="1" x14ac:dyDescent="0.3">
      <c r="A116" s="155" t="s">
        <v>131</v>
      </c>
      <c r="B116" s="156"/>
      <c r="C116" s="44">
        <v>0</v>
      </c>
      <c r="D116" s="20">
        <f ca="1">((100/(H104))*C116)/100</f>
        <v>0</v>
      </c>
      <c r="E116" s="234"/>
      <c r="F116" s="244"/>
      <c r="G116" s="234"/>
      <c r="H116" s="235"/>
      <c r="I116" s="15" t="s">
        <v>100</v>
      </c>
      <c r="J116" s="32">
        <f ca="1">(IF(B104&gt;1.5,(H104/(B104+2)+J110+MAX(0,J111-J110)+MAX(0,J112-J111)+MAX(0,J113-J112)+MAX(0,J114-J113)+MAX(0,J115-J114)),IF(B104=1,(H104/(B104+3)+J115),IF(B104=0,H104/4+J115))))</f>
        <v>20</v>
      </c>
    </row>
    <row r="117" spans="1:22" x14ac:dyDescent="0.25">
      <c r="A117" s="182" t="s">
        <v>157</v>
      </c>
      <c r="B117" s="182"/>
      <c r="C117" s="182"/>
      <c r="D117" s="182"/>
      <c r="E117" s="182"/>
      <c r="F117" s="178" t="s">
        <v>159</v>
      </c>
      <c r="G117" s="178"/>
      <c r="H117" s="178"/>
      <c r="I117" s="79" t="s">
        <v>442</v>
      </c>
      <c r="R117" t="s">
        <v>253</v>
      </c>
      <c r="S117" t="s">
        <v>171</v>
      </c>
      <c r="T117" t="s">
        <v>180</v>
      </c>
      <c r="U117" t="s">
        <v>194</v>
      </c>
      <c r="V117" t="s">
        <v>189</v>
      </c>
    </row>
    <row r="118" spans="1:22" x14ac:dyDescent="0.25">
      <c r="A118" s="142" t="s">
        <v>158</v>
      </c>
      <c r="B118" s="142"/>
      <c r="C118" s="142"/>
      <c r="D118" s="142"/>
      <c r="E118" s="142"/>
      <c r="F118" s="139">
        <v>17500</v>
      </c>
      <c r="G118" s="139"/>
      <c r="H118" s="139"/>
      <c r="I118" s="79"/>
      <c r="J118" s="21" t="s">
        <v>462</v>
      </c>
      <c r="L118" s="21" t="s">
        <v>463</v>
      </c>
      <c r="N118" s="21" t="s">
        <v>464</v>
      </c>
      <c r="R118"/>
      <c r="S118">
        <v>800000</v>
      </c>
      <c r="T118">
        <v>150000</v>
      </c>
      <c r="U118">
        <v>100000</v>
      </c>
      <c r="V118">
        <v>100000</v>
      </c>
    </row>
    <row r="119" spans="1:22" x14ac:dyDescent="0.25">
      <c r="A119" s="142" t="s">
        <v>439</v>
      </c>
      <c r="B119" s="142"/>
      <c r="C119" s="142"/>
      <c r="D119" s="142"/>
      <c r="E119" s="142"/>
      <c r="F119" s="139">
        <v>22000</v>
      </c>
      <c r="G119" s="139"/>
      <c r="H119" s="139"/>
      <c r="J119" s="21" t="s">
        <v>465</v>
      </c>
      <c r="R119"/>
      <c r="S119">
        <v>900000</v>
      </c>
      <c r="T119">
        <v>200000</v>
      </c>
      <c r="U119">
        <v>150000</v>
      </c>
      <c r="V119">
        <v>150000</v>
      </c>
    </row>
    <row r="120" spans="1:22" x14ac:dyDescent="0.25">
      <c r="A120" s="142" t="s">
        <v>440</v>
      </c>
      <c r="B120" s="142"/>
      <c r="C120" s="142"/>
      <c r="D120" s="142"/>
      <c r="E120" s="142"/>
      <c r="F120" s="139">
        <v>20000</v>
      </c>
      <c r="G120" s="139"/>
      <c r="H120" s="139"/>
      <c r="R120"/>
      <c r="S120">
        <v>1000000</v>
      </c>
      <c r="T120">
        <v>250000</v>
      </c>
      <c r="U120">
        <v>200000</v>
      </c>
      <c r="V120">
        <v>200000</v>
      </c>
    </row>
    <row r="121" spans="1:22" s="33" customFormat="1" hidden="1" x14ac:dyDescent="0.25">
      <c r="A121" s="142" t="s">
        <v>174</v>
      </c>
      <c r="B121" s="142"/>
      <c r="C121" s="142"/>
      <c r="D121" s="142"/>
      <c r="E121" s="142"/>
      <c r="F121" s="139"/>
      <c r="G121" s="139"/>
      <c r="H121" s="139"/>
      <c r="R121"/>
      <c r="S121">
        <v>1100000</v>
      </c>
      <c r="T121">
        <v>300000</v>
      </c>
      <c r="U121">
        <v>250000</v>
      </c>
      <c r="V121" s="23">
        <v>250000</v>
      </c>
    </row>
    <row r="122" spans="1:22" s="33" customFormat="1" x14ac:dyDescent="0.25">
      <c r="A122" s="142" t="s">
        <v>91</v>
      </c>
      <c r="B122" s="142"/>
      <c r="C122" s="142"/>
      <c r="D122" s="142"/>
      <c r="E122" s="142"/>
      <c r="F122" s="187">
        <v>354000</v>
      </c>
      <c r="G122" s="187"/>
      <c r="H122" s="187"/>
      <c r="R122"/>
      <c r="S122">
        <v>1200000</v>
      </c>
      <c r="T122">
        <v>350000</v>
      </c>
      <c r="U122">
        <v>300000</v>
      </c>
      <c r="V122">
        <v>300000</v>
      </c>
    </row>
    <row r="123" spans="1:22" s="33" customFormat="1" x14ac:dyDescent="0.25">
      <c r="A123" s="142" t="s">
        <v>92</v>
      </c>
      <c r="B123" s="142"/>
      <c r="C123" s="142"/>
      <c r="D123" s="142"/>
      <c r="E123" s="142"/>
      <c r="F123" s="187">
        <v>590000</v>
      </c>
      <c r="G123" s="187"/>
      <c r="H123" s="187"/>
      <c r="I123" s="33">
        <v>590000</v>
      </c>
      <c r="R123"/>
      <c r="S123">
        <v>1300000</v>
      </c>
      <c r="T123">
        <v>400000</v>
      </c>
      <c r="U123">
        <v>350000</v>
      </c>
      <c r="V123" s="23">
        <v>400000</v>
      </c>
    </row>
    <row r="124" spans="1:22" s="33" customFormat="1" hidden="1" x14ac:dyDescent="0.25">
      <c r="A124" s="142" t="s">
        <v>93</v>
      </c>
      <c r="B124" s="142"/>
      <c r="C124" s="142"/>
      <c r="D124" s="142"/>
      <c r="E124" s="142"/>
      <c r="F124" s="139"/>
      <c r="G124" s="139"/>
      <c r="H124" s="139"/>
      <c r="R124"/>
      <c r="S124">
        <v>1400000</v>
      </c>
      <c r="T124">
        <v>500000</v>
      </c>
      <c r="U124">
        <v>400000</v>
      </c>
      <c r="V124"/>
    </row>
    <row r="125" spans="1:22" s="33" customFormat="1" x14ac:dyDescent="0.25">
      <c r="A125" s="142" t="s">
        <v>94</v>
      </c>
      <c r="B125" s="142"/>
      <c r="C125" s="142"/>
      <c r="D125" s="142"/>
      <c r="E125" s="142"/>
      <c r="F125" s="187">
        <v>35400</v>
      </c>
      <c r="G125" s="187"/>
      <c r="H125" s="187"/>
      <c r="R125"/>
      <c r="S125">
        <v>1500000</v>
      </c>
      <c r="T125">
        <v>600000</v>
      </c>
      <c r="U125">
        <v>500000</v>
      </c>
      <c r="V125" s="23"/>
    </row>
    <row r="126" spans="1:22" s="33" customFormat="1" x14ac:dyDescent="0.25">
      <c r="A126" s="142" t="s">
        <v>95</v>
      </c>
      <c r="B126" s="142"/>
      <c r="C126" s="142"/>
      <c r="D126" s="142"/>
      <c r="E126" s="142"/>
      <c r="F126" s="187">
        <v>23600</v>
      </c>
      <c r="G126" s="187"/>
      <c r="H126" s="187"/>
      <c r="R126"/>
      <c r="S126">
        <v>1600000</v>
      </c>
      <c r="T126">
        <v>700000</v>
      </c>
      <c r="U126">
        <v>600000</v>
      </c>
      <c r="V126"/>
    </row>
    <row r="127" spans="1:22" s="33" customFormat="1" x14ac:dyDescent="0.25">
      <c r="A127" s="142" t="s">
        <v>467</v>
      </c>
      <c r="B127" s="142"/>
      <c r="C127" s="142"/>
      <c r="D127" s="142"/>
      <c r="E127" s="142"/>
      <c r="F127" s="187">
        <v>110548.95</v>
      </c>
      <c r="G127" s="187"/>
      <c r="H127" s="187"/>
      <c r="R127"/>
      <c r="S127">
        <v>1700000</v>
      </c>
      <c r="T127">
        <v>800000</v>
      </c>
      <c r="U127"/>
      <c r="V127" s="23"/>
    </row>
    <row r="128" spans="1:22" x14ac:dyDescent="0.25">
      <c r="A128" s="142" t="s">
        <v>48</v>
      </c>
      <c r="B128" s="142"/>
      <c r="C128" s="142"/>
      <c r="D128" s="142"/>
      <c r="E128" s="142"/>
      <c r="F128" s="139">
        <v>800000</v>
      </c>
      <c r="G128" s="139"/>
      <c r="H128" s="139"/>
      <c r="R128"/>
      <c r="S128">
        <v>1800000</v>
      </c>
      <c r="T128">
        <v>900000</v>
      </c>
      <c r="U128"/>
    </row>
    <row r="129" spans="1:22" s="34" customFormat="1" x14ac:dyDescent="0.25">
      <c r="A129" s="186" t="s">
        <v>49</v>
      </c>
      <c r="B129" s="186"/>
      <c r="C129" s="186"/>
      <c r="D129" s="186"/>
      <c r="E129" s="186"/>
      <c r="F129" s="187">
        <f>F118*0.8</f>
        <v>14000</v>
      </c>
      <c r="G129" s="187"/>
      <c r="H129" s="187"/>
      <c r="R129" s="21"/>
      <c r="S129" s="21"/>
      <c r="T129">
        <v>1000000</v>
      </c>
      <c r="U129"/>
      <c r="V129" s="21"/>
    </row>
    <row r="130" spans="1:22" s="35" customFormat="1" ht="15.75" customHeight="1" x14ac:dyDescent="0.25">
      <c r="A130" s="185" t="s">
        <v>71</v>
      </c>
      <c r="B130" s="185"/>
      <c r="C130" s="185"/>
      <c r="D130" s="185"/>
      <c r="E130" s="185"/>
      <c r="F130" s="185"/>
      <c r="G130" s="185"/>
      <c r="H130" s="185"/>
      <c r="R130"/>
      <c r="S130" s="21"/>
      <c r="T130"/>
      <c r="U130"/>
      <c r="V130" s="21"/>
    </row>
    <row r="131" spans="1:22" s="35" customFormat="1" ht="15.75" customHeight="1" x14ac:dyDescent="0.25">
      <c r="A131" s="141" t="s">
        <v>50</v>
      </c>
      <c r="B131" s="141"/>
      <c r="C131" s="148" t="s">
        <v>74</v>
      </c>
      <c r="D131" s="148"/>
      <c r="E131" s="147" t="s">
        <v>51</v>
      </c>
      <c r="F131" s="147"/>
      <c r="G131" s="141" t="s">
        <v>52</v>
      </c>
      <c r="H131" s="141"/>
      <c r="R131"/>
      <c r="S131" s="21"/>
      <c r="T131"/>
      <c r="U131" s="21"/>
      <c r="V131" s="21"/>
    </row>
    <row r="132" spans="1:22" s="35" customFormat="1" x14ac:dyDescent="0.25">
      <c r="A132" s="95" t="s">
        <v>383</v>
      </c>
      <c r="B132" s="95"/>
      <c r="C132" s="94">
        <f>COUNT(D151:D167)+COUNT(D171:D176,D179:D181)</f>
        <v>26</v>
      </c>
      <c r="D132" s="154"/>
      <c r="E132" s="94">
        <f t="shared" ref="E132" si="0">COUNT(F151:F167)+SUM(F171:F176,F179:F181)</f>
        <v>12356.1402524</v>
      </c>
      <c r="F132" s="154"/>
      <c r="G132" s="94">
        <f t="shared" ref="G132" si="1">COUNT(H151:H167)+SUM(H171:H176,H179:H181)</f>
        <v>18525.710378599997</v>
      </c>
      <c r="H132" s="154"/>
      <c r="R132"/>
      <c r="S132" s="21"/>
      <c r="T132"/>
      <c r="U132" s="21"/>
      <c r="V132" s="21"/>
    </row>
    <row r="133" spans="1:22" s="35" customFormat="1" x14ac:dyDescent="0.25">
      <c r="A133" s="95" t="s">
        <v>384</v>
      </c>
      <c r="B133" s="95"/>
      <c r="C133" s="94">
        <f>COUNT(D186:D192)+COUNT(D197:D199)</f>
        <v>10</v>
      </c>
      <c r="D133" s="154"/>
      <c r="E133" s="94">
        <f>SUM(F186:F192)+SUM(F197:F199)</f>
        <v>7002.666590400001</v>
      </c>
      <c r="F133" s="154"/>
      <c r="G133" s="94">
        <f>SUM(H186:H192)+SUM(H197:H199)</f>
        <v>10503.9998856</v>
      </c>
      <c r="H133" s="154"/>
      <c r="R133"/>
      <c r="S133" s="21"/>
      <c r="T133"/>
      <c r="U133" s="21"/>
      <c r="V133" s="21"/>
    </row>
    <row r="134" spans="1:22" s="35" customFormat="1" x14ac:dyDescent="0.25">
      <c r="A134" s="185" t="s">
        <v>150</v>
      </c>
      <c r="B134" s="185"/>
      <c r="C134" s="157">
        <f>SUM(C132:D133)</f>
        <v>36</v>
      </c>
      <c r="D134" s="148"/>
      <c r="E134" s="157">
        <f>SUM(E132:F133)</f>
        <v>19358.806842800001</v>
      </c>
      <c r="F134" s="148"/>
      <c r="G134" s="157">
        <f>SUM(G132:H133)</f>
        <v>29029.710264199995</v>
      </c>
      <c r="H134" s="148"/>
      <c r="R134"/>
      <c r="S134" s="21"/>
      <c r="T134"/>
      <c r="U134" s="21"/>
      <c r="V134" s="21"/>
    </row>
    <row r="135" spans="1:22" s="35" customFormat="1" x14ac:dyDescent="0.25">
      <c r="A135" s="185" t="s">
        <v>66</v>
      </c>
      <c r="B135" s="185"/>
      <c r="C135" s="185"/>
      <c r="D135" s="185"/>
      <c r="E135" s="185"/>
      <c r="F135" s="185"/>
      <c r="G135" s="185"/>
      <c r="H135" s="185"/>
      <c r="T135"/>
    </row>
    <row r="136" spans="1:22" s="35" customFormat="1" ht="15.75" customHeight="1" x14ac:dyDescent="0.25">
      <c r="A136" s="141" t="s">
        <v>50</v>
      </c>
      <c r="B136" s="141"/>
      <c r="C136" s="148" t="s">
        <v>74</v>
      </c>
      <c r="D136" s="148"/>
      <c r="E136" s="147" t="s">
        <v>51</v>
      </c>
      <c r="F136" s="147"/>
      <c r="G136" s="141" t="s">
        <v>52</v>
      </c>
      <c r="H136" s="141"/>
      <c r="T136"/>
    </row>
    <row r="137" spans="1:22" s="35" customFormat="1" x14ac:dyDescent="0.25">
      <c r="A137" s="95" t="s">
        <v>388</v>
      </c>
      <c r="B137" s="46" t="s">
        <v>443</v>
      </c>
      <c r="C137" s="94">
        <f>COUNT(D209:D210,D212:D213)+COUNT(D217:D219,D221:D223)+COUNT(D226:D228,D230)+COUNT(D235:D237,D239:D241)+COUNT(D244:D246,D248:D250)+COUNT(D253:D255,D257:D259)*4+COUNT(D262:D264,D266)*2+COUNT(D271:D273,D275:D277)*2+COUNT(D280:D282,D284:D286)*2+COUNT(D289:D291,D293:D295)*8+COUNT(D298:D300,D302)+COUNT(D307:D309,D311:D313)+COUNT(D316:D318,D320:D322)+COUNT(D325:D327,D329:D331)*3+COUNT(D334:D336,D338:D339)</f>
        <v>169</v>
      </c>
      <c r="D137" s="94"/>
      <c r="E137" s="94">
        <f t="shared" ref="E137" si="2">SUM(F209:F210,F212:F213)+SUM(F217:F219,F221:F223)+SUM(F226:F228,F230)+SUM(F235:F237,F239:F241)+SUM(F244:F246,F248:F250)+SUM(F253:F255,F257:F259)*4+SUM(F262:F264,F266)*2+SUM(F271:F273,F275:F277)*2+SUM(F280:F282,F284:F286)*2+SUM(F289:F291,F293:F295)*8+SUM(F298:F300,F302)+SUM(F307:F309,F311:F313)+SUM(F316:F318,F320:F322)+SUM(F325:F327,F329:F331)*3+SUM(F334:F336,F338:F339)</f>
        <v>135087.10853039997</v>
      </c>
      <c r="F137" s="94"/>
      <c r="G137" s="94">
        <f t="shared" ref="G137" si="3">SUM(H209:H210,H212:H213)+SUM(H217:H219,H221:H223)+SUM(H226:H228,H230)+SUM(H235:H237,H239:H241)+SUM(H244:H246,H248:H250)+SUM(H253:H255,H257:H259)*4+SUM(H262:H264,H266)*2+SUM(H271:H273,H275:H277)*2+SUM(H280:H282,H284:H286)*2+SUM(H289:H291,H293:H295)*8+SUM(H298:H300,H302)+SUM(H307:H309,H311:H313)+SUM(H316:H318,H320:H322)+SUM(H325:H327,H329:H331)*3+SUM(H334:H336,H338:H339)</f>
        <v>202630.66279560002</v>
      </c>
      <c r="H137" s="94"/>
      <c r="T137"/>
    </row>
    <row r="138" spans="1:22" s="35" customFormat="1" x14ac:dyDescent="0.25">
      <c r="A138" s="95"/>
      <c r="B138" s="46" t="s">
        <v>427</v>
      </c>
      <c r="C138" s="94">
        <f>COUNT(D211)+COUNT(D220,D224)+COUNT(D229,D233)+COUNT(D238,D242)+COUNT(D247,D251)+COUNT(D256,D260)*4+COUNT(D265,D269)*2+COUNT(D274,D278)*2+COUNT(D283,D287)*2+COUNT(D292,D296)*8+COUNT(D301,D305)+COUNT(D310,D314)+COUNT(D319,D323)+COUNT(D328,D332)*3+COUNT(D337,D341)</f>
        <v>59</v>
      </c>
      <c r="D138" s="94"/>
      <c r="E138" s="94">
        <f>SUM(F211)+SUM(F220,F224)+SUM(F229,F233)+SUM(F238,F242)+SUM(F247,F251)+SUM(F256,F260)*4+SUM(F265,F269)*2+SUM(F274,F278)*2+SUM(F283,F287)*2+SUM(F292,F296)*8+SUM(F301,F305)+SUM(F310,F314)+SUM(F319,F323)+SUM(F328,F332)*3+SUM(F337,F341)</f>
        <v>31357.878551999995</v>
      </c>
      <c r="F138" s="94"/>
      <c r="G138" s="94">
        <f>SUM(H211)+SUM(H220,H224)+SUM(H229,H233)+SUM(H238,H242)+SUM(H247,H251)+SUM(H256,H260)*4+SUM(H265,H269)*2+SUM(H274,H278)*2+SUM(H283,H287)*2+SUM(H292,H296)*8+SUM(H301,H305)+SUM(H310,H314)+SUM(H319,H323)+SUM(H328,H332)*3+SUM(H337,H341)</f>
        <v>47036.817827999985</v>
      </c>
      <c r="H138" s="94"/>
      <c r="T138"/>
    </row>
    <row r="139" spans="1:22" s="35" customFormat="1" x14ac:dyDescent="0.25">
      <c r="A139" s="95" t="s">
        <v>415</v>
      </c>
      <c r="B139" s="46" t="s">
        <v>443</v>
      </c>
      <c r="C139" s="94">
        <f>COUNT(D346:D348)+COUNT(D353:D358)+COUNT(D360,D363:D365)+COUNT(D367:D372)+COUNT(D374:D379)+COUNT(D381:D386)*4+COUNT(D388,D391:D393)*2+COUNT(D395:D400)*2+COUNT(D402:D407)+COUNT(D409:D414)*4+COUNT(D416:D419)+COUNT(D421:D424)*4+COUNT(D426,D429:D430)+COUNT(D432:D435)+COUNT(D437:D440)*4</f>
        <v>142</v>
      </c>
      <c r="D139" s="94"/>
      <c r="E139" s="94">
        <f t="shared" ref="E139" si="4">SUM(F346:F348)+SUM(F353:F358)+SUM(F360,F363:F365)+SUM(F367:F372)+SUM(F374:F379)+SUM(F381:F386)*4+SUM(F388,F391:F393)*2+SUM(F395:F400)*2+SUM(F402:F407)+SUM(F409:F414)*4+SUM(F416:F419)+SUM(F421:F424)*4+SUM(F426,F429:F430)+SUM(F432:F435)+SUM(F437:F440)*4</f>
        <v>155398.7625372</v>
      </c>
      <c r="F139" s="94"/>
      <c r="G139" s="94">
        <f t="shared" ref="G139" si="5">SUM(H346:H348)+SUM(H353:H358)+SUM(H360,H363:H365)+SUM(H367:H372)+SUM(H374:H379)+SUM(H381:H386)*4+SUM(H388,H391:H393)*2+SUM(H395:H400)*2+SUM(H402:H407)+SUM(H409:H414)*4+SUM(H416:H419)+SUM(H421:H424)*4+SUM(H426,H429:H430)+SUM(H432:H435)+SUM(H437:H440)*4</f>
        <v>233098.14380580001</v>
      </c>
      <c r="H139" s="94"/>
      <c r="I139" s="86">
        <f>C138+C140</f>
        <v>63</v>
      </c>
      <c r="T139"/>
    </row>
    <row r="140" spans="1:22" s="35" customFormat="1" x14ac:dyDescent="0.25">
      <c r="A140" s="95"/>
      <c r="B140" s="46" t="s">
        <v>427</v>
      </c>
      <c r="C140" s="94">
        <f>COUNT(D362)+COUNT(D390)*2+COUNT(D428)</f>
        <v>4</v>
      </c>
      <c r="D140" s="94"/>
      <c r="E140" s="94">
        <f>SUM(F362)+SUM(F390)*2+SUM(F428)</f>
        <v>1999.0900799999999</v>
      </c>
      <c r="F140" s="94"/>
      <c r="G140" s="94">
        <f>SUM(H362)+SUM(H390)*2+SUM(H428)</f>
        <v>2998.6351199999999</v>
      </c>
      <c r="H140" s="94"/>
      <c r="T140"/>
    </row>
    <row r="141" spans="1:22" s="35" customFormat="1" x14ac:dyDescent="0.25">
      <c r="A141" s="95" t="s">
        <v>384</v>
      </c>
      <c r="B141" s="95"/>
      <c r="C141" s="94">
        <f>COUNT(D451:D455)+COUNT(D459:D466)+COUNT(D468:D472,D475)+COUNT(D477:D484)+COUNT(D486:D493)*5+COUNT(D495:D499,D502)*3+COUNT(D504:D511)*3+COUNT(D513:D520)*10+COUNT(D522:D529)*4</f>
        <v>221</v>
      </c>
      <c r="D141" s="94"/>
      <c r="E141" s="94">
        <f t="shared" ref="E141" si="6">SUM(F451:F455)+SUM(F459:F466)+SUM(F468:F472,F475)+SUM(F477:F484)+SUM(F486:F493)*5+SUM(F495:F499,F502)*3+SUM(F504:F511)*3+SUM(F513:F520)*10+SUM(F522:F529)*4</f>
        <v>209563.05123000001</v>
      </c>
      <c r="F141" s="94"/>
      <c r="G141" s="94">
        <f t="shared" ref="G141" si="7">SUM(H451:H455)+SUM(H459:H466)+SUM(H468:H472,H475)+SUM(H477:H484)+SUM(H486:H493)*5+SUM(H495:H499,H502)*3+SUM(H504:H511)*3+SUM(H513:H520)*10+SUM(H522:H529)*4</f>
        <v>314344.57684500003</v>
      </c>
      <c r="H141" s="94"/>
      <c r="I141" s="86">
        <f>C137+C139+C141</f>
        <v>532</v>
      </c>
      <c r="T141"/>
    </row>
    <row r="142" spans="1:22" s="35" customFormat="1" x14ac:dyDescent="0.25">
      <c r="A142" s="185" t="s">
        <v>150</v>
      </c>
      <c r="B142" s="185"/>
      <c r="C142" s="157">
        <f>SUM(C137:C141)</f>
        <v>595</v>
      </c>
      <c r="D142" s="148"/>
      <c r="E142" s="157">
        <f>SUM(E137:E141)</f>
        <v>533405.89092959999</v>
      </c>
      <c r="F142" s="148"/>
      <c r="G142" s="157">
        <f>SUM(G137:G141)</f>
        <v>800108.8363944001</v>
      </c>
      <c r="H142" s="148"/>
      <c r="T142"/>
    </row>
    <row r="143" spans="1:22" s="35" customFormat="1" x14ac:dyDescent="0.25">
      <c r="A143" s="185" t="s">
        <v>164</v>
      </c>
      <c r="B143" s="185"/>
      <c r="C143" s="157">
        <f>C134+C142</f>
        <v>631</v>
      </c>
      <c r="D143" s="148"/>
      <c r="E143" s="245">
        <f>E134+E142</f>
        <v>552764.69777239999</v>
      </c>
      <c r="F143" s="245"/>
      <c r="G143" s="141">
        <f>G134+G142</f>
        <v>829138.5466586001</v>
      </c>
      <c r="H143" s="141"/>
      <c r="T143"/>
    </row>
    <row r="144" spans="1:22" s="34" customFormat="1" x14ac:dyDescent="0.25">
      <c r="A144" s="171" t="s">
        <v>53</v>
      </c>
      <c r="B144" s="171"/>
      <c r="C144" s="171"/>
      <c r="D144" s="171"/>
      <c r="E144" s="171"/>
      <c r="F144" s="171"/>
      <c r="G144" s="171"/>
      <c r="H144" s="171"/>
      <c r="T144" s="35"/>
    </row>
    <row r="145" spans="1:20" x14ac:dyDescent="0.25">
      <c r="A145" s="140" t="s">
        <v>173</v>
      </c>
      <c r="B145" s="140"/>
      <c r="C145" s="140"/>
      <c r="D145" s="140"/>
      <c r="E145" s="140"/>
      <c r="F145" s="140"/>
      <c r="G145" s="140"/>
      <c r="H145" s="140"/>
      <c r="T145" s="35"/>
    </row>
    <row r="146" spans="1:20" ht="47.25" customHeight="1" x14ac:dyDescent="0.25">
      <c r="A146" s="237" t="s">
        <v>117</v>
      </c>
      <c r="B146" s="152" t="s">
        <v>176</v>
      </c>
      <c r="C146" s="237" t="s">
        <v>54</v>
      </c>
      <c r="D146" s="152" t="s">
        <v>232</v>
      </c>
      <c r="E146" s="228" t="s">
        <v>156</v>
      </c>
      <c r="F146" s="237" t="s">
        <v>55</v>
      </c>
      <c r="G146" s="183" t="s">
        <v>56</v>
      </c>
      <c r="H146" s="81" t="s">
        <v>148</v>
      </c>
      <c r="I146" s="42">
        <v>10.763999999999999</v>
      </c>
      <c r="T146" s="35"/>
    </row>
    <row r="147" spans="1:20" s="37" customFormat="1" x14ac:dyDescent="0.25">
      <c r="A147" s="238"/>
      <c r="B147" s="153"/>
      <c r="C147" s="238"/>
      <c r="D147" s="153"/>
      <c r="E147" s="229"/>
      <c r="F147" s="238"/>
      <c r="G147" s="184"/>
      <c r="H147" s="84">
        <v>0.5</v>
      </c>
      <c r="T147" s="35"/>
    </row>
    <row r="148" spans="1:20" s="37" customFormat="1" x14ac:dyDescent="0.25">
      <c r="A148" s="119" t="s">
        <v>383</v>
      </c>
      <c r="B148" s="120"/>
      <c r="C148" s="120"/>
      <c r="D148" s="120"/>
      <c r="E148" s="120"/>
      <c r="F148" s="120"/>
      <c r="G148" s="120"/>
      <c r="H148" s="121"/>
      <c r="J148" s="36"/>
      <c r="T148" s="35"/>
    </row>
    <row r="149" spans="1:20" s="37" customFormat="1" x14ac:dyDescent="0.25">
      <c r="A149" s="99" t="s">
        <v>382</v>
      </c>
      <c r="B149" s="100"/>
      <c r="C149" s="100"/>
      <c r="D149" s="100"/>
      <c r="E149" s="100"/>
      <c r="F149" s="100"/>
      <c r="G149" s="100"/>
      <c r="H149" s="101"/>
      <c r="J149" s="36"/>
      <c r="T149" s="35"/>
    </row>
    <row r="150" spans="1:20" s="37" customFormat="1" x14ac:dyDescent="0.25">
      <c r="A150" s="99" t="s">
        <v>381</v>
      </c>
      <c r="B150" s="100"/>
      <c r="C150" s="100"/>
      <c r="D150" s="100"/>
      <c r="E150" s="100"/>
      <c r="F150" s="100"/>
      <c r="G150" s="100"/>
      <c r="H150" s="101"/>
      <c r="J150" s="36"/>
      <c r="T150" s="35"/>
    </row>
    <row r="151" spans="1:20" s="37" customFormat="1" ht="15.75" customHeight="1" x14ac:dyDescent="0.25">
      <c r="A151" s="96">
        <v>1</v>
      </c>
      <c r="B151" s="97"/>
      <c r="C151" s="42" t="s">
        <v>385</v>
      </c>
      <c r="D151" s="42">
        <f>(11.9*4.72+15.56+6.99*4.4+2.2*1.05+2.35*1.72)*10.764</f>
        <v>1171.5107039999998</v>
      </c>
      <c r="E151" s="42">
        <v>0</v>
      </c>
      <c r="F151" s="42">
        <f>D151+(IF(E151&lt;201,E151,IF(E151&lt;301,E151/2,E151/3)))</f>
        <v>1171.5107039999998</v>
      </c>
      <c r="G151" s="42">
        <v>0</v>
      </c>
      <c r="H151" s="42">
        <f>(F151+(IF(G151&lt;101,G151,IF(G151&lt;201,G151/2,IF(G151&lt;=301,G151/3,G151/4)))))*(($H$147)+1)</f>
        <v>1757.2660559999997</v>
      </c>
      <c r="I151" s="36"/>
      <c r="L151" s="98"/>
      <c r="M151" s="98"/>
      <c r="N151" s="36"/>
      <c r="T151" s="35"/>
    </row>
    <row r="152" spans="1:20" s="37" customFormat="1" ht="15.75" customHeight="1" x14ac:dyDescent="0.25">
      <c r="A152" s="96">
        <f>A151+1</f>
        <v>2</v>
      </c>
      <c r="B152" s="97"/>
      <c r="C152" s="42" t="s">
        <v>385</v>
      </c>
      <c r="D152" s="42">
        <f>(11.9*6.36+2.35*2.75+1.5*1.6)*10.764</f>
        <v>910.05852600000014</v>
      </c>
      <c r="E152" s="42">
        <v>0</v>
      </c>
      <c r="F152" s="42">
        <f>D152+(IF(E152&lt;201,E152,IF(E152&lt;301,E152/2,E152/3)))</f>
        <v>910.05852600000014</v>
      </c>
      <c r="G152" s="42">
        <v>0</v>
      </c>
      <c r="H152" s="42">
        <f>(F152+(IF(G152&lt;101,G152,IF(G152&lt;201,G152/2,IF(G152&lt;=301,G152/3,G152/4)))))*(($H$147)+1)</f>
        <v>1365.0877890000002</v>
      </c>
      <c r="I152" s="36"/>
      <c r="L152" s="98"/>
      <c r="M152" s="98"/>
      <c r="N152" s="36"/>
      <c r="T152" s="34"/>
    </row>
    <row r="153" spans="1:20" s="37" customFormat="1" ht="15.75" customHeight="1" x14ac:dyDescent="0.25">
      <c r="A153" s="96">
        <f>A152+1</f>
        <v>3</v>
      </c>
      <c r="B153" s="97"/>
      <c r="C153" s="42" t="s">
        <v>385</v>
      </c>
      <c r="D153" s="42">
        <f>(3.8*4.33+1.65*2.28+1.5*1.6)*10.764</f>
        <v>243.43862399999998</v>
      </c>
      <c r="E153" s="42">
        <v>0</v>
      </c>
      <c r="F153" s="42">
        <f>D153+(IF(E153&lt;201,E153,IF(E153&lt;301,E153/2,E153/3)))</f>
        <v>243.43862399999998</v>
      </c>
      <c r="G153" s="42">
        <v>0</v>
      </c>
      <c r="H153" s="42">
        <f>(F153+(IF(G153&lt;101,G153,IF(G153&lt;201,G153/2,IF(G153&lt;=301,G153/3,G153/4)))))*(($H$147)+1)</f>
        <v>365.15793599999995</v>
      </c>
      <c r="I153" s="36"/>
      <c r="L153" s="98"/>
      <c r="M153" s="98"/>
      <c r="N153" s="36"/>
      <c r="T153" s="21"/>
    </row>
    <row r="154" spans="1:20" s="37" customFormat="1" ht="15.75" customHeight="1" x14ac:dyDescent="0.25">
      <c r="A154" s="96">
        <f>A153+1</f>
        <v>4</v>
      </c>
      <c r="B154" s="97"/>
      <c r="C154" s="42" t="s">
        <v>385</v>
      </c>
      <c r="D154" s="42">
        <f>(5.45*4.55)*10.764</f>
        <v>266.92028999999997</v>
      </c>
      <c r="E154" s="42">
        <v>0</v>
      </c>
      <c r="F154" s="42">
        <f>D154+(IF(E154&lt;201,E154,IF(E154&lt;301,E154/2,E154/3)))</f>
        <v>266.92028999999997</v>
      </c>
      <c r="G154" s="42">
        <v>0</v>
      </c>
      <c r="H154" s="42">
        <f>(F154+(IF(G154&lt;101,G154,IF(G154&lt;201,G154/2,IF(G154&lt;=301,G154/3,G154/4)))))*(($H$147)+1)</f>
        <v>400.38043499999992</v>
      </c>
      <c r="I154" s="36"/>
      <c r="L154" s="98"/>
      <c r="M154" s="98"/>
      <c r="N154" s="36"/>
      <c r="T154" s="21"/>
    </row>
    <row r="155" spans="1:20" s="37" customFormat="1" ht="15.75" customHeight="1" x14ac:dyDescent="0.25">
      <c r="A155" s="96">
        <f t="shared" ref="A155:A163" si="8">A154+1</f>
        <v>5</v>
      </c>
      <c r="B155" s="97"/>
      <c r="C155" s="42" t="s">
        <v>385</v>
      </c>
      <c r="D155" s="42">
        <f>(4.33*7.53+0.9*4.75+3.63*1.5+1.45*1.35+0.9)*10.764</f>
        <v>486.3433536</v>
      </c>
      <c r="E155" s="42">
        <v>0</v>
      </c>
      <c r="F155" s="42">
        <f t="shared" ref="F155:F166" si="9">D155+(IF(E155&lt;201,E155,IF(E155&lt;301,E155/2,E155/3)))</f>
        <v>486.3433536</v>
      </c>
      <c r="G155" s="42">
        <v>0</v>
      </c>
      <c r="H155" s="42">
        <f t="shared" ref="H155:H166" si="10">(F155+(IF(G155&lt;101,G155,IF(G155&lt;201,G155/2,IF(G155&lt;=301,G155/3,G155/4)))))*(($H$147)+1)</f>
        <v>729.5150304</v>
      </c>
      <c r="I155" s="36"/>
      <c r="L155" s="98"/>
      <c r="M155" s="98"/>
      <c r="N155" s="36"/>
      <c r="T155" s="21"/>
    </row>
    <row r="156" spans="1:20" s="37" customFormat="1" ht="15.75" customHeight="1" x14ac:dyDescent="0.25">
      <c r="A156" s="96">
        <f t="shared" si="8"/>
        <v>6</v>
      </c>
      <c r="B156" s="97"/>
      <c r="C156" s="42" t="s">
        <v>385</v>
      </c>
      <c r="D156" s="42">
        <f>(6.58*5.34+5.57*1.09+3.07*1.5+1.45*1.35)*10.764</f>
        <v>514.207044</v>
      </c>
      <c r="E156" s="42">
        <v>0</v>
      </c>
      <c r="F156" s="42">
        <f t="shared" si="9"/>
        <v>514.207044</v>
      </c>
      <c r="G156" s="42">
        <v>0</v>
      </c>
      <c r="H156" s="42">
        <f t="shared" si="10"/>
        <v>771.31056599999999</v>
      </c>
      <c r="I156" s="36"/>
      <c r="L156" s="98"/>
      <c r="M156" s="98"/>
      <c r="N156" s="36"/>
      <c r="T156" s="21"/>
    </row>
    <row r="157" spans="1:20" s="37" customFormat="1" ht="15.75" customHeight="1" x14ac:dyDescent="0.25">
      <c r="A157" s="96">
        <f t="shared" si="8"/>
        <v>7</v>
      </c>
      <c r="B157" s="97"/>
      <c r="C157" s="42" t="s">
        <v>385</v>
      </c>
      <c r="D157" s="42">
        <f>(9.8*1.2+12.7*4.63+7.7*1.25+2.9*2.88+1.55*1.43)*10.764</f>
        <v>976.88143799999989</v>
      </c>
      <c r="E157" s="42">
        <v>0</v>
      </c>
      <c r="F157" s="42">
        <f t="shared" si="9"/>
        <v>976.88143799999989</v>
      </c>
      <c r="G157" s="42">
        <v>0</v>
      </c>
      <c r="H157" s="42">
        <f t="shared" si="10"/>
        <v>1465.3221569999998</v>
      </c>
      <c r="I157" s="36"/>
      <c r="L157" s="98"/>
      <c r="M157" s="98"/>
      <c r="N157" s="36"/>
      <c r="T157" s="21"/>
    </row>
    <row r="158" spans="1:20" s="37" customFormat="1" ht="15.75" customHeight="1" x14ac:dyDescent="0.25">
      <c r="A158" s="96">
        <f t="shared" si="8"/>
        <v>8</v>
      </c>
      <c r="B158" s="97"/>
      <c r="C158" s="42" t="s">
        <v>385</v>
      </c>
      <c r="D158" s="42">
        <f>(7.15*8.36+6.75*3.09+3.99+1.65*2.11+0.6*0.76+2.1*4.5+2.1*1.45+0.75*9.4)*10.764</f>
        <v>1163.6314559999998</v>
      </c>
      <c r="E158" s="42">
        <v>0</v>
      </c>
      <c r="F158" s="42">
        <f t="shared" si="9"/>
        <v>1163.6314559999998</v>
      </c>
      <c r="G158" s="42">
        <v>0</v>
      </c>
      <c r="H158" s="42">
        <f t="shared" si="10"/>
        <v>1745.4471839999997</v>
      </c>
      <c r="I158" s="36"/>
      <c r="L158" s="98"/>
      <c r="M158" s="98"/>
      <c r="N158" s="36"/>
      <c r="T158" s="21"/>
    </row>
    <row r="159" spans="1:20" s="37" customFormat="1" ht="15.75" customHeight="1" x14ac:dyDescent="0.25">
      <c r="A159" s="96">
        <f t="shared" si="8"/>
        <v>9</v>
      </c>
      <c r="B159" s="97"/>
      <c r="C159" s="42" t="s">
        <v>385</v>
      </c>
      <c r="D159" s="42">
        <f>(20.32*9.54+12.42+13.22*4.75+2.25*6.97+2.1*1.35+2.4*2.3+2*2)*10.764</f>
        <v>3198.0414491999991</v>
      </c>
      <c r="E159" s="42">
        <v>0</v>
      </c>
      <c r="F159" s="42">
        <f t="shared" si="9"/>
        <v>3198.0414491999991</v>
      </c>
      <c r="G159" s="42">
        <v>0</v>
      </c>
      <c r="H159" s="42">
        <f t="shared" si="10"/>
        <v>4797.0621737999991</v>
      </c>
      <c r="I159" s="36"/>
      <c r="L159" s="98"/>
      <c r="M159" s="98"/>
      <c r="N159" s="36"/>
      <c r="T159" s="21"/>
    </row>
    <row r="160" spans="1:20" s="37" customFormat="1" ht="15.75" customHeight="1" x14ac:dyDescent="0.25">
      <c r="A160" s="96">
        <f t="shared" si="8"/>
        <v>10</v>
      </c>
      <c r="B160" s="97"/>
      <c r="C160" s="42" t="s">
        <v>385</v>
      </c>
      <c r="D160" s="42">
        <f>(22.57*10.41+13.22*4.75+8.24*2.24+2.4*2.3+2.36*1.05+2*2)*10.764</f>
        <v>3532.7910851999995</v>
      </c>
      <c r="E160" s="42">
        <v>0</v>
      </c>
      <c r="F160" s="42">
        <f t="shared" si="9"/>
        <v>3532.7910851999995</v>
      </c>
      <c r="G160" s="42">
        <v>0</v>
      </c>
      <c r="H160" s="42">
        <f t="shared" si="10"/>
        <v>5299.1866277999998</v>
      </c>
      <c r="I160" s="36"/>
      <c r="L160" s="98"/>
      <c r="M160" s="98"/>
      <c r="N160" s="36"/>
      <c r="T160" s="21"/>
    </row>
    <row r="161" spans="1:20" s="37" customFormat="1" ht="15.75" customHeight="1" x14ac:dyDescent="0.25">
      <c r="A161" s="96">
        <f t="shared" si="8"/>
        <v>11</v>
      </c>
      <c r="B161" s="97"/>
      <c r="C161" s="42" t="s">
        <v>385</v>
      </c>
      <c r="D161" s="42">
        <f>(9.25*9.03+3.99*1.2+2.35*3.43+2.2*4.13+1.4*1.65+1.5*1.45)*10.764</f>
        <v>1183.4695079999999</v>
      </c>
      <c r="E161" s="42">
        <v>0</v>
      </c>
      <c r="F161" s="42">
        <f t="shared" si="9"/>
        <v>1183.4695079999999</v>
      </c>
      <c r="G161" s="42">
        <v>0</v>
      </c>
      <c r="H161" s="42">
        <f t="shared" si="10"/>
        <v>1775.2042619999997</v>
      </c>
      <c r="I161" s="36"/>
      <c r="L161" s="98"/>
      <c r="M161" s="98"/>
      <c r="N161" s="36"/>
      <c r="T161" s="21"/>
    </row>
    <row r="162" spans="1:20" s="37" customFormat="1" ht="15.75" customHeight="1" x14ac:dyDescent="0.25">
      <c r="A162" s="96">
        <f t="shared" si="8"/>
        <v>12</v>
      </c>
      <c r="B162" s="97"/>
      <c r="C162" s="42" t="s">
        <v>385</v>
      </c>
      <c r="D162" s="42">
        <f>(7.93*10.33+2.13)*10.764</f>
        <v>904.68083159999992</v>
      </c>
      <c r="E162" s="42">
        <v>0</v>
      </c>
      <c r="F162" s="42">
        <f t="shared" si="9"/>
        <v>904.68083159999992</v>
      </c>
      <c r="G162" s="42">
        <v>0</v>
      </c>
      <c r="H162" s="42">
        <f t="shared" si="10"/>
        <v>1357.0212474</v>
      </c>
      <c r="I162" s="36"/>
      <c r="L162" s="98"/>
      <c r="M162" s="98"/>
      <c r="N162" s="36"/>
      <c r="T162" s="21"/>
    </row>
    <row r="163" spans="1:20" s="37" customFormat="1" ht="15.75" customHeight="1" x14ac:dyDescent="0.25">
      <c r="A163" s="96">
        <f t="shared" si="8"/>
        <v>13</v>
      </c>
      <c r="B163" s="97"/>
      <c r="C163" s="42" t="s">
        <v>385</v>
      </c>
      <c r="D163" s="42">
        <f>(5.5*7.34+2.38*2.99+1.25*2.33+0.4*0.72+1.15*4.49)*10.764</f>
        <v>601.17155279999986</v>
      </c>
      <c r="E163" s="42">
        <v>0</v>
      </c>
      <c r="F163" s="42">
        <f t="shared" si="9"/>
        <v>601.17155279999986</v>
      </c>
      <c r="G163" s="42">
        <v>0</v>
      </c>
      <c r="H163" s="42">
        <f t="shared" si="10"/>
        <v>901.75732919999973</v>
      </c>
      <c r="I163" s="36"/>
      <c r="L163" s="98"/>
      <c r="M163" s="98"/>
      <c r="N163" s="36"/>
      <c r="T163" s="21"/>
    </row>
    <row r="164" spans="1:20" s="37" customFormat="1" ht="15.75" customHeight="1" x14ac:dyDescent="0.25">
      <c r="A164" s="96">
        <f t="shared" ref="A164:A166" si="11">A163+1</f>
        <v>14</v>
      </c>
      <c r="B164" s="97"/>
      <c r="C164" s="42" t="s">
        <v>385</v>
      </c>
      <c r="D164" s="42">
        <f>(8.35*6.2+4.3*2.51+2.6*1.33+5.31*1.91+1.02*1.35+2.76*0.83+1.8*0.83+2.2*0.76+2.2+0.35*0.75)*10.764</f>
        <v>919.88498159999995</v>
      </c>
      <c r="E164" s="42">
        <v>0</v>
      </c>
      <c r="F164" s="42">
        <f t="shared" ref="F164:F165" si="12">D164+(IF(E164&lt;201,E164,IF(E164&lt;301,E164/2,E164/3)))</f>
        <v>919.88498159999995</v>
      </c>
      <c r="G164" s="42">
        <v>0</v>
      </c>
      <c r="H164" s="42">
        <f t="shared" ref="H164:H165" si="13">(F164+(IF(G164&lt;101,G164,IF(G164&lt;201,G164/2,IF(G164&lt;=301,G164/3,G164/4)))))*(($H$147)+1)</f>
        <v>1379.8274723999998</v>
      </c>
      <c r="I164" s="36"/>
      <c r="L164" s="98"/>
      <c r="M164" s="98"/>
      <c r="N164" s="36"/>
      <c r="T164" s="21"/>
    </row>
    <row r="165" spans="1:20" s="37" customFormat="1" ht="15.75" customHeight="1" x14ac:dyDescent="0.25">
      <c r="A165" s="96">
        <f t="shared" si="11"/>
        <v>15</v>
      </c>
      <c r="B165" s="97"/>
      <c r="C165" s="42" t="s">
        <v>385</v>
      </c>
      <c r="D165" s="42">
        <f>(11.57*7.13+4.4*2.15+1.75*1.1+1.03*0.75+1.84*2.3)*10.764</f>
        <v>1064.3830704</v>
      </c>
      <c r="E165" s="42">
        <v>0</v>
      </c>
      <c r="F165" s="42">
        <f t="shared" si="12"/>
        <v>1064.3830704</v>
      </c>
      <c r="G165" s="42">
        <v>0</v>
      </c>
      <c r="H165" s="42">
        <f t="shared" si="13"/>
        <v>1596.5746055999998</v>
      </c>
      <c r="I165" s="36"/>
      <c r="L165" s="98"/>
      <c r="M165" s="98"/>
      <c r="N165" s="36"/>
      <c r="T165" s="21"/>
    </row>
    <row r="166" spans="1:20" s="37" customFormat="1" ht="15.75" customHeight="1" x14ac:dyDescent="0.25">
      <c r="A166" s="96">
        <f t="shared" si="11"/>
        <v>16</v>
      </c>
      <c r="B166" s="97"/>
      <c r="C166" s="42" t="s">
        <v>385</v>
      </c>
      <c r="D166" s="42">
        <f>(9.32*4.7+7.29*1.25+4.78*2.92+1.88*1.1)*10.764</f>
        <v>742.09276439999996</v>
      </c>
      <c r="E166" s="42">
        <v>0</v>
      </c>
      <c r="F166" s="42">
        <f t="shared" si="9"/>
        <v>742.09276439999996</v>
      </c>
      <c r="G166" s="42">
        <v>0</v>
      </c>
      <c r="H166" s="42">
        <f t="shared" si="10"/>
        <v>1113.1391466</v>
      </c>
      <c r="I166" s="36"/>
      <c r="L166" s="98"/>
      <c r="M166" s="98"/>
      <c r="N166" s="36"/>
      <c r="T166" s="21"/>
    </row>
    <row r="167" spans="1:20" s="37" customFormat="1" ht="15.75" customHeight="1" x14ac:dyDescent="0.25">
      <c r="A167" s="96">
        <f t="shared" ref="A167" si="14">A166+1</f>
        <v>17</v>
      </c>
      <c r="B167" s="97"/>
      <c r="C167" s="42" t="s">
        <v>385</v>
      </c>
      <c r="D167" s="42">
        <f>(7.29*9.02+1.25*6.75+2.12*1.1)*10.764</f>
        <v>823.71832919999986</v>
      </c>
      <c r="E167" s="42">
        <v>0</v>
      </c>
      <c r="F167" s="42">
        <f t="shared" ref="F167" si="15">D167+(IF(E167&lt;201,E167,IF(E167&lt;301,E167/2,E167/3)))</f>
        <v>823.71832919999986</v>
      </c>
      <c r="G167" s="42">
        <v>0</v>
      </c>
      <c r="H167" s="42">
        <f t="shared" ref="H167" si="16">(F167+(IF(G167&lt;101,G167,IF(G167&lt;201,G167/2,IF(G167&lt;=301,G167/3,G167/4)))))*(($H$147)+1)</f>
        <v>1235.5774937999997</v>
      </c>
      <c r="I167" s="36"/>
      <c r="L167" s="98"/>
      <c r="M167" s="98"/>
      <c r="N167" s="36"/>
      <c r="T167" s="21"/>
    </row>
    <row r="168" spans="1:20" s="37" customFormat="1" x14ac:dyDescent="0.25">
      <c r="A168" s="99" t="s">
        <v>390</v>
      </c>
      <c r="B168" s="100"/>
      <c r="C168" s="100"/>
      <c r="D168" s="100"/>
      <c r="E168" s="100"/>
      <c r="F168" s="100"/>
      <c r="G168" s="100"/>
      <c r="H168" s="101"/>
      <c r="J168" s="36"/>
    </row>
    <row r="169" spans="1:20" s="37" customFormat="1" x14ac:dyDescent="0.25">
      <c r="A169" s="99" t="s">
        <v>441</v>
      </c>
      <c r="B169" s="100"/>
      <c r="C169" s="100"/>
      <c r="D169" s="100"/>
      <c r="E169" s="100"/>
      <c r="F169" s="100"/>
      <c r="G169" s="100"/>
      <c r="H169" s="101"/>
      <c r="J169" s="36"/>
      <c r="T169" s="35"/>
    </row>
    <row r="170" spans="1:20" s="37" customFormat="1" ht="15.75" customHeight="1" x14ac:dyDescent="0.25">
      <c r="A170" s="96">
        <v>1</v>
      </c>
      <c r="B170" s="97"/>
      <c r="C170" s="96" t="s">
        <v>391</v>
      </c>
      <c r="D170" s="111"/>
      <c r="E170" s="111"/>
      <c r="F170" s="111"/>
      <c r="G170" s="111"/>
      <c r="H170" s="97"/>
      <c r="I170" s="36"/>
      <c r="L170" s="98"/>
      <c r="M170" s="98"/>
      <c r="N170" s="36"/>
      <c r="T170" s="35"/>
    </row>
    <row r="171" spans="1:20" s="37" customFormat="1" ht="15.75" customHeight="1" x14ac:dyDescent="0.25">
      <c r="A171" s="96">
        <f>A170+1</f>
        <v>2</v>
      </c>
      <c r="B171" s="97"/>
      <c r="C171" s="42" t="s">
        <v>385</v>
      </c>
      <c r="D171" s="42">
        <f>(8.43*4.6+2.83*2.15+1.93*2+5.45*2.1+3.8*2.2+1.5*1.6)*10.764</f>
        <v>763.46361000000002</v>
      </c>
      <c r="E171" s="42">
        <v>0</v>
      </c>
      <c r="F171" s="42">
        <f>D171+(IF(E171&lt;201,E171,IF(E171&lt;301,E171/2,E171/3)))</f>
        <v>763.46361000000002</v>
      </c>
      <c r="G171" s="42">
        <v>0</v>
      </c>
      <c r="H171" s="42">
        <f>(F171+(IF(G171&lt;101,G171,IF(G171&lt;201,G171/2,IF(G171&lt;=301,G171/3,G171/4)))))*(($H$147)+1)</f>
        <v>1145.1954150000001</v>
      </c>
      <c r="I171" s="36"/>
      <c r="L171" s="98"/>
      <c r="M171" s="98"/>
      <c r="N171" s="36"/>
      <c r="T171" s="34"/>
    </row>
    <row r="172" spans="1:20" s="37" customFormat="1" ht="15.75" customHeight="1" x14ac:dyDescent="0.25">
      <c r="A172" s="96">
        <f>A171+1</f>
        <v>3</v>
      </c>
      <c r="B172" s="97"/>
      <c r="C172" s="42" t="s">
        <v>385</v>
      </c>
      <c r="D172" s="42">
        <f>(6.83*4.93+4.78*1.1+5.58*1.49+3.08*0.56+3.2*0.94+1.5*1.5)*10.764</f>
        <v>583.69835160000002</v>
      </c>
      <c r="E172" s="42">
        <v>0</v>
      </c>
      <c r="F172" s="42">
        <f>D172+(IF(E172&lt;201,E172,IF(E172&lt;301,E172/2,E172/3)))</f>
        <v>583.69835160000002</v>
      </c>
      <c r="G172" s="42">
        <v>0</v>
      </c>
      <c r="H172" s="42">
        <f>(F172+(IF(G172&lt;101,G172,IF(G172&lt;201,G172/2,IF(G172&lt;=301,G172/3,G172/4)))))*(($H$147)+1)</f>
        <v>875.54752740000004</v>
      </c>
      <c r="I172" s="36"/>
      <c r="L172" s="98"/>
      <c r="M172" s="98"/>
      <c r="N172" s="36"/>
      <c r="T172" s="21"/>
    </row>
    <row r="173" spans="1:20" s="37" customFormat="1" ht="15.75" customHeight="1" x14ac:dyDescent="0.25">
      <c r="A173" s="96">
        <f>A172+1</f>
        <v>4</v>
      </c>
      <c r="B173" s="97"/>
      <c r="C173" s="42" t="s">
        <v>385</v>
      </c>
      <c r="D173" s="42">
        <f>(12.7*4.23+7.7*2.88+9.8*1.05+2.9*2.88+1.55*1.43)*10.764</f>
        <v>1041.4762020000001</v>
      </c>
      <c r="E173" s="42">
        <v>0</v>
      </c>
      <c r="F173" s="42">
        <f>D173+(IF(E173&lt;201,E173,IF(E173&lt;301,E173/2,E173/3)))</f>
        <v>1041.4762020000001</v>
      </c>
      <c r="G173" s="42">
        <v>0</v>
      </c>
      <c r="H173" s="42">
        <f>(F173+(IF(G173&lt;101,G173,IF(G173&lt;201,G173/2,IF(G173&lt;=301,G173/3,G173/4)))))*(($H$147)+1)</f>
        <v>1562.2143030000002</v>
      </c>
      <c r="I173" s="36"/>
      <c r="L173" s="98"/>
      <c r="M173" s="98"/>
      <c r="N173" s="36"/>
      <c r="T173" s="21"/>
    </row>
    <row r="174" spans="1:20" s="37" customFormat="1" ht="15.75" customHeight="1" x14ac:dyDescent="0.25">
      <c r="A174" s="96">
        <f t="shared" ref="A174:A182" si="17">A173+1</f>
        <v>5</v>
      </c>
      <c r="B174" s="97"/>
      <c r="C174" s="42" t="s">
        <v>385</v>
      </c>
      <c r="D174" s="42">
        <f>(7.9*7.36+7.49*3.09+3.99+2.25*2.11+2.1*4.5+5.05*1+2.1*1.45)*10.764</f>
        <v>1157.8899383999999</v>
      </c>
      <c r="E174" s="42">
        <v>0</v>
      </c>
      <c r="F174" s="42">
        <f t="shared" ref="F174:F181" si="18">D174+(IF(E174&lt;201,E174,IF(E174&lt;301,E174/2,E174/3)))</f>
        <v>1157.8899383999999</v>
      </c>
      <c r="G174" s="42">
        <v>0</v>
      </c>
      <c r="H174" s="42">
        <f t="shared" ref="H174:H181" si="19">(F174+(IF(G174&lt;101,G174,IF(G174&lt;201,G174/2,IF(G174&lt;=301,G174/3,G174/4)))))*(($H$147)+1)</f>
        <v>1736.8349076</v>
      </c>
      <c r="I174" s="36"/>
      <c r="L174" s="98"/>
      <c r="M174" s="98"/>
      <c r="N174" s="36"/>
      <c r="T174" s="21"/>
    </row>
    <row r="175" spans="1:20" s="37" customFormat="1" ht="15.75" customHeight="1" x14ac:dyDescent="0.25">
      <c r="A175" s="96">
        <f t="shared" si="17"/>
        <v>6</v>
      </c>
      <c r="B175" s="97"/>
      <c r="C175" s="42" t="s">
        <v>385</v>
      </c>
      <c r="D175" s="42">
        <f>(20.32*9.54+13.22*4.77+15.12+6.99*2.25+2.1*1.35+2.4*2.3)*10.764</f>
        <v>3187.3786307999994</v>
      </c>
      <c r="E175" s="42">
        <v>0</v>
      </c>
      <c r="F175" s="42">
        <f t="shared" si="18"/>
        <v>3187.3786307999994</v>
      </c>
      <c r="G175" s="42">
        <v>0</v>
      </c>
      <c r="H175" s="42">
        <f t="shared" si="19"/>
        <v>4781.0679461999989</v>
      </c>
      <c r="I175" s="36"/>
      <c r="L175" s="98"/>
      <c r="M175" s="98"/>
      <c r="N175" s="36"/>
      <c r="T175" s="21"/>
    </row>
    <row r="176" spans="1:20" s="37" customFormat="1" ht="15.75" customHeight="1" x14ac:dyDescent="0.25">
      <c r="A176" s="96">
        <f t="shared" si="17"/>
        <v>7</v>
      </c>
      <c r="B176" s="97"/>
      <c r="C176" s="42" t="s">
        <v>385</v>
      </c>
      <c r="D176" s="42">
        <f>(22.57*10.41+13.22*4.75+8.24*2.15+2.4*2.3)*10.764</f>
        <v>3455.0793107999993</v>
      </c>
      <c r="E176" s="42">
        <v>0</v>
      </c>
      <c r="F176" s="42">
        <f t="shared" ref="F176:F180" si="20">D176+(IF(E176&lt;201,E176,IF(E176&lt;301,E176/2,E176/3)))</f>
        <v>3455.0793107999993</v>
      </c>
      <c r="G176" s="42">
        <v>0</v>
      </c>
      <c r="H176" s="42">
        <f t="shared" ref="H176:H180" si="21">(F176+(IF(G176&lt;101,G176,IF(G176&lt;201,G176/2,IF(G176&lt;=301,G176/3,G176/4)))))*(($H$147)+1)</f>
        <v>5182.6189661999988</v>
      </c>
      <c r="I176" s="36"/>
      <c r="L176" s="98"/>
      <c r="M176" s="98"/>
      <c r="N176" s="36"/>
      <c r="T176" s="21"/>
    </row>
    <row r="177" spans="1:20" s="37" customFormat="1" ht="15.75" customHeight="1" x14ac:dyDescent="0.25">
      <c r="A177" s="109">
        <f t="shared" si="17"/>
        <v>8</v>
      </c>
      <c r="B177" s="109"/>
      <c r="C177" s="109" t="s">
        <v>391</v>
      </c>
      <c r="D177" s="109"/>
      <c r="E177" s="109"/>
      <c r="F177" s="109"/>
      <c r="G177" s="109"/>
      <c r="H177" s="109"/>
      <c r="I177" s="36"/>
      <c r="L177" s="98"/>
      <c r="M177" s="98"/>
      <c r="N177" s="36"/>
      <c r="T177" s="21"/>
    </row>
    <row r="178" spans="1:20" s="37" customFormat="1" ht="15.75" customHeight="1" x14ac:dyDescent="0.25">
      <c r="A178" s="109">
        <f t="shared" si="17"/>
        <v>9</v>
      </c>
      <c r="B178" s="109"/>
      <c r="C178" s="109" t="s">
        <v>391</v>
      </c>
      <c r="D178" s="109"/>
      <c r="E178" s="109"/>
      <c r="F178" s="109"/>
      <c r="G178" s="109"/>
      <c r="H178" s="109"/>
      <c r="I178" s="36"/>
      <c r="L178" s="98"/>
      <c r="M178" s="98"/>
      <c r="N178" s="36"/>
      <c r="T178" s="21"/>
    </row>
    <row r="179" spans="1:20" s="37" customFormat="1" ht="15.75" customHeight="1" x14ac:dyDescent="0.25">
      <c r="A179" s="109">
        <f t="shared" si="17"/>
        <v>10</v>
      </c>
      <c r="B179" s="109"/>
      <c r="C179" s="42" t="s">
        <v>385</v>
      </c>
      <c r="D179" s="42">
        <f>(7.28*7.74+6.33*1.85)*10.764</f>
        <v>732.57308279999995</v>
      </c>
      <c r="E179" s="42">
        <v>0</v>
      </c>
      <c r="F179" s="42">
        <f t="shared" si="20"/>
        <v>732.57308279999995</v>
      </c>
      <c r="G179" s="42">
        <v>0</v>
      </c>
      <c r="H179" s="42">
        <f t="shared" si="21"/>
        <v>1098.8596241999999</v>
      </c>
      <c r="I179" s="36"/>
      <c r="L179" s="98"/>
      <c r="M179" s="98"/>
      <c r="N179" s="36"/>
      <c r="T179" s="21"/>
    </row>
    <row r="180" spans="1:20" s="37" customFormat="1" ht="15.75" customHeight="1" x14ac:dyDescent="0.25">
      <c r="A180" s="109">
        <f t="shared" si="17"/>
        <v>11</v>
      </c>
      <c r="B180" s="109"/>
      <c r="C180" s="42" t="s">
        <v>385</v>
      </c>
      <c r="D180" s="42">
        <f>(7.5*7.13+4.3*2.91+2.8*2.3+1.45*1.4+2.2*0.76+2.2+0.85*0.75)*10.764</f>
        <v>850.00617</v>
      </c>
      <c r="E180" s="42">
        <v>0</v>
      </c>
      <c r="F180" s="42">
        <f t="shared" si="20"/>
        <v>850.00617</v>
      </c>
      <c r="G180" s="42">
        <v>0</v>
      </c>
      <c r="H180" s="42">
        <f t="shared" si="21"/>
        <v>1275.0092549999999</v>
      </c>
      <c r="I180" s="36"/>
      <c r="L180" s="98"/>
      <c r="M180" s="98"/>
      <c r="N180" s="36"/>
      <c r="T180" s="21"/>
    </row>
    <row r="181" spans="1:20" s="37" customFormat="1" ht="15.75" customHeight="1" x14ac:dyDescent="0.25">
      <c r="A181" s="109">
        <f t="shared" si="17"/>
        <v>12</v>
      </c>
      <c r="B181" s="109"/>
      <c r="C181" s="42" t="s">
        <v>385</v>
      </c>
      <c r="D181" s="42">
        <f>(7.87*6.7)*10.764</f>
        <v>567.57495599999993</v>
      </c>
      <c r="E181" s="42">
        <v>0</v>
      </c>
      <c r="F181" s="42">
        <f t="shared" si="18"/>
        <v>567.57495599999993</v>
      </c>
      <c r="G181" s="42">
        <v>0</v>
      </c>
      <c r="H181" s="42">
        <f t="shared" si="19"/>
        <v>851.36243399999989</v>
      </c>
      <c r="I181" s="36"/>
      <c r="L181" s="98"/>
      <c r="M181" s="98"/>
      <c r="N181" s="36"/>
      <c r="T181" s="21"/>
    </row>
    <row r="182" spans="1:20" s="37" customFormat="1" ht="15.75" customHeight="1" x14ac:dyDescent="0.25">
      <c r="A182" s="109">
        <f t="shared" si="17"/>
        <v>13</v>
      </c>
      <c r="B182" s="109"/>
      <c r="C182" s="109" t="s">
        <v>391</v>
      </c>
      <c r="D182" s="109"/>
      <c r="E182" s="109"/>
      <c r="F182" s="109"/>
      <c r="G182" s="109"/>
      <c r="H182" s="109"/>
      <c r="I182" s="36"/>
      <c r="L182" s="98"/>
      <c r="M182" s="98"/>
      <c r="N182" s="36"/>
      <c r="T182" s="21"/>
    </row>
    <row r="183" spans="1:20" s="37" customFormat="1" x14ac:dyDescent="0.25">
      <c r="A183" s="110" t="s">
        <v>384</v>
      </c>
      <c r="B183" s="110"/>
      <c r="C183" s="110"/>
      <c r="D183" s="110"/>
      <c r="E183" s="110"/>
      <c r="F183" s="110"/>
      <c r="G183" s="110"/>
      <c r="H183" s="110"/>
      <c r="J183" s="36"/>
      <c r="T183" s="35"/>
    </row>
    <row r="184" spans="1:20" s="37" customFormat="1" x14ac:dyDescent="0.25">
      <c r="A184" s="108" t="s">
        <v>382</v>
      </c>
      <c r="B184" s="108"/>
      <c r="C184" s="108"/>
      <c r="D184" s="108"/>
      <c r="E184" s="108"/>
      <c r="F184" s="108"/>
      <c r="G184" s="108"/>
      <c r="H184" s="108"/>
      <c r="J184" s="36"/>
      <c r="T184" s="35"/>
    </row>
    <row r="185" spans="1:20" s="37" customFormat="1" x14ac:dyDescent="0.25">
      <c r="A185" s="108" t="s">
        <v>389</v>
      </c>
      <c r="B185" s="108"/>
      <c r="C185" s="108"/>
      <c r="D185" s="108"/>
      <c r="E185" s="108"/>
      <c r="F185" s="108"/>
      <c r="G185" s="108"/>
      <c r="H185" s="108"/>
      <c r="J185" s="36"/>
      <c r="T185" s="35"/>
    </row>
    <row r="186" spans="1:20" s="37" customFormat="1" ht="15.75" customHeight="1" x14ac:dyDescent="0.25">
      <c r="A186" s="109">
        <v>18</v>
      </c>
      <c r="B186" s="109"/>
      <c r="C186" s="42" t="s">
        <v>385</v>
      </c>
      <c r="D186" s="42">
        <f>(7.5*19.78+6.4*4.83+2.4*6.92+5.66*2+1.33*1.95+4.82*4.95+2.41*2.1)*10.764</f>
        <v>2569.4044740000004</v>
      </c>
      <c r="E186" s="42">
        <v>0</v>
      </c>
      <c r="F186" s="42">
        <f>D186+(IF(E186&lt;201,E186,IF(E186&lt;301,E186/2,E186/3)))</f>
        <v>2569.4044740000004</v>
      </c>
      <c r="G186" s="42">
        <v>0</v>
      </c>
      <c r="H186" s="42">
        <f>(F186+(IF(G186&lt;101,G186,IF(G186&lt;201,G186/2,IF(G186&lt;=301,G186/3,G186/4)))))*(($H$147)+1)</f>
        <v>3854.1067110000004</v>
      </c>
      <c r="I186" s="36"/>
      <c r="L186" s="98"/>
      <c r="M186" s="98"/>
      <c r="N186" s="36"/>
      <c r="T186" s="35"/>
    </row>
    <row r="187" spans="1:20" s="37" customFormat="1" ht="15.75" customHeight="1" x14ac:dyDescent="0.25">
      <c r="A187" s="109">
        <f>A186+1</f>
        <v>19</v>
      </c>
      <c r="B187" s="109"/>
      <c r="C187" s="42" t="s">
        <v>385</v>
      </c>
      <c r="D187" s="42">
        <f>(3.45*4.68)*10.764</f>
        <v>173.79554400000001</v>
      </c>
      <c r="E187" s="42">
        <v>0</v>
      </c>
      <c r="F187" s="42">
        <f>D187+(IF(E187&lt;201,E187,IF(E187&lt;301,E187/2,E187/3)))</f>
        <v>173.79554400000001</v>
      </c>
      <c r="G187" s="42">
        <v>0</v>
      </c>
      <c r="H187" s="42">
        <f>(F187+(IF(G187&lt;101,G187,IF(G187&lt;201,G187/2,IF(G187&lt;=301,G187/3,G187/4)))))*(($H$147)+1)</f>
        <v>260.69331599999998</v>
      </c>
      <c r="I187" s="36"/>
      <c r="L187" s="98"/>
      <c r="M187" s="98"/>
      <c r="N187" s="36"/>
      <c r="T187" s="34"/>
    </row>
    <row r="188" spans="1:20" s="37" customFormat="1" ht="15.75" customHeight="1" x14ac:dyDescent="0.25">
      <c r="A188" s="109">
        <f>A187+1</f>
        <v>20</v>
      </c>
      <c r="B188" s="109"/>
      <c r="C188" s="42" t="s">
        <v>385</v>
      </c>
      <c r="D188" s="42">
        <f>(5.33*4.68)*10.764</f>
        <v>268.50152159999999</v>
      </c>
      <c r="E188" s="42">
        <v>0</v>
      </c>
      <c r="F188" s="42">
        <f>D188+(IF(E188&lt;201,E188,IF(E188&lt;301,E188/2,E188/3)))</f>
        <v>268.50152159999999</v>
      </c>
      <c r="G188" s="42">
        <v>0</v>
      </c>
      <c r="H188" s="42">
        <f>(F188+(IF(G188&lt;101,G188,IF(G188&lt;201,G188/2,IF(G188&lt;=301,G188/3,G188/4)))))*(($H$147)+1)</f>
        <v>402.75228240000001</v>
      </c>
      <c r="I188" s="36"/>
      <c r="L188" s="98"/>
      <c r="M188" s="98"/>
      <c r="N188" s="36"/>
      <c r="T188" s="21"/>
    </row>
    <row r="189" spans="1:20" s="37" customFormat="1" ht="15.75" customHeight="1" x14ac:dyDescent="0.25">
      <c r="A189" s="109">
        <f>A188+1</f>
        <v>21</v>
      </c>
      <c r="B189" s="109"/>
      <c r="C189" s="42" t="s">
        <v>385</v>
      </c>
      <c r="D189" s="42">
        <f>(3.5*5.75)*10.764</f>
        <v>216.62549999999999</v>
      </c>
      <c r="E189" s="42">
        <v>0</v>
      </c>
      <c r="F189" s="42">
        <f>D189+(IF(E189&lt;201,E189,IF(E189&lt;301,E189/2,E189/3)))</f>
        <v>216.62549999999999</v>
      </c>
      <c r="G189" s="42">
        <v>0</v>
      </c>
      <c r="H189" s="42">
        <f>(F189+(IF(G189&lt;101,G189,IF(G189&lt;201,G189/2,IF(G189&lt;=301,G189/3,G189/4)))))*(($H$147)+1)</f>
        <v>324.93824999999998</v>
      </c>
      <c r="I189" s="36"/>
      <c r="L189" s="98"/>
      <c r="M189" s="98"/>
      <c r="N189" s="36"/>
      <c r="T189" s="21"/>
    </row>
    <row r="190" spans="1:20" s="37" customFormat="1" ht="15.75" customHeight="1" x14ac:dyDescent="0.25">
      <c r="A190" s="109">
        <f t="shared" ref="A190:A192" si="22">A189+1</f>
        <v>22</v>
      </c>
      <c r="B190" s="109"/>
      <c r="C190" s="42" t="s">
        <v>385</v>
      </c>
      <c r="D190" s="42">
        <f>(4.33*5.83+2.85*1.07+0.77*3.28)*10.764</f>
        <v>331.73571599999997</v>
      </c>
      <c r="E190" s="42">
        <v>0</v>
      </c>
      <c r="F190" s="42">
        <f t="shared" ref="F190:F192" si="23">D190+(IF(E190&lt;201,E190,IF(E190&lt;301,E190/2,E190/3)))</f>
        <v>331.73571599999997</v>
      </c>
      <c r="G190" s="42">
        <v>0</v>
      </c>
      <c r="H190" s="42">
        <f t="shared" ref="H190:H192" si="24">(F190+(IF(G190&lt;101,G190,IF(G190&lt;201,G190/2,IF(G190&lt;=301,G190/3,G190/4)))))*(($H$147)+1)</f>
        <v>497.60357399999998</v>
      </c>
      <c r="I190" s="36"/>
      <c r="L190" s="98"/>
      <c r="M190" s="98"/>
      <c r="N190" s="36"/>
      <c r="T190" s="21"/>
    </row>
    <row r="191" spans="1:20" s="37" customFormat="1" ht="15.75" customHeight="1" x14ac:dyDescent="0.25">
      <c r="A191" s="96">
        <f t="shared" si="22"/>
        <v>23</v>
      </c>
      <c r="B191" s="97"/>
      <c r="C191" s="42" t="s">
        <v>385</v>
      </c>
      <c r="D191" s="85">
        <f>(2.08*2.05)*10.764</f>
        <v>45.897695999999989</v>
      </c>
      <c r="E191" s="42">
        <v>0</v>
      </c>
      <c r="F191" s="42">
        <f t="shared" si="23"/>
        <v>45.897695999999989</v>
      </c>
      <c r="G191" s="42">
        <v>0</v>
      </c>
      <c r="H191" s="42">
        <f t="shared" si="24"/>
        <v>68.84654399999998</v>
      </c>
      <c r="I191" s="36"/>
      <c r="L191" s="98"/>
      <c r="M191" s="98"/>
      <c r="N191" s="36"/>
      <c r="T191" s="21"/>
    </row>
    <row r="192" spans="1:20" s="37" customFormat="1" ht="15.75" customHeight="1" x14ac:dyDescent="0.25">
      <c r="A192" s="96">
        <f t="shared" si="22"/>
        <v>24</v>
      </c>
      <c r="B192" s="97"/>
      <c r="C192" s="42" t="s">
        <v>385</v>
      </c>
      <c r="D192" s="42">
        <f>(6.67*16.63+6.8*7.7+4.1*3.8+10.12*1.55+1.2*2.25+1.92*4.05+2.4*1.58+6.4*1.5)*10.764</f>
        <v>2351.0309004000001</v>
      </c>
      <c r="E192" s="42">
        <v>0</v>
      </c>
      <c r="F192" s="42">
        <f t="shared" si="23"/>
        <v>2351.0309004000001</v>
      </c>
      <c r="G192" s="42">
        <v>0</v>
      </c>
      <c r="H192" s="42">
        <f t="shared" si="24"/>
        <v>3526.5463506000001</v>
      </c>
      <c r="I192" s="36"/>
      <c r="L192" s="98"/>
      <c r="M192" s="98"/>
      <c r="N192" s="36"/>
      <c r="T192" s="21"/>
    </row>
    <row r="193" spans="1:20" s="37" customFormat="1" ht="15.75" hidden="1" customHeight="1" x14ac:dyDescent="0.25">
      <c r="A193" s="96" t="s">
        <v>386</v>
      </c>
      <c r="B193" s="97"/>
      <c r="C193" s="82" t="s">
        <v>387</v>
      </c>
      <c r="D193" s="82">
        <f>(4.6*5.38+2.45*(1.9+2.05))*10.764</f>
        <v>370.55608199999995</v>
      </c>
      <c r="E193" s="82">
        <v>0</v>
      </c>
      <c r="F193" s="82">
        <f t="shared" ref="F193" si="25">D193+(IF(E193&lt;201,E193,IF(E193&lt;301,E193/2,E193/3)))</f>
        <v>370.55608199999995</v>
      </c>
      <c r="G193" s="82">
        <v>0</v>
      </c>
      <c r="H193" s="82">
        <f t="shared" ref="H193" si="26">(F193+(IF(G193&lt;101,G193,IF(G193&lt;201,G193/2,IF(G193&lt;=301,G193/3,G193/4)))))*(($H$147)+1)</f>
        <v>555.83412299999986</v>
      </c>
      <c r="I193" s="36"/>
      <c r="L193" s="98"/>
      <c r="M193" s="98"/>
      <c r="N193" s="36"/>
      <c r="T193" s="21"/>
    </row>
    <row r="194" spans="1:20" s="37" customFormat="1" x14ac:dyDescent="0.25">
      <c r="A194" s="99" t="s">
        <v>390</v>
      </c>
      <c r="B194" s="100"/>
      <c r="C194" s="100"/>
      <c r="D194" s="100"/>
      <c r="E194" s="100"/>
      <c r="F194" s="100"/>
      <c r="G194" s="100"/>
      <c r="H194" s="101"/>
      <c r="J194" s="36"/>
    </row>
    <row r="195" spans="1:20" s="37" customFormat="1" x14ac:dyDescent="0.25">
      <c r="A195" s="99" t="s">
        <v>441</v>
      </c>
      <c r="B195" s="100"/>
      <c r="C195" s="100"/>
      <c r="D195" s="100"/>
      <c r="E195" s="100"/>
      <c r="F195" s="100"/>
      <c r="G195" s="100"/>
      <c r="H195" s="101"/>
      <c r="J195" s="36"/>
      <c r="T195" s="35"/>
    </row>
    <row r="196" spans="1:20" s="37" customFormat="1" ht="15.75" customHeight="1" x14ac:dyDescent="0.25">
      <c r="A196" s="96">
        <v>14</v>
      </c>
      <c r="B196" s="97"/>
      <c r="C196" s="96" t="s">
        <v>391</v>
      </c>
      <c r="D196" s="111"/>
      <c r="E196" s="111"/>
      <c r="F196" s="111"/>
      <c r="G196" s="111"/>
      <c r="H196" s="97"/>
      <c r="I196" s="36"/>
      <c r="L196" s="98"/>
      <c r="M196" s="98"/>
      <c r="N196" s="36"/>
      <c r="T196" s="35"/>
    </row>
    <row r="197" spans="1:20" s="37" customFormat="1" ht="15.75" customHeight="1" x14ac:dyDescent="0.25">
      <c r="A197" s="96">
        <f>A196+1</f>
        <v>15</v>
      </c>
      <c r="B197" s="97"/>
      <c r="C197" s="42" t="s">
        <v>385</v>
      </c>
      <c r="D197" s="42">
        <f>(5.41*11.73+2.25*3.34+1.48*2.55)*10.764</f>
        <v>804.59070120000001</v>
      </c>
      <c r="E197" s="42">
        <v>0</v>
      </c>
      <c r="F197" s="42">
        <f>D197+(IF(E197&lt;201,E197,IF(E197&lt;301,E197/2,E197/3)))</f>
        <v>804.59070120000001</v>
      </c>
      <c r="G197" s="42">
        <v>0</v>
      </c>
      <c r="H197" s="42">
        <f>(F197+(IF(G197&lt;101,G197,IF(G197&lt;201,G197/2,IF(G197&lt;=301,G197/3,G197/4)))))*(($H$147)+1)</f>
        <v>1206.8860518000001</v>
      </c>
      <c r="I197" s="36"/>
      <c r="L197" s="98"/>
      <c r="M197" s="98"/>
      <c r="N197" s="36"/>
      <c r="T197" s="34"/>
    </row>
    <row r="198" spans="1:20" s="37" customFormat="1" ht="15.75" customHeight="1" x14ac:dyDescent="0.25">
      <c r="A198" s="96">
        <f>A197+1</f>
        <v>16</v>
      </c>
      <c r="B198" s="97"/>
      <c r="C198" s="42" t="s">
        <v>385</v>
      </c>
      <c r="D198" s="42">
        <f>(3.15*5.75)*10.764</f>
        <v>194.96295000000001</v>
      </c>
      <c r="E198" s="42">
        <v>0</v>
      </c>
      <c r="F198" s="42">
        <f>D198+(IF(E198&lt;201,E198,IF(E198&lt;301,E198/2,E198/3)))</f>
        <v>194.96295000000001</v>
      </c>
      <c r="G198" s="42">
        <v>0</v>
      </c>
      <c r="H198" s="42">
        <f>(F198+(IF(G198&lt;101,G198,IF(G198&lt;201,G198/2,IF(G198&lt;=301,G198/3,G198/4)))))*(($H$147)+1)</f>
        <v>292.44442500000002</v>
      </c>
      <c r="I198" s="36"/>
      <c r="L198" s="98"/>
      <c r="M198" s="98"/>
      <c r="N198" s="36"/>
      <c r="T198" s="21"/>
    </row>
    <row r="199" spans="1:20" s="37" customFormat="1" ht="15.75" customHeight="1" x14ac:dyDescent="0.25">
      <c r="A199" s="96">
        <f>A198+1</f>
        <v>17</v>
      </c>
      <c r="B199" s="97"/>
      <c r="C199" s="42" t="s">
        <v>385</v>
      </c>
      <c r="D199" s="42">
        <f>(2.08*2.06)*10.764</f>
        <v>46.1215872</v>
      </c>
      <c r="E199" s="42">
        <v>0</v>
      </c>
      <c r="F199" s="42">
        <f>D199+(IF(E199&lt;201,E199,IF(E199&lt;301,E199/2,E199/3)))</f>
        <v>46.1215872</v>
      </c>
      <c r="G199" s="42">
        <v>0</v>
      </c>
      <c r="H199" s="42">
        <f>(F199+(IF(G199&lt;101,G199,IF(G199&lt;201,G199/2,IF(G199&lt;=301,G199/3,G199/4)))))*(($H$147)+1)</f>
        <v>69.182380800000004</v>
      </c>
      <c r="I199" s="36"/>
      <c r="L199" s="98"/>
      <c r="M199" s="98"/>
      <c r="N199" s="36"/>
      <c r="T199" s="21"/>
    </row>
    <row r="200" spans="1:20" s="37" customFormat="1" ht="15.75" customHeight="1" x14ac:dyDescent="0.25">
      <c r="A200" s="96">
        <f>A199+1</f>
        <v>18</v>
      </c>
      <c r="B200" s="97"/>
      <c r="C200" s="96" t="s">
        <v>391</v>
      </c>
      <c r="D200" s="111"/>
      <c r="E200" s="111"/>
      <c r="F200" s="111"/>
      <c r="G200" s="111"/>
      <c r="H200" s="97"/>
      <c r="I200" s="36"/>
      <c r="L200" s="98"/>
      <c r="M200" s="98"/>
      <c r="N200" s="36"/>
      <c r="T200" s="35"/>
    </row>
    <row r="201" spans="1:20" s="37" customFormat="1" x14ac:dyDescent="0.25">
      <c r="A201" s="96"/>
      <c r="B201" s="111"/>
      <c r="C201" s="111"/>
      <c r="D201" s="111"/>
      <c r="E201" s="111"/>
      <c r="F201" s="111"/>
      <c r="G201" s="111"/>
      <c r="H201" s="97"/>
      <c r="I201" s="36"/>
      <c r="N201" s="36"/>
    </row>
    <row r="202" spans="1:20" ht="47.25" customHeight="1" x14ac:dyDescent="0.25">
      <c r="A202" s="172" t="s">
        <v>431</v>
      </c>
      <c r="B202" s="152" t="s">
        <v>177</v>
      </c>
      <c r="C202" s="152" t="s">
        <v>54</v>
      </c>
      <c r="D202" s="152" t="s">
        <v>232</v>
      </c>
      <c r="E202" s="152" t="s">
        <v>432</v>
      </c>
      <c r="F202" s="152" t="s">
        <v>55</v>
      </c>
      <c r="G202" s="228" t="s">
        <v>56</v>
      </c>
      <c r="H202" s="81" t="s">
        <v>148</v>
      </c>
      <c r="I202" s="42">
        <v>10.763999999999999</v>
      </c>
      <c r="T202" s="37"/>
    </row>
    <row r="203" spans="1:20" s="37" customFormat="1" x14ac:dyDescent="0.25">
      <c r="A203" s="173"/>
      <c r="B203" s="153"/>
      <c r="C203" s="153"/>
      <c r="D203" s="153"/>
      <c r="E203" s="153"/>
      <c r="F203" s="153"/>
      <c r="G203" s="229"/>
      <c r="H203" s="84">
        <v>0.5</v>
      </c>
      <c r="I203" s="36"/>
    </row>
    <row r="204" spans="1:20" s="37" customFormat="1" x14ac:dyDescent="0.25">
      <c r="A204" s="119" t="s">
        <v>388</v>
      </c>
      <c r="B204" s="120"/>
      <c r="C204" s="120"/>
      <c r="D204" s="120"/>
      <c r="E204" s="120"/>
      <c r="F204" s="120"/>
      <c r="G204" s="120"/>
      <c r="H204" s="121"/>
      <c r="J204" s="36"/>
    </row>
    <row r="205" spans="1:20" s="37" customFormat="1" x14ac:dyDescent="0.25">
      <c r="A205" s="99" t="s">
        <v>392</v>
      </c>
      <c r="B205" s="100"/>
      <c r="C205" s="100"/>
      <c r="D205" s="100"/>
      <c r="E205" s="100"/>
      <c r="F205" s="100"/>
      <c r="G205" s="100"/>
      <c r="H205" s="101"/>
      <c r="J205" s="36"/>
    </row>
    <row r="206" spans="1:20" s="37" customFormat="1" x14ac:dyDescent="0.25">
      <c r="A206" s="99" t="s">
        <v>393</v>
      </c>
      <c r="B206" s="100"/>
      <c r="C206" s="100"/>
      <c r="D206" s="100"/>
      <c r="E206" s="100"/>
      <c r="F206" s="100"/>
      <c r="G206" s="100"/>
      <c r="H206" s="101"/>
      <c r="J206" s="36"/>
    </row>
    <row r="207" spans="1:20" s="37" customFormat="1" x14ac:dyDescent="0.25">
      <c r="A207" s="99" t="s">
        <v>394</v>
      </c>
      <c r="B207" s="100"/>
      <c r="C207" s="100"/>
      <c r="D207" s="100"/>
      <c r="E207" s="100"/>
      <c r="F207" s="100"/>
      <c r="G207" s="100"/>
      <c r="H207" s="101"/>
      <c r="I207" s="37">
        <v>1</v>
      </c>
      <c r="J207" s="36"/>
    </row>
    <row r="208" spans="1:20" s="37" customFormat="1" ht="15.75" customHeight="1" x14ac:dyDescent="0.25">
      <c r="A208" s="96">
        <v>1</v>
      </c>
      <c r="B208" s="97"/>
      <c r="C208" s="96" t="s">
        <v>395</v>
      </c>
      <c r="D208" s="111"/>
      <c r="E208" s="111"/>
      <c r="F208" s="111"/>
      <c r="G208" s="111"/>
      <c r="H208" s="97"/>
      <c r="I208" s="36"/>
      <c r="L208" s="98"/>
      <c r="M208" s="98"/>
      <c r="N208" s="36"/>
    </row>
    <row r="209" spans="1:20" s="37" customFormat="1" ht="15.75" customHeight="1" x14ac:dyDescent="0.25">
      <c r="A209" s="96">
        <f>A208+1</f>
        <v>2</v>
      </c>
      <c r="B209" s="97"/>
      <c r="C209" s="42" t="s">
        <v>396</v>
      </c>
      <c r="D209" s="42">
        <f>(69.66)*10.764</f>
        <v>749.8202399999999</v>
      </c>
      <c r="E209" s="42">
        <f>(1.2*2.78+1.35*2.13+1.2*5.75)*10.764</f>
        <v>141.13218599999999</v>
      </c>
      <c r="F209" s="42">
        <f>D209+E209</f>
        <v>890.95242599999983</v>
      </c>
      <c r="G209" s="42">
        <v>0</v>
      </c>
      <c r="H209" s="42">
        <f>F209*(($H$203)+1)+(IF(G209&lt;101,G209,IF(G209&lt;201,G209/2,IF(G209&lt;=301,G209/3,G209/4))))</f>
        <v>1336.4286389999997</v>
      </c>
      <c r="I209" s="36"/>
      <c r="L209" s="98"/>
      <c r="M209" s="98"/>
      <c r="N209" s="36"/>
    </row>
    <row r="210" spans="1:20" s="37" customFormat="1" ht="15.75" customHeight="1" x14ac:dyDescent="0.25">
      <c r="A210" s="96">
        <f>A209+1</f>
        <v>3</v>
      </c>
      <c r="B210" s="97"/>
      <c r="C210" s="42" t="s">
        <v>396</v>
      </c>
      <c r="D210" s="42">
        <f>(64.43)*10.764</f>
        <v>693.52452000000005</v>
      </c>
      <c r="E210" s="42">
        <f>(1.43*1.53+3.18*1.1+1.2*6.2)*10.764</f>
        <v>141.28718759999998</v>
      </c>
      <c r="F210" s="42">
        <f>D210+E210</f>
        <v>834.81170760000009</v>
      </c>
      <c r="G210" s="42">
        <v>0</v>
      </c>
      <c r="H210" s="42">
        <f>F210*(($H$203)+1)+(IF(G210&lt;101,G210,IF(G210&lt;201,G210/2,IF(G210&lt;=301,G210/3,G210/4))))</f>
        <v>1252.2175614000002</v>
      </c>
      <c r="I210" s="36"/>
      <c r="L210" s="98"/>
      <c r="M210" s="98"/>
      <c r="N210" s="36"/>
    </row>
    <row r="211" spans="1:20" s="37" customFormat="1" ht="30" customHeight="1" x14ac:dyDescent="0.25">
      <c r="A211" s="115">
        <f>A210+1</f>
        <v>4</v>
      </c>
      <c r="B211" s="116"/>
      <c r="C211" s="85" t="s">
        <v>397</v>
      </c>
      <c r="D211" s="85">
        <f>(44.82)*10.764</f>
        <v>482.44247999999999</v>
      </c>
      <c r="E211" s="85">
        <f>(2.7*1.1+2.08*1.15)*10.764</f>
        <v>57.716567999999995</v>
      </c>
      <c r="F211" s="85">
        <f>D211+E211</f>
        <v>540.15904799999998</v>
      </c>
      <c r="G211" s="85">
        <v>0</v>
      </c>
      <c r="H211" s="85">
        <f>F211*(($H$203)+1)+(IF(G211&lt;101,G211,IF(G211&lt;201,G211/2,IF(G211&lt;=301,G211/3,G211/4))))</f>
        <v>810.23857199999998</v>
      </c>
      <c r="I211" s="36"/>
      <c r="L211" s="98"/>
      <c r="M211" s="98"/>
      <c r="N211" s="36"/>
      <c r="T211" s="21"/>
    </row>
    <row r="212" spans="1:20" s="37" customFormat="1" ht="15.75" customHeight="1" x14ac:dyDescent="0.25">
      <c r="A212" s="115">
        <f t="shared" ref="A212:A213" si="27">A211+1</f>
        <v>5</v>
      </c>
      <c r="B212" s="116"/>
      <c r="C212" s="85" t="s">
        <v>396</v>
      </c>
      <c r="D212" s="85">
        <f>(67.28)*10.764</f>
        <v>724.20191999999997</v>
      </c>
      <c r="E212" s="85">
        <f>(3.1*1.2+1.25*2.03+2.83*1.2)*10.764</f>
        <v>103.91027399999999</v>
      </c>
      <c r="F212" s="85">
        <f t="shared" ref="F212:F213" si="28">D212+E212</f>
        <v>828.11219399999993</v>
      </c>
      <c r="G212" s="85">
        <v>0</v>
      </c>
      <c r="H212" s="85">
        <f t="shared" ref="H212:H213" si="29">F212*(($H$203)+1)+(IF(G212&lt;101,G212,IF(G212&lt;201,G212/2,IF(G212&lt;=301,G212/3,G212/4))))</f>
        <v>1242.168291</v>
      </c>
      <c r="I212" s="36"/>
      <c r="L212" s="98"/>
      <c r="M212" s="98"/>
      <c r="N212" s="36"/>
      <c r="T212" s="21"/>
    </row>
    <row r="213" spans="1:20" s="37" customFormat="1" ht="15.75" customHeight="1" x14ac:dyDescent="0.25">
      <c r="A213" s="115">
        <f t="shared" si="27"/>
        <v>6</v>
      </c>
      <c r="B213" s="116"/>
      <c r="C213" s="85" t="s">
        <v>396</v>
      </c>
      <c r="D213" s="85">
        <f>(69.66)*10.764</f>
        <v>749.8202399999999</v>
      </c>
      <c r="E213" s="85">
        <f>(2.78*1.2+1.35*2.13+5.75*1.2)*10.764</f>
        <v>141.13218599999999</v>
      </c>
      <c r="F213" s="85">
        <f t="shared" si="28"/>
        <v>890.95242599999983</v>
      </c>
      <c r="G213" s="85">
        <v>0</v>
      </c>
      <c r="H213" s="85">
        <f t="shared" si="29"/>
        <v>1336.4286389999997</v>
      </c>
      <c r="I213" s="36"/>
      <c r="L213" s="98"/>
      <c r="M213" s="98"/>
      <c r="N213" s="36"/>
      <c r="T213" s="21"/>
    </row>
    <row r="214" spans="1:20" s="37" customFormat="1" ht="15.75" customHeight="1" x14ac:dyDescent="0.25">
      <c r="A214" s="115">
        <f t="shared" ref="A214" si="30">A213+1</f>
        <v>7</v>
      </c>
      <c r="B214" s="116"/>
      <c r="C214" s="126" t="s">
        <v>395</v>
      </c>
      <c r="D214" s="127"/>
      <c r="E214" s="127"/>
      <c r="F214" s="127"/>
      <c r="G214" s="127"/>
      <c r="H214" s="128"/>
      <c r="I214" s="36"/>
      <c r="L214" s="98"/>
      <c r="M214" s="98"/>
      <c r="N214" s="36"/>
      <c r="T214" s="21"/>
    </row>
    <row r="215" spans="1:20" s="37" customFormat="1" ht="15.75" customHeight="1" x14ac:dyDescent="0.25">
      <c r="A215" s="115">
        <f t="shared" ref="A215" si="31">A214+1</f>
        <v>8</v>
      </c>
      <c r="B215" s="116"/>
      <c r="C215" s="129"/>
      <c r="D215" s="130"/>
      <c r="E215" s="130"/>
      <c r="F215" s="130"/>
      <c r="G215" s="130"/>
      <c r="H215" s="131"/>
      <c r="I215" s="36"/>
      <c r="L215" s="98"/>
      <c r="M215" s="98"/>
      <c r="N215" s="36"/>
      <c r="T215" s="21"/>
    </row>
    <row r="216" spans="1:20" s="37" customFormat="1" x14ac:dyDescent="0.25">
      <c r="A216" s="122" t="s">
        <v>116</v>
      </c>
      <c r="B216" s="123"/>
      <c r="C216" s="123"/>
      <c r="D216" s="123"/>
      <c r="E216" s="123"/>
      <c r="F216" s="123"/>
      <c r="G216" s="123"/>
      <c r="H216" s="124"/>
      <c r="I216" s="37">
        <v>1</v>
      </c>
      <c r="J216" s="36"/>
    </row>
    <row r="217" spans="1:20" s="37" customFormat="1" ht="15.75" customHeight="1" x14ac:dyDescent="0.25">
      <c r="A217" s="115">
        <v>1</v>
      </c>
      <c r="B217" s="116"/>
      <c r="C217" s="85" t="s">
        <v>396</v>
      </c>
      <c r="D217" s="85">
        <f>(67.28)*10.764</f>
        <v>724.20191999999997</v>
      </c>
      <c r="E217" s="85">
        <f>(3.1*1.2+2.08*1.25+2.83*1.2)*10.764</f>
        <v>104.58302400000001</v>
      </c>
      <c r="F217" s="85">
        <f>D217+E217</f>
        <v>828.784944</v>
      </c>
      <c r="G217" s="85">
        <v>0</v>
      </c>
      <c r="H217" s="85">
        <f>F217*(($H$203)+1)+(IF(G217&lt;101,G217,IF(G217&lt;201,G217/2,IF(G217&lt;=301,G217/3,G217/4))))</f>
        <v>1243.177416</v>
      </c>
      <c r="I217" s="36"/>
      <c r="L217" s="98"/>
      <c r="M217" s="98"/>
      <c r="N217" s="36"/>
    </row>
    <row r="218" spans="1:20" s="37" customFormat="1" ht="15.75" customHeight="1" x14ac:dyDescent="0.25">
      <c r="A218" s="115">
        <f>A217+1</f>
        <v>2</v>
      </c>
      <c r="B218" s="116"/>
      <c r="C218" s="85" t="s">
        <v>396</v>
      </c>
      <c r="D218" s="85">
        <f>(69.66)*10.764</f>
        <v>749.8202399999999</v>
      </c>
      <c r="E218" s="85">
        <f>(1.2*2.78+1.35*2.13+1.2*5.75)*10.764</f>
        <v>141.13218599999999</v>
      </c>
      <c r="F218" s="85">
        <f>D218+E218</f>
        <v>890.95242599999983</v>
      </c>
      <c r="G218" s="85">
        <v>0</v>
      </c>
      <c r="H218" s="85">
        <f>F218*(($H$203)+1)+(IF(G218&lt;101,G218,IF(G218&lt;201,G218/2,IF(G218&lt;=301,G218/3,G218/4))))</f>
        <v>1336.4286389999997</v>
      </c>
      <c r="I218" s="36"/>
      <c r="L218" s="98"/>
      <c r="M218" s="98"/>
      <c r="N218" s="36"/>
    </row>
    <row r="219" spans="1:20" s="37" customFormat="1" ht="15.75" customHeight="1" x14ac:dyDescent="0.25">
      <c r="A219" s="115">
        <f>A218+1</f>
        <v>3</v>
      </c>
      <c r="B219" s="116"/>
      <c r="C219" s="85" t="s">
        <v>396</v>
      </c>
      <c r="D219" s="85">
        <f>(64.43)*10.764</f>
        <v>693.52452000000005</v>
      </c>
      <c r="E219" s="85">
        <f>(1.43*1.53+3.18*1.1+1.2*6.2)*10.764</f>
        <v>141.28718759999998</v>
      </c>
      <c r="F219" s="85">
        <f>D219+E219</f>
        <v>834.81170760000009</v>
      </c>
      <c r="G219" s="85">
        <v>0</v>
      </c>
      <c r="H219" s="85">
        <f>F219*(($H$203)+1)+(IF(G219&lt;101,G219,IF(G219&lt;201,G219/2,IF(G219&lt;=301,G219/3,G219/4))))</f>
        <v>1252.2175614000002</v>
      </c>
      <c r="I219" s="36"/>
      <c r="L219" s="98"/>
      <c r="M219" s="98"/>
      <c r="N219" s="36"/>
    </row>
    <row r="220" spans="1:20" s="37" customFormat="1" ht="33.75" customHeight="1" x14ac:dyDescent="0.25">
      <c r="A220" s="117">
        <f>A219+1</f>
        <v>4</v>
      </c>
      <c r="B220" s="117"/>
      <c r="C220" s="85" t="s">
        <v>397</v>
      </c>
      <c r="D220" s="85">
        <f>(44.82)*10.764</f>
        <v>482.44247999999999</v>
      </c>
      <c r="E220" s="85">
        <f>(2.7*1.1+2.08*1.15)*10.764</f>
        <v>57.716567999999995</v>
      </c>
      <c r="F220" s="85">
        <f>D220+E220</f>
        <v>540.15904799999998</v>
      </c>
      <c r="G220" s="85">
        <v>0</v>
      </c>
      <c r="H220" s="85">
        <f>F220*(($H$203)+1)+(IF(G220&lt;101,G220,IF(G220&lt;201,G220/2,IF(G220&lt;=301,G220/3,G220/4))))</f>
        <v>810.23857199999998</v>
      </c>
      <c r="I220" s="36"/>
      <c r="L220" s="98"/>
      <c r="M220" s="98"/>
      <c r="N220" s="36"/>
      <c r="T220" s="21"/>
    </row>
    <row r="221" spans="1:20" s="37" customFormat="1" ht="15.75" customHeight="1" x14ac:dyDescent="0.25">
      <c r="A221" s="117">
        <f t="shared" ref="A221:A223" si="32">A220+1</f>
        <v>5</v>
      </c>
      <c r="B221" s="117"/>
      <c r="C221" s="85" t="s">
        <v>396</v>
      </c>
      <c r="D221" s="85">
        <f>(67.28)*10.764</f>
        <v>724.20191999999997</v>
      </c>
      <c r="E221" s="85">
        <f>(3.1*1.2+1.25*2.03+2.83*1.2)*10.764</f>
        <v>103.91027399999999</v>
      </c>
      <c r="F221" s="85">
        <f t="shared" ref="F221:F223" si="33">D221+E221</f>
        <v>828.11219399999993</v>
      </c>
      <c r="G221" s="85">
        <v>0</v>
      </c>
      <c r="H221" s="85">
        <f t="shared" ref="H221:H223" si="34">F221*(($H$203)+1)+(IF(G221&lt;101,G221,IF(G221&lt;201,G221/2,IF(G221&lt;=301,G221/3,G221/4))))</f>
        <v>1242.168291</v>
      </c>
      <c r="I221" s="36"/>
      <c r="L221" s="98"/>
      <c r="M221" s="98"/>
      <c r="N221" s="36"/>
      <c r="T221" s="21"/>
    </row>
    <row r="222" spans="1:20" s="37" customFormat="1" ht="15.75" customHeight="1" x14ac:dyDescent="0.25">
      <c r="A222" s="117">
        <f t="shared" si="32"/>
        <v>6</v>
      </c>
      <c r="B222" s="117"/>
      <c r="C222" s="85" t="s">
        <v>396</v>
      </c>
      <c r="D222" s="85">
        <f>(69.66)*10.764</f>
        <v>749.8202399999999</v>
      </c>
      <c r="E222" s="85">
        <f>(2.78*1.2+1.35*2.13+5.75*1.2)*10.764</f>
        <v>141.13218599999999</v>
      </c>
      <c r="F222" s="85">
        <f t="shared" si="33"/>
        <v>890.95242599999983</v>
      </c>
      <c r="G222" s="85">
        <v>0</v>
      </c>
      <c r="H222" s="85">
        <f t="shared" si="34"/>
        <v>1336.4286389999997</v>
      </c>
      <c r="I222" s="36"/>
      <c r="L222" s="98"/>
      <c r="M222" s="98"/>
      <c r="N222" s="36"/>
      <c r="T222" s="21"/>
    </row>
    <row r="223" spans="1:20" s="37" customFormat="1" ht="15.75" customHeight="1" x14ac:dyDescent="0.25">
      <c r="A223" s="117">
        <f t="shared" si="32"/>
        <v>7</v>
      </c>
      <c r="B223" s="117"/>
      <c r="C223" s="85" t="s">
        <v>396</v>
      </c>
      <c r="D223" s="85">
        <f>(64.43)*10.764</f>
        <v>693.52452000000005</v>
      </c>
      <c r="E223" s="85">
        <f>(6.2*1.2+3.18*1.1+1.43*1.53)*10.764</f>
        <v>141.28718760000001</v>
      </c>
      <c r="F223" s="85">
        <f t="shared" si="33"/>
        <v>834.81170760000009</v>
      </c>
      <c r="G223" s="85">
        <v>0</v>
      </c>
      <c r="H223" s="85">
        <f t="shared" si="34"/>
        <v>1252.2175614000002</v>
      </c>
      <c r="I223" s="36"/>
      <c r="L223" s="98"/>
      <c r="M223" s="98"/>
      <c r="N223" s="36"/>
      <c r="T223" s="21"/>
    </row>
    <row r="224" spans="1:20" s="37" customFormat="1" ht="33.75" customHeight="1" x14ac:dyDescent="0.25">
      <c r="A224" s="117">
        <f t="shared" ref="A224" si="35">A223+1</f>
        <v>8</v>
      </c>
      <c r="B224" s="117"/>
      <c r="C224" s="85" t="s">
        <v>397</v>
      </c>
      <c r="D224" s="85">
        <f>(44.82)*10.764</f>
        <v>482.44247999999999</v>
      </c>
      <c r="E224" s="85">
        <f>(2.7*1.1+2.08*1.15)*10.764</f>
        <v>57.716567999999995</v>
      </c>
      <c r="F224" s="85">
        <f t="shared" ref="F224" si="36">D224+E224</f>
        <v>540.15904799999998</v>
      </c>
      <c r="G224" s="85">
        <v>0</v>
      </c>
      <c r="H224" s="85">
        <f t="shared" ref="H224" si="37">F224*(($H$203)+1)+(IF(G224&lt;101,G224,IF(G224&lt;201,G224/2,IF(G224&lt;=301,G224/3,G224/4))))</f>
        <v>810.23857199999998</v>
      </c>
      <c r="I224" s="36"/>
      <c r="L224" s="98"/>
      <c r="M224" s="98"/>
      <c r="N224" s="36"/>
      <c r="T224" s="21"/>
    </row>
    <row r="225" spans="1:20" s="37" customFormat="1" x14ac:dyDescent="0.25">
      <c r="A225" s="108" t="s">
        <v>398</v>
      </c>
      <c r="B225" s="108"/>
      <c r="C225" s="108"/>
      <c r="D225" s="108"/>
      <c r="E225" s="108"/>
      <c r="F225" s="108"/>
      <c r="G225" s="108"/>
      <c r="H225" s="108"/>
      <c r="I225" s="37">
        <v>1</v>
      </c>
      <c r="J225" s="36"/>
    </row>
    <row r="226" spans="1:20" s="37" customFormat="1" ht="15.75" customHeight="1" x14ac:dyDescent="0.25">
      <c r="A226" s="96">
        <v>1</v>
      </c>
      <c r="B226" s="97"/>
      <c r="C226" s="42" t="s">
        <v>396</v>
      </c>
      <c r="D226" s="42">
        <f>(67.28)*10.764</f>
        <v>724.20191999999997</v>
      </c>
      <c r="E226" s="42">
        <f>(3.1*1.2+2.08*1.25+2.83*1.2)*10.764</f>
        <v>104.58302400000001</v>
      </c>
      <c r="F226" s="42">
        <f>D226+E226</f>
        <v>828.784944</v>
      </c>
      <c r="G226" s="42">
        <v>0</v>
      </c>
      <c r="H226" s="42">
        <f>F226*(($H$203)+1)+(IF(G226&lt;101,G226,IF(G226&lt;201,G226/2,IF(G226&lt;=301,G226/3,G226/4))))</f>
        <v>1243.177416</v>
      </c>
      <c r="I226" s="36"/>
      <c r="L226" s="98"/>
      <c r="M226" s="98"/>
      <c r="N226" s="36"/>
    </row>
    <row r="227" spans="1:20" s="37" customFormat="1" ht="15.75" customHeight="1" x14ac:dyDescent="0.25">
      <c r="A227" s="96">
        <f>A226+1</f>
        <v>2</v>
      </c>
      <c r="B227" s="97"/>
      <c r="C227" s="42" t="s">
        <v>396</v>
      </c>
      <c r="D227" s="42">
        <f>(69.66)*10.764</f>
        <v>749.8202399999999</v>
      </c>
      <c r="E227" s="42">
        <f>(1.2*2.78+1.35*2.13+1.2*5.75)*10.764</f>
        <v>141.13218599999999</v>
      </c>
      <c r="F227" s="42">
        <f>D227+E227</f>
        <v>890.95242599999983</v>
      </c>
      <c r="G227" s="42">
        <v>0</v>
      </c>
      <c r="H227" s="42">
        <f>F227*(($H$203)+1)+(IF(G227&lt;101,G227,IF(G227&lt;201,G227/2,IF(G227&lt;=301,G227/3,G227/4))))</f>
        <v>1336.4286389999997</v>
      </c>
      <c r="I227" s="36"/>
      <c r="L227" s="98"/>
      <c r="M227" s="98"/>
      <c r="N227" s="36"/>
    </row>
    <row r="228" spans="1:20" s="37" customFormat="1" ht="15.75" customHeight="1" x14ac:dyDescent="0.25">
      <c r="A228" s="96">
        <f>A227+1</f>
        <v>3</v>
      </c>
      <c r="B228" s="97"/>
      <c r="C228" s="42" t="s">
        <v>396</v>
      </c>
      <c r="D228" s="42">
        <f>(63.35)*10.764</f>
        <v>681.89940000000001</v>
      </c>
      <c r="E228" s="42">
        <f>(1.43*1.53+1.2*6.2)*10.764</f>
        <v>103.63471559999999</v>
      </c>
      <c r="F228" s="42">
        <f>D228+E228</f>
        <v>785.53411559999995</v>
      </c>
      <c r="G228" s="42">
        <v>0</v>
      </c>
      <c r="H228" s="42">
        <f>F228*(($H$203)+1)+(IF(G228&lt;101,G228,IF(G228&lt;201,G228/2,IF(G228&lt;=301,G228/3,G228/4))))</f>
        <v>1178.3011733999999</v>
      </c>
      <c r="I228" s="36"/>
      <c r="L228" s="98"/>
      <c r="M228" s="98"/>
      <c r="N228" s="36"/>
    </row>
    <row r="229" spans="1:20" s="37" customFormat="1" ht="30" customHeight="1" x14ac:dyDescent="0.25">
      <c r="A229" s="115">
        <f>A228+1</f>
        <v>4</v>
      </c>
      <c r="B229" s="116"/>
      <c r="C229" s="85" t="s">
        <v>397</v>
      </c>
      <c r="D229" s="85">
        <f>(44.42)*10.764</f>
        <v>478.13687999999996</v>
      </c>
      <c r="E229" s="85">
        <f>(2.08*1.15)*10.764</f>
        <v>25.747487999999997</v>
      </c>
      <c r="F229" s="85">
        <f>D229+E229</f>
        <v>503.88436799999994</v>
      </c>
      <c r="G229" s="85">
        <v>0</v>
      </c>
      <c r="H229" s="85">
        <f>F229*(($H$203)+1)+(IF(G229&lt;101,G229,IF(G229&lt;201,G229/2,IF(G229&lt;=301,G229/3,G229/4))))</f>
        <v>755.82655199999988</v>
      </c>
      <c r="I229" s="36">
        <f>19500000/H229</f>
        <v>25799.569952128386</v>
      </c>
      <c r="L229" s="98"/>
      <c r="M229" s="98"/>
      <c r="N229" s="36"/>
      <c r="T229" s="21"/>
    </row>
    <row r="230" spans="1:20" s="37" customFormat="1" ht="15.75" customHeight="1" x14ac:dyDescent="0.25">
      <c r="A230" s="115">
        <f t="shared" ref="A230:A233" si="38">A229+1</f>
        <v>5</v>
      </c>
      <c r="B230" s="116"/>
      <c r="C230" s="85" t="s">
        <v>400</v>
      </c>
      <c r="D230" s="85">
        <f>(78.27)*10.764</f>
        <v>842.49827999999991</v>
      </c>
      <c r="E230" s="85">
        <f>(3.1*1.2+1.25*2.03+2.83*1.2+2.78*1.2)*10.764</f>
        <v>139.81897799999999</v>
      </c>
      <c r="F230" s="85">
        <f t="shared" ref="F230:F233" si="39">D230+E230</f>
        <v>982.31725799999992</v>
      </c>
      <c r="G230" s="85">
        <v>0</v>
      </c>
      <c r="H230" s="85">
        <f t="shared" ref="H230:H233" si="40">F230*(($H$203)+1)+(IF(G230&lt;101,G230,IF(G230&lt;201,G230/2,IF(G230&lt;=301,G230/3,G230/4))))</f>
        <v>1473.4758869999998</v>
      </c>
      <c r="I230" s="36"/>
      <c r="L230" s="98"/>
      <c r="M230" s="98"/>
      <c r="N230" s="36"/>
      <c r="T230" s="21"/>
    </row>
    <row r="231" spans="1:20" s="37" customFormat="1" ht="15.75" customHeight="1" x14ac:dyDescent="0.25">
      <c r="A231" s="115">
        <f t="shared" si="38"/>
        <v>6</v>
      </c>
      <c r="B231" s="116"/>
      <c r="C231" s="126" t="s">
        <v>399</v>
      </c>
      <c r="D231" s="127"/>
      <c r="E231" s="127"/>
      <c r="F231" s="127"/>
      <c r="G231" s="127"/>
      <c r="H231" s="128"/>
      <c r="I231" s="36"/>
      <c r="L231" s="98"/>
      <c r="M231" s="98"/>
      <c r="N231" s="36"/>
      <c r="T231" s="21"/>
    </row>
    <row r="232" spans="1:20" s="37" customFormat="1" ht="15.75" customHeight="1" x14ac:dyDescent="0.25">
      <c r="A232" s="115">
        <f t="shared" si="38"/>
        <v>7</v>
      </c>
      <c r="B232" s="116"/>
      <c r="C232" s="129"/>
      <c r="D232" s="130"/>
      <c r="E232" s="130"/>
      <c r="F232" s="130"/>
      <c r="G232" s="130"/>
      <c r="H232" s="131"/>
      <c r="I232" s="36"/>
      <c r="L232" s="98"/>
      <c r="M232" s="98"/>
      <c r="N232" s="36"/>
      <c r="T232" s="21"/>
    </row>
    <row r="233" spans="1:20" s="37" customFormat="1" ht="28.5" customHeight="1" x14ac:dyDescent="0.25">
      <c r="A233" s="115">
        <f t="shared" si="38"/>
        <v>8</v>
      </c>
      <c r="B233" s="116"/>
      <c r="C233" s="85" t="s">
        <v>397</v>
      </c>
      <c r="D233" s="85">
        <f>(44.35)*10.764</f>
        <v>477.38339999999999</v>
      </c>
      <c r="E233" s="85">
        <f>(2.08*1.15)*10.764</f>
        <v>25.747487999999997</v>
      </c>
      <c r="F233" s="85">
        <f t="shared" si="39"/>
        <v>503.13088799999997</v>
      </c>
      <c r="G233" s="85">
        <v>0</v>
      </c>
      <c r="H233" s="85">
        <f t="shared" si="40"/>
        <v>754.69633199999998</v>
      </c>
      <c r="I233" s="36"/>
      <c r="L233" s="98"/>
      <c r="M233" s="98"/>
      <c r="N233" s="36"/>
      <c r="T233" s="21"/>
    </row>
    <row r="234" spans="1:20" s="37" customFormat="1" x14ac:dyDescent="0.25">
      <c r="A234" s="122" t="s">
        <v>401</v>
      </c>
      <c r="B234" s="123"/>
      <c r="C234" s="123"/>
      <c r="D234" s="123"/>
      <c r="E234" s="123"/>
      <c r="F234" s="123"/>
      <c r="G234" s="123"/>
      <c r="H234" s="124"/>
      <c r="I234" s="37">
        <v>1</v>
      </c>
      <c r="J234" s="36"/>
    </row>
    <row r="235" spans="1:20" s="37" customFormat="1" ht="15.75" customHeight="1" x14ac:dyDescent="0.25">
      <c r="A235" s="115">
        <v>1</v>
      </c>
      <c r="B235" s="116"/>
      <c r="C235" s="85" t="s">
        <v>396</v>
      </c>
      <c r="D235" s="85">
        <f>(67.28)*10.764</f>
        <v>724.20191999999997</v>
      </c>
      <c r="E235" s="85">
        <f>(3.1*1.2+2.08*1.25+2.83*1.2)*10.764</f>
        <v>104.58302400000001</v>
      </c>
      <c r="F235" s="85">
        <f>D235+E235</f>
        <v>828.784944</v>
      </c>
      <c r="G235" s="85">
        <v>0</v>
      </c>
      <c r="H235" s="85">
        <f>F235*(($H$203)+1)+(IF(G235&lt;101,G235,IF(G235&lt;201,G235/2,IF(G235&lt;=301,G235/3,G235/4))))</f>
        <v>1243.177416</v>
      </c>
      <c r="I235" s="36"/>
      <c r="L235" s="98"/>
      <c r="M235" s="98"/>
      <c r="N235" s="36"/>
    </row>
    <row r="236" spans="1:20" s="37" customFormat="1" ht="15.75" customHeight="1" x14ac:dyDescent="0.25">
      <c r="A236" s="115">
        <f>A235+1</f>
        <v>2</v>
      </c>
      <c r="B236" s="116"/>
      <c r="C236" s="85" t="s">
        <v>396</v>
      </c>
      <c r="D236" s="85">
        <f>(69.66)*10.764</f>
        <v>749.8202399999999</v>
      </c>
      <c r="E236" s="85">
        <f>(1.2*2.78+1.35*2.13+1.2*5.75)*10.764</f>
        <v>141.13218599999999</v>
      </c>
      <c r="F236" s="85">
        <f>D236+E236</f>
        <v>890.95242599999983</v>
      </c>
      <c r="G236" s="85">
        <v>0</v>
      </c>
      <c r="H236" s="85">
        <f>F236*(($H$203)+1)+(IF(G236&lt;101,G236,IF(G236&lt;201,G236/2,IF(G236&lt;=301,G236/3,G236/4))))</f>
        <v>1336.4286389999997</v>
      </c>
      <c r="I236" s="36"/>
      <c r="L236" s="98"/>
      <c r="M236" s="98"/>
      <c r="N236" s="36"/>
    </row>
    <row r="237" spans="1:20" s="37" customFormat="1" ht="15.75" customHeight="1" x14ac:dyDescent="0.25">
      <c r="A237" s="115">
        <f>A236+1</f>
        <v>3</v>
      </c>
      <c r="B237" s="116"/>
      <c r="C237" s="85" t="s">
        <v>396</v>
      </c>
      <c r="D237" s="85">
        <f>(63.35)*10.764</f>
        <v>681.89940000000001</v>
      </c>
      <c r="E237" s="85">
        <f>(1.43*1.53+1.2*6.2)*10.764</f>
        <v>103.63471559999999</v>
      </c>
      <c r="F237" s="85">
        <f>D237+E237</f>
        <v>785.53411559999995</v>
      </c>
      <c r="G237" s="85">
        <v>0</v>
      </c>
      <c r="H237" s="85">
        <f>F237*(($H$203)+1)+(IF(G237&lt;101,G237,IF(G237&lt;201,G237/2,IF(G237&lt;=301,G237/3,G237/4))))</f>
        <v>1178.3011733999999</v>
      </c>
      <c r="I237" s="36"/>
      <c r="L237" s="98"/>
      <c r="M237" s="98"/>
      <c r="N237" s="36"/>
    </row>
    <row r="238" spans="1:20" s="37" customFormat="1" ht="30.75" customHeight="1" x14ac:dyDescent="0.25">
      <c r="A238" s="115">
        <f>A237+1</f>
        <v>4</v>
      </c>
      <c r="B238" s="116"/>
      <c r="C238" s="85" t="s">
        <v>397</v>
      </c>
      <c r="D238" s="85">
        <f>(44.42)*10.764</f>
        <v>478.13687999999996</v>
      </c>
      <c r="E238" s="85">
        <f>(2.08*1.15)*10.764</f>
        <v>25.747487999999997</v>
      </c>
      <c r="F238" s="85">
        <f>D238+E238</f>
        <v>503.88436799999994</v>
      </c>
      <c r="G238" s="85">
        <v>0</v>
      </c>
      <c r="H238" s="85">
        <f>F238*(($H$203)+1)+(IF(G238&lt;101,G238,IF(G238&lt;201,G238/2,IF(G238&lt;=301,G238/3,G238/4))))</f>
        <v>755.82655199999988</v>
      </c>
      <c r="I238" s="36"/>
      <c r="L238" s="98"/>
      <c r="M238" s="98"/>
      <c r="N238" s="36"/>
      <c r="T238" s="21"/>
    </row>
    <row r="239" spans="1:20" s="37" customFormat="1" ht="15.75" customHeight="1" x14ac:dyDescent="0.25">
      <c r="A239" s="115">
        <f t="shared" ref="A239:A242" si="41">A238+1</f>
        <v>5</v>
      </c>
      <c r="B239" s="116"/>
      <c r="C239" s="85" t="s">
        <v>396</v>
      </c>
      <c r="D239" s="85">
        <f>(67.28)*10.764</f>
        <v>724.20191999999997</v>
      </c>
      <c r="E239" s="85">
        <f>(3.1*1.2+1.25*2.03+2.83*1.2)*10.764</f>
        <v>103.91027399999999</v>
      </c>
      <c r="F239" s="85">
        <f t="shared" ref="F239:F242" si="42">D239+E239</f>
        <v>828.11219399999993</v>
      </c>
      <c r="G239" s="85">
        <v>0</v>
      </c>
      <c r="H239" s="85">
        <f t="shared" ref="H239:H242" si="43">F239*(($H$203)+1)+(IF(G239&lt;101,G239,IF(G239&lt;201,G239/2,IF(G239&lt;=301,G239/3,G239/4))))</f>
        <v>1242.168291</v>
      </c>
      <c r="I239" s="36"/>
      <c r="L239" s="98"/>
      <c r="M239" s="98"/>
      <c r="N239" s="36"/>
      <c r="T239" s="21"/>
    </row>
    <row r="240" spans="1:20" s="37" customFormat="1" ht="15.75" customHeight="1" x14ac:dyDescent="0.25">
      <c r="A240" s="115">
        <f t="shared" si="41"/>
        <v>6</v>
      </c>
      <c r="B240" s="116"/>
      <c r="C240" s="85" t="s">
        <v>396</v>
      </c>
      <c r="D240" s="85">
        <f>(69.81)*10.764</f>
        <v>751.43484000000001</v>
      </c>
      <c r="E240" s="85">
        <f>(2.78*1.2+1.35*2.13+5.75*1.2)*10.764</f>
        <v>141.13218599999999</v>
      </c>
      <c r="F240" s="85">
        <f t="shared" si="42"/>
        <v>892.56702599999994</v>
      </c>
      <c r="G240" s="85">
        <v>0</v>
      </c>
      <c r="H240" s="85">
        <f t="shared" si="43"/>
        <v>1338.850539</v>
      </c>
      <c r="I240" s="36"/>
      <c r="L240" s="98"/>
      <c r="M240" s="98"/>
      <c r="N240" s="36"/>
      <c r="T240" s="21"/>
    </row>
    <row r="241" spans="1:20" s="37" customFormat="1" ht="15.75" customHeight="1" x14ac:dyDescent="0.25">
      <c r="A241" s="115">
        <f t="shared" si="41"/>
        <v>7</v>
      </c>
      <c r="B241" s="116"/>
      <c r="C241" s="85" t="s">
        <v>396</v>
      </c>
      <c r="D241" s="85">
        <f>(63.35)*10.764</f>
        <v>681.89940000000001</v>
      </c>
      <c r="E241" s="85">
        <f>(6.2*1.2+1.43*1.53)*10.764</f>
        <v>103.63471559999999</v>
      </c>
      <c r="F241" s="85">
        <f t="shared" si="42"/>
        <v>785.53411559999995</v>
      </c>
      <c r="G241" s="85">
        <v>0</v>
      </c>
      <c r="H241" s="85">
        <f t="shared" si="43"/>
        <v>1178.3011733999999</v>
      </c>
      <c r="I241" s="36"/>
      <c r="L241" s="98"/>
      <c r="M241" s="98"/>
      <c r="N241" s="36"/>
      <c r="T241" s="21"/>
    </row>
    <row r="242" spans="1:20" s="37" customFormat="1" ht="33" customHeight="1" x14ac:dyDescent="0.25">
      <c r="A242" s="115">
        <f t="shared" si="41"/>
        <v>8</v>
      </c>
      <c r="B242" s="116"/>
      <c r="C242" s="85" t="s">
        <v>397</v>
      </c>
      <c r="D242" s="85">
        <f>(44.35)*10.764</f>
        <v>477.38339999999999</v>
      </c>
      <c r="E242" s="85">
        <f>(2.08*1.15)*10.764</f>
        <v>25.747487999999997</v>
      </c>
      <c r="F242" s="85">
        <f t="shared" si="42"/>
        <v>503.13088799999997</v>
      </c>
      <c r="G242" s="85">
        <v>0</v>
      </c>
      <c r="H242" s="85">
        <f t="shared" si="43"/>
        <v>754.69633199999998</v>
      </c>
      <c r="I242" s="36"/>
      <c r="L242" s="98"/>
      <c r="M242" s="98"/>
      <c r="N242" s="36"/>
      <c r="T242" s="21"/>
    </row>
    <row r="243" spans="1:20" s="37" customFormat="1" x14ac:dyDescent="0.25">
      <c r="A243" s="122" t="s">
        <v>402</v>
      </c>
      <c r="B243" s="123"/>
      <c r="C243" s="123"/>
      <c r="D243" s="123"/>
      <c r="E243" s="123"/>
      <c r="F243" s="123"/>
      <c r="G243" s="123"/>
      <c r="H243" s="124"/>
      <c r="I243" s="37">
        <v>1</v>
      </c>
      <c r="J243" s="36"/>
    </row>
    <row r="244" spans="1:20" s="37" customFormat="1" ht="15.75" customHeight="1" x14ac:dyDescent="0.25">
      <c r="A244" s="115">
        <v>1</v>
      </c>
      <c r="B244" s="116"/>
      <c r="C244" s="85" t="s">
        <v>396</v>
      </c>
      <c r="D244" s="85">
        <f>(66.43)*10.764</f>
        <v>715.05252000000007</v>
      </c>
      <c r="E244" s="85">
        <f>(2.08*1.25)*10.764</f>
        <v>27.9864</v>
      </c>
      <c r="F244" s="85">
        <f>D244+E244</f>
        <v>743.03892000000008</v>
      </c>
      <c r="G244" s="85">
        <v>0</v>
      </c>
      <c r="H244" s="85">
        <f>F244*(($H$203)+1)+(IF(G244&lt;101,G244,IF(G244&lt;201,G244/2,IF(G244&lt;=301,G244/3,G244/4))))</f>
        <v>1114.5583800000002</v>
      </c>
      <c r="I244" s="36"/>
      <c r="J244" s="37">
        <v>738</v>
      </c>
      <c r="K244" s="37">
        <f>J244*1.5</f>
        <v>1107</v>
      </c>
      <c r="L244" s="98">
        <f>19400000/K244</f>
        <v>17524.841915085817</v>
      </c>
      <c r="M244" s="98"/>
      <c r="N244" s="36"/>
    </row>
    <row r="245" spans="1:20" s="37" customFormat="1" ht="15.75" customHeight="1" x14ac:dyDescent="0.25">
      <c r="A245" s="115">
        <f>A244+1</f>
        <v>2</v>
      </c>
      <c r="B245" s="116"/>
      <c r="C245" s="85" t="s">
        <v>396</v>
      </c>
      <c r="D245" s="85">
        <f>(68.22)*10.764</f>
        <v>734.32007999999996</v>
      </c>
      <c r="E245" s="85">
        <f>(1.35*2.13)*10.764</f>
        <v>30.951882000000001</v>
      </c>
      <c r="F245" s="85">
        <f>D245+E245</f>
        <v>765.27196199999992</v>
      </c>
      <c r="G245" s="85">
        <v>0</v>
      </c>
      <c r="H245" s="85">
        <f>F245*(($H$203)+1)+(IF(G245&lt;101,G245,IF(G245&lt;201,G245/2,IF(G245&lt;=301,G245/3,G245/4))))</f>
        <v>1147.9079429999999</v>
      </c>
      <c r="I245" s="36"/>
      <c r="J245" s="37">
        <v>1180</v>
      </c>
      <c r="K245" s="37">
        <f t="shared" ref="K245:K246" si="44">J245*1.5</f>
        <v>1770</v>
      </c>
      <c r="L245" s="98">
        <f>29900000/K245</f>
        <v>16892.655367231637</v>
      </c>
      <c r="M245" s="98"/>
      <c r="N245" s="36"/>
    </row>
    <row r="246" spans="1:20" s="37" customFormat="1" ht="15.75" customHeight="1" x14ac:dyDescent="0.25">
      <c r="A246" s="115">
        <f>A245+1</f>
        <v>3</v>
      </c>
      <c r="B246" s="116"/>
      <c r="C246" s="85" t="s">
        <v>396</v>
      </c>
      <c r="D246" s="85">
        <f>(62.36)*10.764</f>
        <v>671.24303999999995</v>
      </c>
      <c r="E246" s="85">
        <f>(1.43*1.53)*10.764</f>
        <v>23.550555599999999</v>
      </c>
      <c r="F246" s="85">
        <f>D246+E246</f>
        <v>694.7935956</v>
      </c>
      <c r="G246" s="85">
        <v>0</v>
      </c>
      <c r="H246" s="85">
        <f>F246*(($H$203)+1)+(IF(G246&lt;101,G246,IF(G246&lt;201,G246/2,IF(G246&lt;=301,G246/3,G246/4))))</f>
        <v>1042.1903933999999</v>
      </c>
      <c r="I246" s="36"/>
      <c r="J246" s="37">
        <v>1550</v>
      </c>
      <c r="K246" s="37">
        <f t="shared" si="44"/>
        <v>2325</v>
      </c>
      <c r="L246" s="98">
        <f>44500000/K246</f>
        <v>19139.784946236559</v>
      </c>
      <c r="M246" s="98"/>
      <c r="N246" s="36"/>
    </row>
    <row r="247" spans="1:20" s="37" customFormat="1" ht="30.75" customHeight="1" x14ac:dyDescent="0.25">
      <c r="A247" s="115">
        <f>A246+1</f>
        <v>4</v>
      </c>
      <c r="B247" s="116"/>
      <c r="C247" s="85" t="s">
        <v>397</v>
      </c>
      <c r="D247" s="85">
        <f>(44.42)*10.764</f>
        <v>478.13687999999996</v>
      </c>
      <c r="E247" s="85">
        <f>(2.08*1.15)*10.764</f>
        <v>25.747487999999997</v>
      </c>
      <c r="F247" s="85">
        <f>D247+E247</f>
        <v>503.88436799999994</v>
      </c>
      <c r="G247" s="85">
        <v>0</v>
      </c>
      <c r="H247" s="85">
        <f>F247*(($H$203)+1)+(IF(G247&lt;101,G247,IF(G247&lt;201,G247/2,IF(G247&lt;=301,G247/3,G247/4))))</f>
        <v>755.82655199999988</v>
      </c>
      <c r="I247" s="36"/>
      <c r="L247" s="98"/>
      <c r="M247" s="98"/>
      <c r="N247" s="36"/>
      <c r="T247" s="21"/>
    </row>
    <row r="248" spans="1:20" s="37" customFormat="1" ht="15.75" customHeight="1" x14ac:dyDescent="0.25">
      <c r="A248" s="115">
        <f t="shared" ref="A248:A251" si="45">A247+1</f>
        <v>5</v>
      </c>
      <c r="B248" s="116"/>
      <c r="C248" s="85" t="s">
        <v>396</v>
      </c>
      <c r="D248" s="85">
        <f>(66.43)*10.764</f>
        <v>715.05252000000007</v>
      </c>
      <c r="E248" s="85">
        <f>(1.25*2.08)*10.764</f>
        <v>27.9864</v>
      </c>
      <c r="F248" s="85">
        <f t="shared" ref="F248:F251" si="46">D248+E248</f>
        <v>743.03892000000008</v>
      </c>
      <c r="G248" s="85">
        <v>0</v>
      </c>
      <c r="H248" s="85">
        <f t="shared" ref="H248:H251" si="47">F248*(($H$203)+1)+(IF(G248&lt;101,G248,IF(G248&lt;201,G248/2,IF(G248&lt;=301,G248/3,G248/4))))</f>
        <v>1114.5583800000002</v>
      </c>
      <c r="I248" s="36"/>
      <c r="L248" s="98"/>
      <c r="M248" s="98"/>
      <c r="N248" s="36"/>
      <c r="T248" s="21"/>
    </row>
    <row r="249" spans="1:20" s="37" customFormat="1" ht="15.75" customHeight="1" x14ac:dyDescent="0.25">
      <c r="A249" s="115">
        <f t="shared" si="45"/>
        <v>6</v>
      </c>
      <c r="B249" s="116"/>
      <c r="C249" s="85" t="s">
        <v>396</v>
      </c>
      <c r="D249" s="85">
        <f>(68.22)*10.764</f>
        <v>734.32007999999996</v>
      </c>
      <c r="E249" s="85">
        <f>(1.35*2.13)*10.764</f>
        <v>30.951882000000001</v>
      </c>
      <c r="F249" s="85">
        <f t="shared" si="46"/>
        <v>765.27196199999992</v>
      </c>
      <c r="G249" s="85">
        <v>0</v>
      </c>
      <c r="H249" s="85">
        <f t="shared" si="47"/>
        <v>1147.9079429999999</v>
      </c>
      <c r="I249" s="36"/>
      <c r="L249" s="98"/>
      <c r="M249" s="98"/>
      <c r="N249" s="36"/>
      <c r="T249" s="21"/>
    </row>
    <row r="250" spans="1:20" s="37" customFormat="1" ht="15.75" customHeight="1" x14ac:dyDescent="0.25">
      <c r="A250" s="115">
        <f t="shared" si="45"/>
        <v>7</v>
      </c>
      <c r="B250" s="116"/>
      <c r="C250" s="85" t="s">
        <v>396</v>
      </c>
      <c r="D250" s="85">
        <f>(62.36)*10.764</f>
        <v>671.24303999999995</v>
      </c>
      <c r="E250" s="85">
        <f>(1.43*1.53)*10.764</f>
        <v>23.550555599999999</v>
      </c>
      <c r="F250" s="85">
        <f t="shared" si="46"/>
        <v>694.7935956</v>
      </c>
      <c r="G250" s="85">
        <v>0</v>
      </c>
      <c r="H250" s="85">
        <f t="shared" si="47"/>
        <v>1042.1903933999999</v>
      </c>
      <c r="I250" s="36"/>
      <c r="L250" s="98"/>
      <c r="M250" s="98"/>
      <c r="N250" s="36"/>
      <c r="T250" s="21"/>
    </row>
    <row r="251" spans="1:20" s="37" customFormat="1" ht="30.75" customHeight="1" x14ac:dyDescent="0.25">
      <c r="A251" s="115">
        <f t="shared" si="45"/>
        <v>8</v>
      </c>
      <c r="B251" s="116"/>
      <c r="C251" s="85" t="s">
        <v>397</v>
      </c>
      <c r="D251" s="85">
        <f>(44.35)*10.764</f>
        <v>477.38339999999999</v>
      </c>
      <c r="E251" s="85">
        <f>(2.08*1.15)*10.764</f>
        <v>25.747487999999997</v>
      </c>
      <c r="F251" s="85">
        <f t="shared" si="46"/>
        <v>503.13088799999997</v>
      </c>
      <c r="G251" s="85">
        <v>0</v>
      </c>
      <c r="H251" s="85">
        <f t="shared" si="47"/>
        <v>754.69633199999998</v>
      </c>
      <c r="I251" s="36"/>
      <c r="L251" s="98"/>
      <c r="M251" s="98"/>
      <c r="N251" s="36"/>
      <c r="T251" s="21"/>
    </row>
    <row r="252" spans="1:20" s="37" customFormat="1" x14ac:dyDescent="0.25">
      <c r="A252" s="125" t="s">
        <v>403</v>
      </c>
      <c r="B252" s="125"/>
      <c r="C252" s="125"/>
      <c r="D252" s="125"/>
      <c r="E252" s="125"/>
      <c r="F252" s="125"/>
      <c r="G252" s="125"/>
      <c r="H252" s="125"/>
      <c r="I252" s="37">
        <v>4</v>
      </c>
      <c r="J252" s="36"/>
    </row>
    <row r="253" spans="1:20" s="37" customFormat="1" ht="15.75" customHeight="1" x14ac:dyDescent="0.25">
      <c r="A253" s="117">
        <v>1</v>
      </c>
      <c r="B253" s="117"/>
      <c r="C253" s="85" t="s">
        <v>396</v>
      </c>
      <c r="D253" s="85">
        <f>(66.43)*10.764</f>
        <v>715.05252000000007</v>
      </c>
      <c r="E253" s="85">
        <f>(2.08*1.25)*10.764</f>
        <v>27.9864</v>
      </c>
      <c r="F253" s="85">
        <f>D253+E253</f>
        <v>743.03892000000008</v>
      </c>
      <c r="G253" s="85">
        <v>0</v>
      </c>
      <c r="H253" s="85">
        <f>F253*(($H$203)+1)+(IF(G253&lt;101,G253,IF(G253&lt;201,G253/2,IF(G253&lt;=301,G253/3,G253/4))))</f>
        <v>1114.5583800000002</v>
      </c>
      <c r="I253" s="36"/>
      <c r="L253" s="98"/>
      <c r="M253" s="98"/>
      <c r="N253" s="36"/>
    </row>
    <row r="254" spans="1:20" s="37" customFormat="1" ht="15.75" customHeight="1" x14ac:dyDescent="0.25">
      <c r="A254" s="117">
        <f>A253+1</f>
        <v>2</v>
      </c>
      <c r="B254" s="117"/>
      <c r="C254" s="85" t="s">
        <v>396</v>
      </c>
      <c r="D254" s="85">
        <f>(68.22)*10.764</f>
        <v>734.32007999999996</v>
      </c>
      <c r="E254" s="85">
        <f>(1.35*2.13)*10.764</f>
        <v>30.951882000000001</v>
      </c>
      <c r="F254" s="85">
        <f>D254+E254</f>
        <v>765.27196199999992</v>
      </c>
      <c r="G254" s="85">
        <v>0</v>
      </c>
      <c r="H254" s="85">
        <f>F254*(($H$203)+1)+(IF(G254&lt;101,G254,IF(G254&lt;201,G254/2,IF(G254&lt;=301,G254/3,G254/4))))</f>
        <v>1147.9079429999999</v>
      </c>
      <c r="I254" s="36"/>
      <c r="L254" s="98"/>
      <c r="M254" s="98"/>
      <c r="N254" s="36"/>
    </row>
    <row r="255" spans="1:20" s="37" customFormat="1" ht="15.75" customHeight="1" x14ac:dyDescent="0.25">
      <c r="A255" s="117">
        <f>A254+1</f>
        <v>3</v>
      </c>
      <c r="B255" s="117"/>
      <c r="C255" s="85" t="s">
        <v>396</v>
      </c>
      <c r="D255" s="85">
        <f>(62.36)*10.764</f>
        <v>671.24303999999995</v>
      </c>
      <c r="E255" s="85">
        <f>(1.43*1.53)*10.764</f>
        <v>23.550555599999999</v>
      </c>
      <c r="F255" s="85">
        <f>D255+E255</f>
        <v>694.7935956</v>
      </c>
      <c r="G255" s="85">
        <v>0</v>
      </c>
      <c r="H255" s="85">
        <f>F255*(($H$203)+1)+(IF(G255&lt;101,G255,IF(G255&lt;201,G255/2,IF(G255&lt;=301,G255/3,G255/4))))</f>
        <v>1042.1903933999999</v>
      </c>
      <c r="I255" s="36"/>
      <c r="L255" s="98"/>
      <c r="M255" s="98"/>
      <c r="N255" s="36"/>
    </row>
    <row r="256" spans="1:20" s="37" customFormat="1" ht="35.25" customHeight="1" x14ac:dyDescent="0.25">
      <c r="A256" s="117">
        <f>A255+1</f>
        <v>4</v>
      </c>
      <c r="B256" s="117"/>
      <c r="C256" s="85" t="s">
        <v>397</v>
      </c>
      <c r="D256" s="85">
        <f>(44.42)*10.764</f>
        <v>478.13687999999996</v>
      </c>
      <c r="E256" s="85">
        <f>(2.08*1.15)*10.764</f>
        <v>25.747487999999997</v>
      </c>
      <c r="F256" s="85">
        <f>D256+E256</f>
        <v>503.88436799999994</v>
      </c>
      <c r="G256" s="85">
        <v>0</v>
      </c>
      <c r="H256" s="85">
        <f>F256*(($H$203)+1)+(IF(G256&lt;101,G256,IF(G256&lt;201,G256/2,IF(G256&lt;=301,G256/3,G256/4))))</f>
        <v>755.82655199999988</v>
      </c>
      <c r="I256" s="36"/>
      <c r="L256" s="98"/>
      <c r="M256" s="98"/>
      <c r="N256" s="36"/>
      <c r="T256" s="21"/>
    </row>
    <row r="257" spans="1:20" s="37" customFormat="1" ht="15.75" customHeight="1" x14ac:dyDescent="0.25">
      <c r="A257" s="117">
        <f t="shared" ref="A257:A260" si="48">A256+1</f>
        <v>5</v>
      </c>
      <c r="B257" s="117"/>
      <c r="C257" s="85" t="s">
        <v>396</v>
      </c>
      <c r="D257" s="85">
        <f>(66.43)*10.764</f>
        <v>715.05252000000007</v>
      </c>
      <c r="E257" s="85">
        <f>(1.25*2.08)*10.764</f>
        <v>27.9864</v>
      </c>
      <c r="F257" s="85">
        <f t="shared" ref="F257:F260" si="49">D257+E257</f>
        <v>743.03892000000008</v>
      </c>
      <c r="G257" s="85">
        <v>0</v>
      </c>
      <c r="H257" s="85">
        <f t="shared" ref="H257:H260" si="50">F257*(($H$203)+1)+(IF(G257&lt;101,G257,IF(G257&lt;201,G257/2,IF(G257&lt;=301,G257/3,G257/4))))</f>
        <v>1114.5583800000002</v>
      </c>
      <c r="I257" s="36"/>
      <c r="L257" s="98"/>
      <c r="M257" s="98"/>
      <c r="N257" s="36"/>
      <c r="T257" s="21"/>
    </row>
    <row r="258" spans="1:20" s="37" customFormat="1" ht="15.75" customHeight="1" x14ac:dyDescent="0.25">
      <c r="A258" s="117">
        <f t="shared" si="48"/>
        <v>6</v>
      </c>
      <c r="B258" s="117"/>
      <c r="C258" s="85" t="s">
        <v>396</v>
      </c>
      <c r="D258" s="85">
        <f>(68.22)*10.764</f>
        <v>734.32007999999996</v>
      </c>
      <c r="E258" s="85">
        <f>(1.35*2.13)*10.764</f>
        <v>30.951882000000001</v>
      </c>
      <c r="F258" s="85">
        <f t="shared" si="49"/>
        <v>765.27196199999992</v>
      </c>
      <c r="G258" s="85">
        <v>0</v>
      </c>
      <c r="H258" s="85">
        <f t="shared" si="50"/>
        <v>1147.9079429999999</v>
      </c>
      <c r="I258" s="36"/>
      <c r="L258" s="98"/>
      <c r="M258" s="98"/>
      <c r="N258" s="36"/>
      <c r="T258" s="21"/>
    </row>
    <row r="259" spans="1:20" s="37" customFormat="1" ht="15.75" customHeight="1" x14ac:dyDescent="0.25">
      <c r="A259" s="117">
        <f t="shared" si="48"/>
        <v>7</v>
      </c>
      <c r="B259" s="117"/>
      <c r="C259" s="85" t="s">
        <v>396</v>
      </c>
      <c r="D259" s="85">
        <f>(62.36)*10.764</f>
        <v>671.24303999999995</v>
      </c>
      <c r="E259" s="85">
        <f>(1.43*1.53)*10.764</f>
        <v>23.550555599999999</v>
      </c>
      <c r="F259" s="85">
        <f t="shared" si="49"/>
        <v>694.7935956</v>
      </c>
      <c r="G259" s="85">
        <v>0</v>
      </c>
      <c r="H259" s="85">
        <f t="shared" si="50"/>
        <v>1042.1903933999999</v>
      </c>
      <c r="I259" s="36"/>
      <c r="L259" s="98"/>
      <c r="M259" s="98"/>
      <c r="N259" s="36"/>
      <c r="T259" s="21"/>
    </row>
    <row r="260" spans="1:20" s="37" customFormat="1" ht="27.75" customHeight="1" x14ac:dyDescent="0.25">
      <c r="A260" s="115">
        <f t="shared" si="48"/>
        <v>8</v>
      </c>
      <c r="B260" s="116"/>
      <c r="C260" s="85" t="s">
        <v>397</v>
      </c>
      <c r="D260" s="85">
        <f>(44.35)*10.764</f>
        <v>477.38339999999999</v>
      </c>
      <c r="E260" s="85">
        <f>(2.08*1.15)*10.764</f>
        <v>25.747487999999997</v>
      </c>
      <c r="F260" s="85">
        <f t="shared" si="49"/>
        <v>503.13088799999997</v>
      </c>
      <c r="G260" s="85">
        <v>0</v>
      </c>
      <c r="H260" s="85">
        <f t="shared" si="50"/>
        <v>754.69633199999998</v>
      </c>
      <c r="I260" s="36"/>
      <c r="L260" s="98"/>
      <c r="M260" s="98"/>
      <c r="N260" s="36"/>
      <c r="T260" s="21"/>
    </row>
    <row r="261" spans="1:20" s="37" customFormat="1" x14ac:dyDescent="0.25">
      <c r="A261" s="122" t="s">
        <v>408</v>
      </c>
      <c r="B261" s="123"/>
      <c r="C261" s="123"/>
      <c r="D261" s="123"/>
      <c r="E261" s="123"/>
      <c r="F261" s="123"/>
      <c r="G261" s="123"/>
      <c r="H261" s="124"/>
      <c r="I261" s="37">
        <v>2</v>
      </c>
      <c r="J261" s="36"/>
    </row>
    <row r="262" spans="1:20" s="37" customFormat="1" ht="15.75" customHeight="1" x14ac:dyDescent="0.25">
      <c r="A262" s="115">
        <v>1</v>
      </c>
      <c r="B262" s="116"/>
      <c r="C262" s="85" t="s">
        <v>396</v>
      </c>
      <c r="D262" s="85">
        <f>(67.28)*10.764</f>
        <v>724.20191999999997</v>
      </c>
      <c r="E262" s="85">
        <f>(3.1*1.2+2.08*1.25+2.83*1.2)*10.764</f>
        <v>104.58302400000001</v>
      </c>
      <c r="F262" s="85">
        <f>D262+E262</f>
        <v>828.784944</v>
      </c>
      <c r="G262" s="85">
        <v>0</v>
      </c>
      <c r="H262" s="85">
        <f>F262*(($H$203)+1)+(IF(G262&lt;101,G262,IF(G262&lt;201,G262/2,IF(G262&lt;=301,G262/3,G262/4))))</f>
        <v>1243.177416</v>
      </c>
      <c r="I262" s="36"/>
      <c r="L262" s="98"/>
      <c r="M262" s="98"/>
      <c r="N262" s="36"/>
    </row>
    <row r="263" spans="1:20" s="37" customFormat="1" ht="15.75" customHeight="1" x14ac:dyDescent="0.25">
      <c r="A263" s="115">
        <f>A262+1</f>
        <v>2</v>
      </c>
      <c r="B263" s="116"/>
      <c r="C263" s="85" t="s">
        <v>396</v>
      </c>
      <c r="D263" s="85">
        <f>(69.66)*10.764</f>
        <v>749.8202399999999</v>
      </c>
      <c r="E263" s="85">
        <f>(1.2*2.78+1.35*2.13+1.2*5.75)*10.764</f>
        <v>141.13218599999999</v>
      </c>
      <c r="F263" s="85">
        <f>D263+E263</f>
        <v>890.95242599999983</v>
      </c>
      <c r="G263" s="85">
        <v>0</v>
      </c>
      <c r="H263" s="85">
        <f>F263*(($H$203)+1)+(IF(G263&lt;101,G263,IF(G263&lt;201,G263/2,IF(G263&lt;=301,G263/3,G263/4))))</f>
        <v>1336.4286389999997</v>
      </c>
      <c r="I263" s="36"/>
      <c r="L263" s="98"/>
      <c r="M263" s="98"/>
      <c r="N263" s="36"/>
    </row>
    <row r="264" spans="1:20" s="37" customFormat="1" ht="15.75" customHeight="1" x14ac:dyDescent="0.25">
      <c r="A264" s="115">
        <f>A263+1</f>
        <v>3</v>
      </c>
      <c r="B264" s="116"/>
      <c r="C264" s="85" t="s">
        <v>396</v>
      </c>
      <c r="D264" s="85">
        <f>(64.43)*10.764</f>
        <v>693.52452000000005</v>
      </c>
      <c r="E264" s="85">
        <f>(1.43*1.53+1.2*6.2+3.18*1.1)*10.764</f>
        <v>141.28718760000001</v>
      </c>
      <c r="F264" s="85">
        <f>D264+E264</f>
        <v>834.81170760000009</v>
      </c>
      <c r="G264" s="85">
        <v>0</v>
      </c>
      <c r="H264" s="85">
        <f>F264*(($H$203)+1)+(IF(G264&lt;101,G264,IF(G264&lt;201,G264/2,IF(G264&lt;=301,G264/3,G264/4))))</f>
        <v>1252.2175614000002</v>
      </c>
      <c r="I264" s="36"/>
      <c r="L264" s="98"/>
      <c r="M264" s="98"/>
      <c r="N264" s="36"/>
    </row>
    <row r="265" spans="1:20" s="37" customFormat="1" ht="30.75" customHeight="1" x14ac:dyDescent="0.25">
      <c r="A265" s="115">
        <f>A264+1</f>
        <v>4</v>
      </c>
      <c r="B265" s="116"/>
      <c r="C265" s="85" t="s">
        <v>397</v>
      </c>
      <c r="D265" s="85">
        <f>(44.82)*10.764</f>
        <v>482.44247999999999</v>
      </c>
      <c r="E265" s="85">
        <f>(2.08*1.15+2.7*1.1)*10.764</f>
        <v>57.716567999999995</v>
      </c>
      <c r="F265" s="85">
        <f>D265+E265</f>
        <v>540.15904799999998</v>
      </c>
      <c r="G265" s="85">
        <v>0</v>
      </c>
      <c r="H265" s="85">
        <f>F265*(($H$203)+1)+(IF(G265&lt;101,G265,IF(G265&lt;201,G265/2,IF(G265&lt;=301,G265/3,G265/4))))</f>
        <v>810.23857199999998</v>
      </c>
      <c r="I265" s="36"/>
      <c r="L265" s="98"/>
      <c r="M265" s="98"/>
      <c r="N265" s="36"/>
      <c r="T265" s="21"/>
    </row>
    <row r="266" spans="1:20" s="37" customFormat="1" ht="15.75" customHeight="1" x14ac:dyDescent="0.25">
      <c r="A266" s="115">
        <f t="shared" ref="A266:A269" si="51">A265+1</f>
        <v>5</v>
      </c>
      <c r="B266" s="116"/>
      <c r="C266" s="85" t="s">
        <v>396</v>
      </c>
      <c r="D266" s="85">
        <f>(67.28)*10.764</f>
        <v>724.20191999999997</v>
      </c>
      <c r="E266" s="85">
        <f>(3.1*1.2+1.25*2.08+2.83*1.2)*10.764</f>
        <v>104.58302400000001</v>
      </c>
      <c r="F266" s="85">
        <f t="shared" ref="F266:F269" si="52">D266+E266</f>
        <v>828.784944</v>
      </c>
      <c r="G266" s="85">
        <v>0</v>
      </c>
      <c r="H266" s="85">
        <f t="shared" ref="H266:H269" si="53">F266*(($H$203)+1)+(IF(G266&lt;101,G266,IF(G266&lt;201,G266/2,IF(G266&lt;=301,G266/3,G266/4))))</f>
        <v>1243.177416</v>
      </c>
      <c r="I266" s="36"/>
      <c r="L266" s="98"/>
      <c r="M266" s="98"/>
      <c r="N266" s="36"/>
      <c r="T266" s="21"/>
    </row>
    <row r="267" spans="1:20" s="37" customFormat="1" ht="15.75" customHeight="1" x14ac:dyDescent="0.25">
      <c r="A267" s="115">
        <f t="shared" si="51"/>
        <v>6</v>
      </c>
      <c r="B267" s="116"/>
      <c r="C267" s="126" t="s">
        <v>399</v>
      </c>
      <c r="D267" s="127"/>
      <c r="E267" s="127"/>
      <c r="F267" s="127"/>
      <c r="G267" s="127"/>
      <c r="H267" s="128"/>
      <c r="I267" s="36"/>
      <c r="L267" s="98"/>
      <c r="M267" s="98"/>
      <c r="N267" s="36"/>
      <c r="T267" s="21"/>
    </row>
    <row r="268" spans="1:20" s="37" customFormat="1" ht="15.75" customHeight="1" x14ac:dyDescent="0.25">
      <c r="A268" s="115">
        <f t="shared" si="51"/>
        <v>7</v>
      </c>
      <c r="B268" s="116"/>
      <c r="C268" s="129"/>
      <c r="D268" s="130"/>
      <c r="E268" s="130"/>
      <c r="F268" s="130"/>
      <c r="G268" s="130"/>
      <c r="H268" s="131"/>
      <c r="I268" s="36"/>
      <c r="L268" s="98"/>
      <c r="M268" s="98"/>
      <c r="N268" s="36"/>
      <c r="T268" s="21"/>
    </row>
    <row r="269" spans="1:20" s="37" customFormat="1" ht="30" customHeight="1" x14ac:dyDescent="0.25">
      <c r="A269" s="115">
        <f t="shared" si="51"/>
        <v>8</v>
      </c>
      <c r="B269" s="116"/>
      <c r="C269" s="85" t="s">
        <v>397</v>
      </c>
      <c r="D269" s="85">
        <f>(44.82)*10.764</f>
        <v>482.44247999999999</v>
      </c>
      <c r="E269" s="85">
        <f>(2.08*1.15+2.7*1.1)*10.764</f>
        <v>57.716567999999995</v>
      </c>
      <c r="F269" s="85">
        <f t="shared" si="52"/>
        <v>540.15904799999998</v>
      </c>
      <c r="G269" s="85">
        <v>0</v>
      </c>
      <c r="H269" s="85">
        <f t="shared" si="53"/>
        <v>810.23857199999998</v>
      </c>
      <c r="I269" s="36"/>
      <c r="L269" s="98"/>
      <c r="M269" s="98"/>
      <c r="N269" s="36"/>
      <c r="T269" s="21"/>
    </row>
    <row r="270" spans="1:20" s="37" customFormat="1" x14ac:dyDescent="0.25">
      <c r="A270" s="122" t="s">
        <v>404</v>
      </c>
      <c r="B270" s="123"/>
      <c r="C270" s="123"/>
      <c r="D270" s="123"/>
      <c r="E270" s="123"/>
      <c r="F270" s="123"/>
      <c r="G270" s="123"/>
      <c r="H270" s="124"/>
      <c r="I270" s="37">
        <v>2</v>
      </c>
      <c r="J270" s="36"/>
    </row>
    <row r="271" spans="1:20" s="37" customFormat="1" ht="15.75" customHeight="1" x14ac:dyDescent="0.25">
      <c r="A271" s="115">
        <v>1</v>
      </c>
      <c r="B271" s="116"/>
      <c r="C271" s="85" t="s">
        <v>396</v>
      </c>
      <c r="D271" s="85">
        <f>(67.28)*10.764</f>
        <v>724.20191999999997</v>
      </c>
      <c r="E271" s="85">
        <f>(3.1*1.2+2.08*1.25+2.83*1.2)*10.764</f>
        <v>104.58302400000001</v>
      </c>
      <c r="F271" s="85">
        <f>D271+E271</f>
        <v>828.784944</v>
      </c>
      <c r="G271" s="85">
        <v>0</v>
      </c>
      <c r="H271" s="85">
        <f>F271*(($H$203)+1)+(IF(G271&lt;101,G271,IF(G271&lt;201,G271/2,IF(G271&lt;=301,G271/3,G271/4))))</f>
        <v>1243.177416</v>
      </c>
      <c r="I271" s="36"/>
      <c r="L271" s="98"/>
      <c r="M271" s="98"/>
      <c r="N271" s="36"/>
    </row>
    <row r="272" spans="1:20" s="37" customFormat="1" ht="15.75" customHeight="1" x14ac:dyDescent="0.25">
      <c r="A272" s="96">
        <f>A271+1</f>
        <v>2</v>
      </c>
      <c r="B272" s="97"/>
      <c r="C272" s="42" t="s">
        <v>396</v>
      </c>
      <c r="D272" s="42">
        <f>(69.66)*10.764</f>
        <v>749.8202399999999</v>
      </c>
      <c r="E272" s="42">
        <f>(1.2*2.78+1.35*2.13+1.2*5.75)*10.764</f>
        <v>141.13218599999999</v>
      </c>
      <c r="F272" s="42">
        <f>D272+E272</f>
        <v>890.95242599999983</v>
      </c>
      <c r="G272" s="42">
        <v>0</v>
      </c>
      <c r="H272" s="42">
        <f>F272*(($H$203)+1)+(IF(G272&lt;101,G272,IF(G272&lt;201,G272/2,IF(G272&lt;=301,G272/3,G272/4))))</f>
        <v>1336.4286389999997</v>
      </c>
      <c r="I272" s="36"/>
      <c r="L272" s="98"/>
      <c r="M272" s="98"/>
      <c r="N272" s="36"/>
    </row>
    <row r="273" spans="1:20" s="37" customFormat="1" ht="15.75" customHeight="1" x14ac:dyDescent="0.25">
      <c r="A273" s="115">
        <f>A272+1</f>
        <v>3</v>
      </c>
      <c r="B273" s="116"/>
      <c r="C273" s="85" t="s">
        <v>396</v>
      </c>
      <c r="D273" s="85">
        <f>(64.43)*10.764</f>
        <v>693.52452000000005</v>
      </c>
      <c r="E273" s="85">
        <f>(1.43*1.53+1.2*6.2+3.18*1.1)*10.764</f>
        <v>141.28718760000001</v>
      </c>
      <c r="F273" s="85">
        <f>D273+E273</f>
        <v>834.81170760000009</v>
      </c>
      <c r="G273" s="85">
        <v>0</v>
      </c>
      <c r="H273" s="85">
        <f>F273*(($H$203)+1)+(IF(G273&lt;101,G273,IF(G273&lt;201,G273/2,IF(G273&lt;=301,G273/3,G273/4))))</f>
        <v>1252.2175614000002</v>
      </c>
      <c r="I273" s="36"/>
      <c r="L273" s="98"/>
      <c r="M273" s="98"/>
      <c r="N273" s="36"/>
    </row>
    <row r="274" spans="1:20" s="37" customFormat="1" ht="30" customHeight="1" x14ac:dyDescent="0.25">
      <c r="A274" s="115">
        <f>A273+1</f>
        <v>4</v>
      </c>
      <c r="B274" s="116"/>
      <c r="C274" s="85" t="s">
        <v>397</v>
      </c>
      <c r="D274" s="85">
        <f>(44.82)*10.764</f>
        <v>482.44247999999999</v>
      </c>
      <c r="E274" s="85">
        <f>(2.08*1.15+2.7*1.1)*10.764</f>
        <v>57.716567999999995</v>
      </c>
      <c r="F274" s="85">
        <f>D274+E274</f>
        <v>540.15904799999998</v>
      </c>
      <c r="G274" s="85">
        <v>0</v>
      </c>
      <c r="H274" s="85">
        <f>F274*(($H$203)+1)+(IF(G274&lt;101,G274,IF(G274&lt;201,G274/2,IF(G274&lt;=301,G274/3,G274/4))))</f>
        <v>810.23857199999998</v>
      </c>
      <c r="I274" s="36"/>
      <c r="L274" s="98"/>
      <c r="M274" s="98"/>
      <c r="N274" s="36"/>
      <c r="T274" s="21"/>
    </row>
    <row r="275" spans="1:20" s="37" customFormat="1" ht="15.75" customHeight="1" x14ac:dyDescent="0.25">
      <c r="A275" s="115">
        <f t="shared" ref="A275:A278" si="54">A274+1</f>
        <v>5</v>
      </c>
      <c r="B275" s="116"/>
      <c r="C275" s="85" t="s">
        <v>396</v>
      </c>
      <c r="D275" s="85">
        <f>(67.28)*10.764</f>
        <v>724.20191999999997</v>
      </c>
      <c r="E275" s="85">
        <f>(3.1*1.2+1.25*2.08+2.83*1.2)*10.764</f>
        <v>104.58302400000001</v>
      </c>
      <c r="F275" s="85">
        <f t="shared" ref="F275:F278" si="55">D275+E275</f>
        <v>828.784944</v>
      </c>
      <c r="G275" s="85">
        <v>0</v>
      </c>
      <c r="H275" s="85">
        <f t="shared" ref="H275:H278" si="56">F275*(($H$203)+1)+(IF(G275&lt;101,G275,IF(G275&lt;201,G275/2,IF(G275&lt;=301,G275/3,G275/4))))</f>
        <v>1243.177416</v>
      </c>
      <c r="I275" s="36"/>
      <c r="L275" s="98"/>
      <c r="M275" s="98"/>
      <c r="N275" s="36"/>
      <c r="T275" s="21"/>
    </row>
    <row r="276" spans="1:20" s="37" customFormat="1" ht="15.75" customHeight="1" x14ac:dyDescent="0.25">
      <c r="A276" s="115">
        <f t="shared" si="54"/>
        <v>6</v>
      </c>
      <c r="B276" s="116"/>
      <c r="C276" s="85" t="s">
        <v>396</v>
      </c>
      <c r="D276" s="85">
        <f>(69.66)*10.764</f>
        <v>749.8202399999999</v>
      </c>
      <c r="E276" s="85">
        <f>(2.78*1.2+1.35*2.13+5.75*1.2)*10.764</f>
        <v>141.13218599999999</v>
      </c>
      <c r="F276" s="85">
        <f t="shared" si="55"/>
        <v>890.95242599999983</v>
      </c>
      <c r="G276" s="85">
        <v>0</v>
      </c>
      <c r="H276" s="85">
        <f t="shared" si="56"/>
        <v>1336.4286389999997</v>
      </c>
      <c r="I276" s="36"/>
      <c r="L276" s="98"/>
      <c r="M276" s="98"/>
      <c r="N276" s="36"/>
      <c r="T276" s="21"/>
    </row>
    <row r="277" spans="1:20" s="37" customFormat="1" ht="15.75" customHeight="1" x14ac:dyDescent="0.25">
      <c r="A277" s="115">
        <f t="shared" si="54"/>
        <v>7</v>
      </c>
      <c r="B277" s="116"/>
      <c r="C277" s="85" t="s">
        <v>396</v>
      </c>
      <c r="D277" s="85">
        <f>(63.44)*10.764</f>
        <v>682.86815999999999</v>
      </c>
      <c r="E277" s="85">
        <f>(6.2*1.2+1.43*1.53+3.18*1.1)*10.764</f>
        <v>141.28718760000001</v>
      </c>
      <c r="F277" s="85">
        <f t="shared" si="55"/>
        <v>824.15534760000003</v>
      </c>
      <c r="G277" s="85">
        <v>0</v>
      </c>
      <c r="H277" s="85">
        <f t="shared" si="56"/>
        <v>1236.2330214000001</v>
      </c>
      <c r="I277" s="36"/>
      <c r="L277" s="98"/>
      <c r="M277" s="98"/>
      <c r="N277" s="36"/>
      <c r="T277" s="21"/>
    </row>
    <row r="278" spans="1:20" s="37" customFormat="1" ht="28.5" customHeight="1" x14ac:dyDescent="0.25">
      <c r="A278" s="115">
        <f t="shared" si="54"/>
        <v>8</v>
      </c>
      <c r="B278" s="116"/>
      <c r="C278" s="85" t="s">
        <v>397</v>
      </c>
      <c r="D278" s="85">
        <f>(44.82)*10.764</f>
        <v>482.44247999999999</v>
      </c>
      <c r="E278" s="85">
        <f>(2.08*1.15+2.7*1.1)*10.764</f>
        <v>57.716567999999995</v>
      </c>
      <c r="F278" s="85">
        <f t="shared" si="55"/>
        <v>540.15904799999998</v>
      </c>
      <c r="G278" s="85">
        <v>0</v>
      </c>
      <c r="H278" s="85">
        <f t="shared" si="56"/>
        <v>810.23857199999998</v>
      </c>
      <c r="I278" s="36"/>
      <c r="L278" s="98"/>
      <c r="M278" s="98"/>
      <c r="N278" s="36"/>
      <c r="T278" s="21"/>
    </row>
    <row r="279" spans="1:20" s="37" customFormat="1" x14ac:dyDescent="0.25">
      <c r="A279" s="122" t="s">
        <v>405</v>
      </c>
      <c r="B279" s="123"/>
      <c r="C279" s="123"/>
      <c r="D279" s="123"/>
      <c r="E279" s="123"/>
      <c r="F279" s="123"/>
      <c r="G279" s="123"/>
      <c r="H279" s="124"/>
      <c r="I279" s="37">
        <v>2</v>
      </c>
      <c r="J279" s="36"/>
    </row>
    <row r="280" spans="1:20" s="37" customFormat="1" ht="15.75" customHeight="1" x14ac:dyDescent="0.25">
      <c r="A280" s="115">
        <v>1</v>
      </c>
      <c r="B280" s="116"/>
      <c r="C280" s="85" t="s">
        <v>396</v>
      </c>
      <c r="D280" s="85">
        <f>(66.79)*10.764</f>
        <v>718.92755999999997</v>
      </c>
      <c r="E280" s="85">
        <f>(2.08*1.25+2.83*1.2)*10.764</f>
        <v>64.540943999999996</v>
      </c>
      <c r="F280" s="85">
        <f>D280+E280</f>
        <v>783.46850399999994</v>
      </c>
      <c r="G280" s="85">
        <v>0</v>
      </c>
      <c r="H280" s="85">
        <f>F280*(($H$203)+1)+(IF(G280&lt;101,G280,IF(G280&lt;201,G280/2,IF(G280&lt;=301,G280/3,G280/4))))</f>
        <v>1175.2027559999999</v>
      </c>
      <c r="I280" s="36"/>
      <c r="L280" s="98"/>
      <c r="M280" s="98"/>
      <c r="N280" s="36"/>
    </row>
    <row r="281" spans="1:20" s="37" customFormat="1" ht="15.75" customHeight="1" x14ac:dyDescent="0.25">
      <c r="A281" s="115">
        <f>A280+1</f>
        <v>2</v>
      </c>
      <c r="B281" s="116"/>
      <c r="C281" s="85" t="s">
        <v>396</v>
      </c>
      <c r="D281" s="85">
        <f>(68.71)*10.764</f>
        <v>739.59443999999985</v>
      </c>
      <c r="E281" s="85">
        <f>(1.2*2.78+1.35*2.13)*10.764</f>
        <v>66.860585999999998</v>
      </c>
      <c r="F281" s="85">
        <f>D281+E281</f>
        <v>806.45502599999986</v>
      </c>
      <c r="G281" s="85">
        <v>0</v>
      </c>
      <c r="H281" s="85">
        <f>F281*(($H$203)+1)+(IF(G281&lt;101,G281,IF(G281&lt;201,G281/2,IF(G281&lt;=301,G281/3,G281/4))))</f>
        <v>1209.6825389999999</v>
      </c>
      <c r="I281" s="36"/>
      <c r="L281" s="98"/>
      <c r="M281" s="98"/>
      <c r="N281" s="36"/>
    </row>
    <row r="282" spans="1:20" s="37" customFormat="1" ht="15.75" customHeight="1" x14ac:dyDescent="0.25">
      <c r="A282" s="115">
        <f>A281+1</f>
        <v>3</v>
      </c>
      <c r="B282" s="116"/>
      <c r="C282" s="85" t="s">
        <v>396</v>
      </c>
      <c r="D282" s="85">
        <f>(63.44)*10.764</f>
        <v>682.86815999999999</v>
      </c>
      <c r="E282" s="85">
        <f>(1.43*1.53+3.18*1.1)*10.764</f>
        <v>61.203027599999999</v>
      </c>
      <c r="F282" s="85">
        <f>D282+E282</f>
        <v>744.07118760000003</v>
      </c>
      <c r="G282" s="85">
        <v>0</v>
      </c>
      <c r="H282" s="85">
        <f>F282*(($H$203)+1)+(IF(G282&lt;101,G282,IF(G282&lt;201,G282/2,IF(G282&lt;=301,G282/3,G282/4))))</f>
        <v>1116.1067814</v>
      </c>
      <c r="I282" s="36"/>
      <c r="L282" s="98"/>
      <c r="M282" s="98"/>
      <c r="N282" s="36"/>
    </row>
    <row r="283" spans="1:20" s="37" customFormat="1" ht="33.75" customHeight="1" x14ac:dyDescent="0.25">
      <c r="A283" s="115">
        <f>A282+1</f>
        <v>4</v>
      </c>
      <c r="B283" s="116"/>
      <c r="C283" s="85" t="s">
        <v>397</v>
      </c>
      <c r="D283" s="85">
        <f>(44.82)*10.764</f>
        <v>482.44247999999999</v>
      </c>
      <c r="E283" s="85">
        <f>(2.08*1.15+2.7*1.1)*10.764</f>
        <v>57.716567999999995</v>
      </c>
      <c r="F283" s="85">
        <f>D283+E283</f>
        <v>540.15904799999998</v>
      </c>
      <c r="G283" s="85">
        <v>0</v>
      </c>
      <c r="H283" s="85">
        <f>F283*(($H$203)+1)+(IF(G283&lt;101,G283,IF(G283&lt;201,G283/2,IF(G283&lt;=301,G283/3,G283/4))))</f>
        <v>810.23857199999998</v>
      </c>
      <c r="I283" s="36"/>
      <c r="L283" s="98"/>
      <c r="M283" s="98"/>
      <c r="N283" s="36"/>
      <c r="T283" s="21"/>
    </row>
    <row r="284" spans="1:20" s="37" customFormat="1" ht="15.75" customHeight="1" x14ac:dyDescent="0.25">
      <c r="A284" s="115">
        <f t="shared" ref="A284:A287" si="57">A283+1</f>
        <v>5</v>
      </c>
      <c r="B284" s="116"/>
      <c r="C284" s="85" t="s">
        <v>396</v>
      </c>
      <c r="D284" s="85">
        <f>(66.79)*10.764</f>
        <v>718.92755999999997</v>
      </c>
      <c r="E284" s="85">
        <f>(1.25*2.08+2.83*1.2)*10.764</f>
        <v>64.540943999999996</v>
      </c>
      <c r="F284" s="85">
        <f t="shared" ref="F284:F287" si="58">D284+E284</f>
        <v>783.46850399999994</v>
      </c>
      <c r="G284" s="85">
        <v>0</v>
      </c>
      <c r="H284" s="85">
        <f t="shared" ref="H284:H287" si="59">F284*(($H$203)+1)+(IF(G284&lt;101,G284,IF(G284&lt;201,G284/2,IF(G284&lt;=301,G284/3,G284/4))))</f>
        <v>1175.2027559999999</v>
      </c>
      <c r="I284" s="36"/>
      <c r="L284" s="98"/>
      <c r="M284" s="98"/>
      <c r="N284" s="36"/>
      <c r="T284" s="21"/>
    </row>
    <row r="285" spans="1:20" s="37" customFormat="1" ht="15.75" customHeight="1" x14ac:dyDescent="0.25">
      <c r="A285" s="115">
        <f t="shared" si="57"/>
        <v>6</v>
      </c>
      <c r="B285" s="116"/>
      <c r="C285" s="85" t="s">
        <v>396</v>
      </c>
      <c r="D285" s="85">
        <f>(68.71)*10.764</f>
        <v>739.59443999999985</v>
      </c>
      <c r="E285" s="85">
        <f>(2.78*1.2+1.35*2.13)*10.764</f>
        <v>66.860585999999998</v>
      </c>
      <c r="F285" s="85">
        <f t="shared" si="58"/>
        <v>806.45502599999986</v>
      </c>
      <c r="G285" s="85">
        <v>0</v>
      </c>
      <c r="H285" s="85">
        <f t="shared" si="59"/>
        <v>1209.6825389999999</v>
      </c>
      <c r="I285" s="36"/>
      <c r="L285" s="98"/>
      <c r="M285" s="98"/>
      <c r="N285" s="36"/>
      <c r="T285" s="21"/>
    </row>
    <row r="286" spans="1:20" s="37" customFormat="1" ht="15.75" customHeight="1" x14ac:dyDescent="0.25">
      <c r="A286" s="115">
        <f t="shared" si="57"/>
        <v>7</v>
      </c>
      <c r="B286" s="116"/>
      <c r="C286" s="85" t="s">
        <v>396</v>
      </c>
      <c r="D286" s="85">
        <f>(63.44)*10.764</f>
        <v>682.86815999999999</v>
      </c>
      <c r="E286" s="85">
        <f>(1.43*1.53+3.18*1.1)*10.764</f>
        <v>61.203027599999999</v>
      </c>
      <c r="F286" s="85">
        <f t="shared" si="58"/>
        <v>744.07118760000003</v>
      </c>
      <c r="G286" s="85">
        <v>0</v>
      </c>
      <c r="H286" s="85">
        <f t="shared" si="59"/>
        <v>1116.1067814</v>
      </c>
      <c r="I286" s="36"/>
      <c r="L286" s="98"/>
      <c r="M286" s="98"/>
      <c r="N286" s="36"/>
      <c r="T286" s="21"/>
    </row>
    <row r="287" spans="1:20" s="37" customFormat="1" ht="30.75" customHeight="1" x14ac:dyDescent="0.25">
      <c r="A287" s="115">
        <f t="shared" si="57"/>
        <v>8</v>
      </c>
      <c r="B287" s="116"/>
      <c r="C287" s="85" t="s">
        <v>397</v>
      </c>
      <c r="D287" s="85">
        <f>(44.82)*10.764</f>
        <v>482.44247999999999</v>
      </c>
      <c r="E287" s="85">
        <f>(2.08*1.15+2.7*1.1)*10.764</f>
        <v>57.716567999999995</v>
      </c>
      <c r="F287" s="85">
        <f t="shared" si="58"/>
        <v>540.15904799999998</v>
      </c>
      <c r="G287" s="85">
        <v>0</v>
      </c>
      <c r="H287" s="85">
        <f t="shared" si="59"/>
        <v>810.23857199999998</v>
      </c>
      <c r="I287" s="36"/>
      <c r="L287" s="98"/>
      <c r="M287" s="98"/>
      <c r="N287" s="36"/>
      <c r="T287" s="21"/>
    </row>
    <row r="288" spans="1:20" s="37" customFormat="1" x14ac:dyDescent="0.25">
      <c r="A288" s="125" t="s">
        <v>406</v>
      </c>
      <c r="B288" s="125"/>
      <c r="C288" s="125"/>
      <c r="D288" s="125"/>
      <c r="E288" s="125"/>
      <c r="F288" s="125"/>
      <c r="G288" s="125"/>
      <c r="H288" s="125"/>
      <c r="I288" s="37">
        <v>8</v>
      </c>
      <c r="J288" s="36"/>
    </row>
    <row r="289" spans="1:20" s="37" customFormat="1" ht="15.75" customHeight="1" x14ac:dyDescent="0.25">
      <c r="A289" s="117">
        <v>1</v>
      </c>
      <c r="B289" s="117"/>
      <c r="C289" s="85" t="s">
        <v>396</v>
      </c>
      <c r="D289" s="85">
        <f>(66.79)*10.764</f>
        <v>718.92755999999997</v>
      </c>
      <c r="E289" s="85">
        <f>(2.08*1.25+2.83*1.2)*10.764</f>
        <v>64.540943999999996</v>
      </c>
      <c r="F289" s="85">
        <f>D289+E289</f>
        <v>783.46850399999994</v>
      </c>
      <c r="G289" s="85">
        <v>0</v>
      </c>
      <c r="H289" s="85">
        <f>F289*(($H$203)+1)+(IF(G289&lt;101,G289,IF(G289&lt;201,G289/2,IF(G289&lt;=301,G289/3,G289/4))))</f>
        <v>1175.2027559999999</v>
      </c>
      <c r="I289" s="36"/>
      <c r="L289" s="98"/>
      <c r="M289" s="98"/>
      <c r="N289" s="36"/>
    </row>
    <row r="290" spans="1:20" s="37" customFormat="1" ht="15.75" customHeight="1" x14ac:dyDescent="0.25">
      <c r="A290" s="117">
        <f>A289+1</f>
        <v>2</v>
      </c>
      <c r="B290" s="117"/>
      <c r="C290" s="85" t="s">
        <v>396</v>
      </c>
      <c r="D290" s="85">
        <f>(68.71)*10.764</f>
        <v>739.59443999999985</v>
      </c>
      <c r="E290" s="85">
        <f>(1.2*2.78+1.35*2.13)*10.764</f>
        <v>66.860585999999998</v>
      </c>
      <c r="F290" s="85">
        <f>D290+E290</f>
        <v>806.45502599999986</v>
      </c>
      <c r="G290" s="85">
        <v>0</v>
      </c>
      <c r="H290" s="85">
        <f>F290*(($H$203)+1)+(IF(G290&lt;101,G290,IF(G290&lt;201,G290/2,IF(G290&lt;=301,G290/3,G290/4))))</f>
        <v>1209.6825389999999</v>
      </c>
      <c r="I290" s="36"/>
      <c r="L290" s="98"/>
      <c r="M290" s="98"/>
      <c r="N290" s="36"/>
    </row>
    <row r="291" spans="1:20" s="37" customFormat="1" ht="15.75" customHeight="1" x14ac:dyDescent="0.25">
      <c r="A291" s="117">
        <f>A290+1</f>
        <v>3</v>
      </c>
      <c r="B291" s="117"/>
      <c r="C291" s="85" t="s">
        <v>396</v>
      </c>
      <c r="D291" s="85">
        <f>(63.44)*10.764</f>
        <v>682.86815999999999</v>
      </c>
      <c r="E291" s="85">
        <f>(1.43*1.53+3.18*1.1)*10.764</f>
        <v>61.203027599999999</v>
      </c>
      <c r="F291" s="85">
        <f>D291+E291</f>
        <v>744.07118760000003</v>
      </c>
      <c r="G291" s="85">
        <v>0</v>
      </c>
      <c r="H291" s="85">
        <f>F291*(($H$203)+1)+(IF(G291&lt;101,G291,IF(G291&lt;201,G291/2,IF(G291&lt;=301,G291/3,G291/4))))</f>
        <v>1116.1067814</v>
      </c>
      <c r="I291" s="36"/>
      <c r="L291" s="98"/>
      <c r="M291" s="98"/>
      <c r="N291" s="36"/>
    </row>
    <row r="292" spans="1:20" s="37" customFormat="1" ht="30.75" customHeight="1" x14ac:dyDescent="0.25">
      <c r="A292" s="117">
        <f>A291+1</f>
        <v>4</v>
      </c>
      <c r="B292" s="117"/>
      <c r="C292" s="85" t="s">
        <v>397</v>
      </c>
      <c r="D292" s="85">
        <f>(44.82)*10.764</f>
        <v>482.44247999999999</v>
      </c>
      <c r="E292" s="85">
        <f>(2.08*1.15+2.7*1.1)*10.764</f>
        <v>57.716567999999995</v>
      </c>
      <c r="F292" s="85">
        <f>D292+E292</f>
        <v>540.15904799999998</v>
      </c>
      <c r="G292" s="85">
        <v>0</v>
      </c>
      <c r="H292" s="85">
        <f>F292*(($H$203)+1)+(IF(G292&lt;101,G292,IF(G292&lt;201,G292/2,IF(G292&lt;=301,G292/3,G292/4))))</f>
        <v>810.23857199999998</v>
      </c>
      <c r="I292" s="36"/>
      <c r="L292" s="98"/>
      <c r="M292" s="98"/>
      <c r="N292" s="36"/>
      <c r="T292" s="21"/>
    </row>
    <row r="293" spans="1:20" s="37" customFormat="1" ht="15.75" customHeight="1" x14ac:dyDescent="0.25">
      <c r="A293" s="117">
        <f t="shared" ref="A293:A296" si="60">A292+1</f>
        <v>5</v>
      </c>
      <c r="B293" s="117"/>
      <c r="C293" s="85" t="s">
        <v>396</v>
      </c>
      <c r="D293" s="85">
        <f>(66.79)*10.764</f>
        <v>718.92755999999997</v>
      </c>
      <c r="E293" s="85">
        <f>(1.25*2.08+2.83*1.2)*10.764</f>
        <v>64.540943999999996</v>
      </c>
      <c r="F293" s="85">
        <f t="shared" ref="F293:F296" si="61">D293+E293</f>
        <v>783.46850399999994</v>
      </c>
      <c r="G293" s="85">
        <v>0</v>
      </c>
      <c r="H293" s="85">
        <f t="shared" ref="H293:H296" si="62">F293*(($H$203)+1)+(IF(G293&lt;101,G293,IF(G293&lt;201,G293/2,IF(G293&lt;=301,G293/3,G293/4))))</f>
        <v>1175.2027559999999</v>
      </c>
      <c r="I293" s="36"/>
      <c r="L293" s="98"/>
      <c r="M293" s="98"/>
      <c r="N293" s="36"/>
      <c r="T293" s="21"/>
    </row>
    <row r="294" spans="1:20" s="37" customFormat="1" ht="15.75" customHeight="1" x14ac:dyDescent="0.25">
      <c r="A294" s="115">
        <f t="shared" si="60"/>
        <v>6</v>
      </c>
      <c r="B294" s="116"/>
      <c r="C294" s="85" t="s">
        <v>396</v>
      </c>
      <c r="D294" s="85">
        <f>(68.71)*10.764</f>
        <v>739.59443999999985</v>
      </c>
      <c r="E294" s="85">
        <f>(2.78*1.2+1.35*2.13)*10.764</f>
        <v>66.860585999999998</v>
      </c>
      <c r="F294" s="85">
        <f t="shared" si="61"/>
        <v>806.45502599999986</v>
      </c>
      <c r="G294" s="85">
        <v>0</v>
      </c>
      <c r="H294" s="85">
        <f t="shared" si="62"/>
        <v>1209.6825389999999</v>
      </c>
      <c r="I294" s="36"/>
      <c r="L294" s="98"/>
      <c r="M294" s="98"/>
      <c r="N294" s="36"/>
      <c r="T294" s="21"/>
    </row>
    <row r="295" spans="1:20" s="37" customFormat="1" ht="15.75" customHeight="1" x14ac:dyDescent="0.25">
      <c r="A295" s="115">
        <f t="shared" si="60"/>
        <v>7</v>
      </c>
      <c r="B295" s="116"/>
      <c r="C295" s="85" t="s">
        <v>396</v>
      </c>
      <c r="D295" s="85">
        <f>(63.44)*10.764</f>
        <v>682.86815999999999</v>
      </c>
      <c r="E295" s="85">
        <f>(1.43*1.53+3.18*1.1)*10.764</f>
        <v>61.203027599999999</v>
      </c>
      <c r="F295" s="85">
        <f t="shared" si="61"/>
        <v>744.07118760000003</v>
      </c>
      <c r="G295" s="85">
        <v>0</v>
      </c>
      <c r="H295" s="85">
        <f t="shared" si="62"/>
        <v>1116.1067814</v>
      </c>
      <c r="I295" s="36"/>
      <c r="L295" s="98"/>
      <c r="M295" s="98"/>
      <c r="N295" s="36"/>
      <c r="T295" s="21"/>
    </row>
    <row r="296" spans="1:20" s="37" customFormat="1" ht="30.75" customHeight="1" x14ac:dyDescent="0.25">
      <c r="A296" s="115">
        <f t="shared" si="60"/>
        <v>8</v>
      </c>
      <c r="B296" s="116"/>
      <c r="C296" s="85" t="s">
        <v>397</v>
      </c>
      <c r="D296" s="85">
        <f>(44.82)*10.764</f>
        <v>482.44247999999999</v>
      </c>
      <c r="E296" s="85">
        <f>(2.08*1.15+2.7*1.1)*10.764</f>
        <v>57.716567999999995</v>
      </c>
      <c r="F296" s="85">
        <f t="shared" si="61"/>
        <v>540.15904799999998</v>
      </c>
      <c r="G296" s="85">
        <v>0</v>
      </c>
      <c r="H296" s="85">
        <f t="shared" si="62"/>
        <v>810.23857199999998</v>
      </c>
      <c r="I296" s="36"/>
      <c r="L296" s="98"/>
      <c r="M296" s="98"/>
      <c r="N296" s="36"/>
      <c r="T296" s="21"/>
    </row>
    <row r="297" spans="1:20" s="37" customFormat="1" x14ac:dyDescent="0.25">
      <c r="A297" s="122" t="s">
        <v>407</v>
      </c>
      <c r="B297" s="123"/>
      <c r="C297" s="123"/>
      <c r="D297" s="123"/>
      <c r="E297" s="123"/>
      <c r="F297" s="123"/>
      <c r="G297" s="123"/>
      <c r="H297" s="124"/>
      <c r="I297" s="37">
        <v>1</v>
      </c>
      <c r="J297" s="36"/>
    </row>
    <row r="298" spans="1:20" s="37" customFormat="1" ht="15.75" customHeight="1" x14ac:dyDescent="0.25">
      <c r="A298" s="115">
        <v>1</v>
      </c>
      <c r="B298" s="116"/>
      <c r="C298" s="85" t="s">
        <v>396</v>
      </c>
      <c r="D298" s="85">
        <f>(67.28)*10.764</f>
        <v>724.20191999999997</v>
      </c>
      <c r="E298" s="85">
        <f>(3.1*1.2+2.08*1.25+2.83*1.2)*10.764</f>
        <v>104.58302400000001</v>
      </c>
      <c r="F298" s="85">
        <f>D298+E298</f>
        <v>828.784944</v>
      </c>
      <c r="G298" s="85">
        <v>0</v>
      </c>
      <c r="H298" s="85">
        <f>F298*(($H$203)+1)+(IF(G298&lt;101,G298,IF(G298&lt;201,G298/2,IF(G298&lt;=301,G298/3,G298/4))))</f>
        <v>1243.177416</v>
      </c>
      <c r="I298" s="36"/>
      <c r="L298" s="98"/>
      <c r="M298" s="98"/>
      <c r="N298" s="36"/>
    </row>
    <row r="299" spans="1:20" s="37" customFormat="1" ht="15.75" customHeight="1" x14ac:dyDescent="0.25">
      <c r="A299" s="115">
        <f>A298+1</f>
        <v>2</v>
      </c>
      <c r="B299" s="116"/>
      <c r="C299" s="85" t="s">
        <v>396</v>
      </c>
      <c r="D299" s="85">
        <f>(69.66)*10.764</f>
        <v>749.8202399999999</v>
      </c>
      <c r="E299" s="85">
        <f>(1.2*2.78+1.35*2.13+1.2*5.75)*10.764</f>
        <v>141.13218599999999</v>
      </c>
      <c r="F299" s="85">
        <f>D299+E299</f>
        <v>890.95242599999983</v>
      </c>
      <c r="G299" s="85">
        <v>0</v>
      </c>
      <c r="H299" s="85">
        <f>F299*(($H$203)+1)+(IF(G299&lt;101,G299,IF(G299&lt;201,G299/2,IF(G299&lt;=301,G299/3,G299/4))))</f>
        <v>1336.4286389999997</v>
      </c>
      <c r="I299" s="36"/>
      <c r="L299" s="98"/>
      <c r="M299" s="98"/>
      <c r="N299" s="36"/>
    </row>
    <row r="300" spans="1:20" s="37" customFormat="1" ht="15.75" customHeight="1" x14ac:dyDescent="0.25">
      <c r="A300" s="115">
        <f>A299+1</f>
        <v>3</v>
      </c>
      <c r="B300" s="116"/>
      <c r="C300" s="85" t="s">
        <v>396</v>
      </c>
      <c r="D300" s="85">
        <f>(64.43)*10.764</f>
        <v>693.52452000000005</v>
      </c>
      <c r="E300" s="85">
        <f>(1.43*1.53+1.2*6.2+3.18*1.1)*10.764</f>
        <v>141.28718760000001</v>
      </c>
      <c r="F300" s="85">
        <f>D300+E300</f>
        <v>834.81170760000009</v>
      </c>
      <c r="G300" s="85">
        <v>0</v>
      </c>
      <c r="H300" s="85">
        <f>F300*(($H$203)+1)+(IF(G300&lt;101,G300,IF(G300&lt;201,G300/2,IF(G300&lt;=301,G300/3,G300/4))))</f>
        <v>1252.2175614000002</v>
      </c>
      <c r="I300" s="36"/>
      <c r="L300" s="98"/>
      <c r="M300" s="98"/>
      <c r="N300" s="36"/>
    </row>
    <row r="301" spans="1:20" s="37" customFormat="1" ht="28.5" customHeight="1" x14ac:dyDescent="0.25">
      <c r="A301" s="115">
        <f>A300+1</f>
        <v>4</v>
      </c>
      <c r="B301" s="116"/>
      <c r="C301" s="85" t="s">
        <v>397</v>
      </c>
      <c r="D301" s="85">
        <f>(44.82)*10.764</f>
        <v>482.44247999999999</v>
      </c>
      <c r="E301" s="85">
        <f>(2.08*1.15+2.7*1.1)*10.764</f>
        <v>57.716567999999995</v>
      </c>
      <c r="F301" s="85">
        <f>D301+E301</f>
        <v>540.15904799999998</v>
      </c>
      <c r="G301" s="85">
        <v>0</v>
      </c>
      <c r="H301" s="85">
        <f>F301*(($H$203)+1)+(IF(G301&lt;101,G301,IF(G301&lt;201,G301/2,IF(G301&lt;=301,G301/3,G301/4))))</f>
        <v>810.23857199999998</v>
      </c>
      <c r="I301" s="36"/>
      <c r="L301" s="98"/>
      <c r="M301" s="98"/>
      <c r="N301" s="36"/>
      <c r="T301" s="21"/>
    </row>
    <row r="302" spans="1:20" s="37" customFormat="1" ht="15.75" customHeight="1" x14ac:dyDescent="0.25">
      <c r="A302" s="115">
        <f t="shared" ref="A302:A305" si="63">A301+1</f>
        <v>5</v>
      </c>
      <c r="B302" s="116"/>
      <c r="C302" s="85" t="s">
        <v>396</v>
      </c>
      <c r="D302" s="85">
        <f>(67.28)*10.764</f>
        <v>724.20191999999997</v>
      </c>
      <c r="E302" s="85">
        <f>(3.1*1.2+1.25*2.08+2.83*1.2)*10.764</f>
        <v>104.58302400000001</v>
      </c>
      <c r="F302" s="85">
        <f t="shared" ref="F302:F305" si="64">D302+E302</f>
        <v>828.784944</v>
      </c>
      <c r="G302" s="85">
        <v>0</v>
      </c>
      <c r="H302" s="85">
        <f t="shared" ref="H302:H305" si="65">F302*(($H$203)+1)+(IF(G302&lt;101,G302,IF(G302&lt;201,G302/2,IF(G302&lt;=301,G302/3,G302/4))))</f>
        <v>1243.177416</v>
      </c>
      <c r="I302" s="36"/>
      <c r="L302" s="98"/>
      <c r="M302" s="98"/>
      <c r="N302" s="36"/>
      <c r="T302" s="21"/>
    </row>
    <row r="303" spans="1:20" s="37" customFormat="1" ht="15.75" customHeight="1" x14ac:dyDescent="0.25">
      <c r="A303" s="115">
        <f t="shared" si="63"/>
        <v>6</v>
      </c>
      <c r="B303" s="116"/>
      <c r="C303" s="126" t="s">
        <v>399</v>
      </c>
      <c r="D303" s="127"/>
      <c r="E303" s="127"/>
      <c r="F303" s="127"/>
      <c r="G303" s="127"/>
      <c r="H303" s="128"/>
      <c r="I303" s="36"/>
      <c r="L303" s="98"/>
      <c r="M303" s="98"/>
      <c r="N303" s="36"/>
      <c r="T303" s="21"/>
    </row>
    <row r="304" spans="1:20" s="37" customFormat="1" ht="15.75" customHeight="1" x14ac:dyDescent="0.25">
      <c r="A304" s="115">
        <f t="shared" si="63"/>
        <v>7</v>
      </c>
      <c r="B304" s="116"/>
      <c r="C304" s="129"/>
      <c r="D304" s="130"/>
      <c r="E304" s="130"/>
      <c r="F304" s="130"/>
      <c r="G304" s="130"/>
      <c r="H304" s="131"/>
      <c r="I304" s="36"/>
      <c r="L304" s="98"/>
      <c r="M304" s="98"/>
      <c r="N304" s="36"/>
      <c r="T304" s="21"/>
    </row>
    <row r="305" spans="1:20" s="37" customFormat="1" ht="28.5" customHeight="1" x14ac:dyDescent="0.25">
      <c r="A305" s="115">
        <f t="shared" si="63"/>
        <v>8</v>
      </c>
      <c r="B305" s="116"/>
      <c r="C305" s="85" t="s">
        <v>397</v>
      </c>
      <c r="D305" s="85">
        <f>(44.82)*10.764</f>
        <v>482.44247999999999</v>
      </c>
      <c r="E305" s="85">
        <f>(2.08*1.15+2.7*1.1)*10.764</f>
        <v>57.716567999999995</v>
      </c>
      <c r="F305" s="85">
        <f t="shared" si="64"/>
        <v>540.15904799999998</v>
      </c>
      <c r="G305" s="85">
        <v>0</v>
      </c>
      <c r="H305" s="85">
        <f t="shared" si="65"/>
        <v>810.23857199999998</v>
      </c>
      <c r="I305" s="36"/>
      <c r="L305" s="98"/>
      <c r="M305" s="98"/>
      <c r="N305" s="36"/>
      <c r="T305" s="21"/>
    </row>
    <row r="306" spans="1:20" s="37" customFormat="1" x14ac:dyDescent="0.25">
      <c r="A306" s="122" t="s">
        <v>409</v>
      </c>
      <c r="B306" s="123"/>
      <c r="C306" s="123"/>
      <c r="D306" s="123"/>
      <c r="E306" s="123"/>
      <c r="F306" s="123"/>
      <c r="G306" s="123"/>
      <c r="H306" s="124"/>
      <c r="I306" s="37">
        <v>1</v>
      </c>
      <c r="J306" s="36"/>
    </row>
    <row r="307" spans="1:20" s="37" customFormat="1" ht="15.75" customHeight="1" x14ac:dyDescent="0.25">
      <c r="A307" s="115">
        <v>1</v>
      </c>
      <c r="B307" s="116"/>
      <c r="C307" s="85" t="s">
        <v>396</v>
      </c>
      <c r="D307" s="85">
        <f>(67.28)*10.764</f>
        <v>724.20191999999997</v>
      </c>
      <c r="E307" s="85">
        <f>(3.1*1.2+2.08*1.25+2.83*1.2)*10.764</f>
        <v>104.58302400000001</v>
      </c>
      <c r="F307" s="85">
        <f>D307+E307</f>
        <v>828.784944</v>
      </c>
      <c r="G307" s="85">
        <v>0</v>
      </c>
      <c r="H307" s="85">
        <f>F307*(($H$203)+1)+(IF(G307&lt;101,G307,IF(G307&lt;201,G307/2,IF(G307&lt;=301,G307/3,G307/4))))</f>
        <v>1243.177416</v>
      </c>
      <c r="I307" s="36"/>
      <c r="L307" s="98"/>
      <c r="M307" s="98"/>
      <c r="N307" s="36"/>
    </row>
    <row r="308" spans="1:20" s="37" customFormat="1" ht="15.75" customHeight="1" x14ac:dyDescent="0.25">
      <c r="A308" s="115">
        <f>A307+1</f>
        <v>2</v>
      </c>
      <c r="B308" s="116"/>
      <c r="C308" s="85" t="s">
        <v>396</v>
      </c>
      <c r="D308" s="85">
        <f>(69.66)*10.764</f>
        <v>749.8202399999999</v>
      </c>
      <c r="E308" s="85">
        <f>(1.2*2.78+1.35*2.13+1.2*5.75)*10.764</f>
        <v>141.13218599999999</v>
      </c>
      <c r="F308" s="85">
        <f>D308+E308</f>
        <v>890.95242599999983</v>
      </c>
      <c r="G308" s="85">
        <v>0</v>
      </c>
      <c r="H308" s="85">
        <f>F308*(($H$203)+1)+(IF(G308&lt;101,G308,IF(G308&lt;201,G308/2,IF(G308&lt;=301,G308/3,G308/4))))</f>
        <v>1336.4286389999997</v>
      </c>
      <c r="I308" s="36"/>
      <c r="L308" s="98"/>
      <c r="M308" s="98"/>
      <c r="N308" s="36"/>
    </row>
    <row r="309" spans="1:20" s="37" customFormat="1" ht="15.75" customHeight="1" x14ac:dyDescent="0.25">
      <c r="A309" s="115">
        <f>A308+1</f>
        <v>3</v>
      </c>
      <c r="B309" s="116"/>
      <c r="C309" s="85" t="s">
        <v>396</v>
      </c>
      <c r="D309" s="85">
        <f>(64.43)*10.764</f>
        <v>693.52452000000005</v>
      </c>
      <c r="E309" s="85">
        <f>(1.43*1.53+1.2*6.2+3.18*1.1)*10.764</f>
        <v>141.28718760000001</v>
      </c>
      <c r="F309" s="85">
        <f>D309+E309</f>
        <v>834.81170760000009</v>
      </c>
      <c r="G309" s="85">
        <v>0</v>
      </c>
      <c r="H309" s="85">
        <f>F309*(($H$203)+1)+(IF(G309&lt;101,G309,IF(G309&lt;201,G309/2,IF(G309&lt;=301,G309/3,G309/4))))</f>
        <v>1252.2175614000002</v>
      </c>
      <c r="I309" s="36"/>
      <c r="L309" s="98"/>
      <c r="M309" s="98"/>
      <c r="N309" s="36"/>
    </row>
    <row r="310" spans="1:20" s="37" customFormat="1" ht="30.75" customHeight="1" x14ac:dyDescent="0.25">
      <c r="A310" s="115">
        <f>A309+1</f>
        <v>4</v>
      </c>
      <c r="B310" s="116"/>
      <c r="C310" s="85" t="s">
        <v>397</v>
      </c>
      <c r="D310" s="85">
        <f>(44.97)*10.764</f>
        <v>484.05707999999998</v>
      </c>
      <c r="E310" s="85">
        <f>(2.08*1.15+2.7*1.1)*10.764</f>
        <v>57.716567999999995</v>
      </c>
      <c r="F310" s="85">
        <f>D310+E310</f>
        <v>541.77364799999998</v>
      </c>
      <c r="G310" s="85">
        <v>0</v>
      </c>
      <c r="H310" s="85">
        <f>F310*(($H$203)+1)+(IF(G310&lt;101,G310,IF(G310&lt;201,G310/2,IF(G310&lt;=301,G310/3,G310/4))))</f>
        <v>812.66047200000003</v>
      </c>
      <c r="I310" s="36"/>
      <c r="L310" s="98"/>
      <c r="M310" s="98"/>
      <c r="N310" s="36"/>
      <c r="T310" s="21"/>
    </row>
    <row r="311" spans="1:20" s="37" customFormat="1" ht="15.75" customHeight="1" x14ac:dyDescent="0.25">
      <c r="A311" s="115">
        <f t="shared" ref="A311:A314" si="66">A310+1</f>
        <v>5</v>
      </c>
      <c r="B311" s="116"/>
      <c r="C311" s="85" t="s">
        <v>396</v>
      </c>
      <c r="D311" s="85">
        <f>(67.28)*10.764</f>
        <v>724.20191999999997</v>
      </c>
      <c r="E311" s="85">
        <f>(3.1*1.2+1.25*2.08+2.83*1.2)*10.764</f>
        <v>104.58302400000001</v>
      </c>
      <c r="F311" s="85">
        <f t="shared" ref="F311:F314" si="67">D311+E311</f>
        <v>828.784944</v>
      </c>
      <c r="G311" s="85">
        <v>0</v>
      </c>
      <c r="H311" s="85">
        <f t="shared" ref="H311:H314" si="68">F311*(($H$203)+1)+(IF(G311&lt;101,G311,IF(G311&lt;201,G311/2,IF(G311&lt;=301,G311/3,G311/4))))</f>
        <v>1243.177416</v>
      </c>
      <c r="I311" s="36"/>
      <c r="L311" s="98"/>
      <c r="M311" s="98"/>
      <c r="N311" s="36"/>
      <c r="T311" s="21"/>
    </row>
    <row r="312" spans="1:20" s="37" customFormat="1" ht="15.75" customHeight="1" x14ac:dyDescent="0.25">
      <c r="A312" s="115">
        <f t="shared" si="66"/>
        <v>6</v>
      </c>
      <c r="B312" s="116"/>
      <c r="C312" s="85" t="s">
        <v>396</v>
      </c>
      <c r="D312" s="85">
        <f>(69.66)*10.764</f>
        <v>749.8202399999999</v>
      </c>
      <c r="E312" s="85">
        <f>(2.78*1.2+1.35*2.13+5.75*1.2)*10.764</f>
        <v>141.13218599999999</v>
      </c>
      <c r="F312" s="85">
        <f t="shared" si="67"/>
        <v>890.95242599999983</v>
      </c>
      <c r="G312" s="85">
        <v>0</v>
      </c>
      <c r="H312" s="85">
        <f t="shared" si="68"/>
        <v>1336.4286389999997</v>
      </c>
      <c r="I312" s="36"/>
      <c r="L312" s="98"/>
      <c r="M312" s="98"/>
      <c r="N312" s="36"/>
      <c r="T312" s="21"/>
    </row>
    <row r="313" spans="1:20" s="37" customFormat="1" ht="15.75" customHeight="1" x14ac:dyDescent="0.25">
      <c r="A313" s="115">
        <f t="shared" si="66"/>
        <v>7</v>
      </c>
      <c r="B313" s="116"/>
      <c r="C313" s="85" t="s">
        <v>396</v>
      </c>
      <c r="D313" s="85">
        <f>(64.43)*10.764</f>
        <v>693.52452000000005</v>
      </c>
      <c r="E313" s="85">
        <f>(6.2*1.2+1.43*1.53+3.18*1.1)*10.764</f>
        <v>141.28718760000001</v>
      </c>
      <c r="F313" s="85">
        <f t="shared" si="67"/>
        <v>834.81170760000009</v>
      </c>
      <c r="G313" s="85">
        <v>0</v>
      </c>
      <c r="H313" s="85">
        <f t="shared" si="68"/>
        <v>1252.2175614000002</v>
      </c>
      <c r="I313" s="36"/>
      <c r="L313" s="98"/>
      <c r="M313" s="98"/>
      <c r="N313" s="36"/>
      <c r="T313" s="21"/>
    </row>
    <row r="314" spans="1:20" s="37" customFormat="1" ht="27.75" customHeight="1" x14ac:dyDescent="0.25">
      <c r="A314" s="115">
        <f t="shared" si="66"/>
        <v>8</v>
      </c>
      <c r="B314" s="116"/>
      <c r="C314" s="85" t="s">
        <v>397</v>
      </c>
      <c r="D314" s="85">
        <f>(44.82)*10.764</f>
        <v>482.44247999999999</v>
      </c>
      <c r="E314" s="85">
        <f>(2.08*1.15+2.7*1.1)*10.764</f>
        <v>57.716567999999995</v>
      </c>
      <c r="F314" s="85">
        <f t="shared" si="67"/>
        <v>540.15904799999998</v>
      </c>
      <c r="G314" s="85">
        <v>0</v>
      </c>
      <c r="H314" s="85">
        <f t="shared" si="68"/>
        <v>810.23857199999998</v>
      </c>
      <c r="I314" s="36"/>
      <c r="L314" s="98"/>
      <c r="M314" s="98"/>
      <c r="N314" s="36"/>
      <c r="T314" s="21"/>
    </row>
    <row r="315" spans="1:20" s="37" customFormat="1" x14ac:dyDescent="0.25">
      <c r="A315" s="122" t="s">
        <v>410</v>
      </c>
      <c r="B315" s="123"/>
      <c r="C315" s="123"/>
      <c r="D315" s="123"/>
      <c r="E315" s="123"/>
      <c r="F315" s="123"/>
      <c r="G315" s="123"/>
      <c r="H315" s="124"/>
      <c r="I315" s="37">
        <v>1</v>
      </c>
      <c r="J315" s="36"/>
    </row>
    <row r="316" spans="1:20" s="37" customFormat="1" ht="15.75" customHeight="1" x14ac:dyDescent="0.25">
      <c r="A316" s="115">
        <v>1</v>
      </c>
      <c r="B316" s="116"/>
      <c r="C316" s="85" t="s">
        <v>396</v>
      </c>
      <c r="D316" s="85">
        <f>(67.28)*10.764</f>
        <v>724.20191999999997</v>
      </c>
      <c r="E316" s="85">
        <f>(3.1*1.2+2.08*1.25+2.83*1.2)*10.764</f>
        <v>104.58302400000001</v>
      </c>
      <c r="F316" s="85">
        <f>D316+E316</f>
        <v>828.784944</v>
      </c>
      <c r="G316" s="85">
        <v>0</v>
      </c>
      <c r="H316" s="85">
        <f>F316*(($H$203)+1)+(IF(G316&lt;101,G316,IF(G316&lt;201,G316/2,IF(G316&lt;=301,G316/3,G316/4))))</f>
        <v>1243.177416</v>
      </c>
      <c r="I316" s="36"/>
      <c r="L316" s="98"/>
      <c r="M316" s="98"/>
      <c r="N316" s="36"/>
    </row>
    <row r="317" spans="1:20" s="37" customFormat="1" ht="15.75" customHeight="1" x14ac:dyDescent="0.25">
      <c r="A317" s="115">
        <f>A316+1</f>
        <v>2</v>
      </c>
      <c r="B317" s="116"/>
      <c r="C317" s="85" t="s">
        <v>396</v>
      </c>
      <c r="D317" s="85">
        <f>(69.18)*10.764</f>
        <v>744.65352000000007</v>
      </c>
      <c r="E317" s="85">
        <f>(1.2*2.78+1.35*2.13+1.2*2.85)*10.764</f>
        <v>103.67346599999999</v>
      </c>
      <c r="F317" s="85">
        <f>D317+E317</f>
        <v>848.32698600000003</v>
      </c>
      <c r="G317" s="85">
        <v>0</v>
      </c>
      <c r="H317" s="85">
        <f>F317*(($H$203)+1)+(IF(G317&lt;101,G317,IF(G317&lt;201,G317/2,IF(G317&lt;=301,G317/3,G317/4))))</f>
        <v>1272.4904790000001</v>
      </c>
      <c r="I317" s="36"/>
      <c r="L317" s="98"/>
      <c r="M317" s="98"/>
      <c r="N317" s="36"/>
    </row>
    <row r="318" spans="1:20" s="37" customFormat="1" ht="15.75" customHeight="1" x14ac:dyDescent="0.25">
      <c r="A318" s="115">
        <f>A317+1</f>
        <v>3</v>
      </c>
      <c r="B318" s="116"/>
      <c r="C318" s="85" t="s">
        <v>396</v>
      </c>
      <c r="D318" s="85">
        <f>(63.91)*10.764</f>
        <v>687.92723999999987</v>
      </c>
      <c r="E318" s="85">
        <f>(1.43*1.53+1.2*3.05+3.18*1.1)*10.764</f>
        <v>100.59926759999999</v>
      </c>
      <c r="F318" s="85">
        <f>D318+E318</f>
        <v>788.52650759999983</v>
      </c>
      <c r="G318" s="85">
        <v>0</v>
      </c>
      <c r="H318" s="85">
        <f>F318*(($H$203)+1)+(IF(G318&lt;101,G318,IF(G318&lt;201,G318/2,IF(G318&lt;=301,G318/3,G318/4))))</f>
        <v>1182.7897613999999</v>
      </c>
      <c r="I318" s="36"/>
      <c r="L318" s="98"/>
      <c r="M318" s="98"/>
      <c r="N318" s="36"/>
    </row>
    <row r="319" spans="1:20" s="37" customFormat="1" ht="31.5" customHeight="1" x14ac:dyDescent="0.25">
      <c r="A319" s="115">
        <f>A318+1</f>
        <v>4</v>
      </c>
      <c r="B319" s="116"/>
      <c r="C319" s="85" t="s">
        <v>397</v>
      </c>
      <c r="D319" s="85">
        <f>(44.82)*10.764</f>
        <v>482.44247999999999</v>
      </c>
      <c r="E319" s="85">
        <f>(2.08*1.15+2.7*1.1)*10.764</f>
        <v>57.716567999999995</v>
      </c>
      <c r="F319" s="85">
        <f>D319+E319</f>
        <v>540.15904799999998</v>
      </c>
      <c r="G319" s="85">
        <v>0</v>
      </c>
      <c r="H319" s="85">
        <f>F319*(($H$203)+1)+(IF(G319&lt;101,G319,IF(G319&lt;201,G319/2,IF(G319&lt;=301,G319/3,G319/4))))</f>
        <v>810.23857199999998</v>
      </c>
      <c r="I319" s="36"/>
      <c r="L319" s="98"/>
      <c r="M319" s="98"/>
      <c r="N319" s="36"/>
      <c r="T319" s="21"/>
    </row>
    <row r="320" spans="1:20" s="37" customFormat="1" ht="15.75" customHeight="1" x14ac:dyDescent="0.25">
      <c r="A320" s="115">
        <f t="shared" ref="A320:A323" si="69">A319+1</f>
        <v>5</v>
      </c>
      <c r="B320" s="116"/>
      <c r="C320" s="85" t="s">
        <v>396</v>
      </c>
      <c r="D320" s="85">
        <f>(67.28)*10.764</f>
        <v>724.20191999999997</v>
      </c>
      <c r="E320" s="85">
        <f>(3.1*1.2+1.25*2.08+2.83*1.2)*10.764</f>
        <v>104.58302400000001</v>
      </c>
      <c r="F320" s="85">
        <f t="shared" ref="F320:F323" si="70">D320+E320</f>
        <v>828.784944</v>
      </c>
      <c r="G320" s="85">
        <v>0</v>
      </c>
      <c r="H320" s="85">
        <f t="shared" ref="H320:H323" si="71">F320*(($H$203)+1)+(IF(G320&lt;101,G320,IF(G320&lt;201,G320/2,IF(G320&lt;=301,G320/3,G320/4))))</f>
        <v>1243.177416</v>
      </c>
      <c r="I320" s="36"/>
      <c r="L320" s="98"/>
      <c r="M320" s="98"/>
      <c r="N320" s="36"/>
      <c r="T320" s="21"/>
    </row>
    <row r="321" spans="1:20" s="37" customFormat="1" ht="15.75" customHeight="1" x14ac:dyDescent="0.25">
      <c r="A321" s="115">
        <f t="shared" si="69"/>
        <v>6</v>
      </c>
      <c r="B321" s="116"/>
      <c r="C321" s="85" t="s">
        <v>396</v>
      </c>
      <c r="D321" s="85">
        <f>(69.18)*10.764</f>
        <v>744.65352000000007</v>
      </c>
      <c r="E321" s="85">
        <f>(2.78*1.2+1.35*2.13+2.85*1.2)*10.764</f>
        <v>103.67346599999999</v>
      </c>
      <c r="F321" s="85">
        <f t="shared" si="70"/>
        <v>848.32698600000003</v>
      </c>
      <c r="G321" s="85">
        <v>0</v>
      </c>
      <c r="H321" s="85">
        <f t="shared" si="71"/>
        <v>1272.4904790000001</v>
      </c>
      <c r="I321" s="36"/>
      <c r="L321" s="98"/>
      <c r="M321" s="98"/>
      <c r="N321" s="36"/>
      <c r="T321" s="21"/>
    </row>
    <row r="322" spans="1:20" s="37" customFormat="1" ht="15.75" customHeight="1" x14ac:dyDescent="0.25">
      <c r="A322" s="115">
        <f t="shared" si="69"/>
        <v>7</v>
      </c>
      <c r="B322" s="116"/>
      <c r="C322" s="85" t="s">
        <v>396</v>
      </c>
      <c r="D322" s="85">
        <f>(63.91)*10.764</f>
        <v>687.92723999999987</v>
      </c>
      <c r="E322" s="85">
        <f>(3.05*1.2+1.43*1.53+3.18*1.1)*10.764</f>
        <v>100.59926759999999</v>
      </c>
      <c r="F322" s="85">
        <f t="shared" si="70"/>
        <v>788.52650759999983</v>
      </c>
      <c r="G322" s="85">
        <v>0</v>
      </c>
      <c r="H322" s="85">
        <f t="shared" si="71"/>
        <v>1182.7897613999999</v>
      </c>
      <c r="I322" s="36"/>
      <c r="L322" s="98"/>
      <c r="M322" s="98"/>
      <c r="N322" s="36"/>
      <c r="T322" s="21"/>
    </row>
    <row r="323" spans="1:20" s="37" customFormat="1" ht="30" customHeight="1" x14ac:dyDescent="0.25">
      <c r="A323" s="115">
        <f t="shared" si="69"/>
        <v>8</v>
      </c>
      <c r="B323" s="116"/>
      <c r="C323" s="85" t="s">
        <v>397</v>
      </c>
      <c r="D323" s="85">
        <f>(44.82)*10.764</f>
        <v>482.44247999999999</v>
      </c>
      <c r="E323" s="85">
        <f>(2.08*1.15+2.7*1.1)*10.764</f>
        <v>57.716567999999995</v>
      </c>
      <c r="F323" s="85">
        <f t="shared" si="70"/>
        <v>540.15904799999998</v>
      </c>
      <c r="G323" s="85">
        <v>0</v>
      </c>
      <c r="H323" s="85">
        <f t="shared" si="71"/>
        <v>810.23857199999998</v>
      </c>
      <c r="I323" s="36"/>
      <c r="L323" s="98"/>
      <c r="M323" s="98"/>
      <c r="N323" s="36"/>
      <c r="T323" s="21"/>
    </row>
    <row r="324" spans="1:20" s="37" customFormat="1" x14ac:dyDescent="0.25">
      <c r="A324" s="125" t="s">
        <v>411</v>
      </c>
      <c r="B324" s="125"/>
      <c r="C324" s="125"/>
      <c r="D324" s="125"/>
      <c r="E324" s="125"/>
      <c r="F324" s="125"/>
      <c r="G324" s="125"/>
      <c r="H324" s="125"/>
      <c r="I324" s="37">
        <v>3</v>
      </c>
      <c r="J324" s="36"/>
    </row>
    <row r="325" spans="1:20" s="37" customFormat="1" ht="15.75" customHeight="1" x14ac:dyDescent="0.25">
      <c r="A325" s="117">
        <v>1</v>
      </c>
      <c r="B325" s="117"/>
      <c r="C325" s="85" t="s">
        <v>396</v>
      </c>
      <c r="D325" s="85">
        <f>(67.28)*10.764</f>
        <v>724.20191999999997</v>
      </c>
      <c r="E325" s="85">
        <f>(3.1*1.2+2.08*1.25+2.83*1.2)*10.764</f>
        <v>104.58302400000001</v>
      </c>
      <c r="F325" s="85">
        <f>D325+E325</f>
        <v>828.784944</v>
      </c>
      <c r="G325" s="85">
        <v>0</v>
      </c>
      <c r="H325" s="85">
        <f>F325*(($H$203)+1)+(IF(G325&lt;101,G325,IF(G325&lt;201,G325/2,IF(G325&lt;=301,G325/3,G325/4))))</f>
        <v>1243.177416</v>
      </c>
      <c r="I325" s="36"/>
      <c r="L325" s="98"/>
      <c r="M325" s="98"/>
      <c r="N325" s="36"/>
    </row>
    <row r="326" spans="1:20" s="37" customFormat="1" ht="15.75" customHeight="1" x14ac:dyDescent="0.25">
      <c r="A326" s="117">
        <f>A325+1</f>
        <v>2</v>
      </c>
      <c r="B326" s="117"/>
      <c r="C326" s="85" t="s">
        <v>396</v>
      </c>
      <c r="D326" s="85">
        <f>(69.18)*10.764</f>
        <v>744.65352000000007</v>
      </c>
      <c r="E326" s="85">
        <f>(1.2*2.78+1.35*2.13+1.2*2.85)*10.764</f>
        <v>103.67346599999999</v>
      </c>
      <c r="F326" s="85">
        <f>D326+E326</f>
        <v>848.32698600000003</v>
      </c>
      <c r="G326" s="85">
        <v>0</v>
      </c>
      <c r="H326" s="85">
        <f>F326*(($H$203)+1)+(IF(G326&lt;101,G326,IF(G326&lt;201,G326/2,IF(G326&lt;=301,G326/3,G326/4))))</f>
        <v>1272.4904790000001</v>
      </c>
      <c r="I326" s="36"/>
      <c r="L326" s="98"/>
      <c r="M326" s="98"/>
      <c r="N326" s="36"/>
    </row>
    <row r="327" spans="1:20" s="37" customFormat="1" ht="15.75" customHeight="1" x14ac:dyDescent="0.25">
      <c r="A327" s="117">
        <f>A326+1</f>
        <v>3</v>
      </c>
      <c r="B327" s="117"/>
      <c r="C327" s="85" t="s">
        <v>396</v>
      </c>
      <c r="D327" s="85">
        <f>(63.91)*10.764</f>
        <v>687.92723999999987</v>
      </c>
      <c r="E327" s="85">
        <f>(1.43*1.53+1.2*3.05+3.18*1.1)*10.764</f>
        <v>100.59926759999999</v>
      </c>
      <c r="F327" s="85">
        <f>D327+E327</f>
        <v>788.52650759999983</v>
      </c>
      <c r="G327" s="85">
        <v>0</v>
      </c>
      <c r="H327" s="85">
        <f>F327*(($H$203)+1)+(IF(G327&lt;101,G327,IF(G327&lt;201,G327/2,IF(G327&lt;=301,G327/3,G327/4))))</f>
        <v>1182.7897613999999</v>
      </c>
      <c r="I327" s="36"/>
      <c r="L327" s="98"/>
      <c r="M327" s="98"/>
      <c r="N327" s="36"/>
    </row>
    <row r="328" spans="1:20" s="37" customFormat="1" ht="36" customHeight="1" x14ac:dyDescent="0.25">
      <c r="A328" s="117">
        <f>A327+1</f>
        <v>4</v>
      </c>
      <c r="B328" s="117"/>
      <c r="C328" s="85" t="s">
        <v>397</v>
      </c>
      <c r="D328" s="85">
        <f>(44.82)*10.764</f>
        <v>482.44247999999999</v>
      </c>
      <c r="E328" s="85">
        <f>(2.08*1.15+2.7*1.1)*10.764</f>
        <v>57.716567999999995</v>
      </c>
      <c r="F328" s="85">
        <f>D328+E328</f>
        <v>540.15904799999998</v>
      </c>
      <c r="G328" s="85">
        <v>0</v>
      </c>
      <c r="H328" s="85">
        <f>F328*(($H$203)+1)+(IF(G328&lt;101,G328,IF(G328&lt;201,G328/2,IF(G328&lt;=301,G328/3,G328/4))))</f>
        <v>810.23857199999998</v>
      </c>
      <c r="I328" s="36"/>
      <c r="L328" s="98"/>
      <c r="M328" s="98"/>
      <c r="N328" s="36"/>
      <c r="T328" s="21"/>
    </row>
    <row r="329" spans="1:20" s="37" customFormat="1" ht="15.75" customHeight="1" x14ac:dyDescent="0.25">
      <c r="A329" s="115">
        <f t="shared" ref="A329:A332" si="72">A328+1</f>
        <v>5</v>
      </c>
      <c r="B329" s="116"/>
      <c r="C329" s="85" t="s">
        <v>396</v>
      </c>
      <c r="D329" s="85">
        <f>(67.28)*10.764</f>
        <v>724.20191999999997</v>
      </c>
      <c r="E329" s="85">
        <f>(3.1*1.2+1.25*2.08+2.83*1.2)*10.764</f>
        <v>104.58302400000001</v>
      </c>
      <c r="F329" s="85">
        <f t="shared" ref="F329:F332" si="73">D329+E329</f>
        <v>828.784944</v>
      </c>
      <c r="G329" s="85">
        <v>0</v>
      </c>
      <c r="H329" s="85">
        <f t="shared" ref="H329:H332" si="74">F329*(($H$203)+1)+(IF(G329&lt;101,G329,IF(G329&lt;201,G329/2,IF(G329&lt;=301,G329/3,G329/4))))</f>
        <v>1243.177416</v>
      </c>
      <c r="I329" s="36"/>
      <c r="L329" s="98"/>
      <c r="M329" s="98"/>
      <c r="N329" s="36"/>
      <c r="T329" s="21"/>
    </row>
    <row r="330" spans="1:20" s="37" customFormat="1" ht="15.75" customHeight="1" x14ac:dyDescent="0.25">
      <c r="A330" s="115">
        <f t="shared" si="72"/>
        <v>6</v>
      </c>
      <c r="B330" s="116"/>
      <c r="C330" s="85" t="s">
        <v>396</v>
      </c>
      <c r="D330" s="85">
        <f>(69.18)*10.764</f>
        <v>744.65352000000007</v>
      </c>
      <c r="E330" s="85">
        <f>(2.78*1.2+1.35*2.13+2.85*1.2)*10.764</f>
        <v>103.67346599999999</v>
      </c>
      <c r="F330" s="85">
        <f t="shared" si="73"/>
        <v>848.32698600000003</v>
      </c>
      <c r="G330" s="85">
        <v>0</v>
      </c>
      <c r="H330" s="85">
        <f t="shared" si="74"/>
        <v>1272.4904790000001</v>
      </c>
      <c r="I330" s="36"/>
      <c r="L330" s="98"/>
      <c r="M330" s="98"/>
      <c r="N330" s="36"/>
      <c r="T330" s="21"/>
    </row>
    <row r="331" spans="1:20" s="37" customFormat="1" ht="15.75" customHeight="1" x14ac:dyDescent="0.25">
      <c r="A331" s="115">
        <f t="shared" si="72"/>
        <v>7</v>
      </c>
      <c r="B331" s="116"/>
      <c r="C331" s="85" t="s">
        <v>396</v>
      </c>
      <c r="D331" s="85">
        <f>(63.91)*10.764</f>
        <v>687.92723999999987</v>
      </c>
      <c r="E331" s="85">
        <f>(3.05*1.2+1.43*1.53+3.18*1.1)*10.764</f>
        <v>100.59926759999999</v>
      </c>
      <c r="F331" s="85">
        <f t="shared" si="73"/>
        <v>788.52650759999983</v>
      </c>
      <c r="G331" s="85">
        <v>0</v>
      </c>
      <c r="H331" s="85">
        <f t="shared" si="74"/>
        <v>1182.7897613999999</v>
      </c>
      <c r="I331" s="36"/>
      <c r="L331" s="98"/>
      <c r="M331" s="98"/>
      <c r="N331" s="36"/>
      <c r="T331" s="21"/>
    </row>
    <row r="332" spans="1:20" s="37" customFormat="1" ht="28.5" customHeight="1" x14ac:dyDescent="0.25">
      <c r="A332" s="115">
        <f t="shared" si="72"/>
        <v>8</v>
      </c>
      <c r="B332" s="116"/>
      <c r="C332" s="85" t="s">
        <v>397</v>
      </c>
      <c r="D332" s="85">
        <f>(44.82)*10.764</f>
        <v>482.44247999999999</v>
      </c>
      <c r="E332" s="85">
        <f>(2.08*1.15+2.7*1.1)*10.764</f>
        <v>57.716567999999995</v>
      </c>
      <c r="F332" s="85">
        <f t="shared" si="73"/>
        <v>540.15904799999998</v>
      </c>
      <c r="G332" s="85">
        <v>0</v>
      </c>
      <c r="H332" s="85">
        <f t="shared" si="74"/>
        <v>810.23857199999998</v>
      </c>
      <c r="I332" s="36"/>
      <c r="L332" s="98"/>
      <c r="M332" s="98"/>
      <c r="N332" s="36"/>
      <c r="T332" s="21"/>
    </row>
    <row r="333" spans="1:20" s="37" customFormat="1" x14ac:dyDescent="0.25">
      <c r="A333" s="122" t="s">
        <v>412</v>
      </c>
      <c r="B333" s="123"/>
      <c r="C333" s="123"/>
      <c r="D333" s="123"/>
      <c r="E333" s="123"/>
      <c r="F333" s="123"/>
      <c r="G333" s="123"/>
      <c r="H333" s="124"/>
      <c r="I333" s="37">
        <v>1</v>
      </c>
      <c r="J333" s="36"/>
    </row>
    <row r="334" spans="1:20" s="37" customFormat="1" ht="15.75" customHeight="1" x14ac:dyDescent="0.25">
      <c r="A334" s="115">
        <v>1</v>
      </c>
      <c r="B334" s="116"/>
      <c r="C334" s="85" t="s">
        <v>396</v>
      </c>
      <c r="D334" s="85">
        <f>(67.28)*10.764</f>
        <v>724.20191999999997</v>
      </c>
      <c r="E334" s="85">
        <f>(3.1*1.2+2.08*1.25+2.83*1.2)*10.764</f>
        <v>104.58302400000001</v>
      </c>
      <c r="F334" s="85">
        <f>D334+E334</f>
        <v>828.784944</v>
      </c>
      <c r="G334" s="85">
        <v>0</v>
      </c>
      <c r="H334" s="85">
        <f>F334*(($H$203)+1)+(IF(G334&lt;101,G334,IF(G334&lt;201,G334/2,IF(G334&lt;=301,G334/3,G334/4))))</f>
        <v>1243.177416</v>
      </c>
      <c r="I334" s="36"/>
      <c r="L334" s="98"/>
      <c r="M334" s="98"/>
      <c r="N334" s="36"/>
    </row>
    <row r="335" spans="1:20" s="37" customFormat="1" ht="15.75" customHeight="1" x14ac:dyDescent="0.25">
      <c r="A335" s="115">
        <f>A334+1</f>
        <v>2</v>
      </c>
      <c r="B335" s="116"/>
      <c r="C335" s="85" t="s">
        <v>396</v>
      </c>
      <c r="D335" s="85">
        <f>(69.18)*10.764</f>
        <v>744.65352000000007</v>
      </c>
      <c r="E335" s="85">
        <f>(1.2*2.78+1.35*2.13+1.2*2.85)*10.764</f>
        <v>103.67346599999999</v>
      </c>
      <c r="F335" s="85">
        <f>D335+E335</f>
        <v>848.32698600000003</v>
      </c>
      <c r="G335" s="85">
        <v>0</v>
      </c>
      <c r="H335" s="85">
        <f>F335*(($H$203)+1)+(IF(G335&lt;101,G335,IF(G335&lt;201,G335/2,IF(G335&lt;=301,G335/3,G335/4))))</f>
        <v>1272.4904790000001</v>
      </c>
      <c r="I335" s="36"/>
      <c r="L335" s="98"/>
      <c r="M335" s="98"/>
      <c r="N335" s="36"/>
    </row>
    <row r="336" spans="1:20" s="37" customFormat="1" ht="15.75" customHeight="1" x14ac:dyDescent="0.25">
      <c r="A336" s="115">
        <f>A335+1</f>
        <v>3</v>
      </c>
      <c r="B336" s="116"/>
      <c r="C336" s="85" t="s">
        <v>396</v>
      </c>
      <c r="D336" s="85">
        <f>(63.91)*10.764</f>
        <v>687.92723999999987</v>
      </c>
      <c r="E336" s="85">
        <f>(1.43*1.53+1.2*3.05+3.18*1.1)*10.764</f>
        <v>100.59926759999999</v>
      </c>
      <c r="F336" s="85">
        <f>D336+E336</f>
        <v>788.52650759999983</v>
      </c>
      <c r="G336" s="85">
        <v>0</v>
      </c>
      <c r="H336" s="85">
        <f>F336*(($H$203)+1)+(IF(G336&lt;101,G336,IF(G336&lt;201,G336/2,IF(G336&lt;=301,G336/3,G336/4))))</f>
        <v>1182.7897613999999</v>
      </c>
      <c r="I336" s="36"/>
      <c r="L336" s="98"/>
      <c r="M336" s="98"/>
      <c r="N336" s="36"/>
    </row>
    <row r="337" spans="1:20" s="37" customFormat="1" ht="35.25" customHeight="1" x14ac:dyDescent="0.25">
      <c r="A337" s="115">
        <f>A336+1</f>
        <v>4</v>
      </c>
      <c r="B337" s="116"/>
      <c r="C337" s="85" t="s">
        <v>397</v>
      </c>
      <c r="D337" s="85">
        <f>(44.82)*10.764</f>
        <v>482.44247999999999</v>
      </c>
      <c r="E337" s="85">
        <f>(2.08*1.15+2.7*1.1)*10.764</f>
        <v>57.716567999999995</v>
      </c>
      <c r="F337" s="85">
        <f>D337+E337</f>
        <v>540.15904799999998</v>
      </c>
      <c r="G337" s="85">
        <v>0</v>
      </c>
      <c r="H337" s="85">
        <f>F337*(($H$203)+1)+(IF(G337&lt;101,G337,IF(G337&lt;201,G337/2,IF(G337&lt;=301,G337/3,G337/4))))</f>
        <v>810.23857199999998</v>
      </c>
      <c r="I337" s="36"/>
      <c r="L337" s="98"/>
      <c r="M337" s="98"/>
      <c r="N337" s="36"/>
      <c r="T337" s="21"/>
    </row>
    <row r="338" spans="1:20" s="37" customFormat="1" ht="15.75" customHeight="1" x14ac:dyDescent="0.25">
      <c r="A338" s="115">
        <f t="shared" ref="A338:A341" si="75">A337+1</f>
        <v>5</v>
      </c>
      <c r="B338" s="116"/>
      <c r="C338" s="85" t="s">
        <v>396</v>
      </c>
      <c r="D338" s="85">
        <f>(67.28)*10.764</f>
        <v>724.20191999999997</v>
      </c>
      <c r="E338" s="85">
        <f>(3.1*1.2+1.25*2.08+2.83*1.2)*10.764</f>
        <v>104.58302400000001</v>
      </c>
      <c r="F338" s="85">
        <f t="shared" ref="F338:F341" si="76">D338+E338</f>
        <v>828.784944</v>
      </c>
      <c r="G338" s="85">
        <v>0</v>
      </c>
      <c r="H338" s="85">
        <f t="shared" ref="H338:H341" si="77">F338*(($H$203)+1)+(IF(G338&lt;101,G338,IF(G338&lt;201,G338/2,IF(G338&lt;=301,G338/3,G338/4))))</f>
        <v>1243.177416</v>
      </c>
      <c r="I338" s="36"/>
      <c r="L338" s="98"/>
      <c r="M338" s="98"/>
      <c r="N338" s="36"/>
      <c r="T338" s="21"/>
    </row>
    <row r="339" spans="1:20" s="37" customFormat="1" ht="15.75" customHeight="1" x14ac:dyDescent="0.25">
      <c r="A339" s="115">
        <f t="shared" si="75"/>
        <v>6</v>
      </c>
      <c r="B339" s="116"/>
      <c r="C339" s="85" t="s">
        <v>396</v>
      </c>
      <c r="D339" s="85">
        <f>(69.18)*10.764</f>
        <v>744.65352000000007</v>
      </c>
      <c r="E339" s="85">
        <f>(2.78*1.2+1.35*2.13+2.85*1.2)*10.764</f>
        <v>103.67346599999999</v>
      </c>
      <c r="F339" s="85">
        <f t="shared" si="76"/>
        <v>848.32698600000003</v>
      </c>
      <c r="G339" s="85">
        <v>0</v>
      </c>
      <c r="H339" s="85">
        <f t="shared" si="77"/>
        <v>1272.4904790000001</v>
      </c>
      <c r="I339" s="36"/>
      <c r="L339" s="98"/>
      <c r="M339" s="98"/>
      <c r="N339" s="36"/>
      <c r="T339" s="21"/>
    </row>
    <row r="340" spans="1:20" s="37" customFormat="1" ht="15.75" customHeight="1" x14ac:dyDescent="0.25">
      <c r="A340" s="115">
        <f t="shared" si="75"/>
        <v>7</v>
      </c>
      <c r="B340" s="116"/>
      <c r="C340" s="115" t="s">
        <v>414</v>
      </c>
      <c r="D340" s="118"/>
      <c r="E340" s="118"/>
      <c r="F340" s="118"/>
      <c r="G340" s="118"/>
      <c r="H340" s="116"/>
      <c r="I340" s="36"/>
      <c r="L340" s="98"/>
      <c r="M340" s="98"/>
      <c r="N340" s="36"/>
      <c r="T340" s="21"/>
    </row>
    <row r="341" spans="1:20" s="37" customFormat="1" ht="30.75" customHeight="1" x14ac:dyDescent="0.25">
      <c r="A341" s="115">
        <f t="shared" si="75"/>
        <v>8</v>
      </c>
      <c r="B341" s="116"/>
      <c r="C341" s="85" t="s">
        <v>397</v>
      </c>
      <c r="D341" s="85">
        <f>(44.82)*10.764</f>
        <v>482.44247999999999</v>
      </c>
      <c r="E341" s="85">
        <f>(2.08*1.15+2.7*1.1)*10.764</f>
        <v>57.716567999999995</v>
      </c>
      <c r="F341" s="85">
        <f t="shared" si="76"/>
        <v>540.15904799999998</v>
      </c>
      <c r="G341" s="85">
        <v>0</v>
      </c>
      <c r="H341" s="85">
        <f t="shared" si="77"/>
        <v>810.23857199999998</v>
      </c>
      <c r="I341" s="36"/>
      <c r="L341" s="98"/>
      <c r="M341" s="98"/>
      <c r="N341" s="36"/>
      <c r="T341" s="21"/>
    </row>
    <row r="342" spans="1:20" s="37" customFormat="1" x14ac:dyDescent="0.25">
      <c r="A342" s="119" t="s">
        <v>415</v>
      </c>
      <c r="B342" s="120"/>
      <c r="C342" s="120"/>
      <c r="D342" s="120"/>
      <c r="E342" s="120"/>
      <c r="F342" s="120"/>
      <c r="G342" s="120"/>
      <c r="H342" s="121"/>
      <c r="I342" s="42">
        <v>10.763999999999999</v>
      </c>
      <c r="J342" s="36"/>
    </row>
    <row r="343" spans="1:20" s="37" customFormat="1" x14ac:dyDescent="0.25">
      <c r="A343" s="99" t="s">
        <v>392</v>
      </c>
      <c r="B343" s="100"/>
      <c r="C343" s="100"/>
      <c r="D343" s="100"/>
      <c r="E343" s="100"/>
      <c r="F343" s="100"/>
      <c r="G343" s="100"/>
      <c r="H343" s="101"/>
      <c r="J343" s="36"/>
    </row>
    <row r="344" spans="1:20" s="37" customFormat="1" x14ac:dyDescent="0.25">
      <c r="A344" s="99" t="s">
        <v>393</v>
      </c>
      <c r="B344" s="100"/>
      <c r="C344" s="100"/>
      <c r="D344" s="100"/>
      <c r="E344" s="100"/>
      <c r="F344" s="100"/>
      <c r="G344" s="100"/>
      <c r="H344" s="101"/>
      <c r="J344" s="36"/>
    </row>
    <row r="345" spans="1:20" s="37" customFormat="1" x14ac:dyDescent="0.25">
      <c r="A345" s="99" t="s">
        <v>435</v>
      </c>
      <c r="B345" s="100"/>
      <c r="C345" s="100"/>
      <c r="D345" s="100"/>
      <c r="E345" s="100"/>
      <c r="F345" s="100"/>
      <c r="G345" s="100"/>
      <c r="H345" s="101"/>
      <c r="J345" s="36"/>
    </row>
    <row r="346" spans="1:20" s="37" customFormat="1" ht="15.75" customHeight="1" x14ac:dyDescent="0.25">
      <c r="A346" s="96">
        <v>1</v>
      </c>
      <c r="B346" s="97"/>
      <c r="C346" s="42" t="s">
        <v>396</v>
      </c>
      <c r="D346" s="42">
        <f>(67.13)*10.764</f>
        <v>722.58731999999986</v>
      </c>
      <c r="E346" s="42">
        <f>(3.1*1.2+2.08*1.25+2.83*1.2)*10.764</f>
        <v>104.58302400000001</v>
      </c>
      <c r="F346" s="42">
        <f>D346+E346</f>
        <v>827.17034399999989</v>
      </c>
      <c r="G346" s="42">
        <v>0</v>
      </c>
      <c r="H346" s="42">
        <f>F346*(($H$203)+1)+(IF(G346&lt;101,G346,IF(G346&lt;201,G346/2,IF(G346&lt;=301,G346/3,G346/4))))</f>
        <v>1240.7555159999997</v>
      </c>
      <c r="I346" s="36"/>
      <c r="L346" s="98"/>
      <c r="M346" s="98"/>
      <c r="N346" s="36"/>
    </row>
    <row r="347" spans="1:20" s="37" customFormat="1" ht="15.75" customHeight="1" x14ac:dyDescent="0.25">
      <c r="A347" s="96">
        <f>A346+1</f>
        <v>2</v>
      </c>
      <c r="B347" s="97"/>
      <c r="C347" s="42" t="s">
        <v>396</v>
      </c>
      <c r="D347" s="42">
        <f>(69.46)*10.764</f>
        <v>747.66743999999994</v>
      </c>
      <c r="E347" s="42">
        <f>(1.2*2.78+1.35*2.13+1.2*5.75)*10.764</f>
        <v>141.13218599999999</v>
      </c>
      <c r="F347" s="42">
        <f>D347+E347</f>
        <v>888.79962599999999</v>
      </c>
      <c r="G347" s="42">
        <v>0</v>
      </c>
      <c r="H347" s="42">
        <f>F347*(($H$203)+1)+(IF(G347&lt;101,G347,IF(G347&lt;201,G347/2,IF(G347&lt;=301,G347/3,G347/4))))</f>
        <v>1333.199439</v>
      </c>
      <c r="I347" s="36"/>
      <c r="L347" s="98"/>
      <c r="M347" s="98"/>
      <c r="N347" s="36"/>
    </row>
    <row r="348" spans="1:20" s="37" customFormat="1" ht="15.75" customHeight="1" x14ac:dyDescent="0.25">
      <c r="A348" s="96">
        <f>A347+1</f>
        <v>3</v>
      </c>
      <c r="B348" s="97"/>
      <c r="C348" s="42" t="s">
        <v>433</v>
      </c>
      <c r="D348" s="42">
        <f>(109.76)*10.764</f>
        <v>1181.4566399999999</v>
      </c>
      <c r="E348" s="42">
        <f>(1.43*1.52+1.2*6.2+6.02*1.1)*10.764</f>
        <v>174.75999839999997</v>
      </c>
      <c r="F348" s="42">
        <f>D348+E348</f>
        <v>1356.2166383999997</v>
      </c>
      <c r="G348" s="42">
        <v>0</v>
      </c>
      <c r="H348" s="42">
        <f>F348*(($H$203)+1)+(IF(G348&lt;101,G348,IF(G348&lt;201,G348/2,IF(G348&lt;=301,G348/3,G348/4))))</f>
        <v>2034.3249575999996</v>
      </c>
      <c r="I348" s="36"/>
      <c r="L348" s="98"/>
      <c r="M348" s="98"/>
      <c r="N348" s="36"/>
    </row>
    <row r="349" spans="1:20" s="37" customFormat="1" ht="15.75" customHeight="1" x14ac:dyDescent="0.25">
      <c r="A349" s="96">
        <f>A348+1</f>
        <v>4</v>
      </c>
      <c r="B349" s="97"/>
      <c r="C349" s="102" t="s">
        <v>434</v>
      </c>
      <c r="D349" s="103"/>
      <c r="E349" s="103"/>
      <c r="F349" s="103"/>
      <c r="G349" s="103"/>
      <c r="H349" s="104"/>
      <c r="I349" s="36"/>
      <c r="L349" s="98"/>
      <c r="M349" s="98"/>
      <c r="N349" s="36"/>
      <c r="T349" s="21"/>
    </row>
    <row r="350" spans="1:20" s="37" customFormat="1" ht="15.75" customHeight="1" x14ac:dyDescent="0.25">
      <c r="A350" s="96">
        <f t="shared" ref="A350:A351" si="78">A349+1</f>
        <v>5</v>
      </c>
      <c r="B350" s="97"/>
      <c r="C350" s="112"/>
      <c r="D350" s="113"/>
      <c r="E350" s="113"/>
      <c r="F350" s="113"/>
      <c r="G350" s="113"/>
      <c r="H350" s="114"/>
      <c r="I350" s="36"/>
      <c r="L350" s="98"/>
      <c r="M350" s="98"/>
      <c r="N350" s="36"/>
      <c r="T350" s="21"/>
    </row>
    <row r="351" spans="1:20" s="37" customFormat="1" ht="15.75" customHeight="1" x14ac:dyDescent="0.25">
      <c r="A351" s="96">
        <f t="shared" si="78"/>
        <v>6</v>
      </c>
      <c r="B351" s="97"/>
      <c r="C351" s="105"/>
      <c r="D351" s="106"/>
      <c r="E351" s="106"/>
      <c r="F351" s="106"/>
      <c r="G351" s="106"/>
      <c r="H351" s="107"/>
      <c r="I351" s="36"/>
      <c r="L351" s="98"/>
      <c r="M351" s="98"/>
      <c r="N351" s="36"/>
      <c r="T351" s="21"/>
    </row>
    <row r="352" spans="1:20" s="37" customFormat="1" x14ac:dyDescent="0.25">
      <c r="A352" s="99" t="s">
        <v>116</v>
      </c>
      <c r="B352" s="100"/>
      <c r="C352" s="100"/>
      <c r="D352" s="100"/>
      <c r="E352" s="100"/>
      <c r="F352" s="100"/>
      <c r="G352" s="100"/>
      <c r="H352" s="101"/>
      <c r="J352" s="36"/>
    </row>
    <row r="353" spans="1:20" s="37" customFormat="1" ht="15.75" customHeight="1" x14ac:dyDescent="0.25">
      <c r="A353" s="96">
        <v>1</v>
      </c>
      <c r="B353" s="97"/>
      <c r="C353" s="42" t="s">
        <v>396</v>
      </c>
      <c r="D353" s="42">
        <f>(67.13)*10.764</f>
        <v>722.58731999999986</v>
      </c>
      <c r="E353" s="42">
        <f>(3.1*1.2+2.08*1.25+2.83*1.2)*10.764</f>
        <v>104.58302400000001</v>
      </c>
      <c r="F353" s="42">
        <f>D353+E353</f>
        <v>827.17034399999989</v>
      </c>
      <c r="G353" s="42">
        <v>0</v>
      </c>
      <c r="H353" s="42">
        <f>F353*(($H$203)+1)+(IF(G353&lt;101,G353,IF(G353&lt;201,G353/2,IF(G353&lt;=301,G353/3,G353/4))))</f>
        <v>1240.7555159999997</v>
      </c>
      <c r="I353" s="36"/>
      <c r="L353" s="98"/>
      <c r="M353" s="98"/>
      <c r="N353" s="36"/>
    </row>
    <row r="354" spans="1:20" s="37" customFormat="1" ht="15.75" customHeight="1" x14ac:dyDescent="0.25">
      <c r="A354" s="96">
        <f>A353+1</f>
        <v>2</v>
      </c>
      <c r="B354" s="97"/>
      <c r="C354" s="42" t="s">
        <v>396</v>
      </c>
      <c r="D354" s="42">
        <f>(69.51)*10.764</f>
        <v>748.20564000000002</v>
      </c>
      <c r="E354" s="42">
        <f>(1.2*2.78+1.35*2.13+1.2*5.75)*10.764</f>
        <v>141.13218599999999</v>
      </c>
      <c r="F354" s="42">
        <f>D354+E354</f>
        <v>889.33782599999995</v>
      </c>
      <c r="G354" s="42">
        <v>0</v>
      </c>
      <c r="H354" s="42">
        <f>F354*(($H$203)+1)+(IF(G354&lt;101,G354,IF(G354&lt;201,G354/2,IF(G354&lt;=301,G354/3,G354/4))))</f>
        <v>1334.0067389999999</v>
      </c>
      <c r="I354" s="36"/>
      <c r="L354" s="98"/>
      <c r="M354" s="98"/>
      <c r="N354" s="36"/>
    </row>
    <row r="355" spans="1:20" s="37" customFormat="1" ht="15.75" customHeight="1" x14ac:dyDescent="0.25">
      <c r="A355" s="96">
        <f>A354+1</f>
        <v>3</v>
      </c>
      <c r="B355" s="97"/>
      <c r="C355" s="42" t="s">
        <v>433</v>
      </c>
      <c r="D355" s="42">
        <f>(109.76)*10.764</f>
        <v>1181.4566399999999</v>
      </c>
      <c r="E355" s="42">
        <f>(1.43*1.52+1.2*6.2+6.02*1.1)*10.764</f>
        <v>174.75999839999997</v>
      </c>
      <c r="F355" s="42">
        <f>D355+E355</f>
        <v>1356.2166383999997</v>
      </c>
      <c r="G355" s="42">
        <v>0</v>
      </c>
      <c r="H355" s="42">
        <f>F355*(($H$203)+1)+(IF(G355&lt;101,G355,IF(G355&lt;201,G355/2,IF(G355&lt;=301,G355/3,G355/4))))</f>
        <v>2034.3249575999996</v>
      </c>
      <c r="I355" s="36"/>
      <c r="L355" s="98"/>
      <c r="M355" s="98"/>
      <c r="N355" s="36"/>
    </row>
    <row r="356" spans="1:20" s="37" customFormat="1" ht="15.75" customHeight="1" x14ac:dyDescent="0.25">
      <c r="A356" s="96">
        <f>A355+1</f>
        <v>4</v>
      </c>
      <c r="B356" s="97"/>
      <c r="C356" s="42" t="s">
        <v>396</v>
      </c>
      <c r="D356" s="42">
        <f>(67.13)*10.764</f>
        <v>722.58731999999986</v>
      </c>
      <c r="E356" s="42">
        <f>(3.1*1.2+1.25*2.08+2.83*1.2)*10.764</f>
        <v>104.58302400000001</v>
      </c>
      <c r="F356" s="42">
        <f>D356+E356</f>
        <v>827.17034399999989</v>
      </c>
      <c r="G356" s="42">
        <v>0</v>
      </c>
      <c r="H356" s="42">
        <f>F356*(($H$203)+1)+(IF(G356&lt;101,G356,IF(G356&lt;201,G356/2,IF(G356&lt;=301,G356/3,G356/4))))</f>
        <v>1240.7555159999997</v>
      </c>
      <c r="I356" s="36"/>
      <c r="L356" s="98"/>
      <c r="M356" s="98"/>
      <c r="N356" s="36"/>
      <c r="T356" s="21"/>
    </row>
    <row r="357" spans="1:20" s="37" customFormat="1" ht="15.75" customHeight="1" x14ac:dyDescent="0.25">
      <c r="A357" s="96">
        <f t="shared" ref="A357:A358" si="79">A356+1</f>
        <v>5</v>
      </c>
      <c r="B357" s="97"/>
      <c r="C357" s="42" t="s">
        <v>396</v>
      </c>
      <c r="D357" s="42">
        <f>(69.47)*10.764</f>
        <v>747.77507999999989</v>
      </c>
      <c r="E357" s="42">
        <f>(2.78*1.2+1.35*2.13+5.75*1.2)*10.764</f>
        <v>141.13218599999999</v>
      </c>
      <c r="F357" s="42">
        <f t="shared" ref="F357:F358" si="80">D357+E357</f>
        <v>888.90726599999994</v>
      </c>
      <c r="G357" s="42">
        <v>0</v>
      </c>
      <c r="H357" s="42">
        <f t="shared" ref="H357:H358" si="81">F357*(($H$203)+1)+(IF(G357&lt;101,G357,IF(G357&lt;201,G357/2,IF(G357&lt;=301,G357/3,G357/4))))</f>
        <v>1333.3608989999998</v>
      </c>
      <c r="I357" s="36"/>
      <c r="L357" s="98"/>
      <c r="M357" s="98"/>
      <c r="N357" s="36"/>
      <c r="T357" s="21"/>
    </row>
    <row r="358" spans="1:20" s="37" customFormat="1" ht="15.75" customHeight="1" x14ac:dyDescent="0.25">
      <c r="A358" s="96">
        <f t="shared" si="79"/>
        <v>6</v>
      </c>
      <c r="B358" s="97"/>
      <c r="C358" s="42" t="s">
        <v>433</v>
      </c>
      <c r="D358" s="42">
        <f>(109.76)*10.764</f>
        <v>1181.4566399999999</v>
      </c>
      <c r="E358" s="42">
        <f>(1.43*1.52+1.2*6.2+6.02*1.1)*10.764</f>
        <v>174.75999839999997</v>
      </c>
      <c r="F358" s="42">
        <f t="shared" si="80"/>
        <v>1356.2166383999997</v>
      </c>
      <c r="G358" s="42">
        <v>0</v>
      </c>
      <c r="H358" s="42">
        <f t="shared" si="81"/>
        <v>2034.3249575999996</v>
      </c>
      <c r="I358" s="36"/>
      <c r="L358" s="98"/>
      <c r="M358" s="98"/>
      <c r="N358" s="36"/>
      <c r="T358" s="21"/>
    </row>
    <row r="359" spans="1:20" s="37" customFormat="1" x14ac:dyDescent="0.25">
      <c r="A359" s="108" t="s">
        <v>398</v>
      </c>
      <c r="B359" s="108"/>
      <c r="C359" s="108"/>
      <c r="D359" s="108"/>
      <c r="E359" s="108"/>
      <c r="F359" s="108"/>
      <c r="G359" s="108"/>
      <c r="H359" s="108"/>
      <c r="J359" s="36"/>
    </row>
    <row r="360" spans="1:20" s="37" customFormat="1" ht="15.75" customHeight="1" x14ac:dyDescent="0.25">
      <c r="A360" s="109">
        <v>1</v>
      </c>
      <c r="B360" s="109"/>
      <c r="C360" s="42" t="s">
        <v>400</v>
      </c>
      <c r="D360" s="42">
        <f>(78.12)*10.764</f>
        <v>840.88368000000003</v>
      </c>
      <c r="E360" s="42">
        <f>(3.1*1.2+2.08*1.25+2.83*1.2+2.78*1.2)*10.764</f>
        <v>140.49172799999999</v>
      </c>
      <c r="F360" s="42">
        <f>D360+E360</f>
        <v>981.37540799999999</v>
      </c>
      <c r="G360" s="42">
        <v>0</v>
      </c>
      <c r="H360" s="42">
        <f>F360*(($H$203)+1)+(IF(G360&lt;101,G360,IF(G360&lt;201,G360/2,IF(G360&lt;=301,G360/3,G360/4))))</f>
        <v>1472.063112</v>
      </c>
      <c r="I360" s="36"/>
      <c r="L360" s="98"/>
      <c r="M360" s="98"/>
      <c r="N360" s="36"/>
    </row>
    <row r="361" spans="1:20" s="37" customFormat="1" ht="15.75" customHeight="1" x14ac:dyDescent="0.25">
      <c r="A361" s="109">
        <f>A360+1</f>
        <v>2</v>
      </c>
      <c r="B361" s="109"/>
      <c r="C361" s="109" t="s">
        <v>399</v>
      </c>
      <c r="D361" s="109"/>
      <c r="E361" s="109"/>
      <c r="F361" s="109"/>
      <c r="G361" s="109"/>
      <c r="H361" s="109"/>
      <c r="I361" s="36"/>
      <c r="L361" s="98"/>
      <c r="M361" s="98"/>
      <c r="N361" s="36"/>
    </row>
    <row r="362" spans="1:20" s="37" customFormat="1" ht="28.5" customHeight="1" x14ac:dyDescent="0.25">
      <c r="A362" s="109">
        <f>A361+1</f>
        <v>3</v>
      </c>
      <c r="B362" s="109"/>
      <c r="C362" s="85" t="s">
        <v>397</v>
      </c>
      <c r="D362" s="42">
        <f>(43.85)*10.764</f>
        <v>472.00139999999999</v>
      </c>
      <c r="E362" s="42">
        <v>0</v>
      </c>
      <c r="F362" s="42">
        <f>D362+E362</f>
        <v>472.00139999999999</v>
      </c>
      <c r="G362" s="42">
        <v>0</v>
      </c>
      <c r="H362" s="42">
        <f>F362*(($H$203)+1)+(IF(G362&lt;101,G362,IF(G362&lt;201,G362/2,IF(G362&lt;=301,G362/3,G362/4))))</f>
        <v>708.00209999999993</v>
      </c>
      <c r="I362" s="36"/>
      <c r="L362" s="98"/>
      <c r="M362" s="98"/>
      <c r="N362" s="36"/>
    </row>
    <row r="363" spans="1:20" s="37" customFormat="1" ht="15.75" customHeight="1" x14ac:dyDescent="0.25">
      <c r="A363" s="109">
        <f>A362+1</f>
        <v>4</v>
      </c>
      <c r="B363" s="109"/>
      <c r="C363" s="42" t="s">
        <v>396</v>
      </c>
      <c r="D363" s="42">
        <f>(67.13)*10.764</f>
        <v>722.58731999999986</v>
      </c>
      <c r="E363" s="42">
        <f>(3.1*1.2+1.25*2.08+2.83*1.2)*10.764</f>
        <v>104.58302400000001</v>
      </c>
      <c r="F363" s="42">
        <f>D363+E363</f>
        <v>827.17034399999989</v>
      </c>
      <c r="G363" s="42">
        <v>0</v>
      </c>
      <c r="H363" s="42">
        <f>F363*(($H$203)+1)+(IF(G363&lt;101,G363,IF(G363&lt;201,G363/2,IF(G363&lt;=301,G363/3,G363/4))))</f>
        <v>1240.7555159999997</v>
      </c>
      <c r="I363" s="36"/>
      <c r="L363" s="98"/>
      <c r="M363" s="98"/>
      <c r="N363" s="36"/>
      <c r="T363" s="21"/>
    </row>
    <row r="364" spans="1:20" s="37" customFormat="1" ht="15.75" customHeight="1" x14ac:dyDescent="0.25">
      <c r="A364" s="109">
        <f t="shared" ref="A364:A365" si="82">A363+1</f>
        <v>5</v>
      </c>
      <c r="B364" s="109"/>
      <c r="C364" s="42" t="s">
        <v>396</v>
      </c>
      <c r="D364" s="42">
        <f>(69.47)*10.764</f>
        <v>747.77507999999989</v>
      </c>
      <c r="E364" s="42">
        <f>(2.78*1.2+1.35*2.13+5.75*1.2)*10.764</f>
        <v>141.13218599999999</v>
      </c>
      <c r="F364" s="42">
        <f t="shared" ref="F364:F365" si="83">D364+E364</f>
        <v>888.90726599999994</v>
      </c>
      <c r="G364" s="42">
        <v>0</v>
      </c>
      <c r="H364" s="42">
        <f t="shared" ref="H364:H365" si="84">F364*(($H$203)+1)+(IF(G364&lt;101,G364,IF(G364&lt;201,G364/2,IF(G364&lt;=301,G364/3,G364/4))))</f>
        <v>1333.3608989999998</v>
      </c>
      <c r="I364" s="36"/>
      <c r="L364" s="98"/>
      <c r="M364" s="98"/>
      <c r="N364" s="36"/>
      <c r="T364" s="21"/>
    </row>
    <row r="365" spans="1:20" s="37" customFormat="1" ht="15.75" customHeight="1" x14ac:dyDescent="0.25">
      <c r="A365" s="109">
        <f t="shared" si="82"/>
        <v>6</v>
      </c>
      <c r="B365" s="109"/>
      <c r="C365" s="42" t="s">
        <v>433</v>
      </c>
      <c r="D365" s="42">
        <f>(109.76)*10.764</f>
        <v>1181.4566399999999</v>
      </c>
      <c r="E365" s="42">
        <f>(1.43*1.52+1.2*6.2)*10.764</f>
        <v>103.48079039999999</v>
      </c>
      <c r="F365" s="42">
        <f t="shared" si="83"/>
        <v>1284.9374303999998</v>
      </c>
      <c r="G365" s="42">
        <v>0</v>
      </c>
      <c r="H365" s="42">
        <f t="shared" si="84"/>
        <v>1927.4061455999997</v>
      </c>
      <c r="I365" s="36"/>
      <c r="L365" s="98"/>
      <c r="M365" s="98"/>
      <c r="N365" s="36"/>
      <c r="T365" s="21"/>
    </row>
    <row r="366" spans="1:20" s="37" customFormat="1" x14ac:dyDescent="0.25">
      <c r="A366" s="108" t="s">
        <v>401</v>
      </c>
      <c r="B366" s="108"/>
      <c r="C366" s="108"/>
      <c r="D366" s="108"/>
      <c r="E366" s="108"/>
      <c r="F366" s="108"/>
      <c r="G366" s="108"/>
      <c r="H366" s="108"/>
      <c r="J366" s="36"/>
    </row>
    <row r="367" spans="1:20" s="37" customFormat="1" ht="15.75" customHeight="1" x14ac:dyDescent="0.25">
      <c r="A367" s="109">
        <v>1</v>
      </c>
      <c r="B367" s="109"/>
      <c r="C367" s="42" t="s">
        <v>396</v>
      </c>
      <c r="D367" s="42">
        <f>(67.13)*10.764</f>
        <v>722.58731999999986</v>
      </c>
      <c r="E367" s="42">
        <f>(3.1*1.2+2.08*1.25+2.83*1.2)*10.764</f>
        <v>104.58302400000001</v>
      </c>
      <c r="F367" s="42">
        <f>D367+E367</f>
        <v>827.17034399999989</v>
      </c>
      <c r="G367" s="42">
        <v>0</v>
      </c>
      <c r="H367" s="42">
        <f>F367*(($H$203)+1)+(IF(G367&lt;101,G367,IF(G367&lt;201,G367/2,IF(G367&lt;=301,G367/3,G367/4))))</f>
        <v>1240.7555159999997</v>
      </c>
      <c r="I367" s="36"/>
      <c r="L367" s="98"/>
      <c r="M367" s="98"/>
      <c r="N367" s="36"/>
    </row>
    <row r="368" spans="1:20" s="37" customFormat="1" ht="15.75" customHeight="1" x14ac:dyDescent="0.25">
      <c r="A368" s="96">
        <f>A367+1</f>
        <v>2</v>
      </c>
      <c r="B368" s="97"/>
      <c r="C368" s="42" t="s">
        <v>396</v>
      </c>
      <c r="D368" s="42">
        <f>(69.51)*10.764</f>
        <v>748.20564000000002</v>
      </c>
      <c r="E368" s="42">
        <f>(1.2*2.78+1.35*2.13+1.2*5.75)*10.764</f>
        <v>141.13218599999999</v>
      </c>
      <c r="F368" s="42">
        <f>D368+E368</f>
        <v>889.33782599999995</v>
      </c>
      <c r="G368" s="42">
        <v>0</v>
      </c>
      <c r="H368" s="42">
        <f>F368*(($H$203)+1)+(IF(G368&lt;101,G368,IF(G368&lt;201,G368/2,IF(G368&lt;=301,G368/3,G368/4))))</f>
        <v>1334.0067389999999</v>
      </c>
      <c r="I368" s="36"/>
      <c r="L368" s="98"/>
      <c r="M368" s="98"/>
      <c r="N368" s="36"/>
    </row>
    <row r="369" spans="1:20" s="37" customFormat="1" ht="15.75" customHeight="1" x14ac:dyDescent="0.25">
      <c r="A369" s="96">
        <f>A368+1</f>
        <v>3</v>
      </c>
      <c r="B369" s="97"/>
      <c r="C369" s="42" t="s">
        <v>433</v>
      </c>
      <c r="D369" s="42">
        <f>(108.75)*10.764</f>
        <v>1170.585</v>
      </c>
      <c r="E369" s="42">
        <f>(1.43*1.52+1.2*6.2)*10.764</f>
        <v>103.48079039999999</v>
      </c>
      <c r="F369" s="42">
        <f>D369+E369</f>
        <v>1274.0657904</v>
      </c>
      <c r="G369" s="42">
        <v>0</v>
      </c>
      <c r="H369" s="42">
        <f>F369*(($H$203)+1)+(IF(G369&lt;101,G369,IF(G369&lt;201,G369/2,IF(G369&lt;=301,G369/3,G369/4))))</f>
        <v>1911.0986856</v>
      </c>
      <c r="I369" s="36"/>
      <c r="L369" s="98"/>
      <c r="M369" s="98"/>
      <c r="N369" s="36"/>
    </row>
    <row r="370" spans="1:20" s="37" customFormat="1" ht="15.75" customHeight="1" x14ac:dyDescent="0.25">
      <c r="A370" s="96">
        <f>A369+1</f>
        <v>4</v>
      </c>
      <c r="B370" s="97"/>
      <c r="C370" s="42" t="s">
        <v>396</v>
      </c>
      <c r="D370" s="42">
        <f>(66.2)*10.764</f>
        <v>712.57679999999993</v>
      </c>
      <c r="E370" s="42">
        <f>(1.25*2.08)*10.764</f>
        <v>27.9864</v>
      </c>
      <c r="F370" s="42">
        <f>D370+E370</f>
        <v>740.56319999999994</v>
      </c>
      <c r="G370" s="42">
        <v>0</v>
      </c>
      <c r="H370" s="42">
        <f>F370*(($H$203)+1)+(IF(G370&lt;101,G370,IF(G370&lt;201,G370/2,IF(G370&lt;=301,G370/3,G370/4))))</f>
        <v>1110.8447999999999</v>
      </c>
      <c r="I370" s="36"/>
      <c r="L370" s="98"/>
      <c r="M370" s="98"/>
      <c r="N370" s="36"/>
      <c r="T370" s="21"/>
    </row>
    <row r="371" spans="1:20" s="37" customFormat="1" ht="15.75" customHeight="1" x14ac:dyDescent="0.25">
      <c r="A371" s="96">
        <f t="shared" ref="A371:A372" si="85">A370+1</f>
        <v>5</v>
      </c>
      <c r="B371" s="97"/>
      <c r="C371" s="42" t="s">
        <v>396</v>
      </c>
      <c r="D371" s="42">
        <f>(68.09)*10.764</f>
        <v>732.92075999999997</v>
      </c>
      <c r="E371" s="42">
        <f>(1.35*2.13)*10.764</f>
        <v>30.951882000000001</v>
      </c>
      <c r="F371" s="42">
        <f t="shared" ref="F371:F372" si="86">D371+E371</f>
        <v>763.87264199999993</v>
      </c>
      <c r="G371" s="42">
        <v>0</v>
      </c>
      <c r="H371" s="42">
        <f t="shared" ref="H371:H372" si="87">F371*(($H$203)+1)+(IF(G371&lt;101,G371,IF(G371&lt;201,G371/2,IF(G371&lt;=301,G371/3,G371/4))))</f>
        <v>1145.8089629999999</v>
      </c>
      <c r="I371" s="36"/>
      <c r="L371" s="98"/>
      <c r="M371" s="98"/>
      <c r="N371" s="36"/>
      <c r="T371" s="21"/>
    </row>
    <row r="372" spans="1:20" s="37" customFormat="1" ht="15.75" customHeight="1" x14ac:dyDescent="0.25">
      <c r="A372" s="96">
        <f t="shared" si="85"/>
        <v>6</v>
      </c>
      <c r="B372" s="97"/>
      <c r="C372" s="42" t="s">
        <v>433</v>
      </c>
      <c r="D372" s="42">
        <f>(107.63)*10.764</f>
        <v>1158.5293199999999</v>
      </c>
      <c r="E372" s="42">
        <f>(1.43*1.52)*10.764</f>
        <v>23.396630399999999</v>
      </c>
      <c r="F372" s="42">
        <f t="shared" si="86"/>
        <v>1181.9259503999999</v>
      </c>
      <c r="G372" s="42">
        <v>0</v>
      </c>
      <c r="H372" s="42">
        <f t="shared" si="87"/>
        <v>1772.8889255999998</v>
      </c>
      <c r="I372" s="36"/>
      <c r="L372" s="98"/>
      <c r="M372" s="98"/>
      <c r="N372" s="36"/>
      <c r="T372" s="21"/>
    </row>
    <row r="373" spans="1:20" s="37" customFormat="1" x14ac:dyDescent="0.25">
      <c r="A373" s="99" t="s">
        <v>402</v>
      </c>
      <c r="B373" s="100"/>
      <c r="C373" s="100"/>
      <c r="D373" s="100"/>
      <c r="E373" s="100"/>
      <c r="F373" s="100"/>
      <c r="G373" s="100"/>
      <c r="H373" s="101"/>
      <c r="J373" s="36"/>
    </row>
    <row r="374" spans="1:20" s="37" customFormat="1" ht="15.75" customHeight="1" x14ac:dyDescent="0.25">
      <c r="A374" s="96">
        <v>1</v>
      </c>
      <c r="B374" s="97"/>
      <c r="C374" s="42" t="s">
        <v>396</v>
      </c>
      <c r="D374" s="42">
        <f>(66.14)*10.764</f>
        <v>711.93095999999991</v>
      </c>
      <c r="E374" s="42">
        <f>(2.08*1.25)*10.764</f>
        <v>27.9864</v>
      </c>
      <c r="F374" s="42">
        <f>D374+E374</f>
        <v>739.91735999999992</v>
      </c>
      <c r="G374" s="42">
        <v>0</v>
      </c>
      <c r="H374" s="42">
        <f>F374*(($H$203)+1)+(IF(G374&lt;101,G374,IF(G374&lt;201,G374/2,IF(G374&lt;=301,G374/3,G374/4))))</f>
        <v>1109.8760399999999</v>
      </c>
      <c r="I374" s="36"/>
      <c r="L374" s="98"/>
      <c r="M374" s="98"/>
      <c r="N374" s="36"/>
    </row>
    <row r="375" spans="1:20" s="37" customFormat="1" ht="15.75" customHeight="1" x14ac:dyDescent="0.25">
      <c r="A375" s="96">
        <f>A374+1</f>
        <v>2</v>
      </c>
      <c r="B375" s="97"/>
      <c r="C375" s="42" t="s">
        <v>396</v>
      </c>
      <c r="D375" s="42">
        <f>(68.07)*10.764</f>
        <v>732.70547999999985</v>
      </c>
      <c r="E375" s="42">
        <f>(1.35*2.13)*10.764</f>
        <v>30.951882000000001</v>
      </c>
      <c r="F375" s="42">
        <f>D375+E375</f>
        <v>763.65736199999981</v>
      </c>
      <c r="G375" s="42">
        <v>0</v>
      </c>
      <c r="H375" s="42">
        <f>F375*(($H$203)+1)+(IF(G375&lt;101,G375,IF(G375&lt;201,G375/2,IF(G375&lt;=301,G375/3,G375/4))))</f>
        <v>1145.4860429999997</v>
      </c>
      <c r="I375" s="36"/>
      <c r="L375" s="98"/>
      <c r="M375" s="98"/>
      <c r="N375" s="36"/>
    </row>
    <row r="376" spans="1:20" s="37" customFormat="1" ht="15.75" customHeight="1" x14ac:dyDescent="0.25">
      <c r="A376" s="96">
        <f>A375+1</f>
        <v>3</v>
      </c>
      <c r="B376" s="97"/>
      <c r="C376" s="42" t="s">
        <v>433</v>
      </c>
      <c r="D376" s="42">
        <f>(107.63)*10.764</f>
        <v>1158.5293199999999</v>
      </c>
      <c r="E376" s="42">
        <f>(1.43*1.52)*10.764</f>
        <v>23.396630399999999</v>
      </c>
      <c r="F376" s="42">
        <f>D376+E376</f>
        <v>1181.9259503999999</v>
      </c>
      <c r="G376" s="42">
        <v>0</v>
      </c>
      <c r="H376" s="42">
        <f>F376*(($H$203)+1)+(IF(G376&lt;101,G376,IF(G376&lt;201,G376/2,IF(G376&lt;=301,G376/3,G376/4))))</f>
        <v>1772.8889255999998</v>
      </c>
      <c r="I376" s="36"/>
      <c r="L376" s="98"/>
      <c r="M376" s="98"/>
      <c r="N376" s="36"/>
    </row>
    <row r="377" spans="1:20" s="37" customFormat="1" ht="15.75" customHeight="1" x14ac:dyDescent="0.25">
      <c r="A377" s="96">
        <f>A376+1</f>
        <v>4</v>
      </c>
      <c r="B377" s="97"/>
      <c r="C377" s="42" t="s">
        <v>396</v>
      </c>
      <c r="D377" s="42">
        <f>(66.2)*10.764</f>
        <v>712.57679999999993</v>
      </c>
      <c r="E377" s="42">
        <f>(1.25*2.08)*10.764</f>
        <v>27.9864</v>
      </c>
      <c r="F377" s="42">
        <f>D377+E377</f>
        <v>740.56319999999994</v>
      </c>
      <c r="G377" s="42">
        <v>0</v>
      </c>
      <c r="H377" s="42">
        <f>F377*(($H$203)+1)+(IF(G377&lt;101,G377,IF(G377&lt;201,G377/2,IF(G377&lt;=301,G377/3,G377/4))))</f>
        <v>1110.8447999999999</v>
      </c>
      <c r="I377" s="36"/>
      <c r="L377" s="98"/>
      <c r="M377" s="98"/>
      <c r="N377" s="36"/>
      <c r="T377" s="21"/>
    </row>
    <row r="378" spans="1:20" s="37" customFormat="1" ht="15.75" customHeight="1" x14ac:dyDescent="0.25">
      <c r="A378" s="96">
        <f t="shared" ref="A378:A379" si="88">A377+1</f>
        <v>5</v>
      </c>
      <c r="B378" s="97"/>
      <c r="C378" s="42" t="s">
        <v>396</v>
      </c>
      <c r="D378" s="42">
        <f>(68.09)*10.764</f>
        <v>732.92075999999997</v>
      </c>
      <c r="E378" s="42">
        <f>(1.35*2.13)*10.764</f>
        <v>30.951882000000001</v>
      </c>
      <c r="F378" s="42">
        <f t="shared" ref="F378:F379" si="89">D378+E378</f>
        <v>763.87264199999993</v>
      </c>
      <c r="G378" s="42">
        <v>0</v>
      </c>
      <c r="H378" s="42">
        <f t="shared" ref="H378:H379" si="90">F378*(($H$203)+1)+(IF(G378&lt;101,G378,IF(G378&lt;201,G378/2,IF(G378&lt;=301,G378/3,G378/4))))</f>
        <v>1145.8089629999999</v>
      </c>
      <c r="I378" s="36"/>
      <c r="L378" s="98"/>
      <c r="M378" s="98"/>
      <c r="N378" s="36"/>
      <c r="T378" s="21"/>
    </row>
    <row r="379" spans="1:20" s="37" customFormat="1" ht="15.75" customHeight="1" x14ac:dyDescent="0.25">
      <c r="A379" s="96">
        <f t="shared" si="88"/>
        <v>6</v>
      </c>
      <c r="B379" s="97"/>
      <c r="C379" s="42" t="s">
        <v>433</v>
      </c>
      <c r="D379" s="42">
        <f>(107.63)*10.764</f>
        <v>1158.5293199999999</v>
      </c>
      <c r="E379" s="42">
        <f>(1.43*1.52)*10.764</f>
        <v>23.396630399999999</v>
      </c>
      <c r="F379" s="42">
        <f t="shared" si="89"/>
        <v>1181.9259503999999</v>
      </c>
      <c r="G379" s="42">
        <v>0</v>
      </c>
      <c r="H379" s="42">
        <f t="shared" si="90"/>
        <v>1772.8889255999998</v>
      </c>
      <c r="I379" s="36"/>
      <c r="L379" s="98"/>
      <c r="M379" s="98"/>
      <c r="N379" s="36"/>
      <c r="T379" s="21"/>
    </row>
    <row r="380" spans="1:20" s="37" customFormat="1" x14ac:dyDescent="0.25">
      <c r="A380" s="99" t="s">
        <v>403</v>
      </c>
      <c r="B380" s="100"/>
      <c r="C380" s="100"/>
      <c r="D380" s="100"/>
      <c r="E380" s="100"/>
      <c r="F380" s="100"/>
      <c r="G380" s="100"/>
      <c r="H380" s="101"/>
      <c r="J380" s="36"/>
    </row>
    <row r="381" spans="1:20" s="37" customFormat="1" ht="15.75" customHeight="1" x14ac:dyDescent="0.25">
      <c r="A381" s="96">
        <v>1</v>
      </c>
      <c r="B381" s="97"/>
      <c r="C381" s="42" t="s">
        <v>396</v>
      </c>
      <c r="D381" s="42">
        <f>(66.14)*10.764</f>
        <v>711.93095999999991</v>
      </c>
      <c r="E381" s="42">
        <f>(2.08*1.25)*10.764</f>
        <v>27.9864</v>
      </c>
      <c r="F381" s="42">
        <f>D381+E381</f>
        <v>739.91735999999992</v>
      </c>
      <c r="G381" s="42">
        <v>0</v>
      </c>
      <c r="H381" s="42">
        <f>F381*(($H$203)+1)+(IF(G381&lt;101,G381,IF(G381&lt;201,G381/2,IF(G381&lt;=301,G381/3,G381/4))))</f>
        <v>1109.8760399999999</v>
      </c>
      <c r="I381" s="36"/>
      <c r="L381" s="98"/>
      <c r="M381" s="98"/>
      <c r="N381" s="36"/>
    </row>
    <row r="382" spans="1:20" s="37" customFormat="1" ht="15.75" customHeight="1" x14ac:dyDescent="0.25">
      <c r="A382" s="96">
        <f>A381+1</f>
        <v>2</v>
      </c>
      <c r="B382" s="97"/>
      <c r="C382" s="42" t="s">
        <v>396</v>
      </c>
      <c r="D382" s="42">
        <f>(68.07)*10.764</f>
        <v>732.70547999999985</v>
      </c>
      <c r="E382" s="42">
        <f>(1.35*2.13)*10.764</f>
        <v>30.951882000000001</v>
      </c>
      <c r="F382" s="42">
        <f>D382+E382</f>
        <v>763.65736199999981</v>
      </c>
      <c r="G382" s="42">
        <v>0</v>
      </c>
      <c r="H382" s="42">
        <f>F382*(($H$203)+1)+(IF(G382&lt;101,G382,IF(G382&lt;201,G382/2,IF(G382&lt;=301,G382/3,G382/4))))</f>
        <v>1145.4860429999997</v>
      </c>
      <c r="I382" s="36"/>
      <c r="L382" s="98"/>
      <c r="M382" s="98"/>
      <c r="N382" s="36"/>
    </row>
    <row r="383" spans="1:20" s="37" customFormat="1" ht="15.75" customHeight="1" x14ac:dyDescent="0.25">
      <c r="A383" s="96">
        <f>A382+1</f>
        <v>3</v>
      </c>
      <c r="B383" s="97"/>
      <c r="C383" s="42" t="s">
        <v>416</v>
      </c>
      <c r="D383" s="42">
        <f>(107.63)*10.764</f>
        <v>1158.5293199999999</v>
      </c>
      <c r="E383" s="42">
        <f>(1.43*1.52)*10.764</f>
        <v>23.396630399999999</v>
      </c>
      <c r="F383" s="42">
        <f>D383+E383</f>
        <v>1181.9259503999999</v>
      </c>
      <c r="G383" s="42">
        <v>0</v>
      </c>
      <c r="H383" s="42">
        <f>F383*(($H$203)+1)+(IF(G383&lt;101,G383,IF(G383&lt;201,G383/2,IF(G383&lt;=301,G383/3,G383/4))))</f>
        <v>1772.8889255999998</v>
      </c>
      <c r="I383" s="36"/>
      <c r="L383" s="98"/>
      <c r="M383" s="98"/>
      <c r="N383" s="36"/>
    </row>
    <row r="384" spans="1:20" s="37" customFormat="1" ht="15.75" customHeight="1" x14ac:dyDescent="0.25">
      <c r="A384" s="96">
        <f>A383+1</f>
        <v>4</v>
      </c>
      <c r="B384" s="97"/>
      <c r="C384" s="42" t="s">
        <v>396</v>
      </c>
      <c r="D384" s="42">
        <f>(66.2)*10.764</f>
        <v>712.57679999999993</v>
      </c>
      <c r="E384" s="42">
        <f>(1.25*2.08)*10.764</f>
        <v>27.9864</v>
      </c>
      <c r="F384" s="42">
        <f>D384+E384</f>
        <v>740.56319999999994</v>
      </c>
      <c r="G384" s="42">
        <v>0</v>
      </c>
      <c r="H384" s="42">
        <f>F384*(($H$203)+1)+(IF(G384&lt;101,G384,IF(G384&lt;201,G384/2,IF(G384&lt;=301,G384/3,G384/4))))</f>
        <v>1110.8447999999999</v>
      </c>
      <c r="I384" s="36"/>
      <c r="L384" s="98"/>
      <c r="M384" s="98"/>
      <c r="N384" s="36"/>
      <c r="T384" s="21"/>
    </row>
    <row r="385" spans="1:20" s="37" customFormat="1" ht="15.75" customHeight="1" x14ac:dyDescent="0.25">
      <c r="A385" s="96">
        <f t="shared" ref="A385:A386" si="91">A384+1</f>
        <v>5</v>
      </c>
      <c r="B385" s="97"/>
      <c r="C385" s="42" t="s">
        <v>396</v>
      </c>
      <c r="D385" s="42">
        <f>(68.09)*10.764</f>
        <v>732.92075999999997</v>
      </c>
      <c r="E385" s="42">
        <f>(1.35*2.13)*10.764</f>
        <v>30.951882000000001</v>
      </c>
      <c r="F385" s="42">
        <f t="shared" ref="F385:F386" si="92">D385+E385</f>
        <v>763.87264199999993</v>
      </c>
      <c r="G385" s="42">
        <v>0</v>
      </c>
      <c r="H385" s="42">
        <f t="shared" ref="H385:H386" si="93">F385*(($H$203)+1)+(IF(G385&lt;101,G385,IF(G385&lt;201,G385/2,IF(G385&lt;=301,G385/3,G385/4))))</f>
        <v>1145.8089629999999</v>
      </c>
      <c r="I385" s="36"/>
      <c r="L385" s="98"/>
      <c r="M385" s="98"/>
      <c r="N385" s="36"/>
      <c r="T385" s="21"/>
    </row>
    <row r="386" spans="1:20" s="37" customFormat="1" ht="15.75" customHeight="1" x14ac:dyDescent="0.25">
      <c r="A386" s="96">
        <f t="shared" si="91"/>
        <v>6</v>
      </c>
      <c r="B386" s="97"/>
      <c r="C386" s="42" t="s">
        <v>416</v>
      </c>
      <c r="D386" s="42">
        <f>(107.63)*10.764</f>
        <v>1158.5293199999999</v>
      </c>
      <c r="E386" s="42">
        <f>(1.43*1.52)*10.764</f>
        <v>23.396630399999999</v>
      </c>
      <c r="F386" s="42">
        <f t="shared" si="92"/>
        <v>1181.9259503999999</v>
      </c>
      <c r="G386" s="42">
        <v>0</v>
      </c>
      <c r="H386" s="42">
        <f t="shared" si="93"/>
        <v>1772.8889255999998</v>
      </c>
      <c r="I386" s="36"/>
      <c r="L386" s="98"/>
      <c r="M386" s="98"/>
      <c r="N386" s="36"/>
      <c r="T386" s="21"/>
    </row>
    <row r="387" spans="1:20" s="37" customFormat="1" x14ac:dyDescent="0.25">
      <c r="A387" s="99" t="s">
        <v>408</v>
      </c>
      <c r="B387" s="100"/>
      <c r="C387" s="100"/>
      <c r="D387" s="100"/>
      <c r="E387" s="100"/>
      <c r="F387" s="100"/>
      <c r="G387" s="100"/>
      <c r="H387" s="101"/>
      <c r="J387" s="36"/>
    </row>
    <row r="388" spans="1:20" s="37" customFormat="1" ht="15.75" customHeight="1" x14ac:dyDescent="0.25">
      <c r="A388" s="96">
        <v>1</v>
      </c>
      <c r="B388" s="97"/>
      <c r="C388" s="42" t="s">
        <v>396</v>
      </c>
      <c r="D388" s="42">
        <f>(67.13)*10.764</f>
        <v>722.58731999999986</v>
      </c>
      <c r="E388" s="42">
        <f>(3.1*1.2+2.08*1.25+2.83*1.2)*10.764</f>
        <v>104.58302400000001</v>
      </c>
      <c r="F388" s="42">
        <f>D388+E388</f>
        <v>827.17034399999989</v>
      </c>
      <c r="G388" s="42">
        <v>0</v>
      </c>
      <c r="H388" s="42">
        <f>F388*(($H$203)+1)+(IF(G388&lt;101,G388,IF(G388&lt;201,G388/2,IF(G388&lt;=301,G388/3,G388/4))))</f>
        <v>1240.7555159999997</v>
      </c>
      <c r="I388" s="36"/>
      <c r="L388" s="98"/>
      <c r="M388" s="98"/>
      <c r="N388" s="36"/>
    </row>
    <row r="389" spans="1:20" s="37" customFormat="1" ht="15.75" customHeight="1" x14ac:dyDescent="0.25">
      <c r="A389" s="96">
        <f>A388+1</f>
        <v>2</v>
      </c>
      <c r="B389" s="97"/>
      <c r="C389" s="96" t="s">
        <v>399</v>
      </c>
      <c r="D389" s="111"/>
      <c r="E389" s="111"/>
      <c r="F389" s="111"/>
      <c r="G389" s="111"/>
      <c r="H389" s="97"/>
      <c r="I389" s="36"/>
      <c r="L389" s="98"/>
      <c r="M389" s="98"/>
      <c r="N389" s="36"/>
    </row>
    <row r="390" spans="1:20" s="37" customFormat="1" ht="31.5" customHeight="1" x14ac:dyDescent="0.25">
      <c r="A390" s="96">
        <f>A389+1</f>
        <v>3</v>
      </c>
      <c r="B390" s="97"/>
      <c r="C390" s="85" t="s">
        <v>397</v>
      </c>
      <c r="D390" s="42">
        <f>(44.32)*10.764</f>
        <v>477.06047999999998</v>
      </c>
      <c r="E390" s="42">
        <f>(2.7*1.1)*10.764</f>
        <v>31.969080000000005</v>
      </c>
      <c r="F390" s="42">
        <f>D390+E390</f>
        <v>509.02956</v>
      </c>
      <c r="G390" s="42">
        <v>0</v>
      </c>
      <c r="H390" s="42">
        <f>F390*(($H$203)+1)+(IF(G390&lt;101,G390,IF(G390&lt;201,G390/2,IF(G390&lt;=301,G390/3,G390/4))))</f>
        <v>763.54434000000003</v>
      </c>
      <c r="I390" s="36"/>
      <c r="L390" s="98"/>
      <c r="M390" s="98"/>
      <c r="N390" s="36"/>
    </row>
    <row r="391" spans="1:20" s="37" customFormat="1" ht="15.75" customHeight="1" x14ac:dyDescent="0.25">
      <c r="A391" s="96">
        <f>A390+1</f>
        <v>4</v>
      </c>
      <c r="B391" s="97"/>
      <c r="C391" s="42" t="s">
        <v>396</v>
      </c>
      <c r="D391" s="42">
        <f>(67.13)*10.764</f>
        <v>722.58731999999986</v>
      </c>
      <c r="E391" s="42">
        <f>(3.1*1.2+1.25*2.08+2.83*1.2)*10.764</f>
        <v>104.58302400000001</v>
      </c>
      <c r="F391" s="42">
        <f>D391+E391</f>
        <v>827.17034399999989</v>
      </c>
      <c r="G391" s="42">
        <v>0</v>
      </c>
      <c r="H391" s="42">
        <f>F391*(($H$203)+1)+(IF(G391&lt;101,G391,IF(G391&lt;201,G391/2,IF(G391&lt;=301,G391/3,G391/4))))</f>
        <v>1240.7555159999997</v>
      </c>
      <c r="I391" s="36"/>
      <c r="L391" s="98"/>
      <c r="M391" s="98"/>
      <c r="N391" s="36"/>
      <c r="T391" s="21"/>
    </row>
    <row r="392" spans="1:20" s="37" customFormat="1" ht="15.75" customHeight="1" x14ac:dyDescent="0.25">
      <c r="A392" s="96">
        <f t="shared" ref="A392:A393" si="94">A391+1</f>
        <v>5</v>
      </c>
      <c r="B392" s="97"/>
      <c r="C392" s="42" t="s">
        <v>396</v>
      </c>
      <c r="D392" s="42">
        <f>(69.47)*10.764</f>
        <v>747.77507999999989</v>
      </c>
      <c r="E392" s="42">
        <f>(2.78*1.2+1.35*2.13+5.75*1.2)*10.764</f>
        <v>141.13218599999999</v>
      </c>
      <c r="F392" s="42">
        <f t="shared" ref="F392:F393" si="95">D392+E392</f>
        <v>888.90726599999994</v>
      </c>
      <c r="G392" s="42">
        <v>0</v>
      </c>
      <c r="H392" s="42">
        <f t="shared" ref="H392:H393" si="96">F392*(($H$203)+1)+(IF(G392&lt;101,G392,IF(G392&lt;201,G392/2,IF(G392&lt;=301,G392/3,G392/4))))</f>
        <v>1333.3608989999998</v>
      </c>
      <c r="I392" s="36"/>
      <c r="L392" s="98"/>
      <c r="M392" s="98"/>
      <c r="N392" s="36"/>
      <c r="T392" s="21"/>
    </row>
    <row r="393" spans="1:20" s="37" customFormat="1" ht="15.75" customHeight="1" x14ac:dyDescent="0.25">
      <c r="A393" s="96">
        <f t="shared" si="94"/>
        <v>6</v>
      </c>
      <c r="B393" s="97"/>
      <c r="C393" s="42" t="s">
        <v>433</v>
      </c>
      <c r="D393" s="42">
        <f>(109.76)*10.764</f>
        <v>1181.4566399999999</v>
      </c>
      <c r="E393" s="42">
        <f>(1.43*1.52+1.2*6.2+6.02*1.1)*10.764</f>
        <v>174.75999839999997</v>
      </c>
      <c r="F393" s="42">
        <f t="shared" si="95"/>
        <v>1356.2166383999997</v>
      </c>
      <c r="G393" s="42">
        <v>0</v>
      </c>
      <c r="H393" s="42">
        <f t="shared" si="96"/>
        <v>2034.3249575999996</v>
      </c>
      <c r="I393" s="36"/>
      <c r="L393" s="98"/>
      <c r="M393" s="98"/>
      <c r="N393" s="36"/>
      <c r="T393" s="21"/>
    </row>
    <row r="394" spans="1:20" s="37" customFormat="1" x14ac:dyDescent="0.25">
      <c r="A394" s="99" t="s">
        <v>404</v>
      </c>
      <c r="B394" s="100"/>
      <c r="C394" s="100"/>
      <c r="D394" s="100"/>
      <c r="E394" s="100"/>
      <c r="F394" s="100"/>
      <c r="G394" s="100"/>
      <c r="H394" s="101"/>
      <c r="J394" s="36"/>
    </row>
    <row r="395" spans="1:20" s="37" customFormat="1" ht="15.75" customHeight="1" x14ac:dyDescent="0.25">
      <c r="A395" s="96">
        <v>1</v>
      </c>
      <c r="B395" s="97"/>
      <c r="C395" s="42" t="s">
        <v>396</v>
      </c>
      <c r="D395" s="42">
        <f>(67.13)*10.764</f>
        <v>722.58731999999986</v>
      </c>
      <c r="E395" s="42">
        <f>(3.1*1.2+2.08*1.25+2.83*1.2)*10.764</f>
        <v>104.58302400000001</v>
      </c>
      <c r="F395" s="42">
        <f>D395+E395</f>
        <v>827.17034399999989</v>
      </c>
      <c r="G395" s="42">
        <v>0</v>
      </c>
      <c r="H395" s="42">
        <f>F395*(($H$203)+1)+(IF(G395&lt;101,G395,IF(G395&lt;201,G395/2,IF(G395&lt;=301,G395/3,G395/4))))</f>
        <v>1240.7555159999997</v>
      </c>
      <c r="I395" s="36"/>
      <c r="L395" s="98"/>
      <c r="M395" s="98"/>
      <c r="N395" s="36"/>
    </row>
    <row r="396" spans="1:20" s="37" customFormat="1" ht="15.75" customHeight="1" x14ac:dyDescent="0.25">
      <c r="A396" s="96">
        <f>A395+1</f>
        <v>2</v>
      </c>
      <c r="B396" s="97"/>
      <c r="C396" s="42" t="s">
        <v>396</v>
      </c>
      <c r="D396" s="42">
        <f>(69.51)*10.764</f>
        <v>748.20564000000002</v>
      </c>
      <c r="E396" s="42">
        <f>(1.2*2.78+1.35*2.13+1.2*5.75)*10.764</f>
        <v>141.13218599999999</v>
      </c>
      <c r="F396" s="42">
        <f>D396+E396</f>
        <v>889.33782599999995</v>
      </c>
      <c r="G396" s="42">
        <v>0</v>
      </c>
      <c r="H396" s="42">
        <f>F396*(($H$203)+1)+(IF(G396&lt;101,G396,IF(G396&lt;201,G396/2,IF(G396&lt;=301,G396/3,G396/4))))</f>
        <v>1334.0067389999999</v>
      </c>
      <c r="I396" s="36"/>
      <c r="L396" s="98"/>
      <c r="M396" s="98"/>
      <c r="N396" s="36"/>
    </row>
    <row r="397" spans="1:20" s="37" customFormat="1" ht="15.75" customHeight="1" x14ac:dyDescent="0.25">
      <c r="A397" s="96">
        <f>A396+1</f>
        <v>3</v>
      </c>
      <c r="B397" s="97"/>
      <c r="C397" s="42" t="s">
        <v>433</v>
      </c>
      <c r="D397" s="42">
        <f>(109.76)*10.764</f>
        <v>1181.4566399999999</v>
      </c>
      <c r="E397" s="42">
        <f>(1.43*1.52+1.2*6.2+6.02*1.1)*10.764</f>
        <v>174.75999839999997</v>
      </c>
      <c r="F397" s="42">
        <f>D397+E397</f>
        <v>1356.2166383999997</v>
      </c>
      <c r="G397" s="42">
        <v>0</v>
      </c>
      <c r="H397" s="42">
        <f>F397*(($H$203)+1)+(IF(G397&lt;101,G397,IF(G397&lt;201,G397/2,IF(G397&lt;=301,G397/3,G397/4))))</f>
        <v>2034.3249575999996</v>
      </c>
      <c r="I397" s="36"/>
      <c r="L397" s="98"/>
      <c r="M397" s="98"/>
      <c r="N397" s="36"/>
    </row>
    <row r="398" spans="1:20" s="37" customFormat="1" ht="15.75" customHeight="1" x14ac:dyDescent="0.25">
      <c r="A398" s="96">
        <f>A397+1</f>
        <v>4</v>
      </c>
      <c r="B398" s="97"/>
      <c r="C398" s="42" t="s">
        <v>396</v>
      </c>
      <c r="D398" s="42">
        <f>(66.64)*10.764</f>
        <v>717.31295999999998</v>
      </c>
      <c r="E398" s="42">
        <f>(1.25*2.08+2.83*1.2)*10.764</f>
        <v>64.540943999999996</v>
      </c>
      <c r="F398" s="42">
        <f>D398+E398</f>
        <v>781.85390399999994</v>
      </c>
      <c r="G398" s="42">
        <v>0</v>
      </c>
      <c r="H398" s="42">
        <f>F398*(($H$203)+1)+(IF(G398&lt;101,G398,IF(G398&lt;201,G398/2,IF(G398&lt;=301,G398/3,G398/4))))</f>
        <v>1172.7808559999999</v>
      </c>
      <c r="I398" s="36"/>
      <c r="L398" s="98"/>
      <c r="M398" s="98"/>
      <c r="N398" s="36"/>
      <c r="T398" s="21"/>
    </row>
    <row r="399" spans="1:20" s="37" customFormat="1" ht="15.75" customHeight="1" x14ac:dyDescent="0.25">
      <c r="A399" s="96">
        <f t="shared" ref="A399:A400" si="97">A398+1</f>
        <v>5</v>
      </c>
      <c r="B399" s="97"/>
      <c r="C399" s="42" t="s">
        <v>396</v>
      </c>
      <c r="D399" s="42">
        <f>(68.52)*10.764</f>
        <v>737.54927999999995</v>
      </c>
      <c r="E399" s="42">
        <f>(2.78*1.2+1.35*2.13)*10.764</f>
        <v>66.860585999999998</v>
      </c>
      <c r="F399" s="42">
        <f t="shared" ref="F399:F400" si="98">D399+E399</f>
        <v>804.40986599999997</v>
      </c>
      <c r="G399" s="42">
        <v>0</v>
      </c>
      <c r="H399" s="42">
        <f t="shared" ref="H399:H400" si="99">F399*(($H$203)+1)+(IF(G399&lt;101,G399,IF(G399&lt;201,G399/2,IF(G399&lt;=301,G399/3,G399/4))))</f>
        <v>1206.6147989999999</v>
      </c>
      <c r="I399" s="36"/>
      <c r="L399" s="98"/>
      <c r="M399" s="98"/>
      <c r="N399" s="36"/>
      <c r="T399" s="21"/>
    </row>
    <row r="400" spans="1:20" s="37" customFormat="1" ht="15.75" customHeight="1" x14ac:dyDescent="0.25">
      <c r="A400" s="96">
        <f t="shared" si="97"/>
        <v>6</v>
      </c>
      <c r="B400" s="97"/>
      <c r="C400" s="42" t="s">
        <v>433</v>
      </c>
      <c r="D400" s="42">
        <f>(108.63)*10.764</f>
        <v>1169.2933199999998</v>
      </c>
      <c r="E400" s="42">
        <f>(1.43*1.52+6.02*1.1)*10.764</f>
        <v>94.675838400000004</v>
      </c>
      <c r="F400" s="42">
        <f t="shared" si="98"/>
        <v>1263.9691583999997</v>
      </c>
      <c r="G400" s="42">
        <v>0</v>
      </c>
      <c r="H400" s="42">
        <f t="shared" si="99"/>
        <v>1895.9537375999996</v>
      </c>
      <c r="I400" s="36"/>
      <c r="L400" s="98"/>
      <c r="M400" s="98"/>
      <c r="N400" s="36"/>
      <c r="T400" s="21"/>
    </row>
    <row r="401" spans="1:20" s="37" customFormat="1" x14ac:dyDescent="0.25">
      <c r="A401" s="108" t="s">
        <v>417</v>
      </c>
      <c r="B401" s="108"/>
      <c r="C401" s="108"/>
      <c r="D401" s="108"/>
      <c r="E401" s="108"/>
      <c r="F401" s="108"/>
      <c r="G401" s="108"/>
      <c r="H401" s="108"/>
      <c r="J401" s="36"/>
    </row>
    <row r="402" spans="1:20" s="37" customFormat="1" ht="15.75" customHeight="1" x14ac:dyDescent="0.25">
      <c r="A402" s="109">
        <v>1</v>
      </c>
      <c r="B402" s="109"/>
      <c r="C402" s="42" t="s">
        <v>396</v>
      </c>
      <c r="D402" s="42">
        <f>(66.64)*10.764</f>
        <v>717.31295999999998</v>
      </c>
      <c r="E402" s="42">
        <f>(2.08*1.25+2.83*1.2)*10.764</f>
        <v>64.540943999999996</v>
      </c>
      <c r="F402" s="42">
        <f>D402+E402</f>
        <v>781.85390399999994</v>
      </c>
      <c r="G402" s="42">
        <v>0</v>
      </c>
      <c r="H402" s="42">
        <f>F402*(($H$203)+1)+(IF(G402&lt;101,G402,IF(G402&lt;201,G402/2,IF(G402&lt;=301,G402/3,G402/4))))</f>
        <v>1172.7808559999999</v>
      </c>
      <c r="I402" s="36"/>
      <c r="L402" s="98"/>
      <c r="M402" s="98"/>
      <c r="N402" s="36"/>
    </row>
    <row r="403" spans="1:20" s="37" customFormat="1" ht="15.75" customHeight="1" x14ac:dyDescent="0.25">
      <c r="A403" s="109">
        <f>A402+1</f>
        <v>2</v>
      </c>
      <c r="B403" s="109"/>
      <c r="C403" s="42" t="s">
        <v>396</v>
      </c>
      <c r="D403" s="42">
        <f>(68.07)*10.764</f>
        <v>732.70547999999985</v>
      </c>
      <c r="E403" s="42">
        <f>(1.2*2.78+1.35*2.13)*10.764</f>
        <v>66.860585999999998</v>
      </c>
      <c r="F403" s="42">
        <f>D403+E403</f>
        <v>799.56606599999986</v>
      </c>
      <c r="G403" s="42">
        <v>0</v>
      </c>
      <c r="H403" s="42">
        <f>F403*(($H$203)+1)+(IF(G403&lt;101,G403,IF(G403&lt;201,G403/2,IF(G403&lt;=301,G403/3,G403/4))))</f>
        <v>1199.3490989999998</v>
      </c>
      <c r="I403" s="36"/>
      <c r="L403" s="98"/>
      <c r="M403" s="98"/>
      <c r="N403" s="36"/>
    </row>
    <row r="404" spans="1:20" s="37" customFormat="1" ht="15.75" customHeight="1" x14ac:dyDescent="0.25">
      <c r="A404" s="109">
        <f>A403+1</f>
        <v>3</v>
      </c>
      <c r="B404" s="109"/>
      <c r="C404" s="42" t="s">
        <v>433</v>
      </c>
      <c r="D404" s="42">
        <f>(107.63)*10.764</f>
        <v>1158.5293199999999</v>
      </c>
      <c r="E404" s="42">
        <f>(1.43*1.52+6.02*1.1)*10.764</f>
        <v>94.675838400000004</v>
      </c>
      <c r="F404" s="42">
        <f>D404+E404</f>
        <v>1253.2051583999998</v>
      </c>
      <c r="G404" s="42">
        <v>0</v>
      </c>
      <c r="H404" s="42">
        <f>F404*(($H$203)+1)+(IF(G404&lt;101,G404,IF(G404&lt;201,G404/2,IF(G404&lt;=301,G404/3,G404/4))))</f>
        <v>1879.8077375999997</v>
      </c>
      <c r="I404" s="36"/>
      <c r="L404" s="98"/>
      <c r="M404" s="98"/>
      <c r="N404" s="36"/>
    </row>
    <row r="405" spans="1:20" s="37" customFormat="1" ht="15.75" customHeight="1" x14ac:dyDescent="0.25">
      <c r="A405" s="109">
        <f>A404+1</f>
        <v>4</v>
      </c>
      <c r="B405" s="109"/>
      <c r="C405" s="42" t="s">
        <v>396</v>
      </c>
      <c r="D405" s="42">
        <f>(66.2)*10.764</f>
        <v>712.57679999999993</v>
      </c>
      <c r="E405" s="42">
        <f>(1.25*2.08+2.83*1.2)*10.764</f>
        <v>64.540943999999996</v>
      </c>
      <c r="F405" s="42">
        <f>D405+E405</f>
        <v>777.1177439999999</v>
      </c>
      <c r="G405" s="42">
        <v>0</v>
      </c>
      <c r="H405" s="42">
        <f>F405*(($H$203)+1)+(IF(G405&lt;101,G405,IF(G405&lt;201,G405/2,IF(G405&lt;=301,G405/3,G405/4))))</f>
        <v>1165.6766159999997</v>
      </c>
      <c r="I405" s="36"/>
      <c r="L405" s="98"/>
      <c r="M405" s="98"/>
      <c r="N405" s="36"/>
      <c r="T405" s="21"/>
    </row>
    <row r="406" spans="1:20" s="37" customFormat="1" ht="15.75" customHeight="1" x14ac:dyDescent="0.25">
      <c r="A406" s="109">
        <f t="shared" ref="A406:A407" si="100">A405+1</f>
        <v>5</v>
      </c>
      <c r="B406" s="109"/>
      <c r="C406" s="42" t="s">
        <v>396</v>
      </c>
      <c r="D406" s="42">
        <f>(68.52)*10.764</f>
        <v>737.54927999999995</v>
      </c>
      <c r="E406" s="42">
        <f>(2.78*1.2+1.35*2.13)*10.764</f>
        <v>66.860585999999998</v>
      </c>
      <c r="F406" s="42">
        <f t="shared" ref="F406:F407" si="101">D406+E406</f>
        <v>804.40986599999997</v>
      </c>
      <c r="G406" s="42">
        <v>0</v>
      </c>
      <c r="H406" s="42">
        <f t="shared" ref="H406:H407" si="102">F406*(($H$203)+1)+(IF(G406&lt;101,G406,IF(G406&lt;201,G406/2,IF(G406&lt;=301,G406/3,G406/4))))</f>
        <v>1206.6147989999999</v>
      </c>
      <c r="I406" s="36"/>
      <c r="L406" s="98"/>
      <c r="M406" s="98"/>
      <c r="N406" s="36"/>
      <c r="T406" s="21"/>
    </row>
    <row r="407" spans="1:20" s="37" customFormat="1" ht="15.75" customHeight="1" x14ac:dyDescent="0.25">
      <c r="A407" s="109">
        <f t="shared" si="100"/>
        <v>6</v>
      </c>
      <c r="B407" s="109"/>
      <c r="C407" s="42" t="s">
        <v>433</v>
      </c>
      <c r="D407" s="42">
        <f>(108.63)*10.764</f>
        <v>1169.2933199999998</v>
      </c>
      <c r="E407" s="42">
        <f>(1.43*1.52+6.03*1.1)*10.764</f>
        <v>94.794242400000002</v>
      </c>
      <c r="F407" s="42">
        <f t="shared" si="101"/>
        <v>1264.0875623999998</v>
      </c>
      <c r="G407" s="42">
        <v>0</v>
      </c>
      <c r="H407" s="42">
        <f t="shared" si="102"/>
        <v>1896.1313435999996</v>
      </c>
      <c r="I407" s="36"/>
      <c r="L407" s="98"/>
      <c r="M407" s="98"/>
      <c r="N407" s="36"/>
      <c r="T407" s="21"/>
    </row>
    <row r="408" spans="1:20" s="37" customFormat="1" x14ac:dyDescent="0.25">
      <c r="A408" s="99" t="s">
        <v>418</v>
      </c>
      <c r="B408" s="100"/>
      <c r="C408" s="100"/>
      <c r="D408" s="100"/>
      <c r="E408" s="100"/>
      <c r="F408" s="100"/>
      <c r="G408" s="100"/>
      <c r="H408" s="101"/>
      <c r="J408" s="36"/>
    </row>
    <row r="409" spans="1:20" s="37" customFormat="1" ht="15.75" customHeight="1" x14ac:dyDescent="0.25">
      <c r="A409" s="96">
        <v>1</v>
      </c>
      <c r="B409" s="97"/>
      <c r="C409" s="42" t="s">
        <v>396</v>
      </c>
      <c r="D409" s="42">
        <f>(66.64)*10.764</f>
        <v>717.31295999999998</v>
      </c>
      <c r="E409" s="42">
        <f>(2.08*1.25+2.83*1.2)*10.764</f>
        <v>64.540943999999996</v>
      </c>
      <c r="F409" s="42">
        <f>D409+E409</f>
        <v>781.85390399999994</v>
      </c>
      <c r="G409" s="42">
        <v>0</v>
      </c>
      <c r="H409" s="42">
        <f>F409*(($H$203)+1)+(IF(G409&lt;101,G409,IF(G409&lt;201,G409/2,IF(G409&lt;=301,G409/3,G409/4))))</f>
        <v>1172.7808559999999</v>
      </c>
      <c r="I409" s="36"/>
      <c r="L409" s="98"/>
      <c r="M409" s="98"/>
      <c r="N409" s="36"/>
    </row>
    <row r="410" spans="1:20" s="37" customFormat="1" ht="15.75" customHeight="1" x14ac:dyDescent="0.25">
      <c r="A410" s="96">
        <f>A409+1</f>
        <v>2</v>
      </c>
      <c r="B410" s="97"/>
      <c r="C410" s="42" t="s">
        <v>396</v>
      </c>
      <c r="D410" s="42">
        <f>(68.07)*10.764</f>
        <v>732.70547999999985</v>
      </c>
      <c r="E410" s="42">
        <f>(1.2*2.78+1.35*2.13)*10.764</f>
        <v>66.860585999999998</v>
      </c>
      <c r="F410" s="42">
        <f>D410+E410</f>
        <v>799.56606599999986</v>
      </c>
      <c r="G410" s="42">
        <v>0</v>
      </c>
      <c r="H410" s="42">
        <f>F410*(($H$203)+1)+(IF(G410&lt;101,G410,IF(G410&lt;201,G410/2,IF(G410&lt;=301,G410/3,G410/4))))</f>
        <v>1199.3490989999998</v>
      </c>
      <c r="I410" s="36"/>
      <c r="L410" s="98"/>
      <c r="M410" s="98"/>
      <c r="N410" s="36"/>
    </row>
    <row r="411" spans="1:20" s="37" customFormat="1" ht="15.75" customHeight="1" x14ac:dyDescent="0.25">
      <c r="A411" s="96">
        <f>A410+1</f>
        <v>3</v>
      </c>
      <c r="B411" s="97"/>
      <c r="C411" s="42" t="s">
        <v>433</v>
      </c>
      <c r="D411" s="42">
        <f>(107.63)*10.764</f>
        <v>1158.5293199999999</v>
      </c>
      <c r="E411" s="42">
        <f>(1.43*1.52+6.02*1.1)*10.764</f>
        <v>94.675838400000004</v>
      </c>
      <c r="F411" s="42">
        <f>D411+E411</f>
        <v>1253.2051583999998</v>
      </c>
      <c r="G411" s="42">
        <v>0</v>
      </c>
      <c r="H411" s="42">
        <f>F411*(($H$203)+1)+(IF(G411&lt;101,G411,IF(G411&lt;201,G411/2,IF(G411&lt;=301,G411/3,G411/4))))</f>
        <v>1879.8077375999997</v>
      </c>
      <c r="I411" s="36"/>
      <c r="L411" s="98"/>
      <c r="M411" s="98"/>
      <c r="N411" s="36"/>
    </row>
    <row r="412" spans="1:20" s="37" customFormat="1" ht="15.75" customHeight="1" x14ac:dyDescent="0.25">
      <c r="A412" s="96">
        <f>A411+1</f>
        <v>4</v>
      </c>
      <c r="B412" s="97"/>
      <c r="C412" s="42" t="s">
        <v>396</v>
      </c>
      <c r="D412" s="42">
        <f>(66.2)*10.764</f>
        <v>712.57679999999993</v>
      </c>
      <c r="E412" s="42">
        <f>(1.25*2.08+2.83*1.2)*10.764</f>
        <v>64.540943999999996</v>
      </c>
      <c r="F412" s="42">
        <f>D412+E412</f>
        <v>777.1177439999999</v>
      </c>
      <c r="G412" s="42">
        <v>0</v>
      </c>
      <c r="H412" s="42">
        <f>F412*(($H$203)+1)+(IF(G412&lt;101,G412,IF(G412&lt;201,G412/2,IF(G412&lt;=301,G412/3,G412/4))))</f>
        <v>1165.6766159999997</v>
      </c>
      <c r="I412" s="36"/>
      <c r="L412" s="98"/>
      <c r="M412" s="98"/>
      <c r="N412" s="36"/>
      <c r="T412" s="21"/>
    </row>
    <row r="413" spans="1:20" s="37" customFormat="1" ht="15.75" customHeight="1" x14ac:dyDescent="0.25">
      <c r="A413" s="96">
        <f t="shared" ref="A413:A414" si="103">A412+1</f>
        <v>5</v>
      </c>
      <c r="B413" s="97"/>
      <c r="C413" s="42" t="s">
        <v>396</v>
      </c>
      <c r="D413" s="42">
        <f>(68.52)*10.764</f>
        <v>737.54927999999995</v>
      </c>
      <c r="E413" s="42">
        <f>(2.78*1.2+1.35*2.13)*10.764</f>
        <v>66.860585999999998</v>
      </c>
      <c r="F413" s="42">
        <f t="shared" ref="F413:F414" si="104">D413+E413</f>
        <v>804.40986599999997</v>
      </c>
      <c r="G413" s="42">
        <v>0</v>
      </c>
      <c r="H413" s="42">
        <f t="shared" ref="H413:H414" si="105">F413*(($H$203)+1)+(IF(G413&lt;101,G413,IF(G413&lt;201,G413/2,IF(G413&lt;=301,G413/3,G413/4))))</f>
        <v>1206.6147989999999</v>
      </c>
      <c r="I413" s="36"/>
      <c r="L413" s="98"/>
      <c r="M413" s="98"/>
      <c r="N413" s="36"/>
      <c r="T413" s="21"/>
    </row>
    <row r="414" spans="1:20" s="37" customFormat="1" ht="15.75" customHeight="1" x14ac:dyDescent="0.25">
      <c r="A414" s="96">
        <f t="shared" si="103"/>
        <v>6</v>
      </c>
      <c r="B414" s="97"/>
      <c r="C414" s="42" t="s">
        <v>433</v>
      </c>
      <c r="D414" s="42">
        <f>(108.63)*10.764</f>
        <v>1169.2933199999998</v>
      </c>
      <c r="E414" s="42">
        <f>(1.43*1.52+6.03*1.1)*10.764</f>
        <v>94.794242400000002</v>
      </c>
      <c r="F414" s="42">
        <f t="shared" si="104"/>
        <v>1264.0875623999998</v>
      </c>
      <c r="G414" s="42">
        <v>0</v>
      </c>
      <c r="H414" s="42">
        <f t="shared" si="105"/>
        <v>1896.1313435999996</v>
      </c>
      <c r="I414" s="36"/>
      <c r="L414" s="98"/>
      <c r="M414" s="98"/>
      <c r="N414" s="36"/>
      <c r="T414" s="21"/>
    </row>
    <row r="415" spans="1:20" s="37" customFormat="1" x14ac:dyDescent="0.25">
      <c r="A415" s="99" t="s">
        <v>419</v>
      </c>
      <c r="B415" s="100"/>
      <c r="C415" s="100"/>
      <c r="D415" s="100"/>
      <c r="E415" s="100"/>
      <c r="F415" s="100"/>
      <c r="G415" s="100"/>
      <c r="H415" s="101"/>
      <c r="J415" s="36"/>
    </row>
    <row r="416" spans="1:20" s="37" customFormat="1" ht="15.75" customHeight="1" x14ac:dyDescent="0.25">
      <c r="A416" s="96">
        <v>1</v>
      </c>
      <c r="B416" s="97"/>
      <c r="C416" s="42" t="s">
        <v>433</v>
      </c>
      <c r="D416" s="42">
        <f>(136.16)*10.764</f>
        <v>1465.6262399999998</v>
      </c>
      <c r="E416" s="42">
        <f>(1.25*2.33+1.2*5.75)*10.764</f>
        <v>105.62174999999999</v>
      </c>
      <c r="F416" s="42">
        <f>D416+E416</f>
        <v>1571.2479899999998</v>
      </c>
      <c r="G416" s="42">
        <v>0</v>
      </c>
      <c r="H416" s="42">
        <f>F416*(($H$203)+1)+(IF(G416&lt;101,G416,IF(G416&lt;201,G416/2,IF(G416&lt;=301,G416/3,G416/4))))</f>
        <v>2356.8719849999998</v>
      </c>
      <c r="I416" s="36"/>
      <c r="L416" s="98"/>
      <c r="M416" s="98"/>
      <c r="N416" s="36"/>
    </row>
    <row r="417" spans="1:20" s="37" customFormat="1" ht="15.75" customHeight="1" x14ac:dyDescent="0.25">
      <c r="A417" s="96">
        <f>A416+1</f>
        <v>2</v>
      </c>
      <c r="B417" s="97"/>
      <c r="C417" s="42" t="s">
        <v>433</v>
      </c>
      <c r="D417" s="42">
        <f>(108.61)*10.764</f>
        <v>1169.0780399999999</v>
      </c>
      <c r="E417" s="42">
        <f>(6.02*1.1+1.43*1.52)*10.764</f>
        <v>94.675838400000004</v>
      </c>
      <c r="F417" s="42">
        <f>D417+E417</f>
        <v>1263.7538783999998</v>
      </c>
      <c r="G417" s="42">
        <v>0</v>
      </c>
      <c r="H417" s="42">
        <f>F417*(($H$203)+1)+(IF(G417&lt;101,G417,IF(G417&lt;201,G417/2,IF(G417&lt;=301,G417/3,G417/4))))</f>
        <v>1895.6308175999998</v>
      </c>
      <c r="I417" s="36"/>
      <c r="L417" s="98"/>
      <c r="M417" s="98"/>
      <c r="N417" s="36"/>
    </row>
    <row r="418" spans="1:20" s="37" customFormat="1" ht="15.75" customHeight="1" x14ac:dyDescent="0.25">
      <c r="A418" s="96">
        <f>A417+1</f>
        <v>3</v>
      </c>
      <c r="B418" s="97"/>
      <c r="C418" s="42" t="s">
        <v>433</v>
      </c>
      <c r="D418" s="42">
        <f>(136.12)*10.764</f>
        <v>1465.19568</v>
      </c>
      <c r="E418" s="42">
        <f>(2.08*1.2+6.21*1.2)*10.764</f>
        <v>107.08027199999999</v>
      </c>
      <c r="F418" s="42">
        <f>D418+E418</f>
        <v>1572.275952</v>
      </c>
      <c r="G418" s="42">
        <v>0</v>
      </c>
      <c r="H418" s="42">
        <f>F418*(($H$203)+1)+(IF(G418&lt;101,G418,IF(G418&lt;201,G418/2,IF(G418&lt;=301,G418/3,G418/4))))</f>
        <v>2358.4139279999999</v>
      </c>
      <c r="I418" s="36"/>
      <c r="L418" s="98"/>
      <c r="M418" s="98"/>
      <c r="N418" s="36"/>
    </row>
    <row r="419" spans="1:20" s="37" customFormat="1" ht="15.75" customHeight="1" x14ac:dyDescent="0.25">
      <c r="A419" s="96">
        <f>A418+1</f>
        <v>4</v>
      </c>
      <c r="B419" s="97"/>
      <c r="C419" s="42" t="s">
        <v>433</v>
      </c>
      <c r="D419" s="42">
        <f>(108.63)*10.764</f>
        <v>1169.2933199999998</v>
      </c>
      <c r="E419" s="42">
        <f>(6.03*1.1+1.43*1.53)*10.764</f>
        <v>94.948167600000019</v>
      </c>
      <c r="F419" s="42">
        <f>D419+E419</f>
        <v>1264.2414875999998</v>
      </c>
      <c r="G419" s="42">
        <v>0</v>
      </c>
      <c r="H419" s="42">
        <f>F419*(($H$203)+1)+(IF(G419&lt;101,G419,IF(G419&lt;201,G419/2,IF(G419&lt;=301,G419/3,G419/4))))</f>
        <v>1896.3622313999997</v>
      </c>
      <c r="I419" s="36"/>
      <c r="L419" s="98"/>
      <c r="M419" s="98"/>
      <c r="N419" s="36"/>
      <c r="T419" s="21"/>
    </row>
    <row r="420" spans="1:20" s="37" customFormat="1" x14ac:dyDescent="0.25">
      <c r="A420" s="99" t="s">
        <v>420</v>
      </c>
      <c r="B420" s="100"/>
      <c r="C420" s="100"/>
      <c r="D420" s="100"/>
      <c r="E420" s="100"/>
      <c r="F420" s="100"/>
      <c r="G420" s="100"/>
      <c r="H420" s="101"/>
      <c r="J420" s="36"/>
    </row>
    <row r="421" spans="1:20" s="37" customFormat="1" ht="15.75" customHeight="1" x14ac:dyDescent="0.25">
      <c r="A421" s="96">
        <v>1</v>
      </c>
      <c r="B421" s="97"/>
      <c r="C421" s="42" t="s">
        <v>433</v>
      </c>
      <c r="D421" s="42">
        <f>(136.16)*10.764</f>
        <v>1465.6262399999998</v>
      </c>
      <c r="E421" s="42">
        <f>(1.25*2.33+1.2*5.75)*10.764</f>
        <v>105.62174999999999</v>
      </c>
      <c r="F421" s="42">
        <f>D421+E421</f>
        <v>1571.2479899999998</v>
      </c>
      <c r="G421" s="42">
        <v>0</v>
      </c>
      <c r="H421" s="42">
        <f>F421*(($H$203)+1)+(IF(G421&lt;101,G421,IF(G421&lt;201,G421/2,IF(G421&lt;=301,G421/3,G421/4))))</f>
        <v>2356.8719849999998</v>
      </c>
      <c r="I421" s="36"/>
      <c r="L421" s="98"/>
      <c r="M421" s="98"/>
      <c r="N421" s="36"/>
    </row>
    <row r="422" spans="1:20" s="37" customFormat="1" ht="15.75" customHeight="1" x14ac:dyDescent="0.25">
      <c r="A422" s="96">
        <f>A421+1</f>
        <v>2</v>
      </c>
      <c r="B422" s="97"/>
      <c r="C422" s="42" t="s">
        <v>433</v>
      </c>
      <c r="D422" s="42">
        <f>(108.61)*10.764</f>
        <v>1169.0780399999999</v>
      </c>
      <c r="E422" s="42">
        <f>(6.02*1.1+1.43*1.52)*10.764</f>
        <v>94.675838400000004</v>
      </c>
      <c r="F422" s="42">
        <f>D422+E422</f>
        <v>1263.7538783999998</v>
      </c>
      <c r="G422" s="42">
        <v>0</v>
      </c>
      <c r="H422" s="42">
        <f>F422*(($H$203)+1)+(IF(G422&lt;101,G422,IF(G422&lt;201,G422/2,IF(G422&lt;=301,G422/3,G422/4))))</f>
        <v>1895.6308175999998</v>
      </c>
      <c r="I422" s="36"/>
      <c r="L422" s="98"/>
      <c r="M422" s="98"/>
      <c r="N422" s="36"/>
    </row>
    <row r="423" spans="1:20" s="37" customFormat="1" ht="15.75" customHeight="1" x14ac:dyDescent="0.25">
      <c r="A423" s="96">
        <f>A422+1</f>
        <v>3</v>
      </c>
      <c r="B423" s="97"/>
      <c r="C423" s="42" t="s">
        <v>433</v>
      </c>
      <c r="D423" s="42">
        <f>(136.12)*10.764</f>
        <v>1465.19568</v>
      </c>
      <c r="E423" s="42">
        <f>(2.08*1.2+6.21*1.2)*10.764</f>
        <v>107.08027199999999</v>
      </c>
      <c r="F423" s="42">
        <f>D423+E423</f>
        <v>1572.275952</v>
      </c>
      <c r="G423" s="42">
        <v>0</v>
      </c>
      <c r="H423" s="42">
        <f>F423*(($H$203)+1)+(IF(G423&lt;101,G423,IF(G423&lt;201,G423/2,IF(G423&lt;=301,G423/3,G423/4))))</f>
        <v>2358.4139279999999</v>
      </c>
      <c r="I423" s="36"/>
      <c r="L423" s="98"/>
      <c r="M423" s="98"/>
      <c r="N423" s="36"/>
    </row>
    <row r="424" spans="1:20" s="37" customFormat="1" ht="15.75" customHeight="1" x14ac:dyDescent="0.25">
      <c r="A424" s="96">
        <f>A423+1</f>
        <v>4</v>
      </c>
      <c r="B424" s="97"/>
      <c r="C424" s="42" t="s">
        <v>433</v>
      </c>
      <c r="D424" s="42">
        <f>(108.63)*10.764</f>
        <v>1169.2933199999998</v>
      </c>
      <c r="E424" s="42">
        <f>(6.03*1.1+1.43*1.53)*10.764</f>
        <v>94.948167600000019</v>
      </c>
      <c r="F424" s="42">
        <f>D424+E424</f>
        <v>1264.2414875999998</v>
      </c>
      <c r="G424" s="42">
        <v>0</v>
      </c>
      <c r="H424" s="42">
        <f>F424*(($H$203)+1)+(IF(G424&lt;101,G424,IF(G424&lt;201,G424/2,IF(G424&lt;=301,G424/3,G424/4))))</f>
        <v>1896.3622313999997</v>
      </c>
      <c r="I424" s="36"/>
      <c r="L424" s="98"/>
      <c r="M424" s="98"/>
      <c r="N424" s="36"/>
      <c r="T424" s="21"/>
    </row>
    <row r="425" spans="1:20" s="37" customFormat="1" x14ac:dyDescent="0.25">
      <c r="A425" s="99" t="s">
        <v>407</v>
      </c>
      <c r="B425" s="100"/>
      <c r="C425" s="100"/>
      <c r="D425" s="100"/>
      <c r="E425" s="100"/>
      <c r="F425" s="100"/>
      <c r="G425" s="100"/>
      <c r="H425" s="101"/>
      <c r="J425" s="36"/>
    </row>
    <row r="426" spans="1:20" s="37" customFormat="1" ht="15.75" customHeight="1" x14ac:dyDescent="0.25">
      <c r="A426" s="96">
        <v>1</v>
      </c>
      <c r="B426" s="97"/>
      <c r="C426" s="42" t="s">
        <v>396</v>
      </c>
      <c r="D426" s="42">
        <f>(67.13)*10.764</f>
        <v>722.58731999999986</v>
      </c>
      <c r="E426" s="42">
        <f>(3.1*1.2+2.08*1.25+2.83*1.2)*10.764</f>
        <v>104.58302400000001</v>
      </c>
      <c r="F426" s="42">
        <f>D426+E426</f>
        <v>827.17034399999989</v>
      </c>
      <c r="G426" s="42">
        <v>0</v>
      </c>
      <c r="H426" s="42">
        <f>F426*(($H$203)+1)+(IF(G426&lt;101,G426,IF(G426&lt;201,G426/2,IF(G426&lt;=301,G426/3,G426/4))))</f>
        <v>1240.7555159999997</v>
      </c>
      <c r="I426" s="36"/>
      <c r="L426" s="98"/>
      <c r="M426" s="98"/>
      <c r="N426" s="36"/>
    </row>
    <row r="427" spans="1:20" s="37" customFormat="1" ht="15.75" customHeight="1" x14ac:dyDescent="0.25">
      <c r="A427" s="96" t="s">
        <v>386</v>
      </c>
      <c r="B427" s="97"/>
      <c r="C427" s="96" t="s">
        <v>399</v>
      </c>
      <c r="D427" s="111"/>
      <c r="E427" s="111"/>
      <c r="F427" s="111"/>
      <c r="G427" s="111"/>
      <c r="H427" s="97"/>
      <c r="I427" s="36"/>
      <c r="L427" s="98"/>
      <c r="M427" s="98"/>
      <c r="N427" s="36"/>
    </row>
    <row r="428" spans="1:20" s="37" customFormat="1" ht="33.75" customHeight="1" x14ac:dyDescent="0.25">
      <c r="A428" s="96">
        <v>2</v>
      </c>
      <c r="B428" s="97"/>
      <c r="C428" s="85" t="s">
        <v>397</v>
      </c>
      <c r="D428" s="42">
        <f>(44.32)*10.764</f>
        <v>477.06047999999998</v>
      </c>
      <c r="E428" s="42">
        <f>(2.7*1.1)*10.764</f>
        <v>31.969080000000005</v>
      </c>
      <c r="F428" s="42">
        <f>D428+E428</f>
        <v>509.02956</v>
      </c>
      <c r="G428" s="42">
        <v>0</v>
      </c>
      <c r="H428" s="42">
        <f>F428*(($H$203)+1)+(IF(G428&lt;101,G428,IF(G428&lt;201,G428/2,IF(G428&lt;=301,G428/3,G428/4))))</f>
        <v>763.54434000000003</v>
      </c>
      <c r="I428" s="36"/>
      <c r="L428" s="98"/>
      <c r="M428" s="98"/>
      <c r="N428" s="36"/>
    </row>
    <row r="429" spans="1:20" s="37" customFormat="1" ht="15.75" customHeight="1" x14ac:dyDescent="0.25">
      <c r="A429" s="96">
        <f>A428+1</f>
        <v>3</v>
      </c>
      <c r="B429" s="97"/>
      <c r="C429" s="42" t="s">
        <v>433</v>
      </c>
      <c r="D429" s="42">
        <f>(137.87)*10.764</f>
        <v>1484.03268</v>
      </c>
      <c r="E429" s="42">
        <f>(3.1*1.2+1.25*2.08+6.21*1.2+1.3*2.13+5.75*1.2)*10.764</f>
        <v>252.31892399999998</v>
      </c>
      <c r="F429" s="42">
        <f>D429+E429</f>
        <v>1736.351604</v>
      </c>
      <c r="G429" s="42">
        <v>0</v>
      </c>
      <c r="H429" s="42">
        <f>F429*(($H$203)+1)+(IF(G429&lt;101,G429,IF(G429&lt;201,G429/2,IF(G429&lt;=301,G429/3,G429/4))))</f>
        <v>2604.5274060000002</v>
      </c>
      <c r="I429" s="36"/>
      <c r="L429" s="98"/>
      <c r="M429" s="98"/>
      <c r="N429" s="36"/>
      <c r="T429" s="21"/>
    </row>
    <row r="430" spans="1:20" s="37" customFormat="1" ht="15.75" customHeight="1" x14ac:dyDescent="0.25">
      <c r="A430" s="96">
        <f t="shared" ref="A430" si="106">A429+1</f>
        <v>4</v>
      </c>
      <c r="B430" s="97"/>
      <c r="C430" s="42" t="s">
        <v>433</v>
      </c>
      <c r="D430" s="42">
        <f>(109.76)*10.764</f>
        <v>1181.4566399999999</v>
      </c>
      <c r="E430" s="42">
        <f>(3.1*1.1+6.2*1.2+1.43*1.52)*10.764</f>
        <v>140.18603039999999</v>
      </c>
      <c r="F430" s="42">
        <f t="shared" ref="F430" si="107">D430+E430</f>
        <v>1321.6426703999998</v>
      </c>
      <c r="G430" s="42">
        <v>0</v>
      </c>
      <c r="H430" s="42">
        <f t="shared" ref="H430" si="108">F430*(($H$203)+1)+(IF(G430&lt;101,G430,IF(G430&lt;201,G430/2,IF(G430&lt;=301,G430/3,G430/4))))</f>
        <v>1982.4640055999998</v>
      </c>
      <c r="I430" s="36"/>
      <c r="L430" s="98"/>
      <c r="M430" s="98"/>
      <c r="N430" s="36"/>
      <c r="T430" s="21"/>
    </row>
    <row r="431" spans="1:20" s="37" customFormat="1" x14ac:dyDescent="0.25">
      <c r="A431" s="99" t="s">
        <v>409</v>
      </c>
      <c r="B431" s="100"/>
      <c r="C431" s="100"/>
      <c r="D431" s="100"/>
      <c r="E431" s="100"/>
      <c r="F431" s="100"/>
      <c r="G431" s="100"/>
      <c r="H431" s="101"/>
      <c r="J431" s="36"/>
    </row>
    <row r="432" spans="1:20" s="37" customFormat="1" ht="15.75" customHeight="1" x14ac:dyDescent="0.25">
      <c r="A432" s="96">
        <v>1</v>
      </c>
      <c r="B432" s="97"/>
      <c r="C432" s="42" t="s">
        <v>433</v>
      </c>
      <c r="D432" s="42">
        <f>(137.91)*10.764</f>
        <v>1484.4632399999998</v>
      </c>
      <c r="E432" s="42">
        <f>(5.75*1.2+2.13*1.2+5.75*1.2+2.03*1.3+3.1*1.2)*10.764</f>
        <v>244.50425999999996</v>
      </c>
      <c r="F432" s="42">
        <f>D432+E432</f>
        <v>1728.9674999999997</v>
      </c>
      <c r="G432" s="42">
        <v>0</v>
      </c>
      <c r="H432" s="42">
        <f>F432*(($H$203)+1)+(IF(G432&lt;101,G432,IF(G432&lt;201,G432/2,IF(G432&lt;=301,G432/3,G432/4))))</f>
        <v>2593.4512499999996</v>
      </c>
      <c r="I432" s="36"/>
      <c r="L432" s="98"/>
      <c r="M432" s="98"/>
      <c r="N432" s="36"/>
    </row>
    <row r="433" spans="1:20" s="37" customFormat="1" ht="15.75" customHeight="1" x14ac:dyDescent="0.25">
      <c r="A433" s="96">
        <f>A432+1</f>
        <v>2</v>
      </c>
      <c r="B433" s="97"/>
      <c r="C433" s="42" t="s">
        <v>433</v>
      </c>
      <c r="D433" s="42">
        <f>(109.73)*10.764</f>
        <v>1181.13372</v>
      </c>
      <c r="E433" s="42">
        <f>(6.02*1.2+1.43*1.52+6.02*1.1)*10.764</f>
        <v>172.43497439999996</v>
      </c>
      <c r="F433" s="42">
        <f>D433+E433</f>
        <v>1353.5686943999999</v>
      </c>
      <c r="G433" s="42">
        <v>0</v>
      </c>
      <c r="H433" s="42">
        <f>F433*(($H$203)+1)+(IF(G433&lt;101,G433,IF(G433&lt;201,G433/2,IF(G433&lt;=301,G433/3,G433/4))))</f>
        <v>2030.3530415999999</v>
      </c>
      <c r="I433" s="36"/>
      <c r="L433" s="98"/>
      <c r="M433" s="98"/>
      <c r="N433" s="36"/>
    </row>
    <row r="434" spans="1:20" s="37" customFormat="1" ht="15.75" customHeight="1" x14ac:dyDescent="0.25">
      <c r="A434" s="96">
        <f>A433+1</f>
        <v>3</v>
      </c>
      <c r="B434" s="97"/>
      <c r="C434" s="42" t="s">
        <v>433</v>
      </c>
      <c r="D434" s="42">
        <f>(136.59)*10.764</f>
        <v>1470.25476</v>
      </c>
      <c r="E434" s="42">
        <f>(2.08*1.2+6.21*1.2+2.85*1.2)*10.764</f>
        <v>143.89315199999999</v>
      </c>
      <c r="F434" s="42">
        <f>D434+E434</f>
        <v>1614.1479119999999</v>
      </c>
      <c r="G434" s="42">
        <v>0</v>
      </c>
      <c r="H434" s="42">
        <f>F434*(($H$203)+1)+(IF(G434&lt;101,G434,IF(G434&lt;201,G434/2,IF(G434&lt;=301,G434/3,G434/4))))</f>
        <v>2421.2218679999996</v>
      </c>
      <c r="I434" s="36"/>
      <c r="L434" s="98"/>
      <c r="M434" s="98"/>
      <c r="N434" s="36"/>
    </row>
    <row r="435" spans="1:20" s="37" customFormat="1" ht="15.75" customHeight="1" x14ac:dyDescent="0.25">
      <c r="A435" s="96">
        <f>A434+1</f>
        <v>4</v>
      </c>
      <c r="B435" s="97"/>
      <c r="C435" s="42" t="s">
        <v>433</v>
      </c>
      <c r="D435" s="42">
        <f>(109.13)*10.764</f>
        <v>1174.6753199999998</v>
      </c>
      <c r="E435" s="42">
        <f>(3.05*1.2+6.03*1.1+1.43*1.53)*10.764</f>
        <v>134.34440760000001</v>
      </c>
      <c r="F435" s="42">
        <f>D435+E435</f>
        <v>1309.0197275999999</v>
      </c>
      <c r="G435" s="42">
        <v>0</v>
      </c>
      <c r="H435" s="42">
        <f>F435*(($H$203)+1)+(IF(G435&lt;101,G435,IF(G435&lt;201,G435/2,IF(G435&lt;=301,G435/3,G435/4))))</f>
        <v>1963.5295913999998</v>
      </c>
      <c r="I435" s="36"/>
      <c r="L435" s="98"/>
      <c r="M435" s="98"/>
      <c r="N435" s="36"/>
      <c r="T435" s="21"/>
    </row>
    <row r="436" spans="1:20" s="37" customFormat="1" x14ac:dyDescent="0.25">
      <c r="A436" s="99" t="s">
        <v>410</v>
      </c>
      <c r="B436" s="100"/>
      <c r="C436" s="100"/>
      <c r="D436" s="100"/>
      <c r="E436" s="100"/>
      <c r="F436" s="100"/>
      <c r="G436" s="100"/>
      <c r="H436" s="101"/>
      <c r="J436" s="36"/>
    </row>
    <row r="437" spans="1:20" s="37" customFormat="1" ht="15.75" customHeight="1" x14ac:dyDescent="0.25">
      <c r="A437" s="96">
        <v>1</v>
      </c>
      <c r="B437" s="97"/>
      <c r="C437" s="42" t="s">
        <v>433</v>
      </c>
      <c r="D437" s="42">
        <f>(136.63)*10.764</f>
        <v>1470.6853199999998</v>
      </c>
      <c r="E437" s="42">
        <f>(2.85*1.2+5.75*1.2+2.08*1.25)*10.764</f>
        <v>139.07087999999999</v>
      </c>
      <c r="F437" s="42">
        <f>D437+E437</f>
        <v>1609.7561999999998</v>
      </c>
      <c r="G437" s="42">
        <v>0</v>
      </c>
      <c r="H437" s="42">
        <f>F437*(($H$203)+1)+(IF(G437&lt;101,G437,IF(G437&lt;201,G437/2,IF(G437&lt;=301,G437/3,G437/4))))</f>
        <v>2414.6342999999997</v>
      </c>
      <c r="I437" s="36"/>
      <c r="L437" s="98"/>
      <c r="M437" s="98"/>
      <c r="N437" s="36"/>
    </row>
    <row r="438" spans="1:20" s="37" customFormat="1" ht="15.75" customHeight="1" x14ac:dyDescent="0.25">
      <c r="A438" s="96">
        <f>A437+1</f>
        <v>2</v>
      </c>
      <c r="B438" s="97"/>
      <c r="C438" s="42" t="s">
        <v>433</v>
      </c>
      <c r="D438" s="42">
        <f>(109.17)*10.764</f>
        <v>1175.1058799999998</v>
      </c>
      <c r="E438" s="42">
        <f>(3.05*1.2+1.43*1.52+6.02*1.1)*10.764</f>
        <v>134.07207840000001</v>
      </c>
      <c r="F438" s="42">
        <f>D438+E438</f>
        <v>1309.1779583999999</v>
      </c>
      <c r="G438" s="42">
        <v>0</v>
      </c>
      <c r="H438" s="42">
        <f>F438*(($H$203)+1)+(IF(G438&lt;101,G438,IF(G438&lt;201,G438/2,IF(G438&lt;=301,G438/3,G438/4))))</f>
        <v>1963.7669375999999</v>
      </c>
      <c r="I438" s="36"/>
      <c r="L438" s="98"/>
      <c r="M438" s="98"/>
      <c r="N438" s="36"/>
    </row>
    <row r="439" spans="1:20" s="37" customFormat="1" ht="15.75" customHeight="1" x14ac:dyDescent="0.25">
      <c r="A439" s="96">
        <f>A438+1</f>
        <v>3</v>
      </c>
      <c r="B439" s="97"/>
      <c r="C439" s="42" t="s">
        <v>433</v>
      </c>
      <c r="D439" s="42">
        <f>(136.59)*10.764</f>
        <v>1470.25476</v>
      </c>
      <c r="E439" s="42">
        <f>(2.08*1.2+6.21*1.2+2.85*1.2)*10.764</f>
        <v>143.89315199999999</v>
      </c>
      <c r="F439" s="42">
        <f>D439+E439</f>
        <v>1614.1479119999999</v>
      </c>
      <c r="G439" s="42">
        <v>0</v>
      </c>
      <c r="H439" s="42">
        <f>F439*(($H$203)+1)+(IF(G439&lt;101,G439,IF(G439&lt;201,G439/2,IF(G439&lt;=301,G439/3,G439/4))))</f>
        <v>2421.2218679999996</v>
      </c>
      <c r="I439" s="36"/>
      <c r="L439" s="98"/>
      <c r="M439" s="98"/>
      <c r="N439" s="36"/>
    </row>
    <row r="440" spans="1:20" s="37" customFormat="1" ht="15.75" customHeight="1" x14ac:dyDescent="0.25">
      <c r="A440" s="96">
        <f>A439+1</f>
        <v>4</v>
      </c>
      <c r="B440" s="97"/>
      <c r="C440" s="42" t="s">
        <v>433</v>
      </c>
      <c r="D440" s="42">
        <f>(109.13)*10.764</f>
        <v>1174.6753199999998</v>
      </c>
      <c r="E440" s="42">
        <f>(3.05*1.2+6.03*1.1+1.43*1.53)*10.764</f>
        <v>134.34440760000001</v>
      </c>
      <c r="F440" s="42">
        <f>D440+E440</f>
        <v>1309.0197275999999</v>
      </c>
      <c r="G440" s="42">
        <v>0</v>
      </c>
      <c r="H440" s="42">
        <f>F440*(($H$203)+1)+(IF(G440&lt;101,G440,IF(G440&lt;201,G440/2,IF(G440&lt;=301,G440/3,G440/4))))</f>
        <v>1963.5295913999998</v>
      </c>
      <c r="I440" s="36"/>
      <c r="L440" s="98"/>
      <c r="M440" s="98"/>
      <c r="N440" s="36"/>
      <c r="T440" s="21"/>
    </row>
    <row r="441" spans="1:20" s="37" customFormat="1" x14ac:dyDescent="0.25">
      <c r="A441" s="99" t="s">
        <v>411</v>
      </c>
      <c r="B441" s="100"/>
      <c r="C441" s="100"/>
      <c r="D441" s="100"/>
      <c r="E441" s="100"/>
      <c r="F441" s="100"/>
      <c r="G441" s="100"/>
      <c r="H441" s="101"/>
      <c r="J441" s="36"/>
    </row>
    <row r="442" spans="1:20" s="37" customFormat="1" ht="15.75" customHeight="1" x14ac:dyDescent="0.25">
      <c r="A442" s="96">
        <v>1</v>
      </c>
      <c r="B442" s="97"/>
      <c r="C442" s="42" t="s">
        <v>433</v>
      </c>
      <c r="D442" s="42">
        <f>(136.63)*10.764</f>
        <v>1470.6853199999998</v>
      </c>
      <c r="E442" s="42">
        <f>(2.85*1.2+5.75*1.2+2.08*1.25)*10.764</f>
        <v>139.07087999999999</v>
      </c>
      <c r="F442" s="42">
        <f>D442+E442</f>
        <v>1609.7561999999998</v>
      </c>
      <c r="G442" s="42">
        <v>0</v>
      </c>
      <c r="H442" s="42">
        <f>F442*(($H$203)+1)+(IF(G442&lt;101,G442,IF(G442&lt;201,G442/2,IF(G442&lt;=301,G442/3,G442/4))))</f>
        <v>2414.6342999999997</v>
      </c>
      <c r="I442" s="36"/>
      <c r="L442" s="98"/>
      <c r="M442" s="98"/>
      <c r="N442" s="36"/>
    </row>
    <row r="443" spans="1:20" s="37" customFormat="1" ht="15.75" customHeight="1" x14ac:dyDescent="0.25">
      <c r="A443" s="96">
        <f>A442+1</f>
        <v>2</v>
      </c>
      <c r="B443" s="97"/>
      <c r="C443" s="42" t="s">
        <v>433</v>
      </c>
      <c r="D443" s="42">
        <f>(109.17)*10.764</f>
        <v>1175.1058799999998</v>
      </c>
      <c r="E443" s="42">
        <f>(3.05*1.2+1.43*1.52+6.02*1.1)*10.764</f>
        <v>134.07207840000001</v>
      </c>
      <c r="F443" s="42">
        <f>D443+E443</f>
        <v>1309.1779583999999</v>
      </c>
      <c r="G443" s="42">
        <v>0</v>
      </c>
      <c r="H443" s="42">
        <f>F443*(($H$203)+1)+(IF(G443&lt;101,G443,IF(G443&lt;201,G443/2,IF(G443&lt;=301,G443/3,G443/4))))</f>
        <v>1963.7669375999999</v>
      </c>
      <c r="I443" s="36"/>
      <c r="L443" s="98"/>
      <c r="M443" s="98"/>
      <c r="N443" s="36"/>
    </row>
    <row r="444" spans="1:20" s="37" customFormat="1" ht="15.75" customHeight="1" x14ac:dyDescent="0.25">
      <c r="A444" s="96">
        <f>A443+1</f>
        <v>3</v>
      </c>
      <c r="B444" s="97"/>
      <c r="C444" s="42" t="s">
        <v>433</v>
      </c>
      <c r="D444" s="42">
        <f>(136.59)*10.764</f>
        <v>1470.25476</v>
      </c>
      <c r="E444" s="42">
        <f>(2.08*1.2+6.21*1.2+2.85*1.2)*10.764</f>
        <v>143.89315199999999</v>
      </c>
      <c r="F444" s="42">
        <f>D444+E444</f>
        <v>1614.1479119999999</v>
      </c>
      <c r="G444" s="42">
        <v>0</v>
      </c>
      <c r="H444" s="42">
        <f>F444*(($H$203)+1)+(IF(G444&lt;101,G444,IF(G444&lt;201,G444/2,IF(G444&lt;=301,G444/3,G444/4))))</f>
        <v>2421.2218679999996</v>
      </c>
      <c r="I444" s="36"/>
      <c r="L444" s="98"/>
      <c r="M444" s="98"/>
      <c r="N444" s="36"/>
    </row>
    <row r="445" spans="1:20" s="37" customFormat="1" ht="15.75" customHeight="1" x14ac:dyDescent="0.25">
      <c r="A445" s="96">
        <f>A444+1</f>
        <v>4</v>
      </c>
      <c r="B445" s="97"/>
      <c r="C445" s="42" t="s">
        <v>433</v>
      </c>
      <c r="D445" s="42">
        <f>(109.13)*10.764</f>
        <v>1174.6753199999998</v>
      </c>
      <c r="E445" s="42">
        <f>(3.05*1.2+6.03*1.1+1.43*1.53)*10.764</f>
        <v>134.34440760000001</v>
      </c>
      <c r="F445" s="42">
        <f>D445+E445</f>
        <v>1309.0197275999999</v>
      </c>
      <c r="G445" s="42">
        <v>0</v>
      </c>
      <c r="H445" s="42">
        <f>F445*(($H$203)+1)+(IF(G445&lt;101,G445,IF(G445&lt;201,G445/2,IF(G445&lt;=301,G445/3,G445/4))))</f>
        <v>1963.5295913999998</v>
      </c>
      <c r="I445" s="36"/>
      <c r="L445" s="98"/>
      <c r="M445" s="98"/>
      <c r="N445" s="36"/>
      <c r="T445" s="21"/>
    </row>
    <row r="446" spans="1:20" s="37" customFormat="1" x14ac:dyDescent="0.25">
      <c r="A446" s="110" t="s">
        <v>384</v>
      </c>
      <c r="B446" s="110"/>
      <c r="C446" s="110"/>
      <c r="D446" s="110"/>
      <c r="E446" s="110"/>
      <c r="F446" s="110"/>
      <c r="G446" s="110"/>
      <c r="H446" s="110"/>
      <c r="I446" s="42">
        <v>10.763999999999999</v>
      </c>
      <c r="J446" s="36"/>
    </row>
    <row r="447" spans="1:20" s="37" customFormat="1" x14ac:dyDescent="0.25">
      <c r="A447" s="108" t="s">
        <v>392</v>
      </c>
      <c r="B447" s="108"/>
      <c r="C447" s="108"/>
      <c r="D447" s="108"/>
      <c r="E447" s="108"/>
      <c r="F447" s="108"/>
      <c r="G447" s="108"/>
      <c r="H447" s="108"/>
      <c r="J447" s="36"/>
    </row>
    <row r="448" spans="1:20" s="37" customFormat="1" x14ac:dyDescent="0.25">
      <c r="A448" s="108" t="s">
        <v>393</v>
      </c>
      <c r="B448" s="108"/>
      <c r="C448" s="108"/>
      <c r="D448" s="108"/>
      <c r="E448" s="108"/>
      <c r="F448" s="108"/>
      <c r="G448" s="108"/>
      <c r="H448" s="108"/>
      <c r="J448" s="36"/>
    </row>
    <row r="449" spans="1:20" s="37" customFormat="1" x14ac:dyDescent="0.25">
      <c r="A449" s="108" t="s">
        <v>394</v>
      </c>
      <c r="B449" s="108"/>
      <c r="C449" s="108"/>
      <c r="D449" s="108"/>
      <c r="E449" s="108"/>
      <c r="F449" s="108"/>
      <c r="G449" s="108"/>
      <c r="H449" s="108"/>
      <c r="J449" s="36"/>
    </row>
    <row r="450" spans="1:20" s="37" customFormat="1" ht="15.75" customHeight="1" x14ac:dyDescent="0.25">
      <c r="A450" s="109">
        <v>1</v>
      </c>
      <c r="B450" s="109"/>
      <c r="C450" s="109" t="s">
        <v>395</v>
      </c>
      <c r="D450" s="109"/>
      <c r="E450" s="109"/>
      <c r="F450" s="109"/>
      <c r="G450" s="109"/>
      <c r="H450" s="109"/>
      <c r="I450" s="36"/>
      <c r="L450" s="98"/>
      <c r="M450" s="98"/>
      <c r="N450" s="36"/>
    </row>
    <row r="451" spans="1:20" s="37" customFormat="1" ht="15.75" customHeight="1" x14ac:dyDescent="0.25">
      <c r="A451" s="96">
        <f>A450+1</f>
        <v>2</v>
      </c>
      <c r="B451" s="97"/>
      <c r="C451" s="42" t="s">
        <v>396</v>
      </c>
      <c r="D451" s="42">
        <f>(69.58)*10.764</f>
        <v>748.95911999999998</v>
      </c>
      <c r="E451" s="42">
        <f>(2.8+2.63+0.65*3.05)*10.764</f>
        <v>79.788149999999987</v>
      </c>
      <c r="F451" s="42">
        <f>D451+E451</f>
        <v>828.74726999999996</v>
      </c>
      <c r="G451" s="42">
        <v>0</v>
      </c>
      <c r="H451" s="42">
        <f>F451*(($H$203)+1)+(IF(G451&lt;101,G451,IF(G451&lt;201,G451/2,IF(G451&lt;=301,G451/3,G451/4))))</f>
        <v>1243.120905</v>
      </c>
      <c r="I451" s="36"/>
      <c r="L451" s="98"/>
      <c r="M451" s="98"/>
      <c r="N451" s="36"/>
    </row>
    <row r="452" spans="1:20" s="37" customFormat="1" ht="15.75" customHeight="1" x14ac:dyDescent="0.25">
      <c r="A452" s="96">
        <f>A451+1</f>
        <v>3</v>
      </c>
      <c r="B452" s="97"/>
      <c r="C452" s="42" t="s">
        <v>400</v>
      </c>
      <c r="D452" s="42">
        <f>(105.59)*10.764</f>
        <v>1136.5707600000001</v>
      </c>
      <c r="E452" s="42">
        <f>(2.98+3.5+2.33+0.65*2.78)*10.764</f>
        <v>114.28138800000001</v>
      </c>
      <c r="F452" s="42">
        <f>D452+E452</f>
        <v>1250.8521480000002</v>
      </c>
      <c r="G452" s="42">
        <v>0</v>
      </c>
      <c r="H452" s="42">
        <f>F452*(($H$203)+1)+(IF(G452&lt;101,G452,IF(G452&lt;201,G452/2,IF(G452&lt;=301,G452/3,G452/4))))</f>
        <v>1876.2782220000004</v>
      </c>
      <c r="I452" s="36"/>
      <c r="L452" s="98"/>
      <c r="M452" s="98"/>
      <c r="N452" s="36"/>
    </row>
    <row r="453" spans="1:20" s="37" customFormat="1" ht="15.75" customHeight="1" x14ac:dyDescent="0.25">
      <c r="A453" s="96">
        <f>A452+1</f>
        <v>4</v>
      </c>
      <c r="B453" s="97"/>
      <c r="C453" s="42" t="s">
        <v>396</v>
      </c>
      <c r="D453" s="42">
        <f>(63.47)*10.764</f>
        <v>683.19107999999994</v>
      </c>
      <c r="E453" s="42">
        <f>(2.33*1.2+2.9*1.1)*10.764</f>
        <v>64.433303999999993</v>
      </c>
      <c r="F453" s="42">
        <f>D453+E453</f>
        <v>747.62438399999996</v>
      </c>
      <c r="G453" s="42">
        <v>0</v>
      </c>
      <c r="H453" s="42">
        <f>F453*(($H$203)+1)+(IF(G453&lt;101,G453,IF(G453&lt;201,G453/2,IF(G453&lt;=301,G453/3,G453/4))))</f>
        <v>1121.4365760000001</v>
      </c>
      <c r="I453" s="36"/>
      <c r="L453" s="98"/>
      <c r="M453" s="98"/>
      <c r="N453" s="36"/>
      <c r="T453" s="21"/>
    </row>
    <row r="454" spans="1:20" s="37" customFormat="1" ht="15.75" customHeight="1" x14ac:dyDescent="0.25">
      <c r="A454" s="96">
        <f t="shared" ref="A454:A457" si="109">A453+1</f>
        <v>5</v>
      </c>
      <c r="B454" s="97"/>
      <c r="C454" s="42" t="s">
        <v>400</v>
      </c>
      <c r="D454" s="42">
        <f>(92.52)*10.764</f>
        <v>995.88527999999985</v>
      </c>
      <c r="E454" s="42">
        <f>(2.1+3.15+2.95+0.65*3.28)*10.764</f>
        <v>111.21364799999998</v>
      </c>
      <c r="F454" s="42">
        <f t="shared" ref="F454:F455" si="110">D454+E454</f>
        <v>1107.0989279999999</v>
      </c>
      <c r="G454" s="42">
        <v>0</v>
      </c>
      <c r="H454" s="42">
        <f t="shared" ref="H454:H455" si="111">F454*(($H$203)+1)+(IF(G454&lt;101,G454,IF(G454&lt;201,G454/2,IF(G454&lt;=301,G454/3,G454/4))))</f>
        <v>1660.6483919999998</v>
      </c>
      <c r="I454" s="36"/>
      <c r="L454" s="98"/>
      <c r="M454" s="98"/>
      <c r="N454" s="36"/>
      <c r="T454" s="21"/>
    </row>
    <row r="455" spans="1:20" s="37" customFormat="1" ht="15.75" customHeight="1" x14ac:dyDescent="0.25">
      <c r="A455" s="96">
        <f t="shared" si="109"/>
        <v>6</v>
      </c>
      <c r="B455" s="97"/>
      <c r="C455" s="42" t="s">
        <v>396</v>
      </c>
      <c r="D455" s="42">
        <f>(69.06)*10.764</f>
        <v>743.36184000000003</v>
      </c>
      <c r="E455" s="42">
        <f>(2.8+2.63+0.65*3.05)*10.764</f>
        <v>79.788149999999987</v>
      </c>
      <c r="F455" s="42">
        <f t="shared" si="110"/>
        <v>823.14999</v>
      </c>
      <c r="G455" s="42">
        <v>0</v>
      </c>
      <c r="H455" s="42">
        <f t="shared" si="111"/>
        <v>1234.7249850000001</v>
      </c>
      <c r="I455" s="36"/>
      <c r="L455" s="98"/>
      <c r="M455" s="98"/>
      <c r="N455" s="36"/>
      <c r="T455" s="21"/>
    </row>
    <row r="456" spans="1:20" s="37" customFormat="1" ht="15.75" customHeight="1" x14ac:dyDescent="0.25">
      <c r="A456" s="96">
        <f t="shared" si="109"/>
        <v>7</v>
      </c>
      <c r="B456" s="97"/>
      <c r="C456" s="102" t="s">
        <v>395</v>
      </c>
      <c r="D456" s="103"/>
      <c r="E456" s="103"/>
      <c r="F456" s="103"/>
      <c r="G456" s="103"/>
      <c r="H456" s="104"/>
      <c r="I456" s="36"/>
      <c r="L456" s="98"/>
      <c r="M456" s="98"/>
      <c r="N456" s="36"/>
      <c r="T456" s="21"/>
    </row>
    <row r="457" spans="1:20" s="37" customFormat="1" ht="15.75" customHeight="1" x14ac:dyDescent="0.25">
      <c r="A457" s="96">
        <f t="shared" si="109"/>
        <v>8</v>
      </c>
      <c r="B457" s="97"/>
      <c r="C457" s="105"/>
      <c r="D457" s="106"/>
      <c r="E457" s="106"/>
      <c r="F457" s="106"/>
      <c r="G457" s="106"/>
      <c r="H457" s="107"/>
      <c r="I457" s="36"/>
      <c r="L457" s="98"/>
      <c r="M457" s="98"/>
      <c r="N457" s="36"/>
      <c r="T457" s="21"/>
    </row>
    <row r="458" spans="1:20" s="37" customFormat="1" x14ac:dyDescent="0.25">
      <c r="A458" s="99" t="s">
        <v>116</v>
      </c>
      <c r="B458" s="100"/>
      <c r="C458" s="100"/>
      <c r="D458" s="100"/>
      <c r="E458" s="100"/>
      <c r="F458" s="100"/>
      <c r="G458" s="100"/>
      <c r="H458" s="101"/>
      <c r="J458" s="36"/>
    </row>
    <row r="459" spans="1:20" s="37" customFormat="1" ht="15.75" customHeight="1" x14ac:dyDescent="0.25">
      <c r="A459" s="96">
        <v>1</v>
      </c>
      <c r="B459" s="97"/>
      <c r="C459" s="42" t="s">
        <v>400</v>
      </c>
      <c r="D459" s="42">
        <f>(92.63)*10.764</f>
        <v>997.06931999999983</v>
      </c>
      <c r="E459" s="42">
        <f>(3.15+2.95+0.65*3.25+2.1*1)*10.764</f>
        <v>111.00375</v>
      </c>
      <c r="F459" s="42">
        <f>D459+E459</f>
        <v>1108.0730699999999</v>
      </c>
      <c r="G459" s="42">
        <v>0</v>
      </c>
      <c r="H459" s="42">
        <f>F459*(($H$203)+1)+(IF(G459&lt;101,G459,IF(G459&lt;201,G459/2,IF(G459&lt;=301,G459/3,G459/4))))</f>
        <v>1662.1096049999999</v>
      </c>
      <c r="I459" s="36"/>
      <c r="L459" s="98"/>
      <c r="M459" s="98"/>
      <c r="N459" s="36"/>
    </row>
    <row r="460" spans="1:20" s="37" customFormat="1" ht="15.75" customHeight="1" x14ac:dyDescent="0.25">
      <c r="A460" s="96">
        <f>A459+1</f>
        <v>2</v>
      </c>
      <c r="B460" s="97"/>
      <c r="C460" s="42" t="s">
        <v>396</v>
      </c>
      <c r="D460" s="42">
        <f>(69.06)*10.764</f>
        <v>743.36184000000003</v>
      </c>
      <c r="E460" s="42">
        <f>(2.8+2.63+0.65*3.05)*10.764</f>
        <v>79.788149999999987</v>
      </c>
      <c r="F460" s="42">
        <f>D460+E460</f>
        <v>823.14999</v>
      </c>
      <c r="G460" s="42">
        <v>0</v>
      </c>
      <c r="H460" s="42">
        <f>F460*(($H$203)+1)+(IF(G460&lt;101,G460,IF(G460&lt;201,G460/2,IF(G460&lt;=301,G460/3,G460/4))))</f>
        <v>1234.7249850000001</v>
      </c>
      <c r="I460" s="36"/>
      <c r="L460" s="98"/>
      <c r="M460" s="98"/>
      <c r="N460" s="36"/>
    </row>
    <row r="461" spans="1:20" s="37" customFormat="1" ht="15.75" customHeight="1" x14ac:dyDescent="0.25">
      <c r="A461" s="96">
        <f>A460+1</f>
        <v>3</v>
      </c>
      <c r="B461" s="97"/>
      <c r="C461" s="42" t="s">
        <v>400</v>
      </c>
      <c r="D461" s="42">
        <f>(105.56)*10.764</f>
        <v>1136.24784</v>
      </c>
      <c r="E461" s="42">
        <f>(2.98+3.5+2.33+0.65*2.78)*10.764</f>
        <v>114.28138800000001</v>
      </c>
      <c r="F461" s="42">
        <f>D461+E461</f>
        <v>1250.5292280000001</v>
      </c>
      <c r="G461" s="42">
        <v>0</v>
      </c>
      <c r="H461" s="42">
        <f>F461*(($H$203)+1)+(IF(G461&lt;101,G461,IF(G461&lt;201,G461/2,IF(G461&lt;=301,G461/3,G461/4))))</f>
        <v>1875.793842</v>
      </c>
      <c r="I461" s="36"/>
      <c r="L461" s="98"/>
      <c r="M461" s="98"/>
      <c r="N461" s="36"/>
    </row>
    <row r="462" spans="1:20" s="37" customFormat="1" ht="15.75" customHeight="1" x14ac:dyDescent="0.25">
      <c r="A462" s="96">
        <f>A461+1</f>
        <v>4</v>
      </c>
      <c r="B462" s="97"/>
      <c r="C462" s="42" t="s">
        <v>396</v>
      </c>
      <c r="D462" s="42">
        <f>(61.37)*10.764</f>
        <v>660.58667999999989</v>
      </c>
      <c r="E462" s="42">
        <f>(2.33*1.2+2.9*1.1)*10.764</f>
        <v>64.433303999999993</v>
      </c>
      <c r="F462" s="42">
        <f>D462+E462</f>
        <v>725.01998399999991</v>
      </c>
      <c r="G462" s="42">
        <v>0</v>
      </c>
      <c r="H462" s="42">
        <f>F462*(($H$203)+1)+(IF(G462&lt;101,G462,IF(G462&lt;201,G462/2,IF(G462&lt;=301,G462/3,G462/4))))</f>
        <v>1087.5299759999998</v>
      </c>
      <c r="I462" s="36"/>
      <c r="L462" s="98"/>
      <c r="M462" s="98"/>
      <c r="N462" s="36"/>
      <c r="T462" s="21"/>
    </row>
    <row r="463" spans="1:20" s="37" customFormat="1" ht="15.75" customHeight="1" x14ac:dyDescent="0.25">
      <c r="A463" s="96">
        <f t="shared" ref="A463:A466" si="112">A462+1</f>
        <v>5</v>
      </c>
      <c r="B463" s="97"/>
      <c r="C463" s="42" t="s">
        <v>400</v>
      </c>
      <c r="D463" s="42">
        <f>(92.55)*10.764</f>
        <v>996.20819999999992</v>
      </c>
      <c r="E463" s="42">
        <f>(2.1+3.15+2.95+0.65*3.28)*10.764</f>
        <v>111.21364799999998</v>
      </c>
      <c r="F463" s="42">
        <f t="shared" ref="F463:F466" si="113">D463+E463</f>
        <v>1107.421848</v>
      </c>
      <c r="G463" s="42">
        <v>0</v>
      </c>
      <c r="H463" s="42">
        <f t="shared" ref="H463:H466" si="114">F463*(($H$203)+1)+(IF(G463&lt;101,G463,IF(G463&lt;201,G463/2,IF(G463&lt;=301,G463/3,G463/4))))</f>
        <v>1661.1327719999999</v>
      </c>
      <c r="I463" s="36"/>
      <c r="L463" s="98"/>
      <c r="M463" s="98"/>
      <c r="N463" s="36"/>
      <c r="T463" s="21"/>
    </row>
    <row r="464" spans="1:20" s="37" customFormat="1" ht="15.75" customHeight="1" x14ac:dyDescent="0.25">
      <c r="A464" s="96">
        <f t="shared" si="112"/>
        <v>6</v>
      </c>
      <c r="B464" s="97"/>
      <c r="C464" s="42" t="s">
        <v>396</v>
      </c>
      <c r="D464" s="42">
        <f>(69.05)*10.764</f>
        <v>743.25419999999997</v>
      </c>
      <c r="E464" s="42">
        <f>(2.8+2.63+0.65*3.05)*10.764</f>
        <v>79.788149999999987</v>
      </c>
      <c r="F464" s="42">
        <f t="shared" si="113"/>
        <v>823.04234999999994</v>
      </c>
      <c r="G464" s="42">
        <v>0</v>
      </c>
      <c r="H464" s="42">
        <f t="shared" si="114"/>
        <v>1234.563525</v>
      </c>
      <c r="I464" s="36"/>
      <c r="L464" s="98"/>
      <c r="M464" s="98"/>
      <c r="N464" s="36"/>
      <c r="T464" s="21"/>
    </row>
    <row r="465" spans="1:20" s="37" customFormat="1" ht="15.75" customHeight="1" x14ac:dyDescent="0.25">
      <c r="A465" s="96">
        <f t="shared" si="112"/>
        <v>7</v>
      </c>
      <c r="B465" s="97"/>
      <c r="C465" s="42" t="s">
        <v>400</v>
      </c>
      <c r="D465" s="42">
        <f>(105.47)*10.764</f>
        <v>1135.27908</v>
      </c>
      <c r="E465" s="42">
        <f>(2.98+3.5+2.33+0.65*2.78)*10.764</f>
        <v>114.28138800000001</v>
      </c>
      <c r="F465" s="42">
        <f t="shared" si="113"/>
        <v>1249.5604680000001</v>
      </c>
      <c r="G465" s="42">
        <v>0</v>
      </c>
      <c r="H465" s="42">
        <f t="shared" si="114"/>
        <v>1874.3407020000002</v>
      </c>
      <c r="I465" s="36"/>
      <c r="L465" s="98"/>
      <c r="M465" s="98"/>
      <c r="N465" s="36"/>
      <c r="T465" s="21"/>
    </row>
    <row r="466" spans="1:20" s="37" customFormat="1" ht="15.75" customHeight="1" x14ac:dyDescent="0.25">
      <c r="A466" s="96">
        <f t="shared" si="112"/>
        <v>8</v>
      </c>
      <c r="B466" s="97"/>
      <c r="C466" s="42" t="s">
        <v>396</v>
      </c>
      <c r="D466" s="42">
        <f>(62.5)*10.764</f>
        <v>672.75</v>
      </c>
      <c r="E466" s="42">
        <f>(3.1*1.1+2.9*1.1+2.32*1.2)*10.764</f>
        <v>101.009376</v>
      </c>
      <c r="F466" s="42">
        <f t="shared" si="113"/>
        <v>773.75937599999997</v>
      </c>
      <c r="G466" s="42">
        <v>0</v>
      </c>
      <c r="H466" s="42">
        <f t="shared" si="114"/>
        <v>1160.639064</v>
      </c>
      <c r="I466" s="36"/>
      <c r="L466" s="98"/>
      <c r="M466" s="98"/>
      <c r="N466" s="36"/>
      <c r="T466" s="21"/>
    </row>
    <row r="467" spans="1:20" s="37" customFormat="1" x14ac:dyDescent="0.25">
      <c r="A467" s="99" t="s">
        <v>398</v>
      </c>
      <c r="B467" s="100"/>
      <c r="C467" s="100"/>
      <c r="D467" s="100"/>
      <c r="E467" s="100"/>
      <c r="F467" s="100"/>
      <c r="G467" s="100"/>
      <c r="H467" s="101"/>
      <c r="J467" s="36"/>
    </row>
    <row r="468" spans="1:20" s="37" customFormat="1" ht="15.75" customHeight="1" x14ac:dyDescent="0.25">
      <c r="A468" s="96">
        <v>1</v>
      </c>
      <c r="B468" s="97"/>
      <c r="C468" s="42" t="s">
        <v>400</v>
      </c>
      <c r="D468" s="42">
        <f>(92.52)*10.764</f>
        <v>995.88527999999985</v>
      </c>
      <c r="E468" s="42">
        <f>(3.15+2.95+0.65*3.25+2.1*1)*10.764</f>
        <v>111.00375</v>
      </c>
      <c r="F468" s="42">
        <f>D468+E468</f>
        <v>1106.8890299999998</v>
      </c>
      <c r="G468" s="42">
        <v>0</v>
      </c>
      <c r="H468" s="42">
        <f>F468*(($H$203)+1)+(IF(G468&lt;101,G468,IF(G468&lt;201,G468/2,IF(G468&lt;=301,G468/3,G468/4))))</f>
        <v>1660.3335449999997</v>
      </c>
      <c r="I468" s="36"/>
      <c r="L468" s="98"/>
      <c r="M468" s="98"/>
      <c r="N468" s="36"/>
    </row>
    <row r="469" spans="1:20" s="37" customFormat="1" ht="15.75" customHeight="1" x14ac:dyDescent="0.25">
      <c r="A469" s="96">
        <f>A468+1</f>
        <v>2</v>
      </c>
      <c r="B469" s="97"/>
      <c r="C469" s="42" t="s">
        <v>396</v>
      </c>
      <c r="D469" s="42">
        <f>(69.465)*10.764</f>
        <v>747.72126000000003</v>
      </c>
      <c r="E469" s="42">
        <f>(2.8+2.63+2.55+0.65*3.05)*10.764</f>
        <v>107.23634999999997</v>
      </c>
      <c r="F469" s="42">
        <f>D469+E469</f>
        <v>854.95761000000005</v>
      </c>
      <c r="G469" s="42">
        <v>0</v>
      </c>
      <c r="H469" s="42">
        <f>F469*(($H$203)+1)+(IF(G469&lt;101,G469,IF(G469&lt;201,G469/2,IF(G469&lt;=301,G469/3,G469/4))))</f>
        <v>1282.4364150000001</v>
      </c>
      <c r="I469" s="36"/>
      <c r="L469" s="98"/>
      <c r="M469" s="98"/>
      <c r="N469" s="36"/>
    </row>
    <row r="470" spans="1:20" s="37" customFormat="1" ht="15.75" customHeight="1" x14ac:dyDescent="0.25">
      <c r="A470" s="96">
        <f>A469+1</f>
        <v>3</v>
      </c>
      <c r="B470" s="97"/>
      <c r="C470" s="42" t="s">
        <v>400</v>
      </c>
      <c r="D470" s="42">
        <f>(105.59)*10.764</f>
        <v>1136.5707600000001</v>
      </c>
      <c r="E470" s="42">
        <f>(2.98+3.5+2.33+0.65*2.78)*10.764</f>
        <v>114.28138800000001</v>
      </c>
      <c r="F470" s="42">
        <f>D470+E470</f>
        <v>1250.8521480000002</v>
      </c>
      <c r="G470" s="42">
        <v>0</v>
      </c>
      <c r="H470" s="42">
        <f>F470*(($H$203)+1)+(IF(G470&lt;101,G470,IF(G470&lt;201,G470/2,IF(G470&lt;=301,G470/3,G470/4))))</f>
        <v>1876.2782220000004</v>
      </c>
      <c r="I470" s="36"/>
      <c r="L470" s="98"/>
      <c r="M470" s="98"/>
      <c r="N470" s="36"/>
    </row>
    <row r="471" spans="1:20" s="37" customFormat="1" ht="15.75" customHeight="1" x14ac:dyDescent="0.25">
      <c r="A471" s="96">
        <f>A470+1</f>
        <v>4</v>
      </c>
      <c r="B471" s="97"/>
      <c r="C471" s="42" t="s">
        <v>396</v>
      </c>
      <c r="D471" s="42">
        <f>(60.91)*10.764</f>
        <v>655.63523999999995</v>
      </c>
      <c r="E471" s="42">
        <f>(2.33*1.2)*10.764</f>
        <v>30.096143999999995</v>
      </c>
      <c r="F471" s="42">
        <f>D471+E471</f>
        <v>685.73138399999993</v>
      </c>
      <c r="G471" s="42">
        <v>0</v>
      </c>
      <c r="H471" s="42">
        <f>F471*(($H$203)+1)+(IF(G471&lt;101,G471,IF(G471&lt;201,G471/2,IF(G471&lt;=301,G471/3,G471/4))))</f>
        <v>1028.597076</v>
      </c>
      <c r="I471" s="36"/>
      <c r="L471" s="98"/>
      <c r="M471" s="98"/>
      <c r="N471" s="36"/>
      <c r="T471" s="21"/>
    </row>
    <row r="472" spans="1:20" s="37" customFormat="1" ht="15.75" customHeight="1" x14ac:dyDescent="0.25">
      <c r="A472" s="96">
        <f t="shared" ref="A472:A475" si="115">A471+1</f>
        <v>5</v>
      </c>
      <c r="B472" s="97"/>
      <c r="C472" s="42" t="s">
        <v>400</v>
      </c>
      <c r="D472" s="42">
        <f>(92.53)*10.764</f>
        <v>995.99291999999991</v>
      </c>
      <c r="E472" s="42">
        <f>(2.1+3.15+2.95+0.65*3.28)*10.764</f>
        <v>111.21364799999998</v>
      </c>
      <c r="F472" s="42">
        <f t="shared" ref="F472:F475" si="116">D472+E472</f>
        <v>1107.2065679999998</v>
      </c>
      <c r="G472" s="42">
        <v>0</v>
      </c>
      <c r="H472" s="42">
        <f t="shared" ref="H472:H475" si="117">F472*(($H$203)+1)+(IF(G472&lt;101,G472,IF(G472&lt;201,G472/2,IF(G472&lt;=301,G472/3,G472/4))))</f>
        <v>1660.8098519999999</v>
      </c>
      <c r="I472" s="36"/>
      <c r="L472" s="98"/>
      <c r="M472" s="98"/>
      <c r="N472" s="36"/>
      <c r="T472" s="21"/>
    </row>
    <row r="473" spans="1:20" s="37" customFormat="1" ht="15.75" customHeight="1" x14ac:dyDescent="0.25">
      <c r="A473" s="96">
        <f t="shared" si="115"/>
        <v>6</v>
      </c>
      <c r="B473" s="97"/>
      <c r="C473" s="102" t="s">
        <v>399</v>
      </c>
      <c r="D473" s="103"/>
      <c r="E473" s="103"/>
      <c r="F473" s="103"/>
      <c r="G473" s="103"/>
      <c r="H473" s="104"/>
      <c r="I473" s="36"/>
      <c r="L473" s="98"/>
      <c r="M473" s="98"/>
      <c r="N473" s="36"/>
      <c r="T473" s="21"/>
    </row>
    <row r="474" spans="1:20" s="37" customFormat="1" ht="15.75" customHeight="1" x14ac:dyDescent="0.25">
      <c r="A474" s="96">
        <f t="shared" si="115"/>
        <v>7</v>
      </c>
      <c r="B474" s="97"/>
      <c r="C474" s="105"/>
      <c r="D474" s="106"/>
      <c r="E474" s="106"/>
      <c r="F474" s="106"/>
      <c r="G474" s="106"/>
      <c r="H474" s="107"/>
      <c r="I474" s="36"/>
      <c r="L474" s="98"/>
      <c r="M474" s="98"/>
      <c r="N474" s="36"/>
      <c r="T474" s="21"/>
    </row>
    <row r="475" spans="1:20" s="37" customFormat="1" ht="15.75" customHeight="1" x14ac:dyDescent="0.25">
      <c r="A475" s="96">
        <f t="shared" si="115"/>
        <v>8</v>
      </c>
      <c r="B475" s="97"/>
      <c r="C475" s="42" t="s">
        <v>396</v>
      </c>
      <c r="D475" s="42">
        <f>(60.9)*10.764</f>
        <v>655.52759999999989</v>
      </c>
      <c r="E475" s="42">
        <f>(2.32*1.2)*10.764</f>
        <v>29.966975999999995</v>
      </c>
      <c r="F475" s="42">
        <f t="shared" si="116"/>
        <v>685.49457599999994</v>
      </c>
      <c r="G475" s="42">
        <v>0</v>
      </c>
      <c r="H475" s="42">
        <f t="shared" si="117"/>
        <v>1028.2418639999999</v>
      </c>
      <c r="I475" s="36"/>
      <c r="L475" s="98"/>
      <c r="M475" s="98"/>
      <c r="N475" s="36"/>
      <c r="T475" s="21"/>
    </row>
    <row r="476" spans="1:20" s="37" customFormat="1" x14ac:dyDescent="0.25">
      <c r="A476" s="99" t="s">
        <v>401</v>
      </c>
      <c r="B476" s="100"/>
      <c r="C476" s="100"/>
      <c r="D476" s="100"/>
      <c r="E476" s="100"/>
      <c r="F476" s="100"/>
      <c r="G476" s="100"/>
      <c r="H476" s="101"/>
      <c r="J476" s="36"/>
    </row>
    <row r="477" spans="1:20" s="37" customFormat="1" ht="15.75" customHeight="1" x14ac:dyDescent="0.25">
      <c r="A477" s="96">
        <v>1</v>
      </c>
      <c r="B477" s="97"/>
      <c r="C477" s="42" t="s">
        <v>400</v>
      </c>
      <c r="D477" s="42">
        <f>(92.65)*10.764</f>
        <v>997.28459999999995</v>
      </c>
      <c r="E477" s="42">
        <f>(3.15+2.95+0.65*3.25+2.1*1)*10.764</f>
        <v>111.00375</v>
      </c>
      <c r="F477" s="42">
        <f>D477+E477</f>
        <v>1108.28835</v>
      </c>
      <c r="G477" s="42">
        <v>0</v>
      </c>
      <c r="H477" s="42">
        <f>F477*(($H$203)+1)+(IF(G477&lt;101,G477,IF(G477&lt;201,G477/2,IF(G477&lt;=301,G477/3,G477/4))))</f>
        <v>1662.4325250000002</v>
      </c>
      <c r="I477" s="36"/>
      <c r="L477" s="98"/>
      <c r="M477" s="98"/>
      <c r="N477" s="36"/>
    </row>
    <row r="478" spans="1:20" s="37" customFormat="1" ht="15.75" customHeight="1" x14ac:dyDescent="0.25">
      <c r="A478" s="96">
        <f>A477+1</f>
        <v>2</v>
      </c>
      <c r="B478" s="97"/>
      <c r="C478" s="42" t="s">
        <v>396</v>
      </c>
      <c r="D478" s="42">
        <f>(69.46)*10.764</f>
        <v>747.66743999999994</v>
      </c>
      <c r="E478" s="42">
        <f>(2.8+2.63+2.55+0.65*3.05)*10.764</f>
        <v>107.23634999999997</v>
      </c>
      <c r="F478" s="42">
        <f>D478+E478</f>
        <v>854.90378999999996</v>
      </c>
      <c r="G478" s="42">
        <v>0</v>
      </c>
      <c r="H478" s="42">
        <f>F478*(($H$203)+1)+(IF(G478&lt;101,G478,IF(G478&lt;201,G478/2,IF(G478&lt;=301,G478/3,G478/4))))</f>
        <v>1282.355685</v>
      </c>
      <c r="I478" s="36"/>
      <c r="L478" s="98"/>
      <c r="M478" s="98"/>
      <c r="N478" s="36"/>
    </row>
    <row r="479" spans="1:20" s="37" customFormat="1" ht="15.75" customHeight="1" x14ac:dyDescent="0.25">
      <c r="A479" s="96">
        <f>A478+1</f>
        <v>3</v>
      </c>
      <c r="B479" s="97"/>
      <c r="C479" s="42" t="s">
        <v>400</v>
      </c>
      <c r="D479" s="42">
        <f>(105.59)*10.764</f>
        <v>1136.5707600000001</v>
      </c>
      <c r="E479" s="42">
        <f>(2.98+3.5+2.33+0.65*2.78)*10.764</f>
        <v>114.28138800000001</v>
      </c>
      <c r="F479" s="42">
        <f>D479+E479</f>
        <v>1250.8521480000002</v>
      </c>
      <c r="G479" s="42">
        <v>0</v>
      </c>
      <c r="H479" s="42">
        <f>F479*(($H$203)+1)+(IF(G479&lt;101,G479,IF(G479&lt;201,G479/2,IF(G479&lt;=301,G479/3,G479/4))))</f>
        <v>1876.2782220000004</v>
      </c>
      <c r="I479" s="36"/>
      <c r="L479" s="98"/>
      <c r="M479" s="98"/>
      <c r="N479" s="36"/>
    </row>
    <row r="480" spans="1:20" s="37" customFormat="1" ht="15.75" customHeight="1" x14ac:dyDescent="0.25">
      <c r="A480" s="96">
        <f>A479+1</f>
        <v>4</v>
      </c>
      <c r="B480" s="97"/>
      <c r="C480" s="42" t="s">
        <v>396</v>
      </c>
      <c r="D480" s="42">
        <f>(60.9)*10.764</f>
        <v>655.52759999999989</v>
      </c>
      <c r="E480" s="42">
        <f>(2.33*1.2)*10.764</f>
        <v>30.096143999999995</v>
      </c>
      <c r="F480" s="42">
        <f>D480+E480</f>
        <v>685.62374399999987</v>
      </c>
      <c r="G480" s="42">
        <v>0</v>
      </c>
      <c r="H480" s="42">
        <f>F480*(($H$203)+1)+(IF(G480&lt;101,G480,IF(G480&lt;201,G480/2,IF(G480&lt;=301,G480/3,G480/4))))</f>
        <v>1028.4356159999998</v>
      </c>
      <c r="I480" s="36"/>
      <c r="L480" s="98"/>
      <c r="M480" s="98"/>
      <c r="N480" s="36"/>
      <c r="T480" s="21"/>
    </row>
    <row r="481" spans="1:20" s="37" customFormat="1" ht="15.75" customHeight="1" x14ac:dyDescent="0.25">
      <c r="A481" s="96">
        <f t="shared" ref="A481:A484" si="118">A480+1</f>
        <v>5</v>
      </c>
      <c r="B481" s="97"/>
      <c r="C481" s="42" t="s">
        <v>400</v>
      </c>
      <c r="D481" s="42">
        <f>(92.55)*10.764</f>
        <v>996.20819999999992</v>
      </c>
      <c r="E481" s="42">
        <f>(2.1+3.15+2.95+0.65*3.28)*10.764</f>
        <v>111.21364799999998</v>
      </c>
      <c r="F481" s="42">
        <f t="shared" ref="F481:F484" si="119">D481+E481</f>
        <v>1107.421848</v>
      </c>
      <c r="G481" s="42">
        <v>0</v>
      </c>
      <c r="H481" s="42">
        <f t="shared" ref="H481:H484" si="120">F481*(($H$203)+1)+(IF(G481&lt;101,G481,IF(G481&lt;201,G481/2,IF(G481&lt;=301,G481/3,G481/4))))</f>
        <v>1661.1327719999999</v>
      </c>
      <c r="I481" s="36"/>
      <c r="L481" s="98"/>
      <c r="M481" s="98"/>
      <c r="N481" s="36"/>
      <c r="T481" s="21"/>
    </row>
    <row r="482" spans="1:20" s="37" customFormat="1" ht="15.75" customHeight="1" x14ac:dyDescent="0.25">
      <c r="A482" s="96">
        <f t="shared" si="118"/>
        <v>6</v>
      </c>
      <c r="B482" s="97"/>
      <c r="C482" s="42" t="s">
        <v>396</v>
      </c>
      <c r="D482" s="42">
        <f>(69.59)*10.764</f>
        <v>749.06676000000004</v>
      </c>
      <c r="E482" s="42">
        <f>(2.8+2.63+2.55+0.65*3.05)*10.764</f>
        <v>107.23634999999997</v>
      </c>
      <c r="F482" s="42">
        <f t="shared" si="119"/>
        <v>856.30311000000006</v>
      </c>
      <c r="G482" s="42">
        <v>0</v>
      </c>
      <c r="H482" s="42">
        <f t="shared" si="120"/>
        <v>1284.4546650000002</v>
      </c>
      <c r="I482" s="36"/>
      <c r="L482" s="98"/>
      <c r="M482" s="98"/>
      <c r="N482" s="36"/>
      <c r="T482" s="21"/>
    </row>
    <row r="483" spans="1:20" s="37" customFormat="1" ht="15.75" customHeight="1" x14ac:dyDescent="0.25">
      <c r="A483" s="96">
        <f t="shared" si="118"/>
        <v>7</v>
      </c>
      <c r="B483" s="97"/>
      <c r="C483" s="42" t="s">
        <v>400</v>
      </c>
      <c r="D483" s="42">
        <f>(105.47)*10.764</f>
        <v>1135.27908</v>
      </c>
      <c r="E483" s="42">
        <f>(2.98+3.5+2.33+0.65*2.78)*10.764</f>
        <v>114.28138800000001</v>
      </c>
      <c r="F483" s="42">
        <f t="shared" si="119"/>
        <v>1249.5604680000001</v>
      </c>
      <c r="G483" s="42">
        <v>0</v>
      </c>
      <c r="H483" s="42">
        <f t="shared" si="120"/>
        <v>1874.3407020000002</v>
      </c>
      <c r="I483" s="36"/>
      <c r="L483" s="98"/>
      <c r="M483" s="98"/>
      <c r="N483" s="36"/>
      <c r="T483" s="21"/>
    </row>
    <row r="484" spans="1:20" s="37" customFormat="1" ht="15.75" customHeight="1" x14ac:dyDescent="0.25">
      <c r="A484" s="96">
        <f t="shared" si="118"/>
        <v>8</v>
      </c>
      <c r="B484" s="97"/>
      <c r="C484" s="42" t="s">
        <v>396</v>
      </c>
      <c r="D484" s="42">
        <f>(60.91)*10.764</f>
        <v>655.63523999999995</v>
      </c>
      <c r="E484" s="42">
        <f>(2.32*1.2)*10.764</f>
        <v>29.966975999999995</v>
      </c>
      <c r="F484" s="42">
        <f t="shared" si="119"/>
        <v>685.602216</v>
      </c>
      <c r="G484" s="42">
        <v>0</v>
      </c>
      <c r="H484" s="42">
        <f t="shared" si="120"/>
        <v>1028.4033239999999</v>
      </c>
      <c r="I484" s="36"/>
      <c r="L484" s="98"/>
      <c r="M484" s="98"/>
      <c r="N484" s="36"/>
      <c r="T484" s="21"/>
    </row>
    <row r="485" spans="1:20" s="37" customFormat="1" x14ac:dyDescent="0.25">
      <c r="A485" s="108" t="s">
        <v>422</v>
      </c>
      <c r="B485" s="108"/>
      <c r="C485" s="108"/>
      <c r="D485" s="108"/>
      <c r="E485" s="108"/>
      <c r="F485" s="108"/>
      <c r="G485" s="108"/>
      <c r="H485" s="108"/>
      <c r="J485" s="36"/>
    </row>
    <row r="486" spans="1:20" s="37" customFormat="1" ht="15.75" customHeight="1" x14ac:dyDescent="0.25">
      <c r="A486" s="109">
        <v>1</v>
      </c>
      <c r="B486" s="109"/>
      <c r="C486" s="42" t="s">
        <v>400</v>
      </c>
      <c r="D486" s="42">
        <f>(91.09)*10.764</f>
        <v>980.49275999999998</v>
      </c>
      <c r="E486" s="42">
        <f>(2.1*1)*10.764</f>
        <v>22.604399999999998</v>
      </c>
      <c r="F486" s="42">
        <f>D486+E486</f>
        <v>1003.09716</v>
      </c>
      <c r="G486" s="42">
        <v>0</v>
      </c>
      <c r="H486" s="42">
        <f>F486*(($H$203)+1)+(IF(G486&lt;101,G486,IF(G486&lt;201,G486/2,IF(G486&lt;=301,G486/3,G486/4))))</f>
        <v>1504.6457399999999</v>
      </c>
      <c r="I486" s="36"/>
      <c r="L486" s="98"/>
      <c r="M486" s="98"/>
      <c r="N486" s="36"/>
    </row>
    <row r="487" spans="1:20" s="37" customFormat="1" ht="15.75" customHeight="1" x14ac:dyDescent="0.25">
      <c r="A487" s="109">
        <f>A486+1</f>
        <v>2</v>
      </c>
      <c r="B487" s="109"/>
      <c r="C487" s="42" t="s">
        <v>396</v>
      </c>
      <c r="D487" s="42">
        <f>(68.07)*10.764</f>
        <v>732.70547999999985</v>
      </c>
      <c r="E487" s="42">
        <f>(2.63)*10.764</f>
        <v>28.309319999999996</v>
      </c>
      <c r="F487" s="42">
        <f>D487+E487</f>
        <v>761.01479999999981</v>
      </c>
      <c r="G487" s="42">
        <v>0</v>
      </c>
      <c r="H487" s="42">
        <f>F487*(($H$203)+1)+(IF(G487&lt;101,G487,IF(G487&lt;201,G487/2,IF(G487&lt;=301,G487/3,G487/4))))</f>
        <v>1141.5221999999997</v>
      </c>
      <c r="I487" s="36"/>
      <c r="L487" s="98"/>
      <c r="M487" s="98"/>
      <c r="N487" s="36"/>
    </row>
    <row r="488" spans="1:20" s="37" customFormat="1" ht="15.75" customHeight="1" x14ac:dyDescent="0.25">
      <c r="A488" s="109">
        <f>A487+1</f>
        <v>3</v>
      </c>
      <c r="B488" s="109"/>
      <c r="C488" s="42" t="s">
        <v>400</v>
      </c>
      <c r="D488" s="42">
        <f>(104.03)*10.764</f>
        <v>1119.77892</v>
      </c>
      <c r="E488" s="42">
        <f>(2.33)*10.764</f>
        <v>25.080120000000001</v>
      </c>
      <c r="F488" s="42">
        <f>D488+E488</f>
        <v>1144.85904</v>
      </c>
      <c r="G488" s="42">
        <v>0</v>
      </c>
      <c r="H488" s="42">
        <f>F488*(($H$203)+1)+(IF(G488&lt;101,G488,IF(G488&lt;201,G488/2,IF(G488&lt;=301,G488/3,G488/4))))</f>
        <v>1717.28856</v>
      </c>
      <c r="I488" s="36"/>
      <c r="L488" s="98"/>
      <c r="M488" s="98"/>
      <c r="N488" s="36"/>
    </row>
    <row r="489" spans="1:20" s="37" customFormat="1" ht="15.75" customHeight="1" x14ac:dyDescent="0.25">
      <c r="A489" s="109">
        <f>A488+1</f>
        <v>4</v>
      </c>
      <c r="B489" s="109"/>
      <c r="C489" s="42" t="s">
        <v>396</v>
      </c>
      <c r="D489" s="42">
        <f>(60.91)*10.764</f>
        <v>655.63523999999995</v>
      </c>
      <c r="E489" s="42">
        <f>(2.33*1.2)*10.764</f>
        <v>30.096143999999995</v>
      </c>
      <c r="F489" s="42">
        <f>D489+E489</f>
        <v>685.73138399999993</v>
      </c>
      <c r="G489" s="42">
        <v>0</v>
      </c>
      <c r="H489" s="42">
        <f>F489*(($H$203)+1)+(IF(G489&lt;101,G489,IF(G489&lt;201,G489/2,IF(G489&lt;=301,G489/3,G489/4))))</f>
        <v>1028.597076</v>
      </c>
      <c r="I489" s="36"/>
      <c r="L489" s="98"/>
      <c r="M489" s="98"/>
      <c r="N489" s="36"/>
      <c r="T489" s="21"/>
    </row>
    <row r="490" spans="1:20" s="37" customFormat="1" ht="15.75" customHeight="1" x14ac:dyDescent="0.25">
      <c r="A490" s="109">
        <f t="shared" ref="A490:A493" si="121">A489+1</f>
        <v>5</v>
      </c>
      <c r="B490" s="109"/>
      <c r="C490" s="42" t="s">
        <v>400</v>
      </c>
      <c r="D490" s="42">
        <f>(91)*10.764</f>
        <v>979.52399999999989</v>
      </c>
      <c r="E490" s="42">
        <f>(2.1)*10.764</f>
        <v>22.604399999999998</v>
      </c>
      <c r="F490" s="42">
        <f t="shared" ref="F490:F493" si="122">D490+E490</f>
        <v>1002.1283999999998</v>
      </c>
      <c r="G490" s="42">
        <v>0</v>
      </c>
      <c r="H490" s="42">
        <f t="shared" ref="H490:H493" si="123">F490*(($H$203)+1)+(IF(G490&lt;101,G490,IF(G490&lt;201,G490/2,IF(G490&lt;=301,G490/3,G490/4))))</f>
        <v>1503.1925999999999</v>
      </c>
      <c r="I490" s="36"/>
      <c r="L490" s="98"/>
      <c r="M490" s="98"/>
      <c r="N490" s="36"/>
      <c r="T490" s="21"/>
    </row>
    <row r="491" spans="1:20" s="37" customFormat="1" ht="15.75" customHeight="1" x14ac:dyDescent="0.25">
      <c r="A491" s="109">
        <f t="shared" si="121"/>
        <v>6</v>
      </c>
      <c r="B491" s="109"/>
      <c r="C491" s="42" t="s">
        <v>396</v>
      </c>
      <c r="D491" s="42">
        <f>(68.06)*10.764</f>
        <v>732.59784000000002</v>
      </c>
      <c r="E491" s="42">
        <f>(2.63)*10.764</f>
        <v>28.309319999999996</v>
      </c>
      <c r="F491" s="42">
        <f t="shared" si="122"/>
        <v>760.90715999999998</v>
      </c>
      <c r="G491" s="42">
        <v>0</v>
      </c>
      <c r="H491" s="42">
        <f t="shared" si="123"/>
        <v>1141.3607400000001</v>
      </c>
      <c r="I491" s="36"/>
      <c r="L491" s="98"/>
      <c r="M491" s="98"/>
      <c r="N491" s="36"/>
      <c r="T491" s="21"/>
    </row>
    <row r="492" spans="1:20" s="37" customFormat="1" ht="15.75" customHeight="1" x14ac:dyDescent="0.25">
      <c r="A492" s="109">
        <f t="shared" si="121"/>
        <v>7</v>
      </c>
      <c r="B492" s="109"/>
      <c r="C492" s="42" t="s">
        <v>400</v>
      </c>
      <c r="D492" s="42">
        <f>(103.99)*10.764</f>
        <v>1119.34836</v>
      </c>
      <c r="E492" s="42">
        <f>(2.33)*10.764</f>
        <v>25.080120000000001</v>
      </c>
      <c r="F492" s="42">
        <f t="shared" si="122"/>
        <v>1144.42848</v>
      </c>
      <c r="G492" s="42">
        <v>0</v>
      </c>
      <c r="H492" s="42">
        <f t="shared" si="123"/>
        <v>1716.6427200000001</v>
      </c>
      <c r="I492" s="36"/>
      <c r="L492" s="98"/>
      <c r="M492" s="98"/>
      <c r="N492" s="36"/>
      <c r="T492" s="21"/>
    </row>
    <row r="493" spans="1:20" s="37" customFormat="1" ht="15.75" customHeight="1" x14ac:dyDescent="0.25">
      <c r="A493" s="96">
        <f t="shared" si="121"/>
        <v>8</v>
      </c>
      <c r="B493" s="97"/>
      <c r="C493" s="42" t="s">
        <v>396</v>
      </c>
      <c r="D493" s="42">
        <f>(60.58)*10.764</f>
        <v>652.08311999999989</v>
      </c>
      <c r="E493" s="42">
        <f>(2.32*1.2)*10.764</f>
        <v>29.966975999999995</v>
      </c>
      <c r="F493" s="42">
        <f t="shared" si="122"/>
        <v>682.05009599999994</v>
      </c>
      <c r="G493" s="42">
        <v>0</v>
      </c>
      <c r="H493" s="42">
        <f t="shared" si="123"/>
        <v>1023.0751439999999</v>
      </c>
      <c r="I493" s="36"/>
      <c r="L493" s="98"/>
      <c r="M493" s="98"/>
      <c r="N493" s="36"/>
      <c r="T493" s="21"/>
    </row>
    <row r="494" spans="1:20" s="37" customFormat="1" x14ac:dyDescent="0.25">
      <c r="A494" s="99" t="s">
        <v>423</v>
      </c>
      <c r="B494" s="100"/>
      <c r="C494" s="100"/>
      <c r="D494" s="100"/>
      <c r="E494" s="100"/>
      <c r="F494" s="100"/>
      <c r="G494" s="100"/>
      <c r="H494" s="101"/>
      <c r="J494" s="36"/>
    </row>
    <row r="495" spans="1:20" s="37" customFormat="1" ht="15.75" customHeight="1" x14ac:dyDescent="0.25">
      <c r="A495" s="96">
        <v>1</v>
      </c>
      <c r="B495" s="97"/>
      <c r="C495" s="42" t="s">
        <v>400</v>
      </c>
      <c r="D495" s="42">
        <f>(92.65)*10.764</f>
        <v>997.28459999999995</v>
      </c>
      <c r="E495" s="42">
        <f>(3.15+2.95+0.65*3.25+2.1*1)*10.764</f>
        <v>111.00375</v>
      </c>
      <c r="F495" s="42">
        <f>D495+E495</f>
        <v>1108.28835</v>
      </c>
      <c r="G495" s="42">
        <v>0</v>
      </c>
      <c r="H495" s="42">
        <f>F495*(($H$203)+1)+(IF(G495&lt;101,G495,IF(G495&lt;201,G495/2,IF(G495&lt;=301,G495/3,G495/4))))</f>
        <v>1662.4325250000002</v>
      </c>
      <c r="I495" s="36"/>
      <c r="L495" s="98"/>
      <c r="M495" s="98"/>
      <c r="N495" s="36"/>
    </row>
    <row r="496" spans="1:20" s="37" customFormat="1" ht="15.75" customHeight="1" x14ac:dyDescent="0.25">
      <c r="A496" s="96">
        <f>A495+1</f>
        <v>2</v>
      </c>
      <c r="B496" s="97"/>
      <c r="C496" s="42" t="s">
        <v>396</v>
      </c>
      <c r="D496" s="42">
        <f>(69.46)*10.764</f>
        <v>747.66743999999994</v>
      </c>
      <c r="E496" s="42">
        <f>(2.8+2.63+2.55+0.65*3.05)*10.764</f>
        <v>107.23634999999997</v>
      </c>
      <c r="F496" s="42">
        <f>D496+E496</f>
        <v>854.90378999999996</v>
      </c>
      <c r="G496" s="42">
        <v>0</v>
      </c>
      <c r="H496" s="42">
        <f>F496*(($H$203)+1)+(IF(G496&lt;101,G496,IF(G496&lt;201,G496/2,IF(G496&lt;=301,G496/3,G496/4))))</f>
        <v>1282.355685</v>
      </c>
      <c r="I496" s="36"/>
      <c r="L496" s="98"/>
      <c r="M496" s="98"/>
      <c r="N496" s="36"/>
    </row>
    <row r="497" spans="1:20" s="37" customFormat="1" ht="15.75" customHeight="1" x14ac:dyDescent="0.25">
      <c r="A497" s="96">
        <f>A496+1</f>
        <v>3</v>
      </c>
      <c r="B497" s="97"/>
      <c r="C497" s="42" t="s">
        <v>400</v>
      </c>
      <c r="D497" s="42">
        <f>(105.59)*10.764</f>
        <v>1136.5707600000001</v>
      </c>
      <c r="E497" s="42">
        <f>(2.98+3.5+2.33+0.65*2.78)*10.764</f>
        <v>114.28138800000001</v>
      </c>
      <c r="F497" s="42">
        <f>D497+E497</f>
        <v>1250.8521480000002</v>
      </c>
      <c r="G497" s="42">
        <v>0</v>
      </c>
      <c r="H497" s="42">
        <f>F497*(($H$203)+1)+(IF(G497&lt;101,G497,IF(G497&lt;201,G497/2,IF(G497&lt;=301,G497/3,G497/4))))</f>
        <v>1876.2782220000004</v>
      </c>
      <c r="I497" s="36"/>
      <c r="L497" s="98"/>
      <c r="M497" s="98"/>
      <c r="N497" s="36"/>
    </row>
    <row r="498" spans="1:20" s="37" customFormat="1" ht="15.75" customHeight="1" x14ac:dyDescent="0.25">
      <c r="A498" s="96">
        <f>A497+1</f>
        <v>4</v>
      </c>
      <c r="B498" s="97"/>
      <c r="C498" s="42" t="s">
        <v>396</v>
      </c>
      <c r="D498" s="42">
        <f>(63.47)*10.764</f>
        <v>683.19107999999994</v>
      </c>
      <c r="E498" s="42">
        <f>(2.33*1.2+2.9*1.1)*10.764</f>
        <v>64.433303999999993</v>
      </c>
      <c r="F498" s="42">
        <f>D498+E498</f>
        <v>747.62438399999996</v>
      </c>
      <c r="G498" s="42">
        <v>0</v>
      </c>
      <c r="H498" s="42">
        <f>F498*(($H$203)+1)+(IF(G498&lt;101,G498,IF(G498&lt;201,G498/2,IF(G498&lt;=301,G498/3,G498/4))))</f>
        <v>1121.4365760000001</v>
      </c>
      <c r="I498" s="36"/>
      <c r="L498" s="98"/>
      <c r="M498" s="98"/>
      <c r="N498" s="36"/>
      <c r="T498" s="21"/>
    </row>
    <row r="499" spans="1:20" s="37" customFormat="1" ht="15.75" customHeight="1" x14ac:dyDescent="0.25">
      <c r="A499" s="96">
        <f t="shared" ref="A499:A502" si="124">A498+1</f>
        <v>5</v>
      </c>
      <c r="B499" s="97"/>
      <c r="C499" s="42" t="s">
        <v>400</v>
      </c>
      <c r="D499" s="42">
        <f>(92.52)*10.764</f>
        <v>995.88527999999985</v>
      </c>
      <c r="E499" s="42">
        <f>(2.1+3.15+2.95+0.65*3.28)*10.764</f>
        <v>111.21364799999998</v>
      </c>
      <c r="F499" s="42">
        <f t="shared" ref="F499:F502" si="125">D499+E499</f>
        <v>1107.0989279999999</v>
      </c>
      <c r="G499" s="42">
        <v>0</v>
      </c>
      <c r="H499" s="42">
        <f>F499*(($H$203)+1)+(IF(G499&lt;101,G499,IF(G499&lt;201,G499/2,IF(G499&lt;=301,G499/3,G499/4))))</f>
        <v>1660.6483919999998</v>
      </c>
      <c r="I499" s="36"/>
      <c r="L499" s="98"/>
      <c r="M499" s="98"/>
      <c r="N499" s="36"/>
      <c r="T499" s="21"/>
    </row>
    <row r="500" spans="1:20" s="37" customFormat="1" ht="15.75" customHeight="1" x14ac:dyDescent="0.25">
      <c r="A500" s="96">
        <f t="shared" si="124"/>
        <v>6</v>
      </c>
      <c r="B500" s="97"/>
      <c r="C500" s="102" t="s">
        <v>399</v>
      </c>
      <c r="D500" s="103"/>
      <c r="E500" s="103"/>
      <c r="F500" s="103"/>
      <c r="G500" s="103"/>
      <c r="H500" s="104"/>
      <c r="I500" s="36"/>
      <c r="L500" s="98"/>
      <c r="M500" s="98"/>
      <c r="N500" s="36"/>
      <c r="T500" s="21"/>
    </row>
    <row r="501" spans="1:20" s="37" customFormat="1" ht="15.75" customHeight="1" x14ac:dyDescent="0.25">
      <c r="A501" s="96">
        <f t="shared" si="124"/>
        <v>7</v>
      </c>
      <c r="B501" s="97"/>
      <c r="C501" s="105"/>
      <c r="D501" s="106"/>
      <c r="E501" s="106"/>
      <c r="F501" s="106"/>
      <c r="G501" s="106"/>
      <c r="H501" s="107"/>
      <c r="I501" s="36"/>
      <c r="L501" s="98"/>
      <c r="M501" s="98"/>
      <c r="N501" s="36"/>
      <c r="T501" s="21"/>
    </row>
    <row r="502" spans="1:20" s="37" customFormat="1" ht="15.75" customHeight="1" x14ac:dyDescent="0.25">
      <c r="A502" s="96">
        <f t="shared" si="124"/>
        <v>8</v>
      </c>
      <c r="B502" s="97"/>
      <c r="C502" s="42" t="s">
        <v>396</v>
      </c>
      <c r="D502" s="42">
        <f>(63.48)*10.764</f>
        <v>683.29871999999989</v>
      </c>
      <c r="E502" s="42">
        <f>(2.32*1.2+2.9*1.1)*10.764</f>
        <v>64.304136</v>
      </c>
      <c r="F502" s="42">
        <f t="shared" si="125"/>
        <v>747.60285599999986</v>
      </c>
      <c r="G502" s="42">
        <v>0</v>
      </c>
      <c r="H502" s="42">
        <f>F502*(($H$203)+1)+(IF(G502&lt;101,G502,IF(G502&lt;201,G502/2,IF(G502&lt;=301,G502/3,G502/4))))</f>
        <v>1121.4042839999997</v>
      </c>
      <c r="I502" s="36"/>
      <c r="L502" s="98"/>
      <c r="M502" s="98"/>
      <c r="N502" s="36"/>
      <c r="T502" s="21"/>
    </row>
    <row r="503" spans="1:20" s="37" customFormat="1" x14ac:dyDescent="0.25">
      <c r="A503" s="99" t="s">
        <v>424</v>
      </c>
      <c r="B503" s="100"/>
      <c r="C503" s="100"/>
      <c r="D503" s="100"/>
      <c r="E503" s="100"/>
      <c r="F503" s="100"/>
      <c r="G503" s="100"/>
      <c r="H503" s="101"/>
      <c r="J503" s="36"/>
    </row>
    <row r="504" spans="1:20" s="37" customFormat="1" ht="15.75" customHeight="1" x14ac:dyDescent="0.25">
      <c r="A504" s="96">
        <v>1</v>
      </c>
      <c r="B504" s="97"/>
      <c r="C504" s="42" t="s">
        <v>400</v>
      </c>
      <c r="D504" s="42">
        <f>(92.52)*10.764</f>
        <v>995.88527999999985</v>
      </c>
      <c r="E504" s="42">
        <f>(3.15+2.95+0.65*3.25+2.1*1)*10.764</f>
        <v>111.00375</v>
      </c>
      <c r="F504" s="42">
        <f>D504+E504</f>
        <v>1106.8890299999998</v>
      </c>
      <c r="G504" s="42">
        <v>0</v>
      </c>
      <c r="H504" s="42">
        <f>F504*(($H$203)+1)+(IF(G504&lt;101,G504,IF(G504&lt;201,G504/2,IF(G504&lt;=301,G504/3,G504/4))))</f>
        <v>1660.3335449999997</v>
      </c>
      <c r="I504" s="36"/>
      <c r="L504" s="98"/>
      <c r="M504" s="98"/>
      <c r="N504" s="36"/>
    </row>
    <row r="505" spans="1:20" s="37" customFormat="1" ht="15.75" customHeight="1" x14ac:dyDescent="0.25">
      <c r="A505" s="96">
        <f>A504+1</f>
        <v>2</v>
      </c>
      <c r="B505" s="97"/>
      <c r="C505" s="42" t="s">
        <v>396</v>
      </c>
      <c r="D505" s="42">
        <f>(69.45)*10.764</f>
        <v>747.5598</v>
      </c>
      <c r="E505" s="42">
        <f>(2.8+2.63+2.55+0.65*3.05)*10.764</f>
        <v>107.23634999999997</v>
      </c>
      <c r="F505" s="42">
        <f>D505+E505</f>
        <v>854.79615000000001</v>
      </c>
      <c r="G505" s="42">
        <v>0</v>
      </c>
      <c r="H505" s="42">
        <f>F505*(($H$203)+1)+(IF(G505&lt;101,G505,IF(G505&lt;201,G505/2,IF(G505&lt;=301,G505/3,G505/4))))</f>
        <v>1282.194225</v>
      </c>
      <c r="I505" s="36"/>
      <c r="L505" s="98"/>
      <c r="M505" s="98"/>
      <c r="N505" s="36"/>
    </row>
    <row r="506" spans="1:20" s="37" customFormat="1" ht="15.75" customHeight="1" x14ac:dyDescent="0.25">
      <c r="A506" s="96">
        <f>A505+1</f>
        <v>3</v>
      </c>
      <c r="B506" s="97"/>
      <c r="C506" s="42" t="s">
        <v>400</v>
      </c>
      <c r="D506" s="42">
        <f>(105.59)*10.764</f>
        <v>1136.5707600000001</v>
      </c>
      <c r="E506" s="42">
        <f>(2.98+3.5+2.33+0.65*2.78)*10.764</f>
        <v>114.28138800000001</v>
      </c>
      <c r="F506" s="42">
        <f>D506+E506</f>
        <v>1250.8521480000002</v>
      </c>
      <c r="G506" s="42">
        <v>0</v>
      </c>
      <c r="H506" s="42">
        <f>F506*(($H$203)+1)+(IF(G506&lt;101,G506,IF(G506&lt;201,G506/2,IF(G506&lt;=301,G506/3,G506/4))))</f>
        <v>1876.2782220000004</v>
      </c>
      <c r="I506" s="36"/>
      <c r="L506" s="98"/>
      <c r="M506" s="98"/>
      <c r="N506" s="36"/>
    </row>
    <row r="507" spans="1:20" s="37" customFormat="1" ht="15.75" customHeight="1" x14ac:dyDescent="0.25">
      <c r="A507" s="96">
        <f>A506+1</f>
        <v>4</v>
      </c>
      <c r="B507" s="97"/>
      <c r="C507" s="42" t="s">
        <v>396</v>
      </c>
      <c r="D507" s="42">
        <f>(63.47)*10.764</f>
        <v>683.19107999999994</v>
      </c>
      <c r="E507" s="42">
        <f>(2.33*1.2+2.9*1.2)*10.764</f>
        <v>67.554863999999995</v>
      </c>
      <c r="F507" s="42">
        <f>D507+E507</f>
        <v>750.74594399999989</v>
      </c>
      <c r="G507" s="42">
        <v>0</v>
      </c>
      <c r="H507" s="42">
        <f>F507*(($H$203)+1)+(IF(G507&lt;101,G507,IF(G507&lt;201,G507/2,IF(G507&lt;=301,G507/3,G507/4))))</f>
        <v>1126.1189159999999</v>
      </c>
      <c r="I507" s="36"/>
      <c r="L507" s="98"/>
      <c r="M507" s="98"/>
      <c r="N507" s="36"/>
      <c r="T507" s="21"/>
    </row>
    <row r="508" spans="1:20" s="37" customFormat="1" ht="15.75" customHeight="1" x14ac:dyDescent="0.25">
      <c r="A508" s="96">
        <f t="shared" ref="A508:A511" si="126">A507+1</f>
        <v>5</v>
      </c>
      <c r="B508" s="97"/>
      <c r="C508" s="42" t="s">
        <v>400</v>
      </c>
      <c r="D508" s="42">
        <f>(92.53)*10.764</f>
        <v>995.99291999999991</v>
      </c>
      <c r="E508" s="42">
        <f>(2.1+3.15+2.95+0.65*3.28)*10.764</f>
        <v>111.21364799999998</v>
      </c>
      <c r="F508" s="42">
        <f t="shared" ref="F508:F511" si="127">D508+E508</f>
        <v>1107.2065679999998</v>
      </c>
      <c r="G508" s="42">
        <v>0</v>
      </c>
      <c r="H508" s="42">
        <f t="shared" ref="H508:H511" si="128">F508*(($H$203)+1)+(IF(G508&lt;101,G508,IF(G508&lt;201,G508/2,IF(G508&lt;=301,G508/3,G508/4))))</f>
        <v>1660.8098519999999</v>
      </c>
      <c r="I508" s="36"/>
      <c r="L508" s="98"/>
      <c r="M508" s="98"/>
      <c r="N508" s="36"/>
      <c r="T508" s="21"/>
    </row>
    <row r="509" spans="1:20" s="37" customFormat="1" ht="15.75" customHeight="1" x14ac:dyDescent="0.25">
      <c r="A509" s="96">
        <f t="shared" si="126"/>
        <v>6</v>
      </c>
      <c r="B509" s="97"/>
      <c r="C509" s="42" t="s">
        <v>396</v>
      </c>
      <c r="D509" s="42">
        <f>(69.58)*10.764</f>
        <v>748.95911999999998</v>
      </c>
      <c r="E509" s="42">
        <f>(2.8+2.63+2.55+0.65*3.05)*10.764</f>
        <v>107.23634999999997</v>
      </c>
      <c r="F509" s="42">
        <f t="shared" si="127"/>
        <v>856.19547</v>
      </c>
      <c r="G509" s="42">
        <v>0</v>
      </c>
      <c r="H509" s="42">
        <f t="shared" si="128"/>
        <v>1284.2932049999999</v>
      </c>
      <c r="I509" s="36"/>
      <c r="L509" s="98"/>
      <c r="M509" s="98"/>
      <c r="N509" s="36"/>
      <c r="T509" s="21"/>
    </row>
    <row r="510" spans="1:20" s="37" customFormat="1" ht="15.75" customHeight="1" x14ac:dyDescent="0.25">
      <c r="A510" s="96">
        <f t="shared" si="126"/>
        <v>7</v>
      </c>
      <c r="B510" s="97"/>
      <c r="C510" s="42" t="s">
        <v>400</v>
      </c>
      <c r="D510" s="42">
        <f>(105.44)*10.764</f>
        <v>1134.95616</v>
      </c>
      <c r="E510" s="42">
        <f>(2.98+3.5+2.33+0.65*2.78)*10.764</f>
        <v>114.28138800000001</v>
      </c>
      <c r="F510" s="42">
        <f t="shared" si="127"/>
        <v>1249.2375480000001</v>
      </c>
      <c r="G510" s="42">
        <v>0</v>
      </c>
      <c r="H510" s="42">
        <f t="shared" si="128"/>
        <v>1873.8563220000001</v>
      </c>
      <c r="I510" s="36"/>
      <c r="L510" s="98"/>
      <c r="M510" s="98"/>
      <c r="N510" s="36"/>
      <c r="T510" s="21"/>
    </row>
    <row r="511" spans="1:20" s="37" customFormat="1" ht="15.75" customHeight="1" x14ac:dyDescent="0.25">
      <c r="A511" s="96">
        <f t="shared" si="126"/>
        <v>8</v>
      </c>
      <c r="B511" s="97"/>
      <c r="C511" s="42" t="s">
        <v>396</v>
      </c>
      <c r="D511" s="42">
        <f>(63.47)*10.764</f>
        <v>683.19107999999994</v>
      </c>
      <c r="E511" s="42">
        <f>(2.32*1.2+2.9*1.1)*10.764</f>
        <v>64.304136</v>
      </c>
      <c r="F511" s="42">
        <f t="shared" si="127"/>
        <v>747.49521599999991</v>
      </c>
      <c r="G511" s="42">
        <v>0</v>
      </c>
      <c r="H511" s="42">
        <f t="shared" si="128"/>
        <v>1121.2428239999999</v>
      </c>
      <c r="I511" s="36"/>
      <c r="L511" s="98"/>
      <c r="M511" s="98"/>
      <c r="N511" s="36"/>
      <c r="T511" s="21"/>
    </row>
    <row r="512" spans="1:20" s="37" customFormat="1" x14ac:dyDescent="0.25">
      <c r="A512" s="99" t="s">
        <v>425</v>
      </c>
      <c r="B512" s="100"/>
      <c r="C512" s="100"/>
      <c r="D512" s="100"/>
      <c r="E512" s="100"/>
      <c r="F512" s="100"/>
      <c r="G512" s="100"/>
      <c r="H512" s="101"/>
      <c r="J512" s="36"/>
    </row>
    <row r="513" spans="1:20" s="37" customFormat="1" ht="15.75" customHeight="1" x14ac:dyDescent="0.25">
      <c r="A513" s="96">
        <v>1</v>
      </c>
      <c r="B513" s="97"/>
      <c r="C513" s="42" t="s">
        <v>400</v>
      </c>
      <c r="D513" s="42">
        <f>(91.48)*10.764</f>
        <v>984.69071999999994</v>
      </c>
      <c r="E513" s="42">
        <f>(3.15+2.1*1)*10.764</f>
        <v>56.510999999999996</v>
      </c>
      <c r="F513" s="42">
        <f>D513+E513</f>
        <v>1041.20172</v>
      </c>
      <c r="G513" s="42">
        <v>0</v>
      </c>
      <c r="H513" s="42">
        <f>F513*(($H$203)+1)+(IF(G513&lt;101,G513,IF(G513&lt;201,G513/2,IF(G513&lt;=301,G513/3,G513/4))))</f>
        <v>1561.80258</v>
      </c>
      <c r="I513" s="36"/>
      <c r="L513" s="98"/>
      <c r="M513" s="98"/>
      <c r="N513" s="36"/>
    </row>
    <row r="514" spans="1:20" s="37" customFormat="1" ht="15.75" customHeight="1" x14ac:dyDescent="0.25">
      <c r="A514" s="96">
        <f>A513+1</f>
        <v>2</v>
      </c>
      <c r="B514" s="97"/>
      <c r="C514" s="42" t="s">
        <v>396</v>
      </c>
      <c r="D514" s="42">
        <f>(68.58)*10.764</f>
        <v>738.19511999999997</v>
      </c>
      <c r="E514" s="42">
        <f>(2.8+2.63)*10.764</f>
        <v>58.448519999999995</v>
      </c>
      <c r="F514" s="42">
        <f>D514+E514</f>
        <v>796.64364</v>
      </c>
      <c r="G514" s="42">
        <v>0</v>
      </c>
      <c r="H514" s="42">
        <f>F514*(($H$203)+1)+(IF(G514&lt;101,G514,IF(G514&lt;201,G514/2,IF(G514&lt;=301,G514/3,G514/4))))</f>
        <v>1194.9654599999999</v>
      </c>
      <c r="I514" s="36"/>
      <c r="L514" s="98"/>
      <c r="M514" s="98"/>
      <c r="N514" s="36"/>
    </row>
    <row r="515" spans="1:20" s="37" customFormat="1" ht="15.75" customHeight="1" x14ac:dyDescent="0.25">
      <c r="A515" s="96">
        <f>A514+1</f>
        <v>3</v>
      </c>
      <c r="B515" s="97"/>
      <c r="C515" s="42" t="s">
        <v>400</v>
      </c>
      <c r="D515" s="42">
        <f>(104.54)*10.764</f>
        <v>1125.26856</v>
      </c>
      <c r="E515" s="42">
        <f>(3.5+2.33)*10.764</f>
        <v>62.75412</v>
      </c>
      <c r="F515" s="42">
        <f>D515+E515</f>
        <v>1188.02268</v>
      </c>
      <c r="G515" s="42">
        <v>0</v>
      </c>
      <c r="H515" s="42">
        <f>F515*(($H$203)+1)+(IF(G515&lt;101,G515,IF(G515&lt;201,G515/2,IF(G515&lt;=301,G515/3,G515/4))))</f>
        <v>1782.0340200000001</v>
      </c>
      <c r="I515" s="36">
        <f>30000000/H515</f>
        <v>16834.695445376514</v>
      </c>
      <c r="L515" s="98"/>
      <c r="M515" s="98"/>
      <c r="N515" s="36"/>
    </row>
    <row r="516" spans="1:20" s="37" customFormat="1" ht="15.75" customHeight="1" x14ac:dyDescent="0.25">
      <c r="A516" s="96">
        <f>A515+1</f>
        <v>4</v>
      </c>
      <c r="B516" s="97"/>
      <c r="C516" s="42" t="s">
        <v>396</v>
      </c>
      <c r="D516" s="42">
        <f>(63.47)*10.764</f>
        <v>683.19107999999994</v>
      </c>
      <c r="E516" s="42">
        <f>(2.33*1.2+2.9*1.2)*10.764</f>
        <v>67.554863999999995</v>
      </c>
      <c r="F516" s="42">
        <f>D516+E516</f>
        <v>750.74594399999989</v>
      </c>
      <c r="G516" s="42">
        <v>0</v>
      </c>
      <c r="H516" s="42">
        <f>F516*(($H$203)+1)+(IF(G516&lt;101,G516,IF(G516&lt;201,G516/2,IF(G516&lt;=301,G516/3,G516/4))))</f>
        <v>1126.1189159999999</v>
      </c>
      <c r="I516" s="36"/>
      <c r="L516" s="98"/>
      <c r="M516" s="98"/>
      <c r="N516" s="36"/>
      <c r="T516" s="21"/>
    </row>
    <row r="517" spans="1:20" s="37" customFormat="1" ht="15.75" customHeight="1" x14ac:dyDescent="0.25">
      <c r="A517" s="96">
        <f t="shared" ref="A517:A520" si="129">A516+1</f>
        <v>5</v>
      </c>
      <c r="B517" s="97"/>
      <c r="C517" s="42" t="s">
        <v>400</v>
      </c>
      <c r="D517" s="42">
        <f>(91.47)*10.764</f>
        <v>984.58307999999988</v>
      </c>
      <c r="E517" s="42">
        <f>(2.1+3.15)*10.764</f>
        <v>56.510999999999996</v>
      </c>
      <c r="F517" s="42">
        <f t="shared" ref="F517:F520" si="130">D517+E517</f>
        <v>1041.0940799999998</v>
      </c>
      <c r="G517" s="42">
        <v>0</v>
      </c>
      <c r="H517" s="42">
        <f t="shared" ref="H517:H520" si="131">F517*(($H$203)+1)+(IF(G517&lt;101,G517,IF(G517&lt;201,G517/2,IF(G517&lt;=301,G517/3,G517/4))))</f>
        <v>1561.6411199999998</v>
      </c>
      <c r="I517" s="36"/>
      <c r="L517" s="98"/>
      <c r="M517" s="98"/>
      <c r="N517" s="36"/>
      <c r="T517" s="21"/>
    </row>
    <row r="518" spans="1:20" s="37" customFormat="1" ht="15.75" customHeight="1" x14ac:dyDescent="0.25">
      <c r="A518" s="96">
        <f t="shared" si="129"/>
        <v>6</v>
      </c>
      <c r="B518" s="97"/>
      <c r="C518" s="42" t="s">
        <v>396</v>
      </c>
      <c r="D518" s="42">
        <f>(68.57)*10.764</f>
        <v>738.08747999999991</v>
      </c>
      <c r="E518" s="42">
        <f>(2.8+2.63)*10.764</f>
        <v>58.448519999999995</v>
      </c>
      <c r="F518" s="42">
        <f t="shared" si="130"/>
        <v>796.53599999999994</v>
      </c>
      <c r="G518" s="42">
        <v>0</v>
      </c>
      <c r="H518" s="42">
        <f t="shared" si="131"/>
        <v>1194.8039999999999</v>
      </c>
      <c r="I518" s="36"/>
      <c r="L518" s="98"/>
      <c r="M518" s="98"/>
      <c r="N518" s="36"/>
      <c r="T518" s="21"/>
    </row>
    <row r="519" spans="1:20" s="37" customFormat="1" ht="15.75" customHeight="1" x14ac:dyDescent="0.25">
      <c r="A519" s="96">
        <f t="shared" si="129"/>
        <v>7</v>
      </c>
      <c r="B519" s="97"/>
      <c r="C519" s="42" t="s">
        <v>400</v>
      </c>
      <c r="D519" s="42">
        <f>(104.39)*10.764</f>
        <v>1123.6539599999999</v>
      </c>
      <c r="E519" s="42">
        <f>(3.5+2.33)*10.764</f>
        <v>62.75412</v>
      </c>
      <c r="F519" s="42">
        <f t="shared" si="130"/>
        <v>1186.4080799999999</v>
      </c>
      <c r="G519" s="42">
        <v>0</v>
      </c>
      <c r="H519" s="42">
        <f t="shared" si="131"/>
        <v>1779.6121199999998</v>
      </c>
      <c r="I519" s="36"/>
      <c r="L519" s="98"/>
      <c r="M519" s="98"/>
      <c r="N519" s="36"/>
      <c r="T519" s="21"/>
    </row>
    <row r="520" spans="1:20" s="37" customFormat="1" ht="15.75" customHeight="1" x14ac:dyDescent="0.25">
      <c r="A520" s="96">
        <f t="shared" si="129"/>
        <v>8</v>
      </c>
      <c r="B520" s="97"/>
      <c r="C520" s="42" t="s">
        <v>396</v>
      </c>
      <c r="D520" s="42">
        <f>(63.47)*10.764</f>
        <v>683.19107999999994</v>
      </c>
      <c r="E520" s="42">
        <f>(2.32*1.2+2.9*1.1)*10.764</f>
        <v>64.304136</v>
      </c>
      <c r="F520" s="42">
        <f t="shared" si="130"/>
        <v>747.49521599999991</v>
      </c>
      <c r="G520" s="42">
        <v>0</v>
      </c>
      <c r="H520" s="42">
        <f t="shared" si="131"/>
        <v>1121.2428239999999</v>
      </c>
      <c r="I520" s="36"/>
      <c r="L520" s="98"/>
      <c r="M520" s="98"/>
      <c r="N520" s="36"/>
      <c r="T520" s="21"/>
    </row>
    <row r="521" spans="1:20" s="37" customFormat="1" x14ac:dyDescent="0.25">
      <c r="A521" s="99" t="s">
        <v>421</v>
      </c>
      <c r="B521" s="100"/>
      <c r="C521" s="100"/>
      <c r="D521" s="100"/>
      <c r="E521" s="100"/>
      <c r="F521" s="100"/>
      <c r="G521" s="100"/>
      <c r="H521" s="101"/>
      <c r="J521" s="36"/>
    </row>
    <row r="522" spans="1:20" s="37" customFormat="1" ht="15.75" customHeight="1" x14ac:dyDescent="0.25">
      <c r="A522" s="96">
        <v>1</v>
      </c>
      <c r="B522" s="97"/>
      <c r="C522" s="42" t="s">
        <v>400</v>
      </c>
      <c r="D522" s="42">
        <f>(92.54)*10.764</f>
        <v>996.10055999999997</v>
      </c>
      <c r="E522" s="42">
        <f>(3.15+0.65*3.25+2.1*1)*10.764</f>
        <v>79.249949999999998</v>
      </c>
      <c r="F522" s="42">
        <f>D522+E522</f>
        <v>1075.35051</v>
      </c>
      <c r="G522" s="42">
        <v>0</v>
      </c>
      <c r="H522" s="42">
        <f>F522*(($H$203)+1)+(IF(G522&lt;101,G522,IF(G522&lt;201,G522/2,IF(G522&lt;=301,G522/3,G522/4))))</f>
        <v>1613.0257649999999</v>
      </c>
      <c r="I522" s="36"/>
      <c r="L522" s="98"/>
      <c r="M522" s="98"/>
      <c r="N522" s="36"/>
    </row>
    <row r="523" spans="1:20" s="37" customFormat="1" ht="15.75" customHeight="1" x14ac:dyDescent="0.25">
      <c r="A523" s="96">
        <f>A522+1</f>
        <v>2</v>
      </c>
      <c r="B523" s="97"/>
      <c r="C523" s="42" t="s">
        <v>396</v>
      </c>
      <c r="D523" s="42">
        <f>(69.05)*10.764</f>
        <v>743.25419999999997</v>
      </c>
      <c r="E523" s="42">
        <f>(2.8+2.63+0.65*3.05)*10.764</f>
        <v>79.788149999999987</v>
      </c>
      <c r="F523" s="42">
        <f>D523+E523</f>
        <v>823.04234999999994</v>
      </c>
      <c r="G523" s="42">
        <v>0</v>
      </c>
      <c r="H523" s="42">
        <f>F523*(($H$203)+1)+(IF(G523&lt;101,G523,IF(G523&lt;201,G523/2,IF(G523&lt;=301,G523/3,G523/4))))</f>
        <v>1234.563525</v>
      </c>
      <c r="I523" s="36"/>
      <c r="L523" s="98"/>
      <c r="M523" s="98"/>
      <c r="N523" s="36"/>
    </row>
    <row r="524" spans="1:20" s="37" customFormat="1" ht="15.75" customHeight="1" x14ac:dyDescent="0.25">
      <c r="A524" s="96">
        <f>A523+1</f>
        <v>3</v>
      </c>
      <c r="B524" s="97"/>
      <c r="C524" s="42" t="s">
        <v>400</v>
      </c>
      <c r="D524" s="42">
        <f>(105.1)*10.764</f>
        <v>1131.2963999999999</v>
      </c>
      <c r="E524" s="42">
        <f>(3.5+2.33+0.65*2.78)*10.764</f>
        <v>82.204667999999998</v>
      </c>
      <c r="F524" s="42">
        <f>D524+E524</f>
        <v>1213.501068</v>
      </c>
      <c r="G524" s="42">
        <v>0</v>
      </c>
      <c r="H524" s="42">
        <f>F524*(($H$203)+1)+(IF(G524&lt;101,G524,IF(G524&lt;201,G524/2,IF(G524&lt;=301,G524/3,G524/4))))</f>
        <v>1820.251602</v>
      </c>
      <c r="I524" s="36"/>
      <c r="L524" s="98"/>
      <c r="M524" s="98"/>
      <c r="N524" s="36"/>
    </row>
    <row r="525" spans="1:20" s="37" customFormat="1" ht="15.75" customHeight="1" x14ac:dyDescent="0.25">
      <c r="A525" s="96">
        <f>A524+1</f>
        <v>4</v>
      </c>
      <c r="B525" s="97"/>
      <c r="C525" s="42" t="s">
        <v>396</v>
      </c>
      <c r="D525" s="42">
        <f>(63.47)*10.764</f>
        <v>683.19107999999994</v>
      </c>
      <c r="E525" s="42">
        <f>(2.33*1.2+2.9*1.2)*10.764</f>
        <v>67.554863999999995</v>
      </c>
      <c r="F525" s="42">
        <f>D525+E525</f>
        <v>750.74594399999989</v>
      </c>
      <c r="G525" s="42">
        <v>0</v>
      </c>
      <c r="H525" s="42">
        <f>F525*(($H$203)+1)+(IF(G525&lt;101,G525,IF(G525&lt;201,G525/2,IF(G525&lt;=301,G525/3,G525/4))))</f>
        <v>1126.1189159999999</v>
      </c>
      <c r="I525" s="36"/>
      <c r="L525" s="98"/>
      <c r="M525" s="98"/>
      <c r="N525" s="36"/>
      <c r="T525" s="21"/>
    </row>
    <row r="526" spans="1:20" s="37" customFormat="1" ht="15.75" customHeight="1" x14ac:dyDescent="0.25">
      <c r="A526" s="96">
        <f t="shared" ref="A526:A529" si="132">A525+1</f>
        <v>5</v>
      </c>
      <c r="B526" s="97"/>
      <c r="C526" s="42" t="s">
        <v>400</v>
      </c>
      <c r="D526" s="42">
        <f>(91.92)*10.764</f>
        <v>989.42687999999998</v>
      </c>
      <c r="E526" s="42">
        <f>(2.1+3.15+0.65*3.28)*10.764</f>
        <v>79.459847999999994</v>
      </c>
      <c r="F526" s="42">
        <f t="shared" ref="F526:F529" si="133">D526+E526</f>
        <v>1068.8867279999999</v>
      </c>
      <c r="G526" s="42">
        <v>0</v>
      </c>
      <c r="H526" s="42">
        <f t="shared" ref="H526:H529" si="134">F526*(($H$203)+1)+(IF(G526&lt;101,G526,IF(G526&lt;201,G526/2,IF(G526&lt;=301,G526/3,G526/4))))</f>
        <v>1603.3300919999999</v>
      </c>
      <c r="I526" s="36"/>
      <c r="L526" s="98"/>
      <c r="M526" s="98"/>
      <c r="N526" s="36"/>
      <c r="T526" s="21"/>
    </row>
    <row r="527" spans="1:20" s="37" customFormat="1" ht="15.75" customHeight="1" x14ac:dyDescent="0.25">
      <c r="A527" s="96">
        <f t="shared" si="132"/>
        <v>6</v>
      </c>
      <c r="B527" s="97"/>
      <c r="C527" s="42" t="s">
        <v>396</v>
      </c>
      <c r="D527" s="42">
        <f>(69.05)*10.764</f>
        <v>743.25419999999997</v>
      </c>
      <c r="E527" s="42">
        <f>(2.8+2.63+0.65*3.05)*10.764</f>
        <v>79.788149999999987</v>
      </c>
      <c r="F527" s="42">
        <f t="shared" si="133"/>
        <v>823.04234999999994</v>
      </c>
      <c r="G527" s="42">
        <v>0</v>
      </c>
      <c r="H527" s="42">
        <f t="shared" si="134"/>
        <v>1234.563525</v>
      </c>
      <c r="I527" s="36"/>
      <c r="L527" s="98"/>
      <c r="M527" s="98"/>
      <c r="N527" s="36"/>
      <c r="T527" s="21"/>
    </row>
    <row r="528" spans="1:20" s="37" customFormat="1" ht="15.75" customHeight="1" x14ac:dyDescent="0.25">
      <c r="A528" s="96">
        <f t="shared" si="132"/>
        <v>7</v>
      </c>
      <c r="B528" s="97"/>
      <c r="C528" s="42" t="s">
        <v>400</v>
      </c>
      <c r="D528" s="42">
        <f>(104.75)*10.764</f>
        <v>1127.529</v>
      </c>
      <c r="E528" s="42">
        <f>(3.5+2.33+0.65*2.78)*10.764</f>
        <v>82.204667999999998</v>
      </c>
      <c r="F528" s="42">
        <f t="shared" si="133"/>
        <v>1209.7336680000001</v>
      </c>
      <c r="G528" s="42">
        <v>0</v>
      </c>
      <c r="H528" s="42">
        <f t="shared" si="134"/>
        <v>1814.6005020000002</v>
      </c>
      <c r="I528" s="36"/>
      <c r="L528" s="98"/>
      <c r="M528" s="98"/>
      <c r="N528" s="36"/>
      <c r="T528" s="21"/>
    </row>
    <row r="529" spans="1:20" s="37" customFormat="1" ht="15.75" customHeight="1" x14ac:dyDescent="0.25">
      <c r="A529" s="96">
        <f t="shared" si="132"/>
        <v>8</v>
      </c>
      <c r="B529" s="97"/>
      <c r="C529" s="42" t="s">
        <v>396</v>
      </c>
      <c r="D529" s="42">
        <f>(63.15)*10.764</f>
        <v>679.74659999999994</v>
      </c>
      <c r="E529" s="42">
        <f>(2.32*1.2+2.9*1.1)*10.764</f>
        <v>64.304136</v>
      </c>
      <c r="F529" s="42">
        <f t="shared" si="133"/>
        <v>744.05073599999992</v>
      </c>
      <c r="G529" s="42">
        <v>0</v>
      </c>
      <c r="H529" s="42">
        <f t="shared" si="134"/>
        <v>1116.0761039999998</v>
      </c>
      <c r="I529" s="36"/>
      <c r="L529" s="98"/>
      <c r="M529" s="98"/>
      <c r="N529" s="36"/>
      <c r="T529" s="21"/>
    </row>
    <row r="530" spans="1:20" s="37" customFormat="1" hidden="1" x14ac:dyDescent="0.25">
      <c r="A530" s="99" t="s">
        <v>115</v>
      </c>
      <c r="B530" s="100"/>
      <c r="C530" s="100"/>
      <c r="D530" s="100"/>
      <c r="E530" s="100"/>
      <c r="F530" s="100"/>
      <c r="G530" s="100"/>
      <c r="H530" s="101"/>
      <c r="J530" s="36"/>
    </row>
    <row r="531" spans="1:20" s="37" customFormat="1" ht="15.75" hidden="1" customHeight="1" x14ac:dyDescent="0.25">
      <c r="A531" s="96">
        <v>1</v>
      </c>
      <c r="B531" s="97"/>
      <c r="C531" s="42"/>
      <c r="D531" s="42"/>
      <c r="E531" s="42">
        <v>0</v>
      </c>
      <c r="F531" s="42">
        <f>D531+E531</f>
        <v>0</v>
      </c>
      <c r="G531" s="42">
        <v>0</v>
      </c>
      <c r="H531" s="42">
        <f>F531*(($H$203)+1)+(IF(G531&lt;101,G531,IF(G531&lt;201,G531/2,IF(G531&lt;=301,G531/3,G531/4))))</f>
        <v>0</v>
      </c>
      <c r="I531" s="36"/>
      <c r="L531" s="98"/>
      <c r="M531" s="98"/>
      <c r="N531" s="36"/>
    </row>
    <row r="532" spans="1:20" s="37" customFormat="1" ht="15.75" hidden="1" customHeight="1" x14ac:dyDescent="0.25">
      <c r="A532" s="96">
        <f>A531+1</f>
        <v>2</v>
      </c>
      <c r="B532" s="97"/>
      <c r="C532" s="42"/>
      <c r="D532" s="42"/>
      <c r="E532" s="42">
        <v>0</v>
      </c>
      <c r="F532" s="42">
        <f>D532+E532</f>
        <v>0</v>
      </c>
      <c r="G532" s="42">
        <v>0</v>
      </c>
      <c r="H532" s="42">
        <f>F532*(($H$203)+1)+(IF(G532&lt;101,G532,IF(G532&lt;201,G532/2,IF(G532&lt;=301,G532/3,G532/4))))</f>
        <v>0</v>
      </c>
      <c r="I532" s="36"/>
      <c r="L532" s="98"/>
      <c r="M532" s="98"/>
      <c r="N532" s="36"/>
    </row>
    <row r="533" spans="1:20" s="37" customFormat="1" ht="15.75" hidden="1" customHeight="1" x14ac:dyDescent="0.25">
      <c r="A533" s="96">
        <f>A532+1</f>
        <v>3</v>
      </c>
      <c r="B533" s="97"/>
      <c r="C533" s="42"/>
      <c r="D533" s="42"/>
      <c r="E533" s="42">
        <v>0</v>
      </c>
      <c r="F533" s="42">
        <f>D533+E533</f>
        <v>0</v>
      </c>
      <c r="G533" s="42">
        <v>0</v>
      </c>
      <c r="H533" s="42">
        <f>F533*(($H$203)+1)+(IF(G533&lt;101,G533,IF(G533&lt;201,G533/2,IF(G533&lt;=301,G533/3,G533/4))))</f>
        <v>0</v>
      </c>
      <c r="I533" s="36"/>
      <c r="L533" s="98"/>
      <c r="M533" s="98"/>
      <c r="N533" s="36"/>
    </row>
    <row r="534" spans="1:20" s="37" customFormat="1" ht="15.75" hidden="1" customHeight="1" x14ac:dyDescent="0.25">
      <c r="A534" s="96">
        <f>A533+1</f>
        <v>4</v>
      </c>
      <c r="B534" s="97"/>
      <c r="C534" s="42"/>
      <c r="D534" s="42"/>
      <c r="E534" s="42">
        <v>0</v>
      </c>
      <c r="F534" s="42">
        <f>D534+E534</f>
        <v>0</v>
      </c>
      <c r="G534" s="42">
        <v>0</v>
      </c>
      <c r="H534" s="42">
        <f>F534*(($H$203)+1)+(IF(G534&lt;101,G534,IF(G534&lt;201,G534/2,IF(G534&lt;=301,G534/3,G534/4))))</f>
        <v>0</v>
      </c>
      <c r="I534" s="36"/>
      <c r="L534" s="98"/>
      <c r="M534" s="98"/>
      <c r="N534" s="36"/>
      <c r="T534" s="21"/>
    </row>
    <row r="535" spans="1:20" s="37" customFormat="1" ht="15.75" hidden="1" customHeight="1" x14ac:dyDescent="0.25">
      <c r="A535" s="96">
        <f t="shared" ref="A535:A537" si="135">A534+1</f>
        <v>5</v>
      </c>
      <c r="B535" s="97"/>
      <c r="C535" s="42"/>
      <c r="D535" s="42"/>
      <c r="E535" s="42">
        <v>0</v>
      </c>
      <c r="F535" s="42">
        <f t="shared" ref="F535:F537" si="136">D535+E535</f>
        <v>0</v>
      </c>
      <c r="G535" s="42">
        <v>0</v>
      </c>
      <c r="H535" s="42">
        <f t="shared" ref="H535:H537" si="137">F535*(($H$203)+1)+(IF(G535&lt;101,G535,IF(G535&lt;201,G535/2,IF(G535&lt;=301,G535/3,G535/4))))</f>
        <v>0</v>
      </c>
      <c r="I535" s="36"/>
      <c r="L535" s="98"/>
      <c r="M535" s="98"/>
      <c r="N535" s="36"/>
      <c r="T535" s="21"/>
    </row>
    <row r="536" spans="1:20" s="37" customFormat="1" ht="15.75" hidden="1" customHeight="1" x14ac:dyDescent="0.25">
      <c r="A536" s="96">
        <f t="shared" si="135"/>
        <v>6</v>
      </c>
      <c r="B536" s="97"/>
      <c r="C536" s="42"/>
      <c r="D536" s="42"/>
      <c r="E536" s="42">
        <v>0</v>
      </c>
      <c r="F536" s="42">
        <f t="shared" si="136"/>
        <v>0</v>
      </c>
      <c r="G536" s="42">
        <v>0</v>
      </c>
      <c r="H536" s="42">
        <f t="shared" si="137"/>
        <v>0</v>
      </c>
      <c r="I536" s="36"/>
      <c r="L536" s="98"/>
      <c r="M536" s="98"/>
      <c r="N536" s="36"/>
      <c r="T536" s="21"/>
    </row>
    <row r="537" spans="1:20" s="37" customFormat="1" ht="15.75" hidden="1" customHeight="1" x14ac:dyDescent="0.25">
      <c r="A537" s="96">
        <f t="shared" si="135"/>
        <v>7</v>
      </c>
      <c r="B537" s="97"/>
      <c r="C537" s="42"/>
      <c r="D537" s="42"/>
      <c r="E537" s="42">
        <v>0</v>
      </c>
      <c r="F537" s="42">
        <f t="shared" si="136"/>
        <v>0</v>
      </c>
      <c r="G537" s="42">
        <v>0</v>
      </c>
      <c r="H537" s="42">
        <f t="shared" si="137"/>
        <v>0</v>
      </c>
      <c r="I537" s="36"/>
      <c r="L537" s="98"/>
      <c r="M537" s="98"/>
      <c r="N537" s="36"/>
      <c r="T537" s="21"/>
    </row>
    <row r="538" spans="1:20" s="37" customFormat="1" ht="15.75" hidden="1" customHeight="1" x14ac:dyDescent="0.25">
      <c r="A538" s="96">
        <f t="shared" ref="A538" si="138">A537+1</f>
        <v>8</v>
      </c>
      <c r="B538" s="97"/>
      <c r="C538" s="42"/>
      <c r="D538" s="42"/>
      <c r="E538" s="42">
        <v>0</v>
      </c>
      <c r="F538" s="42">
        <f t="shared" ref="F538" si="139">D538+E538</f>
        <v>0</v>
      </c>
      <c r="G538" s="42">
        <v>0</v>
      </c>
      <c r="H538" s="42">
        <f t="shared" ref="H538" si="140">F538*(($H$203)+1)+(IF(G538&lt;101,G538,IF(G538&lt;201,G538/2,IF(G538&lt;=301,G538/3,G538/4))))</f>
        <v>0</v>
      </c>
      <c r="I538" s="36"/>
      <c r="L538" s="98"/>
      <c r="M538" s="98"/>
      <c r="N538" s="36"/>
      <c r="T538" s="21"/>
    </row>
    <row r="539" spans="1:20" s="37" customFormat="1" hidden="1" x14ac:dyDescent="0.25">
      <c r="A539" s="108" t="s">
        <v>116</v>
      </c>
      <c r="B539" s="108"/>
      <c r="C539" s="108"/>
      <c r="D539" s="108"/>
      <c r="E539" s="108"/>
      <c r="F539" s="108"/>
      <c r="G539" s="108"/>
      <c r="H539" s="108"/>
      <c r="I539" s="36"/>
      <c r="L539" s="98"/>
      <c r="M539" s="98"/>
    </row>
    <row r="540" spans="1:20" s="37" customFormat="1" hidden="1" x14ac:dyDescent="0.25">
      <c r="A540" s="109">
        <f>LEFT(A539,SUM(LEN(A539)-LEN(SUBSTITUTE(A539,{"0","1","2","3","4","5","6","7","8","9"},""))))*100+1</f>
        <v>201</v>
      </c>
      <c r="B540" s="109"/>
      <c r="C540" s="42"/>
      <c r="D540" s="42"/>
      <c r="E540" s="42">
        <v>0</v>
      </c>
      <c r="F540" s="42">
        <f>D540+E540</f>
        <v>0</v>
      </c>
      <c r="G540" s="42">
        <v>0</v>
      </c>
      <c r="H540" s="42">
        <f>F540*(($H$203)+1)+(IF(G540&lt;101,G540,IF(G540&lt;201,G540/2,IF(G540&lt;=301,G540/3,G540/4))))</f>
        <v>0</v>
      </c>
      <c r="I540" s="36"/>
      <c r="N540" s="36"/>
    </row>
    <row r="541" spans="1:20" s="37" customFormat="1" hidden="1" x14ac:dyDescent="0.25">
      <c r="A541" s="109">
        <f>A540+1</f>
        <v>202</v>
      </c>
      <c r="B541" s="109"/>
      <c r="C541" s="42"/>
      <c r="D541" s="42"/>
      <c r="E541" s="42">
        <v>0</v>
      </c>
      <c r="F541" s="42">
        <f>D541+E541</f>
        <v>0</v>
      </c>
      <c r="G541" s="42">
        <v>0</v>
      </c>
      <c r="H541" s="42">
        <f>F541*(($H$203)+1)+(IF(G541&lt;101,G541,IF(G541&lt;201,G541/2,IF(G541&lt;=301,G541/3,G541/4))))</f>
        <v>0</v>
      </c>
      <c r="I541" s="36"/>
      <c r="N541" s="36"/>
    </row>
    <row r="542" spans="1:20" s="37" customFormat="1" hidden="1" x14ac:dyDescent="0.25">
      <c r="A542" s="109">
        <f>A541+1</f>
        <v>203</v>
      </c>
      <c r="B542" s="109"/>
      <c r="C542" s="42"/>
      <c r="D542" s="42"/>
      <c r="E542" s="42">
        <v>0</v>
      </c>
      <c r="F542" s="42">
        <f>D542+E542</f>
        <v>0</v>
      </c>
      <c r="G542" s="42">
        <v>0</v>
      </c>
      <c r="H542" s="42">
        <f>F542*(($H$203)+1)+(IF(G542&lt;101,G542,IF(G542&lt;201,G542/2,IF(G542&lt;=301,G542/3,G542/4))))</f>
        <v>0</v>
      </c>
      <c r="I542" s="36"/>
      <c r="N542" s="36"/>
    </row>
    <row r="543" spans="1:20" s="37" customFormat="1" hidden="1" x14ac:dyDescent="0.25">
      <c r="A543" s="109">
        <f>A542+1</f>
        <v>204</v>
      </c>
      <c r="B543" s="109"/>
      <c r="C543" s="42"/>
      <c r="D543" s="42"/>
      <c r="E543" s="42">
        <v>0</v>
      </c>
      <c r="F543" s="42">
        <f>D543+E543</f>
        <v>0</v>
      </c>
      <c r="G543" s="42">
        <v>0</v>
      </c>
      <c r="H543" s="42">
        <f>F543*(($H$203)+1)+(IF(G543&lt;101,G543,IF(G543&lt;201,G543/2,IF(G543&lt;=301,G543/3,G543/4))))</f>
        <v>0</v>
      </c>
      <c r="I543" s="36"/>
      <c r="N543" s="36"/>
    </row>
    <row r="544" spans="1:20" s="37" customFormat="1" hidden="1" x14ac:dyDescent="0.25">
      <c r="A544" s="109">
        <f>A543+1</f>
        <v>205</v>
      </c>
      <c r="B544" s="109"/>
      <c r="C544" s="42"/>
      <c r="D544" s="42"/>
      <c r="E544" s="42">
        <v>0</v>
      </c>
      <c r="F544" s="42">
        <f>D544+E544</f>
        <v>0</v>
      </c>
      <c r="G544" s="42">
        <v>0</v>
      </c>
      <c r="H544" s="42">
        <f>F544*(($H$203)+1)+(IF(G544&lt;101,G544,IF(G544&lt;201,G544/2,IF(G544&lt;=301,G544/3,G544/4))))</f>
        <v>0</v>
      </c>
      <c r="I544" s="36"/>
      <c r="N544" s="36"/>
    </row>
    <row r="545" spans="1:9" s="37" customFormat="1" ht="15.75" hidden="1" customHeight="1" x14ac:dyDescent="0.25">
      <c r="A545" s="99" t="s">
        <v>149</v>
      </c>
      <c r="B545" s="100"/>
      <c r="C545" s="100"/>
      <c r="D545" s="100"/>
      <c r="E545" s="100"/>
      <c r="F545" s="100"/>
      <c r="G545" s="100"/>
      <c r="H545" s="101"/>
      <c r="I545" s="36"/>
    </row>
    <row r="546" spans="1:9" s="37" customFormat="1" ht="15.75" hidden="1" customHeight="1" x14ac:dyDescent="0.25">
      <c r="A546" s="96" t="str">
        <f ca="1">(SUMPRODUCT(MID(0&amp;(LEFT(A545,SUM(LEN(A545)-LEN(SUBSTITUTE(A545,{"0","1","2"},""))))), LARGE(INDEX(ISNUMBER(--MID((LEFT(A545,SUM(LEN(A545)-LEN(SUBSTITUTE(A545,{"0","1","2"},""))))), ROW(INDIRECT("1:"&amp;LEN((LEFT(A545,SUM(LEN(A545)-LEN(SUBSTITUTE(A545,{"0","1","2"},"")))))))), 1)) * ROW(INDIRECT("1:"&amp;LEN((LEFT(A545,SUM(LEN(A545)-LEN(SUBSTITUTE(A545,{"0","1","2"},"")))))))), 0), ROW(INDIRECT("1:"&amp;LEN((LEFT(A545,SUM(LEN(A545)-LEN(SUBSTITUTE(A545,{"0","1","2"},"")))))))))+1, 1) * 10^ROW(INDIRECT("1:"&amp;LEN((LEFT(A545,SUM(LEN(A545)-LEN(SUBSTITUTE(A545,{"0","1","2"},""))))))))/10))*100+1&amp;""&amp;" ,.., "&amp;""&amp;(SUMPRODUCT(MID(0&amp;(--TRIM(RIGHT(SUBSTITUTE(LEFT(A545,_xlfn.AGGREGATE(16,6,FIND({0,1,2,3,4,5,6,7,8,9},A545,ROW(INDIRECT("1:"&amp;LEN(A545)))),1))," ",REPT(" ",LEN(A545))),LEN(A545)))), LARGE(INDEX(ISNUMBER(--MID((--TRIM(RIGHT(SUBSTITUTE(LEFT(A545,_xlfn.AGGREGATE(16,6,FIND({0,1,2,3,4,5,6,7,8,9},A545,ROW(INDIRECT("1:"&amp;LEN(A545)))),1))," ",REPT(" ",LEN(A545))),LEN(A545)))), ROW(INDIRECT("1:"&amp;LEN((--TRIM(RIGHT(SUBSTITUTE(LEFT(A545,_xlfn.AGGREGATE(16,6,FIND({0,1,2,3,4,5,6,7,8,9},A545,ROW(INDIRECT("1:"&amp;LEN(A545)))),1))," ",REPT(" ",LEN(A545))),LEN(A545))))))), 1)) * ROW(INDIRECT("1:"&amp;LEN((--TRIM(RIGHT(SUBSTITUTE(LEFT(A545,_xlfn.AGGREGATE(16,6,FIND({0,1,2,3,4,5,6,7,8,9},A545,ROW(INDIRECT("1:"&amp;LEN(A545)))),1))," ",REPT(" ",LEN(A545))),LEN(A545))))))), 0), ROW(INDIRECT("1:"&amp;LEN((--TRIM(RIGHT(SUBSTITUTE(LEFT(A545,_xlfn.AGGREGATE(16,6,FIND({0,1,2,3,4,5,6,7,8,9},A545,ROW(INDIRECT("1:"&amp;LEN(A545)))),1))," ",REPT(" ",LEN(A545))),LEN(A545))))))))+1, 1) * 10^ROW(INDIRECT("1:"&amp;LEN((--TRIM(RIGHT(SUBSTITUTE(LEFT(A545,_xlfn.AGGREGATE(16,6,FIND({0,1,2,3,4,5,6,7,8,9},A545,ROW(INDIRECT("1:"&amp;LEN(A545)))),1))," ",REPT(" ",LEN(A545))),LEN(A545)))))))/10))*100+1</f>
        <v>301 ,.., 1501</v>
      </c>
      <c r="B546" s="97"/>
      <c r="C546" s="42"/>
      <c r="D546" s="42"/>
      <c r="E546" s="42">
        <v>0</v>
      </c>
      <c r="F546" s="42">
        <f>D546+E546</f>
        <v>0</v>
      </c>
      <c r="G546" s="42">
        <v>0</v>
      </c>
      <c r="H546" s="42">
        <f>F546*(($H$203)+1)+(IF(G546&lt;101,G546,IF(G546&lt;201,G546/2,IF(G546&lt;=301,G546/3,G546/4))))</f>
        <v>0</v>
      </c>
      <c r="I546" s="36"/>
    </row>
    <row r="547" spans="1:9" s="37" customFormat="1" ht="15.75" hidden="1" customHeight="1" x14ac:dyDescent="0.25">
      <c r="A547" s="96" t="str">
        <f ca="1">(SUMPRODUCT(MID(0&amp;(LEFT(A546,SUM(LEN(A546)-LEN(SUBSTITUTE(A546,{"0","1","2"},""))))), LARGE(INDEX(ISNUMBER(--MID((LEFT(A546,SUM(LEN(A546)-LEN(SUBSTITUTE(A546,{"0","1","2"},""))))), ROW(INDIRECT("1:"&amp;LEN((LEFT(A546,SUM(LEN(A546)-LEN(SUBSTITUTE(A546,{"0","1","2"},"")))))))), 1)) * ROW(INDIRECT("1:"&amp;LEN((LEFT(A546,SUM(LEN(A546)-LEN(SUBSTITUTE(A546,{"0","1","2"},"")))))))), 0), ROW(INDIRECT("1:"&amp;LEN((LEFT(A546,SUM(LEN(A546)-LEN(SUBSTITUTE(A546,{"0","1","2"},"")))))))))+1, 1) * 10^ROW(INDIRECT("1:"&amp;LEN((LEFT(A546,SUM(LEN(A546)-LEN(SUBSTITUTE(A546,{"0","1","2"},""))))))))/10))*1+1&amp;""&amp;" ,.., "&amp;""&amp;(SUMPRODUCT(MID(0&amp;(--TRIM(RIGHT(SUBSTITUTE(LEFT(A546,_xlfn.AGGREGATE(16,6,FIND({0,1,2,3,4,5,6,7,8,9},A546,ROW(INDIRECT("1:"&amp;LEN(A546)))),1))," ",REPT(" ",LEN(A546))),LEN(A546)))), LARGE(INDEX(ISNUMBER(--MID((--TRIM(RIGHT(SUBSTITUTE(LEFT(A546,_xlfn.AGGREGATE(16,6,FIND({0,1,2,3,4,5,6,7,8,9},A546,ROW(INDIRECT("1:"&amp;LEN(A546)))),1))," ",REPT(" ",LEN(A546))),LEN(A546)))), ROW(INDIRECT("1:"&amp;LEN((--TRIM(RIGHT(SUBSTITUTE(LEFT(A546,_xlfn.AGGREGATE(16,6,FIND({0,1,2,3,4,5,6,7,8,9},A546,ROW(INDIRECT("1:"&amp;LEN(A546)))),1))," ",REPT(" ",LEN(A546))),LEN(A546))))))), 1)) * ROW(INDIRECT("1:"&amp;LEN((--TRIM(RIGHT(SUBSTITUTE(LEFT(A546,_xlfn.AGGREGATE(16,6,FIND({0,1,2,3,4,5,6,7,8,9},A546,ROW(INDIRECT("1:"&amp;LEN(A546)))),1))," ",REPT(" ",LEN(A546))),LEN(A546))))))), 0), ROW(INDIRECT("1:"&amp;LEN((--TRIM(RIGHT(SUBSTITUTE(LEFT(A546,_xlfn.AGGREGATE(16,6,FIND({0,1,2,3,4,5,6,7,8,9},A546,ROW(INDIRECT("1:"&amp;LEN(A546)))),1))," ",REPT(" ",LEN(A546))),LEN(A546))))))))+1, 1) * 10^ROW(INDIRECT("1:"&amp;LEN((--TRIM(RIGHT(SUBSTITUTE(LEFT(A546,_xlfn.AGGREGATE(16,6,FIND({0,1,2,3,4,5,6,7,8,9},A546,ROW(INDIRECT("1:"&amp;LEN(A546)))),1))," ",REPT(" ",LEN(A546))),LEN(A546)))))))/10))*1+1</f>
        <v>302 ,.., 1502</v>
      </c>
      <c r="B547" s="97"/>
      <c r="C547" s="42"/>
      <c r="D547" s="42"/>
      <c r="E547" s="42">
        <v>0</v>
      </c>
      <c r="F547" s="42">
        <f>D547+E547</f>
        <v>0</v>
      </c>
      <c r="G547" s="42">
        <v>0</v>
      </c>
      <c r="H547" s="42">
        <f>F547*(($H$203)+1)+(IF(G547&lt;101,G547,IF(G547&lt;201,G547/2,IF(G547&lt;=301,G547/3,G547/4))))</f>
        <v>0</v>
      </c>
      <c r="I547" s="36"/>
    </row>
    <row r="548" spans="1:9" s="37" customFormat="1" ht="15.75" hidden="1" customHeight="1" x14ac:dyDescent="0.25">
      <c r="A548" s="96" t="str">
        <f ca="1">(SUMPRODUCT(MID(0&amp;(LEFT(A547,SUM(LEN(A547)-LEN(SUBSTITUTE(A547,{"0","1","2"},""))))), LARGE(INDEX(ISNUMBER(--MID((LEFT(A547,SUM(LEN(A547)-LEN(SUBSTITUTE(A547,{"0","1","2"},""))))), ROW(INDIRECT("1:"&amp;LEN((LEFT(A547,SUM(LEN(A547)-LEN(SUBSTITUTE(A547,{"0","1","2"},"")))))))), 1)) * ROW(INDIRECT("1:"&amp;LEN((LEFT(A547,SUM(LEN(A547)-LEN(SUBSTITUTE(A547,{"0","1","2"},"")))))))), 0), ROW(INDIRECT("1:"&amp;LEN((LEFT(A547,SUM(LEN(A547)-LEN(SUBSTITUTE(A547,{"0","1","2"},"")))))))))+1, 1) * 10^ROW(INDIRECT("1:"&amp;LEN((LEFT(A547,SUM(LEN(A547)-LEN(SUBSTITUTE(A547,{"0","1","2"},""))))))))/10))*1+1&amp;""&amp;" ,.., "&amp;""&amp;(SUMPRODUCT(MID(0&amp;(--TRIM(RIGHT(SUBSTITUTE(LEFT(A547,_xlfn.AGGREGATE(16,6,FIND({0,1,2,3,4,5,6,7,8,9},A547,ROW(INDIRECT("1:"&amp;LEN(A547)))),1))," ",REPT(" ",LEN(A547))),LEN(A547)))), LARGE(INDEX(ISNUMBER(--MID((--TRIM(RIGHT(SUBSTITUTE(LEFT(A547,_xlfn.AGGREGATE(16,6,FIND({0,1,2,3,4,5,6,7,8,9},A547,ROW(INDIRECT("1:"&amp;LEN(A547)))),1))," ",REPT(" ",LEN(A547))),LEN(A547)))), ROW(INDIRECT("1:"&amp;LEN((--TRIM(RIGHT(SUBSTITUTE(LEFT(A547,_xlfn.AGGREGATE(16,6,FIND({0,1,2,3,4,5,6,7,8,9},A547,ROW(INDIRECT("1:"&amp;LEN(A547)))),1))," ",REPT(" ",LEN(A547))),LEN(A547))))))), 1)) * ROW(INDIRECT("1:"&amp;LEN((--TRIM(RIGHT(SUBSTITUTE(LEFT(A547,_xlfn.AGGREGATE(16,6,FIND({0,1,2,3,4,5,6,7,8,9},A547,ROW(INDIRECT("1:"&amp;LEN(A547)))),1))," ",REPT(" ",LEN(A547))),LEN(A547))))))), 0), ROW(INDIRECT("1:"&amp;LEN((--TRIM(RIGHT(SUBSTITUTE(LEFT(A547,_xlfn.AGGREGATE(16,6,FIND({0,1,2,3,4,5,6,7,8,9},A547,ROW(INDIRECT("1:"&amp;LEN(A547)))),1))," ",REPT(" ",LEN(A547))),LEN(A547))))))))+1, 1) * 10^ROW(INDIRECT("1:"&amp;LEN((--TRIM(RIGHT(SUBSTITUTE(LEFT(A547,_xlfn.AGGREGATE(16,6,FIND({0,1,2,3,4,5,6,7,8,9},A547,ROW(INDIRECT("1:"&amp;LEN(A547)))),1))," ",REPT(" ",LEN(A547))),LEN(A547)))))))/10))*1+1</f>
        <v>303 ,.., 1503</v>
      </c>
      <c r="B548" s="97"/>
      <c r="C548" s="42"/>
      <c r="D548" s="42"/>
      <c r="E548" s="42">
        <v>0</v>
      </c>
      <c r="F548" s="42">
        <f>D548+E548</f>
        <v>0</v>
      </c>
      <c r="G548" s="42">
        <v>0</v>
      </c>
      <c r="H548" s="42">
        <f>F548*(($H$203)+1)+(IF(G548&lt;101,G548,IF(G548&lt;201,G548/2,IF(G548&lt;=301,G548/3,G548/4))))</f>
        <v>0</v>
      </c>
      <c r="I548" s="36"/>
    </row>
    <row r="549" spans="1:9" s="37" customFormat="1" ht="15.75" hidden="1" customHeight="1" x14ac:dyDescent="0.25">
      <c r="A549" s="96" t="str">
        <f ca="1">(SUMPRODUCT(MID(0&amp;(LEFT(A548,SUM(LEN(A548)-LEN(SUBSTITUTE(A548,{"0","1","2"},""))))), LARGE(INDEX(ISNUMBER(--MID((LEFT(A548,SUM(LEN(A548)-LEN(SUBSTITUTE(A548,{"0","1","2"},""))))), ROW(INDIRECT("1:"&amp;LEN((LEFT(A548,SUM(LEN(A548)-LEN(SUBSTITUTE(A548,{"0","1","2"},"")))))))), 1)) * ROW(INDIRECT("1:"&amp;LEN((LEFT(A548,SUM(LEN(A548)-LEN(SUBSTITUTE(A548,{"0","1","2"},"")))))))), 0), ROW(INDIRECT("1:"&amp;LEN((LEFT(A548,SUM(LEN(A548)-LEN(SUBSTITUTE(A548,{"0","1","2"},"")))))))))+1, 1) * 10^ROW(INDIRECT("1:"&amp;LEN((LEFT(A548,SUM(LEN(A548)-LEN(SUBSTITUTE(A548,{"0","1","2"},""))))))))/10))*1+1&amp;""&amp;" ,.., "&amp;""&amp;(SUMPRODUCT(MID(0&amp;(--TRIM(RIGHT(SUBSTITUTE(LEFT(A548,_xlfn.AGGREGATE(16,6,FIND({0,1,2,3,4,5,6,7,8,9},A548,ROW(INDIRECT("1:"&amp;LEN(A548)))),1))," ",REPT(" ",LEN(A548))),LEN(A548)))), LARGE(INDEX(ISNUMBER(--MID((--TRIM(RIGHT(SUBSTITUTE(LEFT(A548,_xlfn.AGGREGATE(16,6,FIND({0,1,2,3,4,5,6,7,8,9},A548,ROW(INDIRECT("1:"&amp;LEN(A548)))),1))," ",REPT(" ",LEN(A548))),LEN(A548)))), ROW(INDIRECT("1:"&amp;LEN((--TRIM(RIGHT(SUBSTITUTE(LEFT(A548,_xlfn.AGGREGATE(16,6,FIND({0,1,2,3,4,5,6,7,8,9},A548,ROW(INDIRECT("1:"&amp;LEN(A548)))),1))," ",REPT(" ",LEN(A548))),LEN(A548))))))), 1)) * ROW(INDIRECT("1:"&amp;LEN((--TRIM(RIGHT(SUBSTITUTE(LEFT(A548,_xlfn.AGGREGATE(16,6,FIND({0,1,2,3,4,5,6,7,8,9},A548,ROW(INDIRECT("1:"&amp;LEN(A548)))),1))," ",REPT(" ",LEN(A548))),LEN(A548))))))), 0), ROW(INDIRECT("1:"&amp;LEN((--TRIM(RIGHT(SUBSTITUTE(LEFT(A548,_xlfn.AGGREGATE(16,6,FIND({0,1,2,3,4,5,6,7,8,9},A548,ROW(INDIRECT("1:"&amp;LEN(A548)))),1))," ",REPT(" ",LEN(A548))),LEN(A548))))))))+1, 1) * 10^ROW(INDIRECT("1:"&amp;LEN((--TRIM(RIGHT(SUBSTITUTE(LEFT(A548,_xlfn.AGGREGATE(16,6,FIND({0,1,2,3,4,5,6,7,8,9},A548,ROW(INDIRECT("1:"&amp;LEN(A548)))),1))," ",REPT(" ",LEN(A548))),LEN(A548)))))))/10))*1+1</f>
        <v>304 ,.., 1504</v>
      </c>
      <c r="B549" s="97"/>
      <c r="C549" s="42"/>
      <c r="D549" s="42"/>
      <c r="E549" s="42">
        <v>0</v>
      </c>
      <c r="F549" s="42">
        <f>D549+E549</f>
        <v>0</v>
      </c>
      <c r="G549" s="42">
        <v>0</v>
      </c>
      <c r="H549" s="42">
        <f>F549*(($H$203)+1)+(IF(G549&lt;101,G549,IF(G549&lt;201,G549/2,IF(G549&lt;=301,G549/3,G549/4))))</f>
        <v>0</v>
      </c>
      <c r="I549" s="36"/>
    </row>
    <row r="550" spans="1:9" s="37" customFormat="1" ht="15.75" hidden="1" customHeight="1" x14ac:dyDescent="0.25">
      <c r="A550" s="96" t="str">
        <f ca="1">(SUMPRODUCT(MID(0&amp;(LEFT(A549,SUM(LEN(A549)-LEN(SUBSTITUTE(A549,{"0","1","2"},""))))), LARGE(INDEX(ISNUMBER(--MID((LEFT(A549,SUM(LEN(A549)-LEN(SUBSTITUTE(A549,{"0","1","2"},""))))), ROW(INDIRECT("1:"&amp;LEN((LEFT(A549,SUM(LEN(A549)-LEN(SUBSTITUTE(A549,{"0","1","2"},"")))))))), 1)) * ROW(INDIRECT("1:"&amp;LEN((LEFT(A549,SUM(LEN(A549)-LEN(SUBSTITUTE(A549,{"0","1","2"},"")))))))), 0), ROW(INDIRECT("1:"&amp;LEN((LEFT(A549,SUM(LEN(A549)-LEN(SUBSTITUTE(A549,{"0","1","2"},"")))))))))+1, 1) * 10^ROW(INDIRECT("1:"&amp;LEN((LEFT(A549,SUM(LEN(A549)-LEN(SUBSTITUTE(A549,{"0","1","2"},""))))))))/10))*1+1&amp;""&amp;" ,.., "&amp;""&amp;(SUMPRODUCT(MID(0&amp;(--TRIM(RIGHT(SUBSTITUTE(LEFT(A549,_xlfn.AGGREGATE(16,6,FIND({0,1,2,3,4,5,6,7,8,9},A549,ROW(INDIRECT("1:"&amp;LEN(A549)))),1))," ",REPT(" ",LEN(A549))),LEN(A549)))), LARGE(INDEX(ISNUMBER(--MID((--TRIM(RIGHT(SUBSTITUTE(LEFT(A549,_xlfn.AGGREGATE(16,6,FIND({0,1,2,3,4,5,6,7,8,9},A549,ROW(INDIRECT("1:"&amp;LEN(A549)))),1))," ",REPT(" ",LEN(A549))),LEN(A549)))), ROW(INDIRECT("1:"&amp;LEN((--TRIM(RIGHT(SUBSTITUTE(LEFT(A549,_xlfn.AGGREGATE(16,6,FIND({0,1,2,3,4,5,6,7,8,9},A549,ROW(INDIRECT("1:"&amp;LEN(A549)))),1))," ",REPT(" ",LEN(A549))),LEN(A549))))))), 1)) * ROW(INDIRECT("1:"&amp;LEN((--TRIM(RIGHT(SUBSTITUTE(LEFT(A549,_xlfn.AGGREGATE(16,6,FIND({0,1,2,3,4,5,6,7,8,9},A549,ROW(INDIRECT("1:"&amp;LEN(A549)))),1))," ",REPT(" ",LEN(A549))),LEN(A549))))))), 0), ROW(INDIRECT("1:"&amp;LEN((--TRIM(RIGHT(SUBSTITUTE(LEFT(A549,_xlfn.AGGREGATE(16,6,FIND({0,1,2,3,4,5,6,7,8,9},A549,ROW(INDIRECT("1:"&amp;LEN(A549)))),1))," ",REPT(" ",LEN(A549))),LEN(A549))))))))+1, 1) * 10^ROW(INDIRECT("1:"&amp;LEN((--TRIM(RIGHT(SUBSTITUTE(LEFT(A549,_xlfn.AGGREGATE(16,6,FIND({0,1,2,3,4,5,6,7,8,9},A549,ROW(INDIRECT("1:"&amp;LEN(A549)))),1))," ",REPT(" ",LEN(A549))),LEN(A549)))))))/10))*1+1</f>
        <v>305 ,.., 1505</v>
      </c>
      <c r="B550" s="97"/>
      <c r="C550" s="42"/>
      <c r="D550" s="42"/>
      <c r="E550" s="42">
        <v>0</v>
      </c>
      <c r="F550" s="42">
        <f>D550+E550</f>
        <v>0</v>
      </c>
      <c r="G550" s="42">
        <v>0</v>
      </c>
      <c r="H550" s="42">
        <f>F550*(($H$203)+1)+(IF(G550&lt;101,G550,IF(G550&lt;201,G550/2,IF(G550&lt;=301,G550/3,G550/4))))</f>
        <v>0</v>
      </c>
      <c r="I550" s="36"/>
    </row>
    <row r="551" spans="1:9" s="37" customFormat="1" hidden="1" x14ac:dyDescent="0.25">
      <c r="A551" s="99" t="s">
        <v>143</v>
      </c>
      <c r="B551" s="100"/>
      <c r="C551" s="100"/>
      <c r="D551" s="100"/>
      <c r="E551" s="100"/>
      <c r="F551" s="100"/>
      <c r="G551" s="100"/>
      <c r="H551" s="101"/>
      <c r="I551" s="36"/>
    </row>
    <row r="552" spans="1:9" s="37" customFormat="1" ht="15.75" hidden="1" customHeight="1" x14ac:dyDescent="0.25">
      <c r="A552" s="96" t="str">
        <f ca="1">(SUMPRODUCT(MID(0&amp;(LEFT(A551,SUM(LEN(A551)-LEN(SUBSTITUTE(A551,{"0","1","2"},""))))), LARGE(INDEX(ISNUMBER(--MID((LEFT(A551,SUM(LEN(A551)-LEN(SUBSTITUTE(A551,{"0","1","2"},""))))), ROW(INDIRECT("1:"&amp;LEN((LEFT(A551,SUM(LEN(A551)-LEN(SUBSTITUTE(A551,{"0","1","2"},"")))))))), 1)) * ROW(INDIRECT("1:"&amp;LEN((LEFT(A551,SUM(LEN(A551)-LEN(SUBSTITUTE(A551,{"0","1","2"},"")))))))), 0), ROW(INDIRECT("1:"&amp;LEN((LEFT(A551,SUM(LEN(A551)-LEN(SUBSTITUTE(A551,{"0","1","2"},"")))))))))+1, 1) * 10^ROW(INDIRECT("1:"&amp;LEN((LEFT(A551,SUM(LEN(A551)-LEN(SUBSTITUTE(A551,{"0","1","2"},""))))))))/10))*100+1&amp;""&amp;" to "&amp;""&amp;(SUMPRODUCT(MID(0&amp;(--TRIM(RIGHT(SUBSTITUTE(LEFT(A551,_xlfn.AGGREGATE(16,6,FIND({0,1,2,3,4,5,6,7,8,9},A551,ROW(INDIRECT("1:"&amp;LEN(A551)))),1))," ",REPT(" ",LEN(A551))),LEN(A551)))), LARGE(INDEX(ISNUMBER(--MID((--TRIM(RIGHT(SUBSTITUTE(LEFT(A551,_xlfn.AGGREGATE(16,6,FIND({0,1,2,3,4,5,6,7,8,9},A551,ROW(INDIRECT("1:"&amp;LEN(A551)))),1))," ",REPT(" ",LEN(A551))),LEN(A551)))), ROW(INDIRECT("1:"&amp;LEN((--TRIM(RIGHT(SUBSTITUTE(LEFT(A551,_xlfn.AGGREGATE(16,6,FIND({0,1,2,3,4,5,6,7,8,9},A551,ROW(INDIRECT("1:"&amp;LEN(A551)))),1))," ",REPT(" ",LEN(A551))),LEN(A551))))))), 1)) * ROW(INDIRECT("1:"&amp;LEN((--TRIM(RIGHT(SUBSTITUTE(LEFT(A551,_xlfn.AGGREGATE(16,6,FIND({0,1,2,3,4,5,6,7,8,9},A551,ROW(INDIRECT("1:"&amp;LEN(A551)))),1))," ",REPT(" ",LEN(A551))),LEN(A551))))))), 0), ROW(INDIRECT("1:"&amp;LEN((--TRIM(RIGHT(SUBSTITUTE(LEFT(A551,_xlfn.AGGREGATE(16,6,FIND({0,1,2,3,4,5,6,7,8,9},A551,ROW(INDIRECT("1:"&amp;LEN(A551)))),1))," ",REPT(" ",LEN(A551))),LEN(A551))))))))+1, 1) * 10^ROW(INDIRECT("1:"&amp;LEN((--TRIM(RIGHT(SUBSTITUTE(LEFT(A551,_xlfn.AGGREGATE(16,6,FIND({0,1,2,3,4,5,6,7,8,9},A551,ROW(INDIRECT("1:"&amp;LEN(A551)))),1))," ",REPT(" ",LEN(A551))),LEN(A551)))))))/10))*100+1</f>
        <v>201 to 501</v>
      </c>
      <c r="B552" s="97"/>
      <c r="C552" s="42"/>
      <c r="D552" s="42"/>
      <c r="E552" s="42">
        <v>0</v>
      </c>
      <c r="F552" s="42">
        <f>D552+E552</f>
        <v>0</v>
      </c>
      <c r="G552" s="42">
        <v>0</v>
      </c>
      <c r="H552" s="42">
        <f>F552*(($H$203)+1)+(IF(G552&lt;101,G552,IF(G552&lt;201,G552/2,IF(G552&lt;=301,G552/3,G552/4))))</f>
        <v>0</v>
      </c>
      <c r="I552" s="36"/>
    </row>
    <row r="553" spans="1:9" s="37" customFormat="1" ht="15.75" hidden="1" customHeight="1" x14ac:dyDescent="0.25">
      <c r="A553" s="96" t="str">
        <f ca="1">(SUMPRODUCT(MID(0&amp;(LEFT(A552,SUM(LEN(A552)-LEN(SUBSTITUTE(A552,{"0","1","2"},""))))), LARGE(INDEX(ISNUMBER(--MID((LEFT(A552,SUM(LEN(A552)-LEN(SUBSTITUTE(A552,{"0","1","2"},""))))), ROW(INDIRECT("1:"&amp;LEN((LEFT(A552,SUM(LEN(A552)-LEN(SUBSTITUTE(A552,{"0","1","2"},"")))))))), 1)) * ROW(INDIRECT("1:"&amp;LEN((LEFT(A552,SUM(LEN(A552)-LEN(SUBSTITUTE(A552,{"0","1","2"},"")))))))), 0), ROW(INDIRECT("1:"&amp;LEN((LEFT(A552,SUM(LEN(A552)-LEN(SUBSTITUTE(A552,{"0","1","2"},"")))))))))+1, 1) * 10^ROW(INDIRECT("1:"&amp;LEN((LEFT(A552,SUM(LEN(A552)-LEN(SUBSTITUTE(A552,{"0","1","2"},""))))))))/10))*1+1&amp;""&amp;" to "&amp;""&amp;(SUMPRODUCT(MID(0&amp;(--TRIM(RIGHT(SUBSTITUTE(LEFT(A552,_xlfn.AGGREGATE(16,6,FIND({0,1,2,3,4,5,6,7,8,9},A552,ROW(INDIRECT("1:"&amp;LEN(A552)))),1))," ",REPT(" ",LEN(A552))),LEN(A552)))), LARGE(INDEX(ISNUMBER(--MID((--TRIM(RIGHT(SUBSTITUTE(LEFT(A552,_xlfn.AGGREGATE(16,6,FIND({0,1,2,3,4,5,6,7,8,9},A552,ROW(INDIRECT("1:"&amp;LEN(A552)))),1))," ",REPT(" ",LEN(A552))),LEN(A552)))), ROW(INDIRECT("1:"&amp;LEN((--TRIM(RIGHT(SUBSTITUTE(LEFT(A552,_xlfn.AGGREGATE(16,6,FIND({0,1,2,3,4,5,6,7,8,9},A552,ROW(INDIRECT("1:"&amp;LEN(A552)))),1))," ",REPT(" ",LEN(A552))),LEN(A552))))))), 1)) * ROW(INDIRECT("1:"&amp;LEN((--TRIM(RIGHT(SUBSTITUTE(LEFT(A552,_xlfn.AGGREGATE(16,6,FIND({0,1,2,3,4,5,6,7,8,9},A552,ROW(INDIRECT("1:"&amp;LEN(A552)))),1))," ",REPT(" ",LEN(A552))),LEN(A552))))))), 0), ROW(INDIRECT("1:"&amp;LEN((--TRIM(RIGHT(SUBSTITUTE(LEFT(A552,_xlfn.AGGREGATE(16,6,FIND({0,1,2,3,4,5,6,7,8,9},A552,ROW(INDIRECT("1:"&amp;LEN(A552)))),1))," ",REPT(" ",LEN(A552))),LEN(A552))))))))+1, 1) * 10^ROW(INDIRECT("1:"&amp;LEN((--TRIM(RIGHT(SUBSTITUTE(LEFT(A552,_xlfn.AGGREGATE(16,6,FIND({0,1,2,3,4,5,6,7,8,9},A552,ROW(INDIRECT("1:"&amp;LEN(A552)))),1))," ",REPT(" ",LEN(A552))),LEN(A552)))))))/10))*1+1</f>
        <v>202 to 502</v>
      </c>
      <c r="B553" s="97"/>
      <c r="C553" s="42"/>
      <c r="D553" s="42"/>
      <c r="E553" s="42">
        <v>0</v>
      </c>
      <c r="F553" s="42">
        <f>D553+E553</f>
        <v>0</v>
      </c>
      <c r="G553" s="42">
        <v>0</v>
      </c>
      <c r="H553" s="42">
        <f>F553*(($H$203)+1)+(IF(G553&lt;101,G553,IF(G553&lt;201,G553/2,IF(G553&lt;=301,G553/3,G553/4))))</f>
        <v>0</v>
      </c>
      <c r="I553" s="36"/>
    </row>
    <row r="554" spans="1:9" s="37" customFormat="1" ht="15.75" hidden="1" customHeight="1" x14ac:dyDescent="0.25">
      <c r="A554" s="96" t="str">
        <f ca="1">(SUMPRODUCT(MID(0&amp;(LEFT(A553,SUM(LEN(A553)-LEN(SUBSTITUTE(A553,{"0","1","2"},""))))), LARGE(INDEX(ISNUMBER(--MID((LEFT(A553,SUM(LEN(A553)-LEN(SUBSTITUTE(A553,{"0","1","2"},""))))), ROW(INDIRECT("1:"&amp;LEN((LEFT(A553,SUM(LEN(A553)-LEN(SUBSTITUTE(A553,{"0","1","2"},"")))))))), 1)) * ROW(INDIRECT("1:"&amp;LEN((LEFT(A553,SUM(LEN(A553)-LEN(SUBSTITUTE(A553,{"0","1","2"},"")))))))), 0), ROW(INDIRECT("1:"&amp;LEN((LEFT(A553,SUM(LEN(A553)-LEN(SUBSTITUTE(A553,{"0","1","2"},"")))))))))+1, 1) * 10^ROW(INDIRECT("1:"&amp;LEN((LEFT(A553,SUM(LEN(A553)-LEN(SUBSTITUTE(A553,{"0","1","2"},""))))))))/10))*1+1&amp;""&amp;" to "&amp;""&amp;(SUMPRODUCT(MID(0&amp;(--TRIM(RIGHT(SUBSTITUTE(LEFT(A553,_xlfn.AGGREGATE(16,6,FIND({0,1,2,3,4,5,6,7,8,9},A553,ROW(INDIRECT("1:"&amp;LEN(A553)))),1))," ",REPT(" ",LEN(A553))),LEN(A553)))), LARGE(INDEX(ISNUMBER(--MID((--TRIM(RIGHT(SUBSTITUTE(LEFT(A553,_xlfn.AGGREGATE(16,6,FIND({0,1,2,3,4,5,6,7,8,9},A553,ROW(INDIRECT("1:"&amp;LEN(A553)))),1))," ",REPT(" ",LEN(A553))),LEN(A553)))), ROW(INDIRECT("1:"&amp;LEN((--TRIM(RIGHT(SUBSTITUTE(LEFT(A553,_xlfn.AGGREGATE(16,6,FIND({0,1,2,3,4,5,6,7,8,9},A553,ROW(INDIRECT("1:"&amp;LEN(A553)))),1))," ",REPT(" ",LEN(A553))),LEN(A553))))))), 1)) * ROW(INDIRECT("1:"&amp;LEN((--TRIM(RIGHT(SUBSTITUTE(LEFT(A553,_xlfn.AGGREGATE(16,6,FIND({0,1,2,3,4,5,6,7,8,9},A553,ROW(INDIRECT("1:"&amp;LEN(A553)))),1))," ",REPT(" ",LEN(A553))),LEN(A553))))))), 0), ROW(INDIRECT("1:"&amp;LEN((--TRIM(RIGHT(SUBSTITUTE(LEFT(A553,_xlfn.AGGREGATE(16,6,FIND({0,1,2,3,4,5,6,7,8,9},A553,ROW(INDIRECT("1:"&amp;LEN(A553)))),1))," ",REPT(" ",LEN(A553))),LEN(A553))))))))+1, 1) * 10^ROW(INDIRECT("1:"&amp;LEN((--TRIM(RIGHT(SUBSTITUTE(LEFT(A553,_xlfn.AGGREGATE(16,6,FIND({0,1,2,3,4,5,6,7,8,9},A553,ROW(INDIRECT("1:"&amp;LEN(A553)))),1))," ",REPT(" ",LEN(A553))),LEN(A553)))))))/10))*1+1</f>
        <v>203 to 503</v>
      </c>
      <c r="B554" s="97"/>
      <c r="C554" s="42"/>
      <c r="D554" s="42"/>
      <c r="E554" s="42">
        <v>0</v>
      </c>
      <c r="F554" s="42">
        <f>D554+E554</f>
        <v>0</v>
      </c>
      <c r="G554" s="42">
        <v>0</v>
      </c>
      <c r="H554" s="42">
        <f>F554*(($H$203)+1)+(IF(G554&lt;101,G554,IF(G554&lt;201,G554/2,IF(G554&lt;=301,G554/3,G554/4))))</f>
        <v>0</v>
      </c>
      <c r="I554" s="36"/>
    </row>
    <row r="555" spans="1:9" s="37" customFormat="1" ht="15.75" hidden="1" customHeight="1" x14ac:dyDescent="0.25">
      <c r="A555" s="96" t="str">
        <f ca="1">(SUMPRODUCT(MID(0&amp;(LEFT(A554,SUM(LEN(A554)-LEN(SUBSTITUTE(A554,{"0","1","2"},""))))), LARGE(INDEX(ISNUMBER(--MID((LEFT(A554,SUM(LEN(A554)-LEN(SUBSTITUTE(A554,{"0","1","2"},""))))), ROW(INDIRECT("1:"&amp;LEN((LEFT(A554,SUM(LEN(A554)-LEN(SUBSTITUTE(A554,{"0","1","2"},"")))))))), 1)) * ROW(INDIRECT("1:"&amp;LEN((LEFT(A554,SUM(LEN(A554)-LEN(SUBSTITUTE(A554,{"0","1","2"},"")))))))), 0), ROW(INDIRECT("1:"&amp;LEN((LEFT(A554,SUM(LEN(A554)-LEN(SUBSTITUTE(A554,{"0","1","2"},"")))))))))+1, 1) * 10^ROW(INDIRECT("1:"&amp;LEN((LEFT(A554,SUM(LEN(A554)-LEN(SUBSTITUTE(A554,{"0","1","2"},""))))))))/10))*1+1&amp;""&amp;" to "&amp;""&amp;(SUMPRODUCT(MID(0&amp;(--TRIM(RIGHT(SUBSTITUTE(LEFT(A554,_xlfn.AGGREGATE(16,6,FIND({0,1,2,3,4,5,6,7,8,9},A554,ROW(INDIRECT("1:"&amp;LEN(A554)))),1))," ",REPT(" ",LEN(A554))),LEN(A554)))), LARGE(INDEX(ISNUMBER(--MID((--TRIM(RIGHT(SUBSTITUTE(LEFT(A554,_xlfn.AGGREGATE(16,6,FIND({0,1,2,3,4,5,6,7,8,9},A554,ROW(INDIRECT("1:"&amp;LEN(A554)))),1))," ",REPT(" ",LEN(A554))),LEN(A554)))), ROW(INDIRECT("1:"&amp;LEN((--TRIM(RIGHT(SUBSTITUTE(LEFT(A554,_xlfn.AGGREGATE(16,6,FIND({0,1,2,3,4,5,6,7,8,9},A554,ROW(INDIRECT("1:"&amp;LEN(A554)))),1))," ",REPT(" ",LEN(A554))),LEN(A554))))))), 1)) * ROW(INDIRECT("1:"&amp;LEN((--TRIM(RIGHT(SUBSTITUTE(LEFT(A554,_xlfn.AGGREGATE(16,6,FIND({0,1,2,3,4,5,6,7,8,9},A554,ROW(INDIRECT("1:"&amp;LEN(A554)))),1))," ",REPT(" ",LEN(A554))),LEN(A554))))))), 0), ROW(INDIRECT("1:"&amp;LEN((--TRIM(RIGHT(SUBSTITUTE(LEFT(A554,_xlfn.AGGREGATE(16,6,FIND({0,1,2,3,4,5,6,7,8,9},A554,ROW(INDIRECT("1:"&amp;LEN(A554)))),1))," ",REPT(" ",LEN(A554))),LEN(A554))))))))+1, 1) * 10^ROW(INDIRECT("1:"&amp;LEN((--TRIM(RIGHT(SUBSTITUTE(LEFT(A554,_xlfn.AGGREGATE(16,6,FIND({0,1,2,3,4,5,6,7,8,9},A554,ROW(INDIRECT("1:"&amp;LEN(A554)))),1))," ",REPT(" ",LEN(A554))),LEN(A554)))))))/10))*1+1</f>
        <v>204 to 504</v>
      </c>
      <c r="B555" s="97"/>
      <c r="C555" s="42"/>
      <c r="D555" s="42"/>
      <c r="E555" s="42">
        <v>0</v>
      </c>
      <c r="F555" s="42">
        <f>D555+E555</f>
        <v>0</v>
      </c>
      <c r="G555" s="42">
        <v>0</v>
      </c>
      <c r="H555" s="42">
        <f>F555*(($H$203)+1)+(IF(G555&lt;101,G555,IF(G555&lt;201,G555/2,IF(G555&lt;=301,G555/3,G555/4))))</f>
        <v>0</v>
      </c>
      <c r="I555" s="36"/>
    </row>
    <row r="556" spans="1:9" s="37" customFormat="1" ht="15.75" hidden="1" customHeight="1" x14ac:dyDescent="0.25">
      <c r="A556" s="96" t="str">
        <f ca="1">(SUMPRODUCT(MID(0&amp;(LEFT(A555,SUM(LEN(A555)-LEN(SUBSTITUTE(A555,{"0","1","2"},""))))), LARGE(INDEX(ISNUMBER(--MID((LEFT(A555,SUM(LEN(A555)-LEN(SUBSTITUTE(A555,{"0","1","2"},""))))), ROW(INDIRECT("1:"&amp;LEN((LEFT(A555,SUM(LEN(A555)-LEN(SUBSTITUTE(A555,{"0","1","2"},"")))))))), 1)) * ROW(INDIRECT("1:"&amp;LEN((LEFT(A555,SUM(LEN(A555)-LEN(SUBSTITUTE(A555,{"0","1","2"},"")))))))), 0), ROW(INDIRECT("1:"&amp;LEN((LEFT(A555,SUM(LEN(A555)-LEN(SUBSTITUTE(A555,{"0","1","2"},"")))))))))+1, 1) * 10^ROW(INDIRECT("1:"&amp;LEN((LEFT(A555,SUM(LEN(A555)-LEN(SUBSTITUTE(A555,{"0","1","2"},""))))))))/10))*1+1&amp;""&amp;" to "&amp;""&amp;(SUMPRODUCT(MID(0&amp;(--TRIM(RIGHT(SUBSTITUTE(LEFT(A555,_xlfn.AGGREGATE(16,6,FIND({0,1,2,3,4,5,6,7,8,9},A555,ROW(INDIRECT("1:"&amp;LEN(A555)))),1))," ",REPT(" ",LEN(A555))),LEN(A555)))), LARGE(INDEX(ISNUMBER(--MID((--TRIM(RIGHT(SUBSTITUTE(LEFT(A555,_xlfn.AGGREGATE(16,6,FIND({0,1,2,3,4,5,6,7,8,9},A555,ROW(INDIRECT("1:"&amp;LEN(A555)))),1))," ",REPT(" ",LEN(A555))),LEN(A555)))), ROW(INDIRECT("1:"&amp;LEN((--TRIM(RIGHT(SUBSTITUTE(LEFT(A555,_xlfn.AGGREGATE(16,6,FIND({0,1,2,3,4,5,6,7,8,9},A555,ROW(INDIRECT("1:"&amp;LEN(A555)))),1))," ",REPT(" ",LEN(A555))),LEN(A555))))))), 1)) * ROW(INDIRECT("1:"&amp;LEN((--TRIM(RIGHT(SUBSTITUTE(LEFT(A555,_xlfn.AGGREGATE(16,6,FIND({0,1,2,3,4,5,6,7,8,9},A555,ROW(INDIRECT("1:"&amp;LEN(A555)))),1))," ",REPT(" ",LEN(A555))),LEN(A555))))))), 0), ROW(INDIRECT("1:"&amp;LEN((--TRIM(RIGHT(SUBSTITUTE(LEFT(A555,_xlfn.AGGREGATE(16,6,FIND({0,1,2,3,4,5,6,7,8,9},A555,ROW(INDIRECT("1:"&amp;LEN(A555)))),1))," ",REPT(" ",LEN(A555))),LEN(A555))))))))+1, 1) * 10^ROW(INDIRECT("1:"&amp;LEN((--TRIM(RIGHT(SUBSTITUTE(LEFT(A555,_xlfn.AGGREGATE(16,6,FIND({0,1,2,3,4,5,6,7,8,9},A555,ROW(INDIRECT("1:"&amp;LEN(A555)))),1))," ",REPT(" ",LEN(A555))),LEN(A555)))))))/10))*1+1</f>
        <v>205 to 505</v>
      </c>
      <c r="B556" s="97"/>
      <c r="C556" s="42"/>
      <c r="D556" s="42"/>
      <c r="E556" s="42">
        <v>0</v>
      </c>
      <c r="F556" s="42">
        <f>D556+E556</f>
        <v>0</v>
      </c>
      <c r="G556" s="42">
        <v>0</v>
      </c>
      <c r="H556" s="42">
        <f>F556*(($H$203)+1)+(IF(G556&lt;101,G556,IF(G556&lt;201,G556/2,IF(G556&lt;=301,G556/3,G556/4))))</f>
        <v>0</v>
      </c>
      <c r="I556" s="36"/>
    </row>
    <row r="557" spans="1:9" s="37" customFormat="1" hidden="1" x14ac:dyDescent="0.25">
      <c r="A557" s="99" t="s">
        <v>144</v>
      </c>
      <c r="B557" s="100"/>
      <c r="C557" s="100"/>
      <c r="D557" s="100"/>
      <c r="E557" s="100"/>
      <c r="F557" s="100"/>
      <c r="G557" s="100"/>
      <c r="H557" s="101"/>
      <c r="I557" s="36"/>
    </row>
    <row r="558" spans="1:9" s="37" customFormat="1" ht="15.75" hidden="1" customHeight="1" x14ac:dyDescent="0.25">
      <c r="A558" s="96" t="str">
        <f ca="1">(SUMPRODUCT(MID(0&amp;(LEFT(A557,SUM(LEN(A557)-LEN(SUBSTITUTE(A557,{"0","1","2"},""))))), LARGE(INDEX(ISNUMBER(--MID((LEFT(A557,SUM(LEN(A557)-LEN(SUBSTITUTE(A557,{"0","1","2"},""))))), ROW(INDIRECT("1:"&amp;LEN((LEFT(A557,SUM(LEN(A557)-LEN(SUBSTITUTE(A557,{"0","1","2"},"")))))))), 1)) * ROW(INDIRECT("1:"&amp;LEN((LEFT(A557,SUM(LEN(A557)-LEN(SUBSTITUTE(A557,{"0","1","2"},"")))))))), 0), ROW(INDIRECT("1:"&amp;LEN((LEFT(A557,SUM(LEN(A557)-LEN(SUBSTITUTE(A557,{"0","1","2"},"")))))))))+1, 1) * 10^ROW(INDIRECT("1:"&amp;LEN((LEFT(A557,SUM(LEN(A557)-LEN(SUBSTITUTE(A557,{"0","1","2"},""))))))))/10))*100+1&amp;""&amp;" &amp; "&amp;""&amp;(SUMPRODUCT(MID(0&amp;(--TRIM(RIGHT(SUBSTITUTE(LEFT(A557,_xlfn.AGGREGATE(16,6,FIND({0,1,2,3,4,5,6,7,8,9},A557,ROW(INDIRECT("1:"&amp;LEN(A557)))),1))," ",REPT(" ",LEN(A557))),LEN(A557)))), LARGE(INDEX(ISNUMBER(--MID((--TRIM(RIGHT(SUBSTITUTE(LEFT(A557,_xlfn.AGGREGATE(16,6,FIND({0,1,2,3,4,5,6,7,8,9},A557,ROW(INDIRECT("1:"&amp;LEN(A557)))),1))," ",REPT(" ",LEN(A557))),LEN(A557)))), ROW(INDIRECT("1:"&amp;LEN((--TRIM(RIGHT(SUBSTITUTE(LEFT(A557,_xlfn.AGGREGATE(16,6,FIND({0,1,2,3,4,5,6,7,8,9},A557,ROW(INDIRECT("1:"&amp;LEN(A557)))),1))," ",REPT(" ",LEN(A557))),LEN(A557))))))), 1)) * ROW(INDIRECT("1:"&amp;LEN((--TRIM(RIGHT(SUBSTITUTE(LEFT(A557,_xlfn.AGGREGATE(16,6,FIND({0,1,2,3,4,5,6,7,8,9},A557,ROW(INDIRECT("1:"&amp;LEN(A557)))),1))," ",REPT(" ",LEN(A557))),LEN(A557))))))), 0), ROW(INDIRECT("1:"&amp;LEN((--TRIM(RIGHT(SUBSTITUTE(LEFT(A557,_xlfn.AGGREGATE(16,6,FIND({0,1,2,3,4,5,6,7,8,9},A557,ROW(INDIRECT("1:"&amp;LEN(A557)))),1))," ",REPT(" ",LEN(A557))),LEN(A557))))))))+1, 1) * 10^ROW(INDIRECT("1:"&amp;LEN((--TRIM(RIGHT(SUBSTITUTE(LEFT(A557,_xlfn.AGGREGATE(16,6,FIND({0,1,2,3,4,5,6,7,8,9},A557,ROW(INDIRECT("1:"&amp;LEN(A557)))),1))," ",REPT(" ",LEN(A557))),LEN(A557)))))))/10))*100+1</f>
        <v>201 &amp; 501</v>
      </c>
      <c r="B558" s="97"/>
      <c r="C558" s="42"/>
      <c r="D558" s="42"/>
      <c r="E558" s="42">
        <v>0</v>
      </c>
      <c r="F558" s="42">
        <f>D558+E558</f>
        <v>0</v>
      </c>
      <c r="G558" s="42">
        <v>0</v>
      </c>
      <c r="H558" s="42">
        <f>F558*(($H$203)+1)+(IF(G558&lt;101,G558,IF(G558&lt;201,G558/2,IF(G558&lt;=301,G558/3,G558/4))))</f>
        <v>0</v>
      </c>
      <c r="I558" s="36"/>
    </row>
    <row r="559" spans="1:9" s="37" customFormat="1" ht="15.75" hidden="1" customHeight="1" x14ac:dyDescent="0.25">
      <c r="A559" s="96" t="str">
        <f ca="1">(SUMPRODUCT(MID(0&amp;(LEFT(A558,SUM(LEN(A558)-LEN(SUBSTITUTE(A558,{"0","1","2"},""))))), LARGE(INDEX(ISNUMBER(--MID((LEFT(A558,SUM(LEN(A558)-LEN(SUBSTITUTE(A558,{"0","1","2"},""))))), ROW(INDIRECT("1:"&amp;LEN((LEFT(A558,SUM(LEN(A558)-LEN(SUBSTITUTE(A558,{"0","1","2"},"")))))))), 1)) * ROW(INDIRECT("1:"&amp;LEN((LEFT(A558,SUM(LEN(A558)-LEN(SUBSTITUTE(A558,{"0","1","2"},"")))))))), 0), ROW(INDIRECT("1:"&amp;LEN((LEFT(A558,SUM(LEN(A558)-LEN(SUBSTITUTE(A558,{"0","1","2"},"")))))))))+1, 1) * 10^ROW(INDIRECT("1:"&amp;LEN((LEFT(A558,SUM(LEN(A558)-LEN(SUBSTITUTE(A558,{"0","1","2"},""))))))))/10))*1+1&amp;""&amp;" &amp; "&amp;""&amp;(SUMPRODUCT(MID(0&amp;(--TRIM(RIGHT(SUBSTITUTE(LEFT(A558,_xlfn.AGGREGATE(16,6,FIND({0,1,2,3,4,5,6,7,8,9},A558,ROW(INDIRECT("1:"&amp;LEN(A558)))),1))," ",REPT(" ",LEN(A558))),LEN(A558)))), LARGE(INDEX(ISNUMBER(--MID((--TRIM(RIGHT(SUBSTITUTE(LEFT(A558,_xlfn.AGGREGATE(16,6,FIND({0,1,2,3,4,5,6,7,8,9},A558,ROW(INDIRECT("1:"&amp;LEN(A558)))),1))," ",REPT(" ",LEN(A558))),LEN(A558)))), ROW(INDIRECT("1:"&amp;LEN((--TRIM(RIGHT(SUBSTITUTE(LEFT(A558,_xlfn.AGGREGATE(16,6,FIND({0,1,2,3,4,5,6,7,8,9},A558,ROW(INDIRECT("1:"&amp;LEN(A558)))),1))," ",REPT(" ",LEN(A558))),LEN(A558))))))), 1)) * ROW(INDIRECT("1:"&amp;LEN((--TRIM(RIGHT(SUBSTITUTE(LEFT(A558,_xlfn.AGGREGATE(16,6,FIND({0,1,2,3,4,5,6,7,8,9},A558,ROW(INDIRECT("1:"&amp;LEN(A558)))),1))," ",REPT(" ",LEN(A558))),LEN(A558))))))), 0), ROW(INDIRECT("1:"&amp;LEN((--TRIM(RIGHT(SUBSTITUTE(LEFT(A558,_xlfn.AGGREGATE(16,6,FIND({0,1,2,3,4,5,6,7,8,9},A558,ROW(INDIRECT("1:"&amp;LEN(A558)))),1))," ",REPT(" ",LEN(A558))),LEN(A558))))))))+1, 1) * 10^ROW(INDIRECT("1:"&amp;LEN((--TRIM(RIGHT(SUBSTITUTE(LEFT(A558,_xlfn.AGGREGATE(16,6,FIND({0,1,2,3,4,5,6,7,8,9},A558,ROW(INDIRECT("1:"&amp;LEN(A558)))),1))," ",REPT(" ",LEN(A558))),LEN(A558)))))))/10))*1+1</f>
        <v>202 &amp; 502</v>
      </c>
      <c r="B559" s="97"/>
      <c r="C559" s="42"/>
      <c r="D559" s="42"/>
      <c r="E559" s="42">
        <v>0</v>
      </c>
      <c r="F559" s="42">
        <f>D559+E559</f>
        <v>0</v>
      </c>
      <c r="G559" s="42">
        <v>0</v>
      </c>
      <c r="H559" s="42">
        <f>F559*(($H$203)+1)+(IF(G559&lt;101,G559,IF(G559&lt;201,G559/2,IF(G559&lt;=301,G559/3,G559/4))))</f>
        <v>0</v>
      </c>
      <c r="I559" s="36"/>
    </row>
    <row r="560" spans="1:9" s="37" customFormat="1" ht="15.75" hidden="1" customHeight="1" x14ac:dyDescent="0.25">
      <c r="A560" s="96" t="str">
        <f ca="1">(SUMPRODUCT(MID(0&amp;(LEFT(A559,SUM(LEN(A559)-LEN(SUBSTITUTE(A559,{"0","1","2"},""))))), LARGE(INDEX(ISNUMBER(--MID((LEFT(A559,SUM(LEN(A559)-LEN(SUBSTITUTE(A559,{"0","1","2"},""))))), ROW(INDIRECT("1:"&amp;LEN((LEFT(A559,SUM(LEN(A559)-LEN(SUBSTITUTE(A559,{"0","1","2"},"")))))))), 1)) * ROW(INDIRECT("1:"&amp;LEN((LEFT(A559,SUM(LEN(A559)-LEN(SUBSTITUTE(A559,{"0","1","2"},"")))))))), 0), ROW(INDIRECT("1:"&amp;LEN((LEFT(A559,SUM(LEN(A559)-LEN(SUBSTITUTE(A559,{"0","1","2"},"")))))))))+1, 1) * 10^ROW(INDIRECT("1:"&amp;LEN((LEFT(A559,SUM(LEN(A559)-LEN(SUBSTITUTE(A559,{"0","1","2"},""))))))))/10))*1+1&amp;""&amp;" &amp; "&amp;""&amp;(SUMPRODUCT(MID(0&amp;(--TRIM(RIGHT(SUBSTITUTE(LEFT(A559,_xlfn.AGGREGATE(16,6,FIND({0,1,2,3,4,5,6,7,8,9},A559,ROW(INDIRECT("1:"&amp;LEN(A559)))),1))," ",REPT(" ",LEN(A559))),LEN(A559)))), LARGE(INDEX(ISNUMBER(--MID((--TRIM(RIGHT(SUBSTITUTE(LEFT(A559,_xlfn.AGGREGATE(16,6,FIND({0,1,2,3,4,5,6,7,8,9},A559,ROW(INDIRECT("1:"&amp;LEN(A559)))),1))," ",REPT(" ",LEN(A559))),LEN(A559)))), ROW(INDIRECT("1:"&amp;LEN((--TRIM(RIGHT(SUBSTITUTE(LEFT(A559,_xlfn.AGGREGATE(16,6,FIND({0,1,2,3,4,5,6,7,8,9},A559,ROW(INDIRECT("1:"&amp;LEN(A559)))),1))," ",REPT(" ",LEN(A559))),LEN(A559))))))), 1)) * ROW(INDIRECT("1:"&amp;LEN((--TRIM(RIGHT(SUBSTITUTE(LEFT(A559,_xlfn.AGGREGATE(16,6,FIND({0,1,2,3,4,5,6,7,8,9},A559,ROW(INDIRECT("1:"&amp;LEN(A559)))),1))," ",REPT(" ",LEN(A559))),LEN(A559))))))), 0), ROW(INDIRECT("1:"&amp;LEN((--TRIM(RIGHT(SUBSTITUTE(LEFT(A559,_xlfn.AGGREGATE(16,6,FIND({0,1,2,3,4,5,6,7,8,9},A559,ROW(INDIRECT("1:"&amp;LEN(A559)))),1))," ",REPT(" ",LEN(A559))),LEN(A559))))))))+1, 1) * 10^ROW(INDIRECT("1:"&amp;LEN((--TRIM(RIGHT(SUBSTITUTE(LEFT(A559,_xlfn.AGGREGATE(16,6,FIND({0,1,2,3,4,5,6,7,8,9},A559,ROW(INDIRECT("1:"&amp;LEN(A559)))),1))," ",REPT(" ",LEN(A559))),LEN(A559)))))))/10))*1+1</f>
        <v>203 &amp; 503</v>
      </c>
      <c r="B560" s="97"/>
      <c r="C560" s="42"/>
      <c r="D560" s="42"/>
      <c r="E560" s="42">
        <v>0</v>
      </c>
      <c r="F560" s="42">
        <f>D560+E560</f>
        <v>0</v>
      </c>
      <c r="G560" s="42">
        <v>0</v>
      </c>
      <c r="H560" s="42">
        <f>F560*(($H$203)+1)+(IF(G560&lt;101,G560,IF(G560&lt;201,G560/2,IF(G560&lt;=301,G560/3,G560/4))))</f>
        <v>0</v>
      </c>
      <c r="I560" s="36"/>
    </row>
    <row r="561" spans="1:20" s="37" customFormat="1" ht="15.75" hidden="1" customHeight="1" x14ac:dyDescent="0.25">
      <c r="A561" s="96" t="str">
        <f ca="1">(SUMPRODUCT(MID(0&amp;(LEFT(A560,SUM(LEN(A560)-LEN(SUBSTITUTE(A560,{"0","1","2"},""))))), LARGE(INDEX(ISNUMBER(--MID((LEFT(A560,SUM(LEN(A560)-LEN(SUBSTITUTE(A560,{"0","1","2"},""))))), ROW(INDIRECT("1:"&amp;LEN((LEFT(A560,SUM(LEN(A560)-LEN(SUBSTITUTE(A560,{"0","1","2"},"")))))))), 1)) * ROW(INDIRECT("1:"&amp;LEN((LEFT(A560,SUM(LEN(A560)-LEN(SUBSTITUTE(A560,{"0","1","2"},"")))))))), 0), ROW(INDIRECT("1:"&amp;LEN((LEFT(A560,SUM(LEN(A560)-LEN(SUBSTITUTE(A560,{"0","1","2"},"")))))))))+1, 1) * 10^ROW(INDIRECT("1:"&amp;LEN((LEFT(A560,SUM(LEN(A560)-LEN(SUBSTITUTE(A560,{"0","1","2"},""))))))))/10))*1+1&amp;""&amp;" &amp; "&amp;""&amp;(SUMPRODUCT(MID(0&amp;(--TRIM(RIGHT(SUBSTITUTE(LEFT(A560,_xlfn.AGGREGATE(16,6,FIND({0,1,2,3,4,5,6,7,8,9},A560,ROW(INDIRECT("1:"&amp;LEN(A560)))),1))," ",REPT(" ",LEN(A560))),LEN(A560)))), LARGE(INDEX(ISNUMBER(--MID((--TRIM(RIGHT(SUBSTITUTE(LEFT(A560,_xlfn.AGGREGATE(16,6,FIND({0,1,2,3,4,5,6,7,8,9},A560,ROW(INDIRECT("1:"&amp;LEN(A560)))),1))," ",REPT(" ",LEN(A560))),LEN(A560)))), ROW(INDIRECT("1:"&amp;LEN((--TRIM(RIGHT(SUBSTITUTE(LEFT(A560,_xlfn.AGGREGATE(16,6,FIND({0,1,2,3,4,5,6,7,8,9},A560,ROW(INDIRECT("1:"&amp;LEN(A560)))),1))," ",REPT(" ",LEN(A560))),LEN(A560))))))), 1)) * ROW(INDIRECT("1:"&amp;LEN((--TRIM(RIGHT(SUBSTITUTE(LEFT(A560,_xlfn.AGGREGATE(16,6,FIND({0,1,2,3,4,5,6,7,8,9},A560,ROW(INDIRECT("1:"&amp;LEN(A560)))),1))," ",REPT(" ",LEN(A560))),LEN(A560))))))), 0), ROW(INDIRECT("1:"&amp;LEN((--TRIM(RIGHT(SUBSTITUTE(LEFT(A560,_xlfn.AGGREGATE(16,6,FIND({0,1,2,3,4,5,6,7,8,9},A560,ROW(INDIRECT("1:"&amp;LEN(A560)))),1))," ",REPT(" ",LEN(A560))),LEN(A560))))))))+1, 1) * 10^ROW(INDIRECT("1:"&amp;LEN((--TRIM(RIGHT(SUBSTITUTE(LEFT(A560,_xlfn.AGGREGATE(16,6,FIND({0,1,2,3,4,5,6,7,8,9},A560,ROW(INDIRECT("1:"&amp;LEN(A560)))),1))," ",REPT(" ",LEN(A560))),LEN(A560)))))))/10))*1+1</f>
        <v>204 &amp; 504</v>
      </c>
      <c r="B561" s="97"/>
      <c r="C561" s="42"/>
      <c r="D561" s="42"/>
      <c r="E561" s="42">
        <v>0</v>
      </c>
      <c r="F561" s="42">
        <f>D561+E561</f>
        <v>0</v>
      </c>
      <c r="G561" s="42">
        <v>0</v>
      </c>
      <c r="H561" s="42">
        <f>F561*(($H$203)+1)+(IF(G561&lt;101,G561,IF(G561&lt;201,G561/2,IF(G561&lt;=301,G561/3,G561/4))))</f>
        <v>0</v>
      </c>
      <c r="I561" s="36"/>
    </row>
    <row r="562" spans="1:20" s="37" customFormat="1" ht="15.75" hidden="1" customHeight="1" x14ac:dyDescent="0.25">
      <c r="A562" s="96" t="str">
        <f ca="1">(SUMPRODUCT(MID(0&amp;(LEFT(A561,SUM(LEN(A561)-LEN(SUBSTITUTE(A561,{"0","1","2"},""))))), LARGE(INDEX(ISNUMBER(--MID((LEFT(A561,SUM(LEN(A561)-LEN(SUBSTITUTE(A561,{"0","1","2"},""))))), ROW(INDIRECT("1:"&amp;LEN((LEFT(A561,SUM(LEN(A561)-LEN(SUBSTITUTE(A561,{"0","1","2"},"")))))))), 1)) * ROW(INDIRECT("1:"&amp;LEN((LEFT(A561,SUM(LEN(A561)-LEN(SUBSTITUTE(A561,{"0","1","2"},"")))))))), 0), ROW(INDIRECT("1:"&amp;LEN((LEFT(A561,SUM(LEN(A561)-LEN(SUBSTITUTE(A561,{"0","1","2"},"")))))))))+1, 1) * 10^ROW(INDIRECT("1:"&amp;LEN((LEFT(A561,SUM(LEN(A561)-LEN(SUBSTITUTE(A561,{"0","1","2"},""))))))))/10))*1+1&amp;""&amp;" &amp; "&amp;""&amp;(SUMPRODUCT(MID(0&amp;(--TRIM(RIGHT(SUBSTITUTE(LEFT(A561,_xlfn.AGGREGATE(16,6,FIND({0,1,2,3,4,5,6,7,8,9},A561,ROW(INDIRECT("1:"&amp;LEN(A561)))),1))," ",REPT(" ",LEN(A561))),LEN(A561)))), LARGE(INDEX(ISNUMBER(--MID((--TRIM(RIGHT(SUBSTITUTE(LEFT(A561,_xlfn.AGGREGATE(16,6,FIND({0,1,2,3,4,5,6,7,8,9},A561,ROW(INDIRECT("1:"&amp;LEN(A561)))),1))," ",REPT(" ",LEN(A561))),LEN(A561)))), ROW(INDIRECT("1:"&amp;LEN((--TRIM(RIGHT(SUBSTITUTE(LEFT(A561,_xlfn.AGGREGATE(16,6,FIND({0,1,2,3,4,5,6,7,8,9},A561,ROW(INDIRECT("1:"&amp;LEN(A561)))),1))," ",REPT(" ",LEN(A561))),LEN(A561))))))), 1)) * ROW(INDIRECT("1:"&amp;LEN((--TRIM(RIGHT(SUBSTITUTE(LEFT(A561,_xlfn.AGGREGATE(16,6,FIND({0,1,2,3,4,5,6,7,8,9},A561,ROW(INDIRECT("1:"&amp;LEN(A561)))),1))," ",REPT(" ",LEN(A561))),LEN(A561))))))), 0), ROW(INDIRECT("1:"&amp;LEN((--TRIM(RIGHT(SUBSTITUTE(LEFT(A561,_xlfn.AGGREGATE(16,6,FIND({0,1,2,3,4,5,6,7,8,9},A561,ROW(INDIRECT("1:"&amp;LEN(A561)))),1))," ",REPT(" ",LEN(A561))),LEN(A561))))))))+1, 1) * 10^ROW(INDIRECT("1:"&amp;LEN((--TRIM(RIGHT(SUBSTITUTE(LEFT(A561,_xlfn.AGGREGATE(16,6,FIND({0,1,2,3,4,5,6,7,8,9},A561,ROW(INDIRECT("1:"&amp;LEN(A561)))),1))," ",REPT(" ",LEN(A561))),LEN(A561)))))))/10))*1+1</f>
        <v>205 &amp; 505</v>
      </c>
      <c r="B562" s="97"/>
      <c r="C562" s="42"/>
      <c r="D562" s="42"/>
      <c r="E562" s="42">
        <v>0</v>
      </c>
      <c r="F562" s="42">
        <f>D562+E562</f>
        <v>0</v>
      </c>
      <c r="G562" s="42">
        <v>0</v>
      </c>
      <c r="H562" s="42">
        <f>F562*(($H$203)+1)+(IF(G562&lt;101,G562,IF(G562&lt;201,G562/2,IF(G562&lt;=301,G562/3,G562/4))))</f>
        <v>0</v>
      </c>
      <c r="I562" s="36"/>
    </row>
    <row r="563" spans="1:20" s="35" customFormat="1" x14ac:dyDescent="0.25">
      <c r="A563" s="159" t="s">
        <v>64</v>
      </c>
      <c r="B563" s="159"/>
      <c r="C563" s="159"/>
      <c r="D563" s="159"/>
      <c r="E563" s="159"/>
      <c r="F563" s="159"/>
      <c r="G563" s="159"/>
      <c r="H563" s="159"/>
      <c r="T563" s="37"/>
    </row>
    <row r="564" spans="1:20" s="35" customFormat="1" x14ac:dyDescent="0.25">
      <c r="A564" s="46" t="s">
        <v>153</v>
      </c>
      <c r="B564" s="158" t="s">
        <v>436</v>
      </c>
      <c r="C564" s="158"/>
      <c r="D564" s="158"/>
      <c r="E564" s="158"/>
      <c r="F564" s="158"/>
      <c r="G564" s="158"/>
      <c r="H564" s="158"/>
      <c r="T564" s="37"/>
    </row>
    <row r="565" spans="1:20" s="35" customFormat="1" x14ac:dyDescent="0.25">
      <c r="A565" s="46" t="s">
        <v>153</v>
      </c>
      <c r="B565" s="160" t="str">
        <f>(IF(H202="Saleable area Loading :","We have considered Saleable area of Flats as per our Calculation.","We considered Saleable area of Flat as per Builder area Sheet."))</f>
        <v>We have considered Saleable area of Flats as per our Calculation.</v>
      </c>
      <c r="C565" s="160"/>
      <c r="D565" s="160"/>
      <c r="E565" s="160"/>
      <c r="F565" s="160"/>
      <c r="G565" s="160"/>
      <c r="H565" s="160"/>
      <c r="T565" s="37"/>
    </row>
    <row r="566" spans="1:20" s="35" customFormat="1" x14ac:dyDescent="0.25">
      <c r="A566" s="46" t="s">
        <v>153</v>
      </c>
      <c r="B566" s="158" t="str">
        <f>(IF(H146="Saleable area Loading :","We have considered Saleable area of Commercial as per our Calculation.","We considered Saleable area of Commercial as per Builder area Sheet."))</f>
        <v>We have considered Saleable area of Commercial as per our Calculation.</v>
      </c>
      <c r="C566" s="158"/>
      <c r="D566" s="158"/>
      <c r="E566" s="158"/>
      <c r="F566" s="158"/>
      <c r="G566" s="158"/>
      <c r="H566" s="158"/>
      <c r="T566" s="37"/>
    </row>
    <row r="567" spans="1:20" s="35" customFormat="1" x14ac:dyDescent="0.25">
      <c r="A567" s="46" t="s">
        <v>153</v>
      </c>
      <c r="B567" s="161" t="s">
        <v>120</v>
      </c>
      <c r="C567" s="161"/>
      <c r="D567" s="161"/>
      <c r="E567" s="161"/>
      <c r="F567" s="161"/>
      <c r="G567" s="161"/>
      <c r="H567" s="161"/>
      <c r="T567" s="37"/>
    </row>
    <row r="568" spans="1:20" s="35" customFormat="1" x14ac:dyDescent="0.25">
      <c r="A568" s="46" t="s">
        <v>153</v>
      </c>
      <c r="B568" s="158" t="s">
        <v>426</v>
      </c>
      <c r="C568" s="158"/>
      <c r="D568" s="158"/>
      <c r="E568" s="158"/>
      <c r="F568" s="158"/>
      <c r="G568" s="158"/>
      <c r="H568" s="158"/>
      <c r="T568" s="37"/>
    </row>
    <row r="569" spans="1:20" s="35" customFormat="1" x14ac:dyDescent="0.25">
      <c r="A569" s="46" t="s">
        <v>153</v>
      </c>
      <c r="B569" s="161" t="s">
        <v>152</v>
      </c>
      <c r="C569" s="161"/>
      <c r="D569" s="161"/>
      <c r="E569" s="161"/>
      <c r="F569" s="161"/>
      <c r="G569" s="161"/>
      <c r="H569" s="161"/>
    </row>
    <row r="570" spans="1:20" s="35" customFormat="1" x14ac:dyDescent="0.25">
      <c r="A570" s="46" t="s">
        <v>153</v>
      </c>
      <c r="B570" s="161" t="s">
        <v>121</v>
      </c>
      <c r="C570" s="161"/>
      <c r="D570" s="161"/>
      <c r="E570" s="161"/>
      <c r="F570" s="161"/>
      <c r="G570" s="161"/>
      <c r="H570" s="161"/>
    </row>
    <row r="571" spans="1:20" s="35" customFormat="1" ht="34.5" customHeight="1" x14ac:dyDescent="0.25">
      <c r="A571" s="46" t="s">
        <v>153</v>
      </c>
      <c r="B571" s="158" t="s">
        <v>154</v>
      </c>
      <c r="C571" s="158"/>
      <c r="D571" s="158"/>
      <c r="E571" s="158"/>
      <c r="F571" s="158"/>
      <c r="G571" s="158"/>
      <c r="H571" s="158"/>
    </row>
    <row r="572" spans="1:20" s="35" customFormat="1" x14ac:dyDescent="0.25">
      <c r="A572" s="46" t="s">
        <v>153</v>
      </c>
      <c r="B572" s="246" t="s">
        <v>122</v>
      </c>
      <c r="C572" s="247"/>
      <c r="D572" s="247"/>
      <c r="E572" s="247"/>
      <c r="F572" s="247"/>
      <c r="G572" s="247"/>
      <c r="H572" s="248"/>
    </row>
    <row r="573" spans="1:20" s="35" customFormat="1" ht="32.25" hidden="1" customHeight="1" x14ac:dyDescent="0.25">
      <c r="A573" s="46" t="s">
        <v>153</v>
      </c>
      <c r="B573" s="179" t="s">
        <v>178</v>
      </c>
      <c r="C573" s="180"/>
      <c r="D573" s="180"/>
      <c r="E573" s="180"/>
      <c r="F573" s="180"/>
      <c r="G573" s="180"/>
      <c r="H573" s="181"/>
    </row>
    <row r="574" spans="1:20" s="35" customFormat="1" x14ac:dyDescent="0.25">
      <c r="A574" s="46" t="s">
        <v>153</v>
      </c>
      <c r="B574" s="91" t="s">
        <v>437</v>
      </c>
      <c r="C574" s="92"/>
      <c r="D574" s="92"/>
      <c r="E574" s="92"/>
      <c r="F574" s="92"/>
      <c r="G574" s="92"/>
      <c r="H574" s="93"/>
    </row>
    <row r="575" spans="1:20" s="35" customFormat="1" ht="33" customHeight="1" x14ac:dyDescent="0.25">
      <c r="A575" s="46" t="s">
        <v>153</v>
      </c>
      <c r="B575" s="91" t="s">
        <v>446</v>
      </c>
      <c r="C575" s="92"/>
      <c r="D575" s="92"/>
      <c r="E575" s="92"/>
      <c r="F575" s="92"/>
      <c r="G575" s="92"/>
      <c r="H575" s="93"/>
    </row>
    <row r="576" spans="1:20" s="35" customFormat="1" hidden="1" x14ac:dyDescent="0.25">
      <c r="A576" s="46" t="s">
        <v>153</v>
      </c>
      <c r="B576" s="179" t="str">
        <f ca="1">IF(G52&gt;EDATE(E3,-48),"NO REMARK FOR CC","REMARK FOR CC")</f>
        <v>NO REMARK FOR CC</v>
      </c>
      <c r="C576" s="180"/>
      <c r="D576" s="180"/>
      <c r="E576" s="180"/>
      <c r="F576" s="180"/>
      <c r="G576" s="180"/>
      <c r="H576" s="181"/>
    </row>
    <row r="577" spans="1:20" s="35" customFormat="1" ht="13.5" hidden="1" customHeight="1" x14ac:dyDescent="0.25">
      <c r="A577" s="46" t="s">
        <v>153</v>
      </c>
      <c r="B577" s="179" t="s">
        <v>352</v>
      </c>
      <c r="C577" s="180"/>
      <c r="D577" s="180"/>
      <c r="E577" s="180"/>
      <c r="F577" s="180"/>
      <c r="G577" s="180"/>
      <c r="H577" s="181"/>
    </row>
    <row r="578" spans="1:20" s="35" customFormat="1" x14ac:dyDescent="0.25">
      <c r="A578" s="46" t="s">
        <v>153</v>
      </c>
      <c r="B578" s="91" t="s">
        <v>453</v>
      </c>
      <c r="C578" s="92"/>
      <c r="D578" s="92"/>
      <c r="E578" s="92"/>
      <c r="F578" s="92"/>
      <c r="G578" s="92"/>
      <c r="H578" s="93"/>
    </row>
    <row r="579" spans="1:20" s="35" customFormat="1" x14ac:dyDescent="0.25">
      <c r="A579" s="89" t="s">
        <v>153</v>
      </c>
      <c r="B579" s="91" t="s">
        <v>457</v>
      </c>
      <c r="C579" s="92"/>
      <c r="D579" s="92"/>
      <c r="E579" s="92"/>
      <c r="F579" s="92"/>
      <c r="G579" s="92"/>
      <c r="H579" s="93"/>
    </row>
    <row r="580" spans="1:20" s="35" customFormat="1" x14ac:dyDescent="0.25">
      <c r="A580" s="90" t="s">
        <v>153</v>
      </c>
      <c r="B580" s="249" t="s">
        <v>466</v>
      </c>
      <c r="C580" s="250"/>
      <c r="D580" s="250"/>
      <c r="E580" s="250"/>
      <c r="F580" s="250"/>
      <c r="G580" s="250"/>
      <c r="H580" s="251"/>
    </row>
    <row r="581" spans="1:20" x14ac:dyDescent="0.25">
      <c r="A581" s="188" t="s">
        <v>57</v>
      </c>
      <c r="B581" s="188"/>
      <c r="C581" s="188"/>
      <c r="D581" s="188"/>
      <c r="E581" s="188"/>
      <c r="F581" s="188"/>
      <c r="G581" s="188"/>
      <c r="H581" s="188"/>
      <c r="T581" s="35"/>
    </row>
    <row r="582" spans="1:20" x14ac:dyDescent="0.25">
      <c r="A582" s="146" t="s">
        <v>58</v>
      </c>
      <c r="B582" s="146"/>
      <c r="C582" s="146"/>
      <c r="D582" s="146"/>
      <c r="E582" s="146"/>
      <c r="F582" s="146"/>
      <c r="G582" s="146"/>
      <c r="H582" s="146"/>
      <c r="T582" s="35"/>
    </row>
    <row r="583" spans="1:20" ht="15.75" customHeight="1" x14ac:dyDescent="0.25">
      <c r="A583" s="151" t="s">
        <v>59</v>
      </c>
      <c r="B583" s="151"/>
      <c r="C583" s="151"/>
      <c r="D583" s="151"/>
      <c r="E583" s="151"/>
      <c r="F583" s="151"/>
      <c r="G583" s="151"/>
      <c r="H583" s="151"/>
      <c r="T583" s="35"/>
    </row>
    <row r="584" spans="1:20" x14ac:dyDescent="0.25">
      <c r="A584" s="146" t="s">
        <v>60</v>
      </c>
      <c r="B584" s="146"/>
      <c r="C584" s="146"/>
      <c r="D584" s="146"/>
      <c r="E584" s="146"/>
      <c r="F584" s="146"/>
      <c r="G584" s="146"/>
      <c r="H584" s="146"/>
      <c r="T584" s="35"/>
    </row>
    <row r="585" spans="1:20" x14ac:dyDescent="0.25">
      <c r="A585" s="146" t="s">
        <v>61</v>
      </c>
      <c r="B585" s="146"/>
      <c r="C585" s="146"/>
      <c r="D585" s="146"/>
      <c r="E585" s="146"/>
      <c r="F585" s="146"/>
      <c r="G585" s="146"/>
      <c r="H585" s="146"/>
      <c r="T585" s="35"/>
    </row>
    <row r="586" spans="1:20" x14ac:dyDescent="0.25">
      <c r="A586" s="146" t="s">
        <v>123</v>
      </c>
      <c r="B586" s="146"/>
      <c r="C586" s="146"/>
      <c r="D586" s="146"/>
      <c r="E586" s="146"/>
      <c r="F586" s="146"/>
      <c r="G586" s="146"/>
      <c r="H586" s="146"/>
      <c r="T586" s="35"/>
    </row>
    <row r="587" spans="1:20" ht="34.15" customHeight="1" x14ac:dyDescent="0.25">
      <c r="A587" s="132" t="s">
        <v>124</v>
      </c>
      <c r="B587" s="132"/>
      <c r="C587" s="132"/>
      <c r="D587" s="132"/>
      <c r="E587" s="132"/>
      <c r="F587" s="132"/>
      <c r="G587" s="132"/>
      <c r="H587" s="132"/>
    </row>
    <row r="588" spans="1:20" x14ac:dyDescent="0.25">
      <c r="A588" s="176" t="s">
        <v>73</v>
      </c>
      <c r="B588" s="176"/>
      <c r="C588" s="176" t="s">
        <v>460</v>
      </c>
      <c r="D588" s="176"/>
      <c r="E588" s="176" t="s">
        <v>102</v>
      </c>
      <c r="F588" s="176"/>
      <c r="G588" s="177" t="s">
        <v>459</v>
      </c>
      <c r="H588" s="177"/>
    </row>
    <row r="589" spans="1:20" x14ac:dyDescent="0.25">
      <c r="A589" s="175" t="s">
        <v>75</v>
      </c>
      <c r="B589" s="175"/>
      <c r="C589" s="175"/>
      <c r="D589" s="175"/>
      <c r="E589" s="175"/>
      <c r="F589" s="175"/>
      <c r="G589" s="175"/>
      <c r="H589" s="175"/>
    </row>
    <row r="590" spans="1:20" x14ac:dyDescent="0.25">
      <c r="A590" s="175"/>
      <c r="B590" s="175"/>
      <c r="C590" s="175"/>
      <c r="D590" s="175"/>
      <c r="E590" s="175"/>
      <c r="F590" s="175"/>
      <c r="G590" s="175"/>
      <c r="H590" s="175"/>
    </row>
    <row r="591" spans="1:20" x14ac:dyDescent="0.25">
      <c r="A591" s="175"/>
      <c r="B591" s="175"/>
      <c r="C591" s="175"/>
      <c r="D591" s="175"/>
      <c r="E591" s="175"/>
      <c r="F591" s="175"/>
      <c r="G591" s="175"/>
      <c r="H591" s="175"/>
    </row>
    <row r="592" spans="1:20" x14ac:dyDescent="0.25">
      <c r="A592" s="175"/>
      <c r="B592" s="175"/>
      <c r="C592" s="175"/>
      <c r="D592" s="175"/>
      <c r="E592" s="175"/>
      <c r="F592" s="175"/>
      <c r="G592" s="175"/>
      <c r="H592" s="175"/>
    </row>
    <row r="593" spans="1:8" x14ac:dyDescent="0.25">
      <c r="A593" s="38" t="s">
        <v>62</v>
      </c>
      <c r="B593" s="39"/>
      <c r="C593" s="39"/>
      <c r="D593" s="38" t="str">
        <f>E9</f>
        <v>Airica Tower 1, 2 &amp; 4</v>
      </c>
      <c r="F593" s="39"/>
      <c r="G593" s="39"/>
      <c r="H593" s="39"/>
    </row>
    <row r="594" spans="1:8" x14ac:dyDescent="0.25">
      <c r="A594" s="39"/>
      <c r="B594" s="39"/>
      <c r="C594" s="39"/>
      <c r="D594" s="39"/>
      <c r="E594" s="39"/>
      <c r="F594" s="39"/>
      <c r="G594" s="39"/>
      <c r="H594" s="39"/>
    </row>
    <row r="595" spans="1:8" x14ac:dyDescent="0.25">
      <c r="A595" s="39"/>
      <c r="B595" s="39"/>
      <c r="C595" s="39"/>
      <c r="D595" s="39"/>
      <c r="E595" s="39"/>
      <c r="F595" s="39"/>
      <c r="G595" s="39"/>
      <c r="H595" s="39"/>
    </row>
    <row r="596" spans="1:8" ht="15" customHeight="1" x14ac:dyDescent="0.25"/>
    <row r="634" spans="1:1" x14ac:dyDescent="0.25">
      <c r="A634" s="41" t="s">
        <v>162</v>
      </c>
    </row>
    <row r="676" spans="1:1" x14ac:dyDescent="0.25">
      <c r="A676" s="41" t="s">
        <v>63</v>
      </c>
    </row>
  </sheetData>
  <mergeCells count="1096">
    <mergeCell ref="B580:H580"/>
    <mergeCell ref="L189:M189"/>
    <mergeCell ref="A190:B190"/>
    <mergeCell ref="L190:M190"/>
    <mergeCell ref="A191:B191"/>
    <mergeCell ref="L191:M191"/>
    <mergeCell ref="A192:B192"/>
    <mergeCell ref="L192:M192"/>
    <mergeCell ref="L167:M167"/>
    <mergeCell ref="A183:H183"/>
    <mergeCell ref="A184:H184"/>
    <mergeCell ref="A185:H185"/>
    <mergeCell ref="A186:B186"/>
    <mergeCell ref="L186:M186"/>
    <mergeCell ref="A187:B187"/>
    <mergeCell ref="L187:M187"/>
    <mergeCell ref="A188:B188"/>
    <mergeCell ref="L188:M188"/>
    <mergeCell ref="L177:M177"/>
    <mergeCell ref="L178:M178"/>
    <mergeCell ref="L179:M179"/>
    <mergeCell ref="L180:M180"/>
    <mergeCell ref="L182:M182"/>
    <mergeCell ref="A168:H168"/>
    <mergeCell ref="L170:M170"/>
    <mergeCell ref="L171:M171"/>
    <mergeCell ref="L172:M172"/>
    <mergeCell ref="L173:M173"/>
    <mergeCell ref="L174:M174"/>
    <mergeCell ref="L175:M175"/>
    <mergeCell ref="L181:M181"/>
    <mergeCell ref="L176:M176"/>
    <mergeCell ref="A176:B176"/>
    <mergeCell ref="L155:M155"/>
    <mergeCell ref="A156:B156"/>
    <mergeCell ref="L156:M156"/>
    <mergeCell ref="A157:B157"/>
    <mergeCell ref="L157:M157"/>
    <mergeCell ref="A158:B158"/>
    <mergeCell ref="L158:M158"/>
    <mergeCell ref="A159:B159"/>
    <mergeCell ref="L159:M159"/>
    <mergeCell ref="L160:M160"/>
    <mergeCell ref="A161:B161"/>
    <mergeCell ref="L161:M161"/>
    <mergeCell ref="A162:B162"/>
    <mergeCell ref="L162:M162"/>
    <mergeCell ref="A163:B163"/>
    <mergeCell ref="L163:M163"/>
    <mergeCell ref="A166:B166"/>
    <mergeCell ref="L166:M166"/>
    <mergeCell ref="A164:B164"/>
    <mergeCell ref="L164:M164"/>
    <mergeCell ref="A165:B165"/>
    <mergeCell ref="L165:M165"/>
    <mergeCell ref="A98:B98"/>
    <mergeCell ref="G92:H92"/>
    <mergeCell ref="E143:F143"/>
    <mergeCell ref="B572:H572"/>
    <mergeCell ref="B570:H570"/>
    <mergeCell ref="B577:H577"/>
    <mergeCell ref="A116:B116"/>
    <mergeCell ref="C146:C147"/>
    <mergeCell ref="B202:B203"/>
    <mergeCell ref="B566:H566"/>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00:B100"/>
    <mergeCell ref="A101:B101"/>
    <mergeCell ref="A120:E120"/>
    <mergeCell ref="L539:M539"/>
    <mergeCell ref="A544:B544"/>
    <mergeCell ref="A541:B541"/>
    <mergeCell ref="A542:B542"/>
    <mergeCell ref="A552:B552"/>
    <mergeCell ref="A40:B40"/>
    <mergeCell ref="C40:H40"/>
    <mergeCell ref="F146:F147"/>
    <mergeCell ref="C132:D132"/>
    <mergeCell ref="E132:F132"/>
    <mergeCell ref="B146:B147"/>
    <mergeCell ref="A146:A147"/>
    <mergeCell ref="C202:C203"/>
    <mergeCell ref="G202:G203"/>
    <mergeCell ref="L534:M534"/>
    <mergeCell ref="L531:M531"/>
    <mergeCell ref="A532:B532"/>
    <mergeCell ref="G143:H143"/>
    <mergeCell ref="L532:M532"/>
    <mergeCell ref="A533:B533"/>
    <mergeCell ref="L533:M533"/>
    <mergeCell ref="C55:H55"/>
    <mergeCell ref="A114:B114"/>
    <mergeCell ref="A115:B115"/>
    <mergeCell ref="A81:B81"/>
    <mergeCell ref="E79:F88"/>
    <mergeCell ref="G79:H88"/>
    <mergeCell ref="A122:E122"/>
    <mergeCell ref="A142:B142"/>
    <mergeCell ref="E142:F142"/>
    <mergeCell ref="A127:E127"/>
    <mergeCell ref="G142:H142"/>
    <mergeCell ref="L154:M154"/>
    <mergeCell ref="L153:M153"/>
    <mergeCell ref="L152:M152"/>
    <mergeCell ref="L151:M151"/>
    <mergeCell ref="A86:B86"/>
    <mergeCell ref="C137:D137"/>
    <mergeCell ref="E137:F137"/>
    <mergeCell ref="G137:H137"/>
    <mergeCell ref="A118:E118"/>
    <mergeCell ref="A89:B89"/>
    <mergeCell ref="C89:H89"/>
    <mergeCell ref="A150:H150"/>
    <mergeCell ref="E146:E147"/>
    <mergeCell ref="A93:B93"/>
    <mergeCell ref="C91:H91"/>
    <mergeCell ref="A94:B94"/>
    <mergeCell ref="A95:B95"/>
    <mergeCell ref="G93:H102"/>
    <mergeCell ref="A96:B96"/>
    <mergeCell ref="F119:H119"/>
    <mergeCell ref="A119:E119"/>
    <mergeCell ref="D146:D147"/>
    <mergeCell ref="G141:H141"/>
    <mergeCell ref="A91:B91"/>
    <mergeCell ref="C133:D133"/>
    <mergeCell ref="E133:F133"/>
    <mergeCell ref="G133:H133"/>
    <mergeCell ref="A134:B134"/>
    <mergeCell ref="C134:D134"/>
    <mergeCell ref="E134:F134"/>
    <mergeCell ref="G134:H134"/>
    <mergeCell ref="A141:B141"/>
    <mergeCell ref="G52:H52"/>
    <mergeCell ref="A61:H61"/>
    <mergeCell ref="A62:C62"/>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G59:H59"/>
    <mergeCell ref="E43:H43"/>
    <mergeCell ref="A43:D43"/>
    <mergeCell ref="A50:B50"/>
    <mergeCell ref="C52:E52"/>
    <mergeCell ref="A77:B77"/>
    <mergeCell ref="A75:B75"/>
    <mergeCell ref="C75:H75"/>
    <mergeCell ref="A70:C70"/>
    <mergeCell ref="D70:H70"/>
    <mergeCell ref="C77:H77"/>
    <mergeCell ref="A71:C71"/>
    <mergeCell ref="D71:H71"/>
    <mergeCell ref="A74:C74"/>
    <mergeCell ref="D74:H74"/>
    <mergeCell ref="A73:C73"/>
    <mergeCell ref="A78:B78"/>
    <mergeCell ref="A46:D46"/>
    <mergeCell ref="A47:D47"/>
    <mergeCell ref="D69:H69"/>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C53:E53"/>
    <mergeCell ref="G53:H53"/>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30:H130"/>
    <mergeCell ref="A128:E128"/>
    <mergeCell ref="F128:H128"/>
    <mergeCell ref="A129:E129"/>
    <mergeCell ref="F129:H129"/>
    <mergeCell ref="A539:H539"/>
    <mergeCell ref="A548:B548"/>
    <mergeCell ref="A132:B132"/>
    <mergeCell ref="A584:H584"/>
    <mergeCell ref="A135:H135"/>
    <mergeCell ref="A587:H587"/>
    <mergeCell ref="A585:H585"/>
    <mergeCell ref="A581:H581"/>
    <mergeCell ref="G136:H136"/>
    <mergeCell ref="B569:H569"/>
    <mergeCell ref="A554:B554"/>
    <mergeCell ref="A543:B543"/>
    <mergeCell ref="C143:D143"/>
    <mergeCell ref="B578:H578"/>
    <mergeCell ref="C141:D141"/>
    <mergeCell ref="E141:F141"/>
    <mergeCell ref="A546:B546"/>
    <mergeCell ref="A151:B151"/>
    <mergeCell ref="B573:H573"/>
    <mergeCell ref="A143:B143"/>
    <mergeCell ref="A586:H586"/>
    <mergeCell ref="B574:H574"/>
    <mergeCell ref="A173:B173"/>
    <mergeCell ref="A174:B174"/>
    <mergeCell ref="A175:B175"/>
    <mergeCell ref="A181:B181"/>
    <mergeCell ref="C170:H170"/>
    <mergeCell ref="A177:B177"/>
    <mergeCell ref="A198:B198"/>
    <mergeCell ref="A216:H216"/>
    <mergeCell ref="A217:B217"/>
    <mergeCell ref="A224:B224"/>
    <mergeCell ref="A243:H243"/>
    <mergeCell ref="A244:B244"/>
    <mergeCell ref="A589:H592"/>
    <mergeCell ref="A588:B588"/>
    <mergeCell ref="E588:F588"/>
    <mergeCell ref="C588:D588"/>
    <mergeCell ref="G588:H588"/>
    <mergeCell ref="A582:H582"/>
    <mergeCell ref="F117:H117"/>
    <mergeCell ref="F122:H122"/>
    <mergeCell ref="A531:B531"/>
    <mergeCell ref="A154:B154"/>
    <mergeCell ref="A153:B153"/>
    <mergeCell ref="A123:E123"/>
    <mergeCell ref="F123:H123"/>
    <mergeCell ref="A125:E125"/>
    <mergeCell ref="F120:H120"/>
    <mergeCell ref="A124:E124"/>
    <mergeCell ref="A201:H201"/>
    <mergeCell ref="B576:H576"/>
    <mergeCell ref="A117:E117"/>
    <mergeCell ref="F121:H121"/>
    <mergeCell ref="A550:B550"/>
    <mergeCell ref="A121:E121"/>
    <mergeCell ref="A534:B534"/>
    <mergeCell ref="B571:H571"/>
    <mergeCell ref="G146:G147"/>
    <mergeCell ref="A553:B553"/>
    <mergeCell ref="A561:B561"/>
    <mergeCell ref="B564:H564"/>
    <mergeCell ref="B565:H565"/>
    <mergeCell ref="B567:H567"/>
    <mergeCell ref="A148:H148"/>
    <mergeCell ref="A149:H149"/>
    <mergeCell ref="A155:B155"/>
    <mergeCell ref="A160:B160"/>
    <mergeCell ref="A167:B167"/>
    <mergeCell ref="A171:B171"/>
    <mergeCell ref="A172:B172"/>
    <mergeCell ref="A54:B55"/>
    <mergeCell ref="C59:E59"/>
    <mergeCell ref="G54:H54"/>
    <mergeCell ref="A56:B57"/>
    <mergeCell ref="C56:E56"/>
    <mergeCell ref="A80:B80"/>
    <mergeCell ref="E136:F136"/>
    <mergeCell ref="A144:H144"/>
    <mergeCell ref="A202:A203"/>
    <mergeCell ref="F202:F203"/>
    <mergeCell ref="A189:B189"/>
    <mergeCell ref="A193:B193"/>
    <mergeCell ref="A178:B178"/>
    <mergeCell ref="A88:B88"/>
    <mergeCell ref="A83:B83"/>
    <mergeCell ref="A82:B82"/>
    <mergeCell ref="E78:F78"/>
    <mergeCell ref="A85:B85"/>
    <mergeCell ref="A84:B84"/>
    <mergeCell ref="D67:H67"/>
    <mergeCell ref="A583:H583"/>
    <mergeCell ref="A540:B540"/>
    <mergeCell ref="A136:B136"/>
    <mergeCell ref="D202:D203"/>
    <mergeCell ref="E202:E203"/>
    <mergeCell ref="A97:B97"/>
    <mergeCell ref="A99:B99"/>
    <mergeCell ref="F118:H118"/>
    <mergeCell ref="G132:H132"/>
    <mergeCell ref="A102:B102"/>
    <mergeCell ref="F124:H124"/>
    <mergeCell ref="C131:D131"/>
    <mergeCell ref="C142:D142"/>
    <mergeCell ref="A530:H530"/>
    <mergeCell ref="A549:B549"/>
    <mergeCell ref="B568:H568"/>
    <mergeCell ref="A558:B558"/>
    <mergeCell ref="A559:B559"/>
    <mergeCell ref="A562:B562"/>
    <mergeCell ref="A179:B179"/>
    <mergeCell ref="A180:B180"/>
    <mergeCell ref="A182:B182"/>
    <mergeCell ref="C177:H177"/>
    <mergeCell ref="C178:H178"/>
    <mergeCell ref="C182:H182"/>
    <mergeCell ref="A169:H169"/>
    <mergeCell ref="A170:B170"/>
    <mergeCell ref="B575:H575"/>
    <mergeCell ref="A563:H563"/>
    <mergeCell ref="A555:B555"/>
    <mergeCell ref="A556:B556"/>
    <mergeCell ref="A551:H551"/>
    <mergeCell ref="I15:P15"/>
    <mergeCell ref="F127:H127"/>
    <mergeCell ref="F125:H125"/>
    <mergeCell ref="A547:B547"/>
    <mergeCell ref="A145:H145"/>
    <mergeCell ref="G131:H131"/>
    <mergeCell ref="A126:E126"/>
    <mergeCell ref="A152:B152"/>
    <mergeCell ref="A60:B60"/>
    <mergeCell ref="C60:E60"/>
    <mergeCell ref="D62:H62"/>
    <mergeCell ref="F126:H126"/>
    <mergeCell ref="E131:F131"/>
    <mergeCell ref="A131:B131"/>
    <mergeCell ref="A133:B133"/>
    <mergeCell ref="C136:D136"/>
    <mergeCell ref="D72:H72"/>
    <mergeCell ref="D63:H63"/>
    <mergeCell ref="G60:H60"/>
    <mergeCell ref="A194:H194"/>
    <mergeCell ref="A195:H195"/>
    <mergeCell ref="A196:B196"/>
    <mergeCell ref="C196:H196"/>
    <mergeCell ref="L196:M196"/>
    <mergeCell ref="A197:B197"/>
    <mergeCell ref="L197:M197"/>
    <mergeCell ref="L193:M193"/>
    <mergeCell ref="A204:H204"/>
    <mergeCell ref="A205:H205"/>
    <mergeCell ref="A206:H206"/>
    <mergeCell ref="A207:H207"/>
    <mergeCell ref="C208:H208"/>
    <mergeCell ref="A545:H545"/>
    <mergeCell ref="A560:B560"/>
    <mergeCell ref="A557:H557"/>
    <mergeCell ref="A72:C72"/>
    <mergeCell ref="D73:H73"/>
    <mergeCell ref="A79:B79"/>
    <mergeCell ref="G78:H78"/>
    <mergeCell ref="A87:B87"/>
    <mergeCell ref="A209:B209"/>
    <mergeCell ref="L209:M209"/>
    <mergeCell ref="A210:B210"/>
    <mergeCell ref="L210:M210"/>
    <mergeCell ref="A211:B211"/>
    <mergeCell ref="L211:M211"/>
    <mergeCell ref="A212:B212"/>
    <mergeCell ref="L212:M212"/>
    <mergeCell ref="A213:B213"/>
    <mergeCell ref="L213:M213"/>
    <mergeCell ref="L223:M223"/>
    <mergeCell ref="L198:M198"/>
    <mergeCell ref="A199:B199"/>
    <mergeCell ref="L199:M199"/>
    <mergeCell ref="A200:B200"/>
    <mergeCell ref="C200:H200"/>
    <mergeCell ref="L200:M200"/>
    <mergeCell ref="A208:B208"/>
    <mergeCell ref="L208:M208"/>
    <mergeCell ref="L536:M536"/>
    <mergeCell ref="A214:B214"/>
    <mergeCell ref="L214:M214"/>
    <mergeCell ref="A537:B537"/>
    <mergeCell ref="L537:M537"/>
    <mergeCell ref="A238:B238"/>
    <mergeCell ref="L238:M238"/>
    <mergeCell ref="A239:B239"/>
    <mergeCell ref="L217:M217"/>
    <mergeCell ref="A218:B218"/>
    <mergeCell ref="L218:M218"/>
    <mergeCell ref="A219:B219"/>
    <mergeCell ref="L219:M219"/>
    <mergeCell ref="A220:B220"/>
    <mergeCell ref="L220:M220"/>
    <mergeCell ref="A221:B221"/>
    <mergeCell ref="L221:M221"/>
    <mergeCell ref="A222:B222"/>
    <mergeCell ref="L222:M222"/>
    <mergeCell ref="A223:B223"/>
    <mergeCell ref="C231:H232"/>
    <mergeCell ref="A234:H234"/>
    <mergeCell ref="A235:B235"/>
    <mergeCell ref="L235:M235"/>
    <mergeCell ref="A236:B236"/>
    <mergeCell ref="L236:M236"/>
    <mergeCell ref="A237:B237"/>
    <mergeCell ref="L237:M237"/>
    <mergeCell ref="L224:M224"/>
    <mergeCell ref="L239:M239"/>
    <mergeCell ref="A215:B215"/>
    <mergeCell ref="L215:M215"/>
    <mergeCell ref="C214:H215"/>
    <mergeCell ref="A538:B538"/>
    <mergeCell ref="L538:M538"/>
    <mergeCell ref="A225:H225"/>
    <mergeCell ref="A226:B226"/>
    <mergeCell ref="L226:M226"/>
    <mergeCell ref="A227:B227"/>
    <mergeCell ref="L227:M227"/>
    <mergeCell ref="A228:B228"/>
    <mergeCell ref="L228:M228"/>
    <mergeCell ref="A229:B229"/>
    <mergeCell ref="L229:M229"/>
    <mergeCell ref="A230:B230"/>
    <mergeCell ref="L230:M230"/>
    <mergeCell ref="A231:B231"/>
    <mergeCell ref="L231:M231"/>
    <mergeCell ref="A232:B232"/>
    <mergeCell ref="L232:M232"/>
    <mergeCell ref="A535:B535"/>
    <mergeCell ref="L535:M535"/>
    <mergeCell ref="A536:B536"/>
    <mergeCell ref="A270:H270"/>
    <mergeCell ref="A253:B253"/>
    <mergeCell ref="L253:M253"/>
    <mergeCell ref="A254:B254"/>
    <mergeCell ref="L254:M254"/>
    <mergeCell ref="A255:B255"/>
    <mergeCell ref="L255:M255"/>
    <mergeCell ref="A256:B256"/>
    <mergeCell ref="L256:M256"/>
    <mergeCell ref="A240:B240"/>
    <mergeCell ref="L240:M240"/>
    <mergeCell ref="A241:B241"/>
    <mergeCell ref="L241:M241"/>
    <mergeCell ref="A242:B242"/>
    <mergeCell ref="L242:M242"/>
    <mergeCell ref="A233:B233"/>
    <mergeCell ref="L233:M233"/>
    <mergeCell ref="L269:M269"/>
    <mergeCell ref="C267:H268"/>
    <mergeCell ref="A257:B257"/>
    <mergeCell ref="L257:M257"/>
    <mergeCell ref="A258:B258"/>
    <mergeCell ref="L258:M258"/>
    <mergeCell ref="A259:B259"/>
    <mergeCell ref="L259:M259"/>
    <mergeCell ref="A260:B260"/>
    <mergeCell ref="L260:M260"/>
    <mergeCell ref="L244:M244"/>
    <mergeCell ref="A245:B245"/>
    <mergeCell ref="L245:M245"/>
    <mergeCell ref="A246:B246"/>
    <mergeCell ref="L246:M246"/>
    <mergeCell ref="A247:B247"/>
    <mergeCell ref="L247:M247"/>
    <mergeCell ref="A248:B248"/>
    <mergeCell ref="L248:M248"/>
    <mergeCell ref="A249:B249"/>
    <mergeCell ref="L249:M249"/>
    <mergeCell ref="A250:B250"/>
    <mergeCell ref="L250:M250"/>
    <mergeCell ref="A251:B251"/>
    <mergeCell ref="A252:H252"/>
    <mergeCell ref="L251:M251"/>
    <mergeCell ref="A275:B275"/>
    <mergeCell ref="L275:M275"/>
    <mergeCell ref="A276:B276"/>
    <mergeCell ref="L276:M276"/>
    <mergeCell ref="A277:B277"/>
    <mergeCell ref="L277:M277"/>
    <mergeCell ref="A278:B278"/>
    <mergeCell ref="L278:M278"/>
    <mergeCell ref="A261:H261"/>
    <mergeCell ref="A262:B262"/>
    <mergeCell ref="L262:M262"/>
    <mergeCell ref="A263:B263"/>
    <mergeCell ref="L263:M263"/>
    <mergeCell ref="A264:B264"/>
    <mergeCell ref="L264:M264"/>
    <mergeCell ref="A265:B265"/>
    <mergeCell ref="L265:M265"/>
    <mergeCell ref="A266:B266"/>
    <mergeCell ref="L266:M266"/>
    <mergeCell ref="A267:B267"/>
    <mergeCell ref="L267:M267"/>
    <mergeCell ref="A268:B268"/>
    <mergeCell ref="L268:M268"/>
    <mergeCell ref="A269:B269"/>
    <mergeCell ref="A271:B271"/>
    <mergeCell ref="L271:M271"/>
    <mergeCell ref="A272:B272"/>
    <mergeCell ref="L272:M272"/>
    <mergeCell ref="A273:B273"/>
    <mergeCell ref="L273:M273"/>
    <mergeCell ref="A274:B274"/>
    <mergeCell ref="L274:M274"/>
    <mergeCell ref="A279:H279"/>
    <mergeCell ref="A280:B280"/>
    <mergeCell ref="L280:M280"/>
    <mergeCell ref="A281:B281"/>
    <mergeCell ref="L281:M281"/>
    <mergeCell ref="A282:B282"/>
    <mergeCell ref="L282:M282"/>
    <mergeCell ref="A283:B283"/>
    <mergeCell ref="L283:M283"/>
    <mergeCell ref="A284:B284"/>
    <mergeCell ref="L284:M284"/>
    <mergeCell ref="A285:B285"/>
    <mergeCell ref="L285:M285"/>
    <mergeCell ref="A286:B286"/>
    <mergeCell ref="L286:M286"/>
    <mergeCell ref="A287:B287"/>
    <mergeCell ref="A288:H288"/>
    <mergeCell ref="L287:M287"/>
    <mergeCell ref="A306:H306"/>
    <mergeCell ref="A307:B307"/>
    <mergeCell ref="L307:M307"/>
    <mergeCell ref="A308:B308"/>
    <mergeCell ref="L308:M308"/>
    <mergeCell ref="A309:B309"/>
    <mergeCell ref="L309:M309"/>
    <mergeCell ref="A310:B310"/>
    <mergeCell ref="L310:M310"/>
    <mergeCell ref="L305:M305"/>
    <mergeCell ref="C303:H304"/>
    <mergeCell ref="A293:B293"/>
    <mergeCell ref="L293:M293"/>
    <mergeCell ref="A294:B294"/>
    <mergeCell ref="L294:M294"/>
    <mergeCell ref="A295:B295"/>
    <mergeCell ref="L295:M295"/>
    <mergeCell ref="A296:B296"/>
    <mergeCell ref="L296:M296"/>
    <mergeCell ref="A289:B289"/>
    <mergeCell ref="L289:M289"/>
    <mergeCell ref="A290:B290"/>
    <mergeCell ref="L290:M290"/>
    <mergeCell ref="A291:B291"/>
    <mergeCell ref="L291:M291"/>
    <mergeCell ref="A292:B292"/>
    <mergeCell ref="L292:M292"/>
    <mergeCell ref="A311:B311"/>
    <mergeCell ref="L311:M311"/>
    <mergeCell ref="A312:B312"/>
    <mergeCell ref="L312:M312"/>
    <mergeCell ref="A313:B313"/>
    <mergeCell ref="L313:M313"/>
    <mergeCell ref="A314:B314"/>
    <mergeCell ref="L314:M314"/>
    <mergeCell ref="A297:H297"/>
    <mergeCell ref="A298:B298"/>
    <mergeCell ref="L298:M298"/>
    <mergeCell ref="A299:B299"/>
    <mergeCell ref="L299:M299"/>
    <mergeCell ref="A300:B300"/>
    <mergeCell ref="L300:M300"/>
    <mergeCell ref="A301:B301"/>
    <mergeCell ref="L301:M301"/>
    <mergeCell ref="A302:B302"/>
    <mergeCell ref="L302:M302"/>
    <mergeCell ref="A303:B303"/>
    <mergeCell ref="L303:M303"/>
    <mergeCell ref="A304:B304"/>
    <mergeCell ref="L304:M304"/>
    <mergeCell ref="A305:B305"/>
    <mergeCell ref="A315:H315"/>
    <mergeCell ref="A316:B316"/>
    <mergeCell ref="L316:M316"/>
    <mergeCell ref="A317:B317"/>
    <mergeCell ref="L317:M317"/>
    <mergeCell ref="A318:B318"/>
    <mergeCell ref="L318:M318"/>
    <mergeCell ref="A319:B319"/>
    <mergeCell ref="L319:M319"/>
    <mergeCell ref="A320:B320"/>
    <mergeCell ref="L320:M320"/>
    <mergeCell ref="A321:B321"/>
    <mergeCell ref="L321:M321"/>
    <mergeCell ref="A322:B322"/>
    <mergeCell ref="L322:M322"/>
    <mergeCell ref="A323:B323"/>
    <mergeCell ref="A324:H324"/>
    <mergeCell ref="A364:B364"/>
    <mergeCell ref="L364:M364"/>
    <mergeCell ref="A345:H345"/>
    <mergeCell ref="A346:B346"/>
    <mergeCell ref="L346:M346"/>
    <mergeCell ref="A347:B347"/>
    <mergeCell ref="L347:M347"/>
    <mergeCell ref="A348:B348"/>
    <mergeCell ref="L348:M348"/>
    <mergeCell ref="A349:B349"/>
    <mergeCell ref="L349:M349"/>
    <mergeCell ref="L341:M341"/>
    <mergeCell ref="C340:H340"/>
    <mergeCell ref="A342:H342"/>
    <mergeCell ref="A343:H343"/>
    <mergeCell ref="A344:H344"/>
    <mergeCell ref="A329:B329"/>
    <mergeCell ref="L329:M329"/>
    <mergeCell ref="A330:B330"/>
    <mergeCell ref="L330:M330"/>
    <mergeCell ref="A331:B331"/>
    <mergeCell ref="L331:M331"/>
    <mergeCell ref="A332:B332"/>
    <mergeCell ref="L332:M332"/>
    <mergeCell ref="A333:H333"/>
    <mergeCell ref="A334:B334"/>
    <mergeCell ref="L334:M334"/>
    <mergeCell ref="A335:B335"/>
    <mergeCell ref="L335:M335"/>
    <mergeCell ref="A336:B336"/>
    <mergeCell ref="L336:M336"/>
    <mergeCell ref="A337:B337"/>
    <mergeCell ref="L360:M360"/>
    <mergeCell ref="A361:B361"/>
    <mergeCell ref="L361:M361"/>
    <mergeCell ref="A362:B362"/>
    <mergeCell ref="L362:M362"/>
    <mergeCell ref="A363:B363"/>
    <mergeCell ref="L363:M363"/>
    <mergeCell ref="A350:B350"/>
    <mergeCell ref="L350:M350"/>
    <mergeCell ref="A351:B351"/>
    <mergeCell ref="L351:M351"/>
    <mergeCell ref="A339:B339"/>
    <mergeCell ref="L339:M339"/>
    <mergeCell ref="A340:B340"/>
    <mergeCell ref="L340:M340"/>
    <mergeCell ref="A341:B341"/>
    <mergeCell ref="L323:M323"/>
    <mergeCell ref="A325:B325"/>
    <mergeCell ref="L325:M325"/>
    <mergeCell ref="A326:B326"/>
    <mergeCell ref="L326:M326"/>
    <mergeCell ref="A327:B327"/>
    <mergeCell ref="L327:M327"/>
    <mergeCell ref="A328:B328"/>
    <mergeCell ref="L328:M328"/>
    <mergeCell ref="L337:M337"/>
    <mergeCell ref="A338:B338"/>
    <mergeCell ref="L338:M338"/>
    <mergeCell ref="L376:M376"/>
    <mergeCell ref="A377:B377"/>
    <mergeCell ref="L377:M377"/>
    <mergeCell ref="A378:B378"/>
    <mergeCell ref="L378:M378"/>
    <mergeCell ref="A379:B379"/>
    <mergeCell ref="L379:M379"/>
    <mergeCell ref="A380:H380"/>
    <mergeCell ref="A381:B381"/>
    <mergeCell ref="L381:M381"/>
    <mergeCell ref="A382:B382"/>
    <mergeCell ref="L382:M382"/>
    <mergeCell ref="A383:B383"/>
    <mergeCell ref="A365:B365"/>
    <mergeCell ref="L365:M365"/>
    <mergeCell ref="C349:H351"/>
    <mergeCell ref="A352:H352"/>
    <mergeCell ref="A353:B353"/>
    <mergeCell ref="L353:M353"/>
    <mergeCell ref="A354:B354"/>
    <mergeCell ref="L354:M354"/>
    <mergeCell ref="A355:B355"/>
    <mergeCell ref="L355:M355"/>
    <mergeCell ref="A356:B356"/>
    <mergeCell ref="L356:M356"/>
    <mergeCell ref="A357:B357"/>
    <mergeCell ref="L357:M357"/>
    <mergeCell ref="A358:B358"/>
    <mergeCell ref="L358:M358"/>
    <mergeCell ref="C361:H361"/>
    <mergeCell ref="A359:H359"/>
    <mergeCell ref="A360:B360"/>
    <mergeCell ref="A394:H394"/>
    <mergeCell ref="A395:B395"/>
    <mergeCell ref="L395:M395"/>
    <mergeCell ref="A396:B396"/>
    <mergeCell ref="L396:M396"/>
    <mergeCell ref="A397:B397"/>
    <mergeCell ref="L397:M397"/>
    <mergeCell ref="A398:B398"/>
    <mergeCell ref="L398:M398"/>
    <mergeCell ref="A399:B399"/>
    <mergeCell ref="L399:M399"/>
    <mergeCell ref="A400:B400"/>
    <mergeCell ref="L400:M400"/>
    <mergeCell ref="A366:H366"/>
    <mergeCell ref="A367:B367"/>
    <mergeCell ref="L367:M367"/>
    <mergeCell ref="A368:B368"/>
    <mergeCell ref="L368:M368"/>
    <mergeCell ref="A369:B369"/>
    <mergeCell ref="L369:M369"/>
    <mergeCell ref="A370:B370"/>
    <mergeCell ref="L370:M370"/>
    <mergeCell ref="A385:B385"/>
    <mergeCell ref="L385:M385"/>
    <mergeCell ref="A386:B386"/>
    <mergeCell ref="L386:M386"/>
    <mergeCell ref="A373:H373"/>
    <mergeCell ref="A374:B374"/>
    <mergeCell ref="L374:M374"/>
    <mergeCell ref="A375:B375"/>
    <mergeCell ref="L375:M375"/>
    <mergeCell ref="A376:B376"/>
    <mergeCell ref="A371:B371"/>
    <mergeCell ref="L371:M371"/>
    <mergeCell ref="A372:B372"/>
    <mergeCell ref="L372:M372"/>
    <mergeCell ref="L383:M383"/>
    <mergeCell ref="A384:B384"/>
    <mergeCell ref="L384:M384"/>
    <mergeCell ref="A406:B406"/>
    <mergeCell ref="L406:M406"/>
    <mergeCell ref="A407:B407"/>
    <mergeCell ref="L407:M407"/>
    <mergeCell ref="A415:H415"/>
    <mergeCell ref="A416:B416"/>
    <mergeCell ref="L416:M416"/>
    <mergeCell ref="A421:B421"/>
    <mergeCell ref="L421:M421"/>
    <mergeCell ref="A422:B422"/>
    <mergeCell ref="L422:M422"/>
    <mergeCell ref="A387:H387"/>
    <mergeCell ref="A388:B388"/>
    <mergeCell ref="L388:M388"/>
    <mergeCell ref="A389:B389"/>
    <mergeCell ref="L389:M389"/>
    <mergeCell ref="A390:B390"/>
    <mergeCell ref="L390:M390"/>
    <mergeCell ref="A391:B391"/>
    <mergeCell ref="L391:M391"/>
    <mergeCell ref="A392:B392"/>
    <mergeCell ref="L392:M392"/>
    <mergeCell ref="A393:B393"/>
    <mergeCell ref="L393:M393"/>
    <mergeCell ref="C389:H389"/>
    <mergeCell ref="A417:B417"/>
    <mergeCell ref="L417:M417"/>
    <mergeCell ref="A401:H401"/>
    <mergeCell ref="A402:B402"/>
    <mergeCell ref="L402:M402"/>
    <mergeCell ref="A403:B403"/>
    <mergeCell ref="L403:M403"/>
    <mergeCell ref="A404:B404"/>
    <mergeCell ref="L404:M404"/>
    <mergeCell ref="A405:B405"/>
    <mergeCell ref="L405:M405"/>
    <mergeCell ref="L410:M410"/>
    <mergeCell ref="A411:B411"/>
    <mergeCell ref="L411:M411"/>
    <mergeCell ref="A412:B412"/>
    <mergeCell ref="L412:M412"/>
    <mergeCell ref="A413:B413"/>
    <mergeCell ref="L413:M413"/>
    <mergeCell ref="A414:B414"/>
    <mergeCell ref="L414:M414"/>
    <mergeCell ref="A408:H408"/>
    <mergeCell ref="A409:B409"/>
    <mergeCell ref="L409:M409"/>
    <mergeCell ref="A410:B410"/>
    <mergeCell ref="A460:B460"/>
    <mergeCell ref="L460:M460"/>
    <mergeCell ref="A461:B461"/>
    <mergeCell ref="L461:M461"/>
    <mergeCell ref="A462:B462"/>
    <mergeCell ref="L462:M462"/>
    <mergeCell ref="A463:B463"/>
    <mergeCell ref="L463:M463"/>
    <mergeCell ref="A418:B418"/>
    <mergeCell ref="L418:M418"/>
    <mergeCell ref="A419:B419"/>
    <mergeCell ref="L419:M419"/>
    <mergeCell ref="A458:H458"/>
    <mergeCell ref="A425:H425"/>
    <mergeCell ref="A426:B426"/>
    <mergeCell ref="L426:M426"/>
    <mergeCell ref="A427:B427"/>
    <mergeCell ref="L427:M427"/>
    <mergeCell ref="A428:B428"/>
    <mergeCell ref="L428:M428"/>
    <mergeCell ref="A429:B429"/>
    <mergeCell ref="L429:M429"/>
    <mergeCell ref="A430:B430"/>
    <mergeCell ref="L430:M430"/>
    <mergeCell ref="C427:H427"/>
    <mergeCell ref="A431:H431"/>
    <mergeCell ref="A423:B423"/>
    <mergeCell ref="L423:M423"/>
    <mergeCell ref="A424:B424"/>
    <mergeCell ref="L424:M424"/>
    <mergeCell ref="A420:H420"/>
    <mergeCell ref="A459:B459"/>
    <mergeCell ref="A437:B437"/>
    <mergeCell ref="L437:M437"/>
    <mergeCell ref="A438:B438"/>
    <mergeCell ref="L438:M438"/>
    <mergeCell ref="A439:B439"/>
    <mergeCell ref="L439:M439"/>
    <mergeCell ref="A440:B440"/>
    <mergeCell ref="L440:M440"/>
    <mergeCell ref="A446:H446"/>
    <mergeCell ref="A432:B432"/>
    <mergeCell ref="L432:M432"/>
    <mergeCell ref="A433:B433"/>
    <mergeCell ref="L433:M433"/>
    <mergeCell ref="A434:B434"/>
    <mergeCell ref="L434:M434"/>
    <mergeCell ref="A435:B435"/>
    <mergeCell ref="L435:M435"/>
    <mergeCell ref="A436:H436"/>
    <mergeCell ref="A441:H441"/>
    <mergeCell ref="A442:B442"/>
    <mergeCell ref="L442:M442"/>
    <mergeCell ref="A443:B443"/>
    <mergeCell ref="L443:M443"/>
    <mergeCell ref="A444:B444"/>
    <mergeCell ref="L444:M444"/>
    <mergeCell ref="A445:B445"/>
    <mergeCell ref="L445:M445"/>
    <mergeCell ref="L459:M459"/>
    <mergeCell ref="L471:M471"/>
    <mergeCell ref="A472:B472"/>
    <mergeCell ref="L472:M472"/>
    <mergeCell ref="A473:B473"/>
    <mergeCell ref="L473:M473"/>
    <mergeCell ref="A474:B474"/>
    <mergeCell ref="L474:M474"/>
    <mergeCell ref="A447:H447"/>
    <mergeCell ref="A448:H448"/>
    <mergeCell ref="A456:B456"/>
    <mergeCell ref="L456:M456"/>
    <mergeCell ref="A457:B457"/>
    <mergeCell ref="L457:M457"/>
    <mergeCell ref="C450:H450"/>
    <mergeCell ref="C456:H457"/>
    <mergeCell ref="A465:B465"/>
    <mergeCell ref="L465:M465"/>
    <mergeCell ref="A464:B464"/>
    <mergeCell ref="L464:M464"/>
    <mergeCell ref="A449:H449"/>
    <mergeCell ref="A450:B450"/>
    <mergeCell ref="L450:M450"/>
    <mergeCell ref="A451:B451"/>
    <mergeCell ref="L451:M451"/>
    <mergeCell ref="A452:B452"/>
    <mergeCell ref="L452:M452"/>
    <mergeCell ref="A453:B453"/>
    <mergeCell ref="L453:M453"/>
    <mergeCell ref="A454:B454"/>
    <mergeCell ref="L454:M454"/>
    <mergeCell ref="A455:B455"/>
    <mergeCell ref="L455:M455"/>
    <mergeCell ref="A490:B490"/>
    <mergeCell ref="L490:M490"/>
    <mergeCell ref="A491:B491"/>
    <mergeCell ref="L491:M491"/>
    <mergeCell ref="A492:B492"/>
    <mergeCell ref="A480:B480"/>
    <mergeCell ref="L480:M480"/>
    <mergeCell ref="A481:B481"/>
    <mergeCell ref="L481:M481"/>
    <mergeCell ref="A482:B482"/>
    <mergeCell ref="L482:M482"/>
    <mergeCell ref="A483:B483"/>
    <mergeCell ref="L483:M483"/>
    <mergeCell ref="A484:B484"/>
    <mergeCell ref="L484:M484"/>
    <mergeCell ref="A466:B466"/>
    <mergeCell ref="L466:M466"/>
    <mergeCell ref="A476:H476"/>
    <mergeCell ref="A477:B477"/>
    <mergeCell ref="L477:M477"/>
    <mergeCell ref="A478:B478"/>
    <mergeCell ref="L478:M478"/>
    <mergeCell ref="A479:B479"/>
    <mergeCell ref="L479:M479"/>
    <mergeCell ref="A467:H467"/>
    <mergeCell ref="A468:B468"/>
    <mergeCell ref="L468:M468"/>
    <mergeCell ref="A469:B469"/>
    <mergeCell ref="L469:M469"/>
    <mergeCell ref="A470:B470"/>
    <mergeCell ref="L470:M470"/>
    <mergeCell ref="A471:B471"/>
    <mergeCell ref="L509:M509"/>
    <mergeCell ref="A510:B510"/>
    <mergeCell ref="L510:M510"/>
    <mergeCell ref="A498:B498"/>
    <mergeCell ref="L498:M498"/>
    <mergeCell ref="A499:B499"/>
    <mergeCell ref="L499:M499"/>
    <mergeCell ref="A500:B500"/>
    <mergeCell ref="L500:M500"/>
    <mergeCell ref="A501:B501"/>
    <mergeCell ref="L501:M501"/>
    <mergeCell ref="A502:B502"/>
    <mergeCell ref="L502:M502"/>
    <mergeCell ref="A475:B475"/>
    <mergeCell ref="L475:M475"/>
    <mergeCell ref="C473:H474"/>
    <mergeCell ref="A494:H494"/>
    <mergeCell ref="A495:B495"/>
    <mergeCell ref="L495:M495"/>
    <mergeCell ref="A496:B496"/>
    <mergeCell ref="L496:M496"/>
    <mergeCell ref="A497:B497"/>
    <mergeCell ref="L497:M497"/>
    <mergeCell ref="A485:H485"/>
    <mergeCell ref="A486:B486"/>
    <mergeCell ref="L486:M486"/>
    <mergeCell ref="A487:B487"/>
    <mergeCell ref="L487:M487"/>
    <mergeCell ref="A488:B488"/>
    <mergeCell ref="L488:M488"/>
    <mergeCell ref="A489:B489"/>
    <mergeCell ref="L489:M489"/>
    <mergeCell ref="L520:M520"/>
    <mergeCell ref="A524:B524"/>
    <mergeCell ref="L524:M524"/>
    <mergeCell ref="A525:B525"/>
    <mergeCell ref="L525:M525"/>
    <mergeCell ref="A526:B526"/>
    <mergeCell ref="L526:M526"/>
    <mergeCell ref="A527:B527"/>
    <mergeCell ref="L527:M527"/>
    <mergeCell ref="A528:B528"/>
    <mergeCell ref="L528:M528"/>
    <mergeCell ref="L492:M492"/>
    <mergeCell ref="A493:B493"/>
    <mergeCell ref="L493:M493"/>
    <mergeCell ref="C500:H501"/>
    <mergeCell ref="A521:H521"/>
    <mergeCell ref="A522:B522"/>
    <mergeCell ref="L522:M522"/>
    <mergeCell ref="A523:B523"/>
    <mergeCell ref="L523:M523"/>
    <mergeCell ref="A503:H503"/>
    <mergeCell ref="A504:B504"/>
    <mergeCell ref="L504:M504"/>
    <mergeCell ref="A505:B505"/>
    <mergeCell ref="L505:M505"/>
    <mergeCell ref="A506:B506"/>
    <mergeCell ref="L506:M506"/>
    <mergeCell ref="A507:B507"/>
    <mergeCell ref="L507:M507"/>
    <mergeCell ref="A508:B508"/>
    <mergeCell ref="L508:M508"/>
    <mergeCell ref="A509:B509"/>
    <mergeCell ref="B579:H579"/>
    <mergeCell ref="C138:D138"/>
    <mergeCell ref="E138:F138"/>
    <mergeCell ref="G138:H138"/>
    <mergeCell ref="A137:A138"/>
    <mergeCell ref="C140:D140"/>
    <mergeCell ref="E140:F140"/>
    <mergeCell ref="G140:H140"/>
    <mergeCell ref="A139:A140"/>
    <mergeCell ref="A511:B511"/>
    <mergeCell ref="L511:M511"/>
    <mergeCell ref="C139:D139"/>
    <mergeCell ref="E139:F139"/>
    <mergeCell ref="G139:H139"/>
    <mergeCell ref="A529:B529"/>
    <mergeCell ref="L529:M529"/>
    <mergeCell ref="A512:H512"/>
    <mergeCell ref="A513:B513"/>
    <mergeCell ref="L513:M513"/>
    <mergeCell ref="A514:B514"/>
    <mergeCell ref="L514:M514"/>
    <mergeCell ref="A515:B515"/>
    <mergeCell ref="L515:M515"/>
    <mergeCell ref="A516:B516"/>
    <mergeCell ref="L516:M516"/>
    <mergeCell ref="A517:B517"/>
    <mergeCell ref="L517:M517"/>
    <mergeCell ref="A518:B518"/>
    <mergeCell ref="L518:M518"/>
    <mergeCell ref="A519:B519"/>
    <mergeCell ref="L519:M519"/>
    <mergeCell ref="A520:B520"/>
  </mergeCells>
  <phoneticPr fontId="33" type="noConversion"/>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6:E147">
      <formula1>"Attached Loft area,Attached Otla area,Attached Mezzanine area"</formula1>
    </dataValidation>
    <dataValidation type="list" allowBlank="1" showInputMessage="1" showErrorMessage="1" sqref="G588:H588">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6:B147">
      <formula1>"Shop No. (Sale Plan),Sale / Rehab,Sale / Mhada"</formula1>
    </dataValidation>
    <dataValidation type="list" allowBlank="1" showInputMessage="1" showErrorMessage="1" sqref="B202:B20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2:E203">
      <formula1>"Deck/ Utility Area,Fungible area,Balcony Area,Chajja Area,Cornice Area,AP Area,WS Area"</formula1>
    </dataValidation>
    <dataValidation type="list" allowBlank="1" showInputMessage="1" showErrorMessage="1" sqref="H147 H20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6 H202">
      <formula1>"Saleable area Loading :,Builder Saleable Area"</formula1>
    </dataValidation>
    <dataValidation type="list" allowBlank="1" showInputMessage="1" showErrorMessage="1" sqref="D146:D147 D202:D203">
      <formula1>"Carpet area,RERA Carpet area"</formula1>
    </dataValidation>
  </dataValidations>
  <hyperlinks>
    <hyperlink ref="C40" r:id="rId1"/>
    <hyperlink ref="I65" r:id="rId2"/>
    <hyperlink ref="I117" r:id="rId3"/>
  </hyperlinks>
  <printOptions horizontalCentered="1"/>
  <pageMargins left="0.39370078740157483" right="0.39370078740157483" top="0.82677165354330717" bottom="0.78740157480314965" header="0.15748031496062992" footer="0.19685039370078741"/>
  <pageSetup paperSize="2" fitToHeight="0" orientation="portrait" r:id="rId4"/>
  <headerFooter>
    <oddHeader>&amp;C&amp;G</oddHeader>
    <oddFooter>&amp;L&amp;"Times New Roman,Bold"&amp;12Ref No: &amp;F&amp;C&amp;G&amp;R&amp;"Times New Roman,Bold"&amp;12&amp;P</oddFooter>
  </headerFooter>
  <rowBreaks count="6" manualBreakCount="6">
    <brk id="184" max="7" man="1"/>
    <brk id="502" max="7" man="1"/>
    <brk id="580" max="7" man="1"/>
    <brk id="592" max="16383" man="1"/>
    <brk id="633" max="16383" man="1"/>
    <brk id="675" max="16383"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D17" sqref="D17"/>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2" t="s">
        <v>103</v>
      </c>
      <c r="C3" s="252"/>
      <c r="D3" s="252"/>
      <c r="E3" s="252"/>
      <c r="F3" s="252"/>
      <c r="G3" s="252"/>
      <c r="H3" s="252"/>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53"/>
      <c r="C4" s="53" t="s">
        <v>11</v>
      </c>
      <c r="D4" s="54" t="s">
        <v>179</v>
      </c>
      <c r="E4" s="54" t="s">
        <v>189</v>
      </c>
      <c r="F4" s="54" t="s">
        <v>171</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168</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168</v>
      </c>
    </row>
    <row r="33" spans="3:11" x14ac:dyDescent="0.25">
      <c r="J33">
        <v>1</v>
      </c>
      <c r="K33">
        <v>2</v>
      </c>
    </row>
    <row r="34" spans="3:11" x14ac:dyDescent="0.25">
      <c r="C34" s="55" t="s">
        <v>236</v>
      </c>
      <c r="D34" s="54" t="s">
        <v>234</v>
      </c>
      <c r="E34" s="54" t="s">
        <v>239</v>
      </c>
      <c r="F34" s="54" t="s">
        <v>237</v>
      </c>
      <c r="G34" s="54" t="s">
        <v>238</v>
      </c>
      <c r="H34" s="54" t="s">
        <v>240</v>
      </c>
      <c r="J34" t="s">
        <v>194</v>
      </c>
      <c r="K34" t="s">
        <v>210</v>
      </c>
    </row>
    <row r="35" spans="3:11" x14ac:dyDescent="0.25">
      <c r="C35" s="53" t="s">
        <v>235</v>
      </c>
      <c r="D35" s="54" t="s">
        <v>169</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171</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6">
        <v>1</v>
      </c>
      <c r="C2" s="58" t="s">
        <v>283</v>
      </c>
    </row>
    <row r="3" spans="2:3" x14ac:dyDescent="0.25">
      <c r="B3" s="56">
        <v>2</v>
      </c>
      <c r="C3" s="57" t="s">
        <v>284</v>
      </c>
    </row>
    <row r="4" spans="2:3" x14ac:dyDescent="0.25">
      <c r="B4" s="56">
        <v>3</v>
      </c>
      <c r="C4" s="56" t="s">
        <v>285</v>
      </c>
    </row>
    <row r="5" spans="2:3" x14ac:dyDescent="0.25">
      <c r="B5" s="56">
        <v>4</v>
      </c>
      <c r="C5" s="57" t="s">
        <v>286</v>
      </c>
    </row>
    <row r="6" spans="2:3" x14ac:dyDescent="0.25">
      <c r="B6" s="56">
        <v>5</v>
      </c>
      <c r="C6" s="56" t="s">
        <v>287</v>
      </c>
    </row>
    <row r="7" spans="2:3" ht="30" x14ac:dyDescent="0.25">
      <c r="B7" s="56">
        <v>6</v>
      </c>
      <c r="C7" s="57" t="s">
        <v>288</v>
      </c>
    </row>
    <row r="8" spans="2:3" ht="75" x14ac:dyDescent="0.25">
      <c r="B8" s="56">
        <v>7</v>
      </c>
      <c r="C8" s="57" t="s">
        <v>289</v>
      </c>
    </row>
    <row r="9" spans="2:3" x14ac:dyDescent="0.25">
      <c r="B9" s="56">
        <v>8</v>
      </c>
      <c r="C9" s="56" t="s">
        <v>290</v>
      </c>
    </row>
    <row r="10" spans="2:3" x14ac:dyDescent="0.25">
      <c r="B10" s="56">
        <v>9</v>
      </c>
      <c r="C10" s="56" t="s">
        <v>291</v>
      </c>
    </row>
    <row r="11" spans="2:3" x14ac:dyDescent="0.25">
      <c r="B11" s="56">
        <v>10</v>
      </c>
      <c r="C11" s="56" t="s">
        <v>292</v>
      </c>
    </row>
    <row r="12" spans="2:3" x14ac:dyDescent="0.25">
      <c r="B12" s="56">
        <v>11</v>
      </c>
      <c r="C12" s="56" t="s">
        <v>293</v>
      </c>
    </row>
    <row r="13" spans="2:3" x14ac:dyDescent="0.25">
      <c r="B13" s="56">
        <v>12</v>
      </c>
      <c r="C13" s="56" t="s">
        <v>294</v>
      </c>
    </row>
    <row r="14" spans="2:3" x14ac:dyDescent="0.25">
      <c r="B14" s="56">
        <v>13</v>
      </c>
      <c r="C14" s="56" t="s">
        <v>295</v>
      </c>
    </row>
    <row r="15" spans="2:3" x14ac:dyDescent="0.25">
      <c r="B15" s="56">
        <v>14</v>
      </c>
      <c r="C15" s="56" t="s">
        <v>285</v>
      </c>
    </row>
    <row r="16" spans="2:3" x14ac:dyDescent="0.25">
      <c r="B16" s="56">
        <v>15</v>
      </c>
      <c r="C16" s="56" t="s">
        <v>298</v>
      </c>
    </row>
    <row r="17" spans="2:3" x14ac:dyDescent="0.25">
      <c r="B17" s="75">
        <v>16</v>
      </c>
      <c r="C17" s="62" t="s">
        <v>299</v>
      </c>
    </row>
    <row r="18" spans="2:3" x14ac:dyDescent="0.25">
      <c r="B18" s="61">
        <v>17</v>
      </c>
      <c r="C18" s="62" t="s">
        <v>300</v>
      </c>
    </row>
    <row r="19" spans="2:3" x14ac:dyDescent="0.25">
      <c r="B19" s="60">
        <v>18</v>
      </c>
      <c r="C19" s="56" t="s">
        <v>301</v>
      </c>
    </row>
    <row r="20" spans="2:3" x14ac:dyDescent="0.25">
      <c r="B20" s="61">
        <v>19</v>
      </c>
      <c r="C20" s="56" t="s">
        <v>337</v>
      </c>
    </row>
    <row r="21" spans="2:3" x14ac:dyDescent="0.25">
      <c r="B21" s="56">
        <v>20</v>
      </c>
      <c r="C21" s="56" t="s">
        <v>302</v>
      </c>
    </row>
    <row r="22" spans="2:3" x14ac:dyDescent="0.25">
      <c r="B22" s="61">
        <v>21</v>
      </c>
      <c r="C22" s="56" t="s">
        <v>301</v>
      </c>
    </row>
    <row r="23" spans="2:3" s="70" customFormat="1" ht="29.25" customHeight="1" x14ac:dyDescent="0.25">
      <c r="B23" s="69">
        <v>22</v>
      </c>
      <c r="C23" s="58" t="s">
        <v>329</v>
      </c>
    </row>
    <row r="24" spans="2:3" s="70" customFormat="1" ht="30.75" customHeight="1" x14ac:dyDescent="0.25">
      <c r="B24" s="71">
        <v>23</v>
      </c>
      <c r="C24" s="58" t="s">
        <v>330</v>
      </c>
    </row>
    <row r="25" spans="2:3" x14ac:dyDescent="0.25">
      <c r="B25" s="56">
        <v>24</v>
      </c>
      <c r="C25" s="56" t="s">
        <v>333</v>
      </c>
    </row>
    <row r="26" spans="2:3" x14ac:dyDescent="0.25">
      <c r="B26" s="61">
        <v>25</v>
      </c>
      <c r="C26" s="56" t="s">
        <v>331</v>
      </c>
    </row>
    <row r="27" spans="2:3" x14ac:dyDescent="0.25">
      <c r="B27" s="71">
        <v>26</v>
      </c>
      <c r="C27" s="56" t="s">
        <v>332</v>
      </c>
    </row>
    <row r="28" spans="2:3" x14ac:dyDescent="0.25">
      <c r="B28" s="61">
        <v>27</v>
      </c>
      <c r="C28" s="56" t="s">
        <v>334</v>
      </c>
    </row>
    <row r="29" spans="2:3" ht="60" x14ac:dyDescent="0.25">
      <c r="B29" s="74">
        <v>28</v>
      </c>
      <c r="C29" s="57" t="s">
        <v>335</v>
      </c>
    </row>
    <row r="30" spans="2:3" x14ac:dyDescent="0.25">
      <c r="B30" s="71">
        <v>29</v>
      </c>
      <c r="C30" s="56" t="s">
        <v>336</v>
      </c>
    </row>
    <row r="31" spans="2:3" ht="30" x14ac:dyDescent="0.25">
      <c r="B31" s="71">
        <v>30</v>
      </c>
      <c r="C31" s="57" t="s">
        <v>338</v>
      </c>
    </row>
    <row r="32" spans="2:3" x14ac:dyDescent="0.25">
      <c r="B32" s="71">
        <v>31</v>
      </c>
      <c r="C32" s="56" t="s">
        <v>339</v>
      </c>
    </row>
    <row r="33" spans="2:3" x14ac:dyDescent="0.25">
      <c r="B33" s="71">
        <v>32</v>
      </c>
      <c r="C33" s="56" t="s">
        <v>340</v>
      </c>
    </row>
    <row r="34" spans="2:3" ht="36.75" customHeight="1" x14ac:dyDescent="0.25">
      <c r="B34" s="71">
        <v>33</v>
      </c>
      <c r="C34" s="62" t="s">
        <v>341</v>
      </c>
    </row>
    <row r="35" spans="2:3" x14ac:dyDescent="0.25">
      <c r="B35" s="69">
        <v>34</v>
      </c>
      <c r="C35" s="56" t="s">
        <v>350</v>
      </c>
    </row>
    <row r="36" spans="2:3" ht="60" x14ac:dyDescent="0.25">
      <c r="B36" s="69">
        <v>35</v>
      </c>
      <c r="C36" s="57" t="s">
        <v>352</v>
      </c>
    </row>
    <row r="37" spans="2:3" x14ac:dyDescent="0.25">
      <c r="B37" s="56"/>
      <c r="C37" s="56"/>
    </row>
    <row r="38" spans="2:3" x14ac:dyDescent="0.25">
      <c r="B38" s="56"/>
      <c r="C38" s="56"/>
    </row>
    <row r="39" spans="2:3" x14ac:dyDescent="0.25">
      <c r="B39" s="56"/>
      <c r="C39" s="56"/>
    </row>
    <row r="40" spans="2:3" x14ac:dyDescent="0.25">
      <c r="B40" s="56"/>
      <c r="C40" s="56"/>
    </row>
    <row r="41" spans="2:3" x14ac:dyDescent="0.25">
      <c r="B41" s="56"/>
      <c r="C41" s="56"/>
    </row>
    <row r="42" spans="2:3" x14ac:dyDescent="0.25">
      <c r="B42" s="56"/>
      <c r="C42" s="56"/>
    </row>
    <row r="43" spans="2:3" x14ac:dyDescent="0.25">
      <c r="B43" s="56"/>
      <c r="C43" s="56"/>
    </row>
    <row r="44" spans="2:3" x14ac:dyDescent="0.25">
      <c r="B44" s="56"/>
      <c r="C44"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28515625" defaultRowHeight="15" x14ac:dyDescent="0.25"/>
  <cols>
    <col min="1" max="1" width="9.28515625" style="53"/>
    <col min="2" max="2" width="12.28515625" style="53" customWidth="1"/>
    <col min="3" max="16384" width="9.28515625" style="53"/>
  </cols>
  <sheetData>
    <row r="2" spans="1:12" x14ac:dyDescent="0.25">
      <c r="B2" s="63" t="s">
        <v>303</v>
      </c>
      <c r="C2" s="253"/>
      <c r="D2" s="253"/>
    </row>
    <row r="3" spans="1:12" x14ac:dyDescent="0.25">
      <c r="D3" s="64"/>
      <c r="E3" s="64"/>
      <c r="F3" s="64"/>
      <c r="G3" s="64"/>
      <c r="H3" s="64"/>
      <c r="I3" s="64"/>
    </row>
    <row r="4" spans="1:12" x14ac:dyDescent="0.25">
      <c r="A4" s="63" t="s">
        <v>65</v>
      </c>
      <c r="B4" s="65" t="s">
        <v>304</v>
      </c>
      <c r="C4" s="254" t="s">
        <v>305</v>
      </c>
      <c r="D4" s="254"/>
      <c r="E4" s="254"/>
      <c r="F4" s="65"/>
      <c r="G4" s="255" t="s">
        <v>306</v>
      </c>
      <c r="H4" s="255"/>
      <c r="I4" s="255"/>
      <c r="J4" s="256" t="s">
        <v>307</v>
      </c>
      <c r="K4" s="256"/>
      <c r="L4" s="256"/>
    </row>
    <row r="5" spans="1:12" x14ac:dyDescent="0.25">
      <c r="A5" s="63"/>
      <c r="B5" s="65"/>
      <c r="C5" s="65" t="s">
        <v>308</v>
      </c>
      <c r="D5" s="65" t="s">
        <v>309</v>
      </c>
      <c r="E5" s="65" t="s">
        <v>310</v>
      </c>
      <c r="F5" s="65"/>
      <c r="G5" s="65" t="s">
        <v>308</v>
      </c>
      <c r="H5" s="65" t="s">
        <v>309</v>
      </c>
      <c r="I5" s="65" t="s">
        <v>310</v>
      </c>
      <c r="J5" s="65" t="s">
        <v>308</v>
      </c>
      <c r="K5" s="65" t="s">
        <v>309</v>
      </c>
      <c r="L5" s="65" t="s">
        <v>310</v>
      </c>
    </row>
    <row r="6" spans="1:12" x14ac:dyDescent="0.25">
      <c r="B6" s="54" t="s">
        <v>311</v>
      </c>
      <c r="C6" s="54"/>
      <c r="D6" s="54"/>
      <c r="E6" s="54">
        <f>C6*D6</f>
        <v>0</v>
      </c>
      <c r="F6" s="54" t="s">
        <v>328</v>
      </c>
      <c r="G6" s="54"/>
      <c r="H6" s="54"/>
      <c r="I6" s="54">
        <f>G6*H6</f>
        <v>0</v>
      </c>
      <c r="J6" s="54"/>
      <c r="K6" s="54"/>
      <c r="L6" s="54">
        <f>J6*K6</f>
        <v>0</v>
      </c>
    </row>
    <row r="7" spans="1:12" x14ac:dyDescent="0.25">
      <c r="B7" s="54"/>
      <c r="C7" s="54"/>
      <c r="D7" s="54"/>
      <c r="E7" s="54">
        <f t="shared" ref="E7:E41" si="0">C7*D7</f>
        <v>0</v>
      </c>
      <c r="F7" s="54" t="s">
        <v>328</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312</v>
      </c>
      <c r="G9" s="54"/>
      <c r="H9" s="54"/>
      <c r="I9" s="54">
        <f t="shared" si="1"/>
        <v>0</v>
      </c>
      <c r="J9" s="54"/>
      <c r="K9" s="54"/>
      <c r="L9" s="54">
        <f t="shared" si="2"/>
        <v>0</v>
      </c>
    </row>
    <row r="10" spans="1:12" x14ac:dyDescent="0.25">
      <c r="B10" s="54" t="s">
        <v>313</v>
      </c>
      <c r="C10" s="54"/>
      <c r="D10" s="54"/>
      <c r="E10" s="54">
        <f t="shared" si="0"/>
        <v>0</v>
      </c>
      <c r="F10" s="54" t="s">
        <v>312</v>
      </c>
      <c r="G10" s="54"/>
      <c r="H10" s="54"/>
      <c r="I10" s="54">
        <f t="shared" si="1"/>
        <v>0</v>
      </c>
      <c r="J10" s="54"/>
      <c r="K10" s="54"/>
      <c r="L10" s="54">
        <f t="shared" si="2"/>
        <v>0</v>
      </c>
    </row>
    <row r="11" spans="1:12" x14ac:dyDescent="0.25">
      <c r="B11" s="54"/>
      <c r="C11" s="54"/>
      <c r="D11" s="54"/>
      <c r="E11" s="54">
        <f t="shared" si="0"/>
        <v>0</v>
      </c>
      <c r="F11" s="54" t="s">
        <v>314</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315</v>
      </c>
      <c r="C14" s="54"/>
      <c r="D14" s="54"/>
      <c r="E14" s="54">
        <f t="shared" si="0"/>
        <v>0</v>
      </c>
      <c r="F14" s="54" t="s">
        <v>312</v>
      </c>
      <c r="G14" s="54"/>
      <c r="H14" s="54"/>
      <c r="I14" s="54">
        <f t="shared" si="1"/>
        <v>0</v>
      </c>
      <c r="J14" s="54"/>
      <c r="K14" s="54"/>
      <c r="L14" s="54">
        <f t="shared" si="2"/>
        <v>0</v>
      </c>
    </row>
    <row r="15" spans="1:12" x14ac:dyDescent="0.25">
      <c r="B15" s="54"/>
      <c r="C15" s="54"/>
      <c r="D15" s="54"/>
      <c r="E15" s="54">
        <f t="shared" si="0"/>
        <v>0</v>
      </c>
      <c r="F15" s="54" t="s">
        <v>314</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316</v>
      </c>
      <c r="C18" s="54"/>
      <c r="D18" s="54"/>
      <c r="E18" s="54">
        <f t="shared" si="0"/>
        <v>0</v>
      </c>
      <c r="F18" s="54" t="s">
        <v>312</v>
      </c>
      <c r="G18" s="54"/>
      <c r="H18" s="54"/>
      <c r="I18" s="54">
        <f t="shared" si="1"/>
        <v>0</v>
      </c>
      <c r="J18" s="54"/>
      <c r="K18" s="54"/>
      <c r="L18" s="54">
        <f t="shared" si="2"/>
        <v>0</v>
      </c>
    </row>
    <row r="19" spans="2:12" x14ac:dyDescent="0.25">
      <c r="B19" s="54"/>
      <c r="C19" s="54"/>
      <c r="D19" s="54"/>
      <c r="E19" s="54">
        <f t="shared" si="0"/>
        <v>0</v>
      </c>
      <c r="F19" s="54" t="s">
        <v>314</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317</v>
      </c>
      <c r="C21" s="54"/>
      <c r="D21" s="54"/>
      <c r="E21" s="54">
        <f t="shared" si="0"/>
        <v>0</v>
      </c>
      <c r="F21" s="54" t="s">
        <v>312</v>
      </c>
      <c r="G21" s="54"/>
      <c r="H21" s="54"/>
      <c r="I21" s="54">
        <f t="shared" si="1"/>
        <v>0</v>
      </c>
      <c r="J21" s="54"/>
      <c r="K21" s="54"/>
      <c r="L21" s="54">
        <f t="shared" si="2"/>
        <v>0</v>
      </c>
    </row>
    <row r="22" spans="2:12" x14ac:dyDescent="0.25">
      <c r="B22" s="54"/>
      <c r="C22" s="54"/>
      <c r="D22" s="54"/>
      <c r="E22" s="54">
        <f t="shared" si="0"/>
        <v>0</v>
      </c>
      <c r="F22" s="54" t="s">
        <v>314</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318</v>
      </c>
      <c r="C24" s="54"/>
      <c r="D24" s="54"/>
      <c r="E24" s="54">
        <f t="shared" si="0"/>
        <v>0</v>
      </c>
      <c r="F24" s="54" t="s">
        <v>319</v>
      </c>
      <c r="G24" s="54"/>
      <c r="H24" s="54"/>
      <c r="I24" s="54">
        <f t="shared" si="1"/>
        <v>0</v>
      </c>
      <c r="J24" s="54"/>
      <c r="K24" s="54"/>
      <c r="L24" s="54">
        <f t="shared" si="2"/>
        <v>0</v>
      </c>
    </row>
    <row r="25" spans="2:12" x14ac:dyDescent="0.25">
      <c r="B25" s="54"/>
      <c r="C25" s="54"/>
      <c r="D25" s="54"/>
      <c r="E25" s="54">
        <f>C25*D25</f>
        <v>0</v>
      </c>
      <c r="F25" s="54" t="s">
        <v>319</v>
      </c>
      <c r="G25" s="54"/>
      <c r="H25" s="54"/>
      <c r="I25" s="54">
        <f>G25*H25</f>
        <v>0</v>
      </c>
      <c r="J25" s="54"/>
      <c r="K25" s="54"/>
      <c r="L25" s="54">
        <f>J25*K25</f>
        <v>0</v>
      </c>
    </row>
    <row r="26" spans="2:12" x14ac:dyDescent="0.25">
      <c r="B26" s="54"/>
      <c r="C26" s="54"/>
      <c r="D26" s="54"/>
      <c r="E26" s="54">
        <f>C26*D26</f>
        <v>0</v>
      </c>
      <c r="F26" s="54" t="s">
        <v>319</v>
      </c>
      <c r="G26" s="54"/>
      <c r="H26" s="54"/>
      <c r="I26" s="54">
        <f>G26*H26</f>
        <v>0</v>
      </c>
      <c r="J26" s="54"/>
      <c r="K26" s="54"/>
      <c r="L26" s="54">
        <f>J26*K26</f>
        <v>0</v>
      </c>
    </row>
    <row r="27" spans="2:12" x14ac:dyDescent="0.25">
      <c r="B27" s="54"/>
      <c r="C27" s="54"/>
      <c r="D27" s="54"/>
      <c r="E27" s="54">
        <f>C27*D27</f>
        <v>0</v>
      </c>
      <c r="F27" s="54" t="s">
        <v>319</v>
      </c>
      <c r="G27" s="54"/>
      <c r="H27" s="54"/>
      <c r="I27" s="54">
        <f>G27*H27</f>
        <v>0</v>
      </c>
      <c r="J27" s="54"/>
      <c r="K27" s="54"/>
      <c r="L27" s="54">
        <f>J27*K27</f>
        <v>0</v>
      </c>
    </row>
    <row r="28" spans="2:12" x14ac:dyDescent="0.25">
      <c r="B28" s="54" t="s">
        <v>320</v>
      </c>
      <c r="C28" s="54"/>
      <c r="D28" s="54"/>
      <c r="E28" s="54">
        <f t="shared" si="0"/>
        <v>0</v>
      </c>
      <c r="F28" s="54" t="s">
        <v>319</v>
      </c>
      <c r="G28" s="54"/>
      <c r="H28" s="54"/>
      <c r="I28" s="54">
        <f t="shared" si="1"/>
        <v>0</v>
      </c>
      <c r="J28" s="54"/>
      <c r="K28" s="54"/>
      <c r="L28" s="54">
        <f t="shared" si="2"/>
        <v>0</v>
      </c>
    </row>
    <row r="29" spans="2:12" x14ac:dyDescent="0.25">
      <c r="B29" s="54" t="s">
        <v>321</v>
      </c>
      <c r="C29" s="54"/>
      <c r="D29" s="54"/>
      <c r="E29" s="54">
        <f t="shared" si="0"/>
        <v>0</v>
      </c>
      <c r="F29" s="54" t="s">
        <v>319</v>
      </c>
      <c r="G29" s="54"/>
      <c r="H29" s="54"/>
      <c r="I29" s="54">
        <f t="shared" si="1"/>
        <v>0</v>
      </c>
      <c r="J29" s="54"/>
      <c r="K29" s="54"/>
      <c r="L29" s="54">
        <f t="shared" si="2"/>
        <v>0</v>
      </c>
    </row>
    <row r="30" spans="2:12" x14ac:dyDescent="0.25">
      <c r="B30" s="54" t="s">
        <v>325</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322</v>
      </c>
      <c r="C33" s="54"/>
      <c r="D33" s="54"/>
      <c r="E33" s="54">
        <f t="shared" si="0"/>
        <v>0</v>
      </c>
      <c r="F33" s="54"/>
      <c r="G33" s="54"/>
      <c r="H33" s="54"/>
      <c r="I33" s="54">
        <f t="shared" si="1"/>
        <v>0</v>
      </c>
      <c r="J33" s="54"/>
      <c r="K33" s="54"/>
      <c r="L33" s="54">
        <f t="shared" si="2"/>
        <v>0</v>
      </c>
    </row>
    <row r="34" spans="2:12" x14ac:dyDescent="0.25">
      <c r="B34" s="54" t="s">
        <v>326</v>
      </c>
      <c r="C34" s="54"/>
      <c r="D34" s="54"/>
      <c r="E34" s="54">
        <f t="shared" si="0"/>
        <v>0</v>
      </c>
      <c r="F34" s="54"/>
      <c r="G34" s="54"/>
      <c r="H34" s="54"/>
      <c r="I34" s="54">
        <f t="shared" si="1"/>
        <v>0</v>
      </c>
      <c r="J34" s="54"/>
      <c r="K34" s="54"/>
      <c r="L34" s="54">
        <f t="shared" si="2"/>
        <v>0</v>
      </c>
    </row>
    <row r="35" spans="2:12" x14ac:dyDescent="0.25">
      <c r="B35" s="54" t="s">
        <v>323</v>
      </c>
      <c r="C35" s="54"/>
      <c r="D35" s="54"/>
      <c r="E35" s="54">
        <f t="shared" si="0"/>
        <v>0</v>
      </c>
      <c r="F35" s="54"/>
      <c r="G35" s="54"/>
      <c r="H35" s="54"/>
      <c r="I35" s="54">
        <f t="shared" si="1"/>
        <v>0</v>
      </c>
      <c r="J35" s="54"/>
      <c r="K35" s="54"/>
      <c r="L35" s="54">
        <f t="shared" si="2"/>
        <v>0</v>
      </c>
    </row>
    <row r="36" spans="2:12" x14ac:dyDescent="0.25">
      <c r="B36" s="54" t="s">
        <v>324</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327</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150</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2025-10-06T06:07:35Z</cp:lastPrinted>
  <dcterms:created xsi:type="dcterms:W3CDTF">2019-07-16T09:29:46Z</dcterms:created>
  <dcterms:modified xsi:type="dcterms:W3CDTF">2025-10-06T06:07:44Z</dcterms:modified>
</cp:coreProperties>
</file>