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21840" windowHeight="1245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Report!$A$1:$H$589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1" i="1" l="1"/>
  <c r="D261" i="1" l="1"/>
  <c r="F261" i="1" s="1"/>
  <c r="D380" i="1"/>
  <c r="F380" i="1" s="1"/>
  <c r="D377" i="1"/>
  <c r="F377" i="1" s="1"/>
  <c r="D376" i="1"/>
  <c r="F376" i="1" s="1"/>
  <c r="D432" i="1"/>
  <c r="F432" i="1" s="1"/>
  <c r="D430" i="1"/>
  <c r="F430" i="1" s="1"/>
  <c r="D429" i="1"/>
  <c r="F429" i="1" s="1"/>
  <c r="D428" i="1"/>
  <c r="F428" i="1" s="1"/>
  <c r="D271" i="1"/>
  <c r="D321" i="1"/>
  <c r="F321" i="1" s="1"/>
  <c r="D319" i="1"/>
  <c r="F319" i="1" s="1"/>
  <c r="D318" i="1"/>
  <c r="F318" i="1" s="1"/>
  <c r="D317" i="1"/>
  <c r="F317" i="1" s="1"/>
  <c r="D426" i="1"/>
  <c r="F426" i="1" s="1"/>
  <c r="D424" i="1"/>
  <c r="F424" i="1" s="1"/>
  <c r="D423" i="1"/>
  <c r="F423" i="1" s="1"/>
  <c r="D422" i="1"/>
  <c r="F422" i="1" s="1"/>
  <c r="D418" i="1"/>
  <c r="D417" i="1"/>
  <c r="D258" i="1"/>
  <c r="D257" i="1"/>
  <c r="D415" i="1"/>
  <c r="D414" i="1"/>
  <c r="D413" i="1"/>
  <c r="D412" i="1"/>
  <c r="D411" i="1"/>
  <c r="I148" i="1"/>
  <c r="D255" i="1"/>
  <c r="F255" i="1" s="1"/>
  <c r="D409" i="1"/>
  <c r="D408" i="1"/>
  <c r="D407" i="1"/>
  <c r="D406" i="1"/>
  <c r="D405" i="1"/>
  <c r="D299" i="1"/>
  <c r="D300" i="1"/>
  <c r="D301" i="1"/>
  <c r="D302" i="1"/>
  <c r="D303" i="1"/>
  <c r="D356" i="1"/>
  <c r="D355" i="1"/>
  <c r="D354" i="1"/>
  <c r="D353" i="1"/>
  <c r="D352" i="1"/>
  <c r="D196" i="1"/>
  <c r="D195" i="1"/>
  <c r="D194" i="1"/>
  <c r="D193" i="1"/>
  <c r="D192" i="1"/>
  <c r="D191" i="1"/>
  <c r="I161" i="1"/>
  <c r="C90" i="1"/>
  <c r="J101" i="1" l="1"/>
  <c r="J99" i="1"/>
  <c r="J100" i="1"/>
  <c r="J98" i="1"/>
  <c r="H91" i="1"/>
  <c r="J95" i="1" l="1"/>
  <c r="C94" i="1" s="1"/>
  <c r="J93" i="1"/>
  <c r="J90" i="1"/>
  <c r="J92" i="1" s="1"/>
  <c r="D103" i="1"/>
  <c r="D101" i="1"/>
  <c r="D99" i="1"/>
  <c r="D97" i="1"/>
  <c r="D102" i="1"/>
  <c r="D100" i="1"/>
  <c r="D98" i="1"/>
  <c r="D96" i="1"/>
  <c r="J94" i="1"/>
  <c r="D94" i="1"/>
  <c r="J96" i="1"/>
  <c r="J97" i="1" s="1"/>
  <c r="J102" i="1" s="1"/>
  <c r="J103" i="1" s="1"/>
  <c r="C95" i="1" s="1"/>
  <c r="E94" i="1" l="1"/>
  <c r="C104" i="1" s="1"/>
  <c r="D95" i="1"/>
  <c r="I91" i="1" s="1"/>
  <c r="G94" i="1"/>
  <c r="G104" i="1" s="1"/>
  <c r="J91" i="1"/>
  <c r="I92" i="1" l="1"/>
  <c r="I90" i="1" s="1"/>
  <c r="C92" i="1" s="1"/>
  <c r="K240" i="1" l="1"/>
  <c r="D419" i="1"/>
  <c r="F419" i="1" s="1"/>
  <c r="F415" i="1"/>
  <c r="D420" i="1"/>
  <c r="F420" i="1" s="1"/>
  <c r="D386" i="1"/>
  <c r="F386" i="1" s="1"/>
  <c r="A377" i="1"/>
  <c r="A378" i="1" s="1"/>
  <c r="A379" i="1" s="1"/>
  <c r="A380" i="1" s="1"/>
  <c r="G376" i="1"/>
  <c r="D374" i="1"/>
  <c r="F374" i="1" s="1"/>
  <c r="D372" i="1"/>
  <c r="F372" i="1" s="1"/>
  <c r="D371" i="1"/>
  <c r="F371" i="1" s="1"/>
  <c r="A371" i="1"/>
  <c r="A372" i="1" s="1"/>
  <c r="A373" i="1" s="1"/>
  <c r="A374" i="1" s="1"/>
  <c r="G370" i="1"/>
  <c r="D370" i="1"/>
  <c r="F370" i="1" s="1"/>
  <c r="D291" i="1"/>
  <c r="F291" i="1" s="1"/>
  <c r="D334" i="1"/>
  <c r="F334" i="1" s="1"/>
  <c r="G352" i="1"/>
  <c r="D295" i="1"/>
  <c r="F418" i="1"/>
  <c r="G417" i="1"/>
  <c r="F417" i="1"/>
  <c r="F414" i="1"/>
  <c r="F413" i="1"/>
  <c r="F412" i="1"/>
  <c r="G411" i="1"/>
  <c r="F411" i="1"/>
  <c r="D368" i="1"/>
  <c r="F368" i="1" s="1"/>
  <c r="D367" i="1"/>
  <c r="F367" i="1" s="1"/>
  <c r="D366" i="1"/>
  <c r="F366" i="1" s="1"/>
  <c r="D365" i="1"/>
  <c r="F365" i="1" s="1"/>
  <c r="G364" i="1"/>
  <c r="D364" i="1"/>
  <c r="F364" i="1" s="1"/>
  <c r="D362" i="1"/>
  <c r="D361" i="1"/>
  <c r="F361" i="1" s="1"/>
  <c r="D360" i="1"/>
  <c r="F360" i="1" s="1"/>
  <c r="D359" i="1"/>
  <c r="F359" i="1" s="1"/>
  <c r="G358" i="1"/>
  <c r="D358" i="1"/>
  <c r="F358" i="1" s="1"/>
  <c r="F362" i="1" l="1"/>
  <c r="C150" i="1"/>
  <c r="E150" i="1"/>
  <c r="D315" i="1"/>
  <c r="F315" i="1" s="1"/>
  <c r="D314" i="1"/>
  <c r="F314" i="1" s="1"/>
  <c r="D313" i="1"/>
  <c r="F313" i="1" s="1"/>
  <c r="D312" i="1"/>
  <c r="F312" i="1" s="1"/>
  <c r="G311" i="1"/>
  <c r="D311" i="1"/>
  <c r="F311" i="1" s="1"/>
  <c r="D309" i="1"/>
  <c r="D308" i="1"/>
  <c r="F308" i="1" s="1"/>
  <c r="F303" i="1"/>
  <c r="F302" i="1"/>
  <c r="F301" i="1"/>
  <c r="F300" i="1"/>
  <c r="A300" i="1"/>
  <c r="A301" i="1" s="1"/>
  <c r="A302" i="1" s="1"/>
  <c r="A303" i="1" s="1"/>
  <c r="G299" i="1"/>
  <c r="F299" i="1"/>
  <c r="D280" i="1"/>
  <c r="F280" i="1" s="1"/>
  <c r="D260" i="1"/>
  <c r="F260" i="1" s="1"/>
  <c r="D259" i="1"/>
  <c r="F259" i="1" s="1"/>
  <c r="F258" i="1"/>
  <c r="A258" i="1"/>
  <c r="A259" i="1" s="1"/>
  <c r="A260" i="1" s="1"/>
  <c r="A261" i="1" s="1"/>
  <c r="G257" i="1"/>
  <c r="F257" i="1"/>
  <c r="D254" i="1"/>
  <c r="F254" i="1" s="1"/>
  <c r="D253" i="1"/>
  <c r="F253" i="1" s="1"/>
  <c r="D252" i="1"/>
  <c r="F252" i="1" s="1"/>
  <c r="A252" i="1"/>
  <c r="A253" i="1" s="1"/>
  <c r="A254" i="1" s="1"/>
  <c r="A255" i="1" s="1"/>
  <c r="G251" i="1"/>
  <c r="D251" i="1"/>
  <c r="F251" i="1" s="1"/>
  <c r="D242" i="1"/>
  <c r="F242" i="1" s="1"/>
  <c r="J229" i="1"/>
  <c r="G224" i="1"/>
  <c r="D227" i="1"/>
  <c r="F227" i="1" s="1"/>
  <c r="D217" i="1" l="1"/>
  <c r="D216" i="1"/>
  <c r="D215" i="1"/>
  <c r="D214" i="1"/>
  <c r="D213" i="1"/>
  <c r="D212" i="1"/>
  <c r="D210" i="1"/>
  <c r="D209" i="1"/>
  <c r="D208" i="1"/>
  <c r="D207" i="1"/>
  <c r="D206" i="1"/>
  <c r="D205" i="1"/>
  <c r="D199" i="1"/>
  <c r="D203" i="1"/>
  <c r="D202" i="1"/>
  <c r="D201" i="1"/>
  <c r="D200" i="1"/>
  <c r="D198" i="1"/>
  <c r="F196" i="1"/>
  <c r="F195" i="1"/>
  <c r="F194" i="1"/>
  <c r="F193" i="1"/>
  <c r="F192" i="1"/>
  <c r="D187" i="1"/>
  <c r="D186" i="1"/>
  <c r="D185" i="1"/>
  <c r="D184" i="1"/>
  <c r="D183" i="1"/>
  <c r="D182" i="1"/>
  <c r="G191" i="1"/>
  <c r="D180" i="1"/>
  <c r="D179" i="1"/>
  <c r="D178" i="1"/>
  <c r="D177" i="1"/>
  <c r="D176" i="1"/>
  <c r="D175" i="1"/>
  <c r="D173" i="1"/>
  <c r="D172" i="1"/>
  <c r="D171" i="1"/>
  <c r="D170" i="1"/>
  <c r="D169" i="1"/>
  <c r="D168" i="1"/>
  <c r="D166" i="1"/>
  <c r="D165" i="1"/>
  <c r="F165" i="1" s="1"/>
  <c r="D163" i="1"/>
  <c r="F163" i="1" s="1"/>
  <c r="D162" i="1"/>
  <c r="F191" i="1" l="1"/>
  <c r="G137" i="1" s="1"/>
  <c r="E137" i="1"/>
  <c r="C137" i="1"/>
  <c r="E136" i="1"/>
  <c r="C136" i="1"/>
  <c r="F198" i="1"/>
  <c r="C138" i="1"/>
  <c r="E138" i="1"/>
  <c r="C49" i="1"/>
  <c r="I136" i="1" l="1"/>
  <c r="F409" i="1"/>
  <c r="F408" i="1"/>
  <c r="F407" i="1"/>
  <c r="F406" i="1"/>
  <c r="F405" i="1"/>
  <c r="D402" i="1"/>
  <c r="F402" i="1" s="1"/>
  <c r="D401" i="1"/>
  <c r="F401" i="1" s="1"/>
  <c r="D400" i="1"/>
  <c r="F400" i="1" s="1"/>
  <c r="D399" i="1"/>
  <c r="F399" i="1" s="1"/>
  <c r="D397" i="1"/>
  <c r="F397" i="1" s="1"/>
  <c r="D396" i="1"/>
  <c r="F396" i="1" s="1"/>
  <c r="D392" i="1"/>
  <c r="F392" i="1" s="1"/>
  <c r="D391" i="1"/>
  <c r="F391" i="1" s="1"/>
  <c r="D385" i="1"/>
  <c r="F356" i="1"/>
  <c r="G150" i="1" s="1"/>
  <c r="F355" i="1"/>
  <c r="F354" i="1"/>
  <c r="F353" i="1"/>
  <c r="F352" i="1"/>
  <c r="D350" i="1"/>
  <c r="F350" i="1" s="1"/>
  <c r="D349" i="1"/>
  <c r="F349" i="1" s="1"/>
  <c r="D348" i="1"/>
  <c r="F348" i="1" s="1"/>
  <c r="D345" i="1"/>
  <c r="F345" i="1" s="1"/>
  <c r="D344" i="1"/>
  <c r="F344" i="1" s="1"/>
  <c r="D343" i="1"/>
  <c r="F343" i="1" s="1"/>
  <c r="D342" i="1"/>
  <c r="F342" i="1" s="1"/>
  <c r="D340" i="1"/>
  <c r="F340" i="1" s="1"/>
  <c r="D339" i="1"/>
  <c r="F339" i="1" s="1"/>
  <c r="D338" i="1"/>
  <c r="F338" i="1" s="1"/>
  <c r="D337" i="1"/>
  <c r="F337" i="1" s="1"/>
  <c r="D333" i="1"/>
  <c r="F333" i="1" s="1"/>
  <c r="D332" i="1"/>
  <c r="D327" i="1"/>
  <c r="D324" i="1"/>
  <c r="F324" i="1" s="1"/>
  <c r="D323" i="1"/>
  <c r="F323" i="1" s="1"/>
  <c r="F309" i="1"/>
  <c r="D307" i="1"/>
  <c r="F307" i="1" s="1"/>
  <c r="D306" i="1"/>
  <c r="F306" i="1" s="1"/>
  <c r="D305" i="1"/>
  <c r="F305" i="1" s="1"/>
  <c r="D297" i="1"/>
  <c r="F297" i="1" s="1"/>
  <c r="D296" i="1"/>
  <c r="F296" i="1" s="1"/>
  <c r="F295" i="1"/>
  <c r="D290" i="1"/>
  <c r="D289" i="1"/>
  <c r="F289" i="1" s="1"/>
  <c r="D288" i="1"/>
  <c r="F288" i="1" s="1"/>
  <c r="D286" i="1"/>
  <c r="F286" i="1" s="1"/>
  <c r="D285" i="1"/>
  <c r="F285" i="1" s="1"/>
  <c r="D284" i="1"/>
  <c r="D283" i="1"/>
  <c r="F283" i="1" s="1"/>
  <c r="D279" i="1"/>
  <c r="F279" i="1" s="1"/>
  <c r="D278" i="1"/>
  <c r="D273" i="1"/>
  <c r="F273" i="1" s="1"/>
  <c r="F271" i="1"/>
  <c r="D270" i="1"/>
  <c r="F270" i="1" s="1"/>
  <c r="D269" i="1"/>
  <c r="F269" i="1" s="1"/>
  <c r="D267" i="1"/>
  <c r="F267" i="1" s="1"/>
  <c r="D265" i="1"/>
  <c r="F265" i="1" s="1"/>
  <c r="D264" i="1"/>
  <c r="F264" i="1" s="1"/>
  <c r="D263" i="1"/>
  <c r="F263" i="1" s="1"/>
  <c r="D249" i="1"/>
  <c r="F249" i="1" s="1"/>
  <c r="D248" i="1"/>
  <c r="F248" i="1" s="1"/>
  <c r="D247" i="1"/>
  <c r="F247" i="1" s="1"/>
  <c r="D246" i="1"/>
  <c r="F246" i="1" s="1"/>
  <c r="D245" i="1"/>
  <c r="F245" i="1" s="1"/>
  <c r="D241" i="1"/>
  <c r="F241" i="1" s="1"/>
  <c r="D240" i="1"/>
  <c r="F240" i="1" s="1"/>
  <c r="J235" i="1" s="1"/>
  <c r="D239" i="1"/>
  <c r="F239" i="1" s="1"/>
  <c r="D237" i="1"/>
  <c r="F237" i="1" s="1"/>
  <c r="J232" i="1" s="1"/>
  <c r="D236" i="1"/>
  <c r="F236" i="1" s="1"/>
  <c r="D232" i="1"/>
  <c r="D231" i="1"/>
  <c r="F231" i="1" s="1"/>
  <c r="D226" i="1"/>
  <c r="F217" i="1"/>
  <c r="F216" i="1"/>
  <c r="F215" i="1"/>
  <c r="F214" i="1"/>
  <c r="F213" i="1"/>
  <c r="F212" i="1"/>
  <c r="F210" i="1"/>
  <c r="F209" i="1"/>
  <c r="F208" i="1"/>
  <c r="F207" i="1"/>
  <c r="F206" i="1"/>
  <c r="F205" i="1"/>
  <c r="F203" i="1"/>
  <c r="F202" i="1"/>
  <c r="F201" i="1"/>
  <c r="F199" i="1"/>
  <c r="F187" i="1"/>
  <c r="F186" i="1"/>
  <c r="F185" i="1"/>
  <c r="F184" i="1"/>
  <c r="F183" i="1"/>
  <c r="F182" i="1"/>
  <c r="F180" i="1"/>
  <c r="F179" i="1"/>
  <c r="F178" i="1"/>
  <c r="F177" i="1"/>
  <c r="F176" i="1"/>
  <c r="F175" i="1"/>
  <c r="F173" i="1"/>
  <c r="F172" i="1"/>
  <c r="F171" i="1"/>
  <c r="F170" i="1"/>
  <c r="F169" i="1"/>
  <c r="D164" i="1"/>
  <c r="D161" i="1"/>
  <c r="A429" i="1"/>
  <c r="A430" i="1" s="1"/>
  <c r="A431" i="1" s="1"/>
  <c r="A432" i="1" s="1"/>
  <c r="G428" i="1"/>
  <c r="A324" i="1"/>
  <c r="A325" i="1" s="1"/>
  <c r="A326" i="1" s="1"/>
  <c r="A327" i="1" s="1"/>
  <c r="G323" i="1"/>
  <c r="A270" i="1"/>
  <c r="A271" i="1" s="1"/>
  <c r="A272" i="1" s="1"/>
  <c r="A273" i="1" s="1"/>
  <c r="G269" i="1"/>
  <c r="A423" i="1"/>
  <c r="A424" i="1" s="1"/>
  <c r="A425" i="1" s="1"/>
  <c r="A426" i="1" s="1"/>
  <c r="G422" i="1"/>
  <c r="A318" i="1"/>
  <c r="A319" i="1" s="1"/>
  <c r="A320" i="1" s="1"/>
  <c r="A321" i="1" s="1"/>
  <c r="G317" i="1"/>
  <c r="A264" i="1"/>
  <c r="A265" i="1" s="1"/>
  <c r="A266" i="1" s="1"/>
  <c r="A267" i="1" s="1"/>
  <c r="G263" i="1"/>
  <c r="A406" i="1"/>
  <c r="A407" i="1" s="1"/>
  <c r="A408" i="1" s="1"/>
  <c r="A409" i="1" s="1"/>
  <c r="G405" i="1"/>
  <c r="A353" i="1"/>
  <c r="A354" i="1" s="1"/>
  <c r="A355" i="1" s="1"/>
  <c r="A356" i="1" s="1"/>
  <c r="G305" i="1"/>
  <c r="A246" i="1"/>
  <c r="A247" i="1" s="1"/>
  <c r="A248" i="1" s="1"/>
  <c r="A249" i="1" s="1"/>
  <c r="G245" i="1"/>
  <c r="I221" i="1"/>
  <c r="A400" i="1"/>
  <c r="A401" i="1" s="1"/>
  <c r="A402" i="1" s="1"/>
  <c r="G399" i="1"/>
  <c r="A349" i="1"/>
  <c r="A350" i="1" s="1"/>
  <c r="G347" i="1"/>
  <c r="A296" i="1"/>
  <c r="A297" i="1" s="1"/>
  <c r="G294" i="1"/>
  <c r="A395" i="1"/>
  <c r="A396" i="1" s="1"/>
  <c r="A397" i="1" s="1"/>
  <c r="G394" i="1"/>
  <c r="A344" i="1"/>
  <c r="A345" i="1" s="1"/>
  <c r="G342" i="1"/>
  <c r="G288" i="1"/>
  <c r="A235" i="1"/>
  <c r="A236" i="1" s="1"/>
  <c r="A237" i="1" s="1"/>
  <c r="G234" i="1"/>
  <c r="G239" i="1"/>
  <c r="A390" i="1"/>
  <c r="A391" i="1" s="1"/>
  <c r="A392" i="1" s="1"/>
  <c r="G389" i="1"/>
  <c r="A339" i="1"/>
  <c r="A340" i="1" s="1"/>
  <c r="G337" i="1"/>
  <c r="A285" i="1"/>
  <c r="A286" i="1" s="1"/>
  <c r="G283" i="1"/>
  <c r="A230" i="1"/>
  <c r="G229" i="1"/>
  <c r="G383" i="1"/>
  <c r="G332" i="1"/>
  <c r="G278" i="1"/>
  <c r="A213" i="1"/>
  <c r="A214" i="1" s="1"/>
  <c r="A215" i="1" s="1"/>
  <c r="A216" i="1" s="1"/>
  <c r="A217" i="1" s="1"/>
  <c r="G212" i="1"/>
  <c r="A206" i="1"/>
  <c r="A207" i="1" s="1"/>
  <c r="A208" i="1" s="1"/>
  <c r="A209" i="1" s="1"/>
  <c r="A210" i="1" s="1"/>
  <c r="G205" i="1"/>
  <c r="A183" i="1"/>
  <c r="A184" i="1" s="1"/>
  <c r="A185" i="1" s="1"/>
  <c r="A186" i="1" s="1"/>
  <c r="A187" i="1" s="1"/>
  <c r="G182" i="1"/>
  <c r="A176" i="1"/>
  <c r="A177" i="1" s="1"/>
  <c r="A178" i="1" s="1"/>
  <c r="A179" i="1" s="1"/>
  <c r="A180" i="1" s="1"/>
  <c r="G175" i="1"/>
  <c r="I163" i="1"/>
  <c r="F200" i="1"/>
  <c r="A199" i="1"/>
  <c r="A200" i="1" s="1"/>
  <c r="A201" i="1" s="1"/>
  <c r="A202" i="1" s="1"/>
  <c r="A203" i="1" s="1"/>
  <c r="G198" i="1"/>
  <c r="A169" i="1"/>
  <c r="A170" i="1" s="1"/>
  <c r="A171" i="1" s="1"/>
  <c r="A172" i="1" s="1"/>
  <c r="A173" i="1" s="1"/>
  <c r="G168" i="1"/>
  <c r="I156" i="1"/>
  <c r="F327" i="1" l="1"/>
  <c r="G149" i="1" s="1"/>
  <c r="G151" i="1" s="1"/>
  <c r="C149" i="1"/>
  <c r="C151" i="1" s="1"/>
  <c r="E149" i="1"/>
  <c r="E151" i="1" s="1"/>
  <c r="C143" i="1"/>
  <c r="I143" i="1" s="1"/>
  <c r="E143" i="1"/>
  <c r="C144" i="1"/>
  <c r="E144" i="1"/>
  <c r="C142" i="1"/>
  <c r="E142" i="1"/>
  <c r="F284" i="1"/>
  <c r="F232" i="1"/>
  <c r="J234" i="1"/>
  <c r="G138" i="1"/>
  <c r="C135" i="1"/>
  <c r="E135" i="1"/>
  <c r="F385" i="1"/>
  <c r="G145" i="1" s="1"/>
  <c r="C145" i="1"/>
  <c r="E145" i="1"/>
  <c r="F278" i="1"/>
  <c r="A231" i="1"/>
  <c r="A232" i="1" s="1"/>
  <c r="F168" i="1"/>
  <c r="G136" i="1" s="1"/>
  <c r="F332" i="1"/>
  <c r="G144" i="1" s="1"/>
  <c r="F290" i="1"/>
  <c r="K120" i="1"/>
  <c r="I120" i="1" s="1"/>
  <c r="E42" i="1"/>
  <c r="E43" i="1" s="1"/>
  <c r="C146" i="1" l="1"/>
  <c r="I145" i="1" s="1"/>
  <c r="G143" i="1"/>
  <c r="E146" i="1"/>
  <c r="C139" i="1"/>
  <c r="C152" i="1" s="1"/>
  <c r="E139" i="1"/>
  <c r="C14" i="1"/>
  <c r="E152" i="1" l="1"/>
  <c r="E29" i="1"/>
  <c r="F226" i="1" l="1"/>
  <c r="G142" i="1" s="1"/>
  <c r="G146" i="1" s="1"/>
  <c r="F132" i="1" l="1"/>
  <c r="F162" i="1" l="1"/>
  <c r="F164" i="1"/>
  <c r="F166" i="1"/>
  <c r="F161" i="1"/>
  <c r="G135" i="1" l="1"/>
  <c r="G139" i="1" s="1"/>
  <c r="G152" i="1" s="1"/>
  <c r="B435" i="1"/>
  <c r="B436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62" i="1"/>
  <c r="G161" i="1"/>
  <c r="J116" i="1"/>
  <c r="J115" i="1"/>
  <c r="J114" i="1"/>
  <c r="J113" i="1"/>
  <c r="C105" i="1"/>
  <c r="J87" i="1"/>
  <c r="J86" i="1"/>
  <c r="J85" i="1"/>
  <c r="J84" i="1"/>
  <c r="C76" i="1"/>
  <c r="D63" i="1"/>
  <c r="G49" i="1"/>
  <c r="E26" i="1"/>
  <c r="E24" i="1"/>
  <c r="E7" i="1"/>
  <c r="E3" i="1"/>
  <c r="H77" i="1"/>
  <c r="H106" i="1"/>
  <c r="D70" i="1" l="1"/>
  <c r="D89" i="1"/>
  <c r="D87" i="1"/>
  <c r="D86" i="1"/>
  <c r="D85" i="1"/>
  <c r="D83" i="1"/>
  <c r="J76" i="1"/>
  <c r="D88" i="1"/>
  <c r="D84" i="1"/>
  <c r="J80" i="1"/>
  <c r="J81" i="1"/>
  <c r="C80" i="1" s="1"/>
  <c r="J79" i="1"/>
  <c r="J82" i="1"/>
  <c r="J83" i="1" s="1"/>
  <c r="J88" i="1" s="1"/>
  <c r="J89" i="1" s="1"/>
  <c r="C81" i="1" s="1"/>
  <c r="J105" i="1"/>
  <c r="J107" i="1" s="1"/>
  <c r="J109" i="1"/>
  <c r="D118" i="1"/>
  <c r="D116" i="1"/>
  <c r="D114" i="1"/>
  <c r="D112" i="1"/>
  <c r="J110" i="1"/>
  <c r="C109" i="1" s="1"/>
  <c r="J108" i="1"/>
  <c r="J111" i="1"/>
  <c r="J112" i="1" s="1"/>
  <c r="J117" i="1" s="1"/>
  <c r="J118" i="1" s="1"/>
  <c r="D117" i="1"/>
  <c r="D115" i="1"/>
  <c r="D113" i="1"/>
  <c r="C110" i="1" l="1"/>
  <c r="D110" i="1" s="1"/>
  <c r="J104" i="1"/>
  <c r="D111" i="1"/>
  <c r="D109" i="1"/>
  <c r="D82" i="1"/>
  <c r="J78" i="1"/>
  <c r="E80" i="1"/>
  <c r="D81" i="1"/>
  <c r="G80" i="1"/>
  <c r="D74" i="1" s="1"/>
  <c r="D75" i="1" s="1"/>
  <c r="D80" i="1"/>
  <c r="E109" i="1"/>
  <c r="G109" i="1" l="1"/>
  <c r="I77" i="1"/>
  <c r="J77" i="1"/>
  <c r="I106" i="1"/>
  <c r="J106" i="1"/>
  <c r="F75" i="1"/>
  <c r="I78" i="1" l="1"/>
  <c r="I76" i="1" s="1"/>
  <c r="C78" i="1" s="1"/>
  <c r="I107" i="1"/>
  <c r="I105" i="1" s="1"/>
  <c r="C107" i="1" s="1"/>
</calcChain>
</file>

<file path=xl/sharedStrings.xml><?xml version="1.0" encoding="utf-8"?>
<sst xmlns="http://schemas.openxmlformats.org/spreadsheetml/2006/main" count="657" uniqueCount="278">
  <si>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</si>
  <si>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</si>
  <si>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</si>
  <si>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</si>
  <si>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</si>
  <si>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</si>
  <si>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</si>
  <si>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</si>
  <si>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</si>
  <si>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</si>
  <si>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</si>
  <si>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</si>
  <si>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</si>
  <si>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</si>
  <si>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</si>
  <si>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</si>
  <si>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</si>
  <si>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</si>
  <si>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</si>
  <si>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</si>
  <si>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</si>
  <si>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</si>
  <si>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</si>
  <si>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</si>
  <si>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</si>
  <si>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</si>
  <si>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</si>
  <si>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</si>
  <si>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</si>
  <si>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</si>
  <si>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</si>
  <si>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</si>
  <si>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</si>
  <si>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</si>
  <si>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</si>
  <si>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</si>
  <si>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</si>
  <si>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</si>
  <si>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</si>
  <si>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</si>
  <si>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</si>
  <si>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</si>
  <si>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</si>
  <si>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</si>
  <si>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</si>
  <si>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</si>
  <si>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</si>
  <si>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</si>
  <si>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</si>
  <si>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</si>
  <si>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</si>
  <si>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</si>
  <si>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</si>
  <si>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</si>
  <si>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</si>
  <si>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</si>
  <si>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</si>
  <si>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</si>
  <si>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</si>
  <si>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</si>
  <si>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</si>
  <si>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</si>
  <si>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</si>
  <si>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</si>
  <si>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</si>
  <si>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</si>
  <si>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</si>
  <si>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</si>
  <si>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</si>
  <si>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</si>
  <si>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</si>
  <si>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</si>
  <si>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</si>
  <si>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</si>
  <si>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</si>
  <si>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</si>
  <si>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</si>
  <si>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</si>
  <si>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</si>
  <si>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</si>
  <si>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</si>
  <si>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</si>
  <si>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</si>
  <si>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</si>
  <si>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</si>
  <si>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</si>
  <si>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</si>
  <si>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</si>
  <si>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</si>
  <si>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</si>
  <si>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</si>
  <si>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</si>
  <si>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</si>
  <si>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</si>
  <si>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</si>
  <si>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</si>
  <si>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</si>
  <si>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</si>
  <si>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</si>
  <si>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</si>
  <si>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</si>
  <si>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</si>
  <si>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</si>
  <si>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</si>
  <si>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</si>
  <si>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</si>
  <si>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</si>
  <si>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</si>
  <si>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</si>
  <si>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</si>
  <si>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</si>
  <si>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</si>
  <si>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</si>
  <si>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</si>
  <si>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</si>
  <si>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</si>
  <si>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</si>
  <si>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</si>
  <si>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</si>
  <si>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</si>
  <si>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</si>
  <si>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</si>
  <si>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</si>
  <si>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</si>
  <si>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</si>
  <si>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</si>
  <si>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</si>
  <si>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</si>
  <si>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</si>
  <si>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</si>
  <si>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</si>
  <si>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</si>
  <si>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</si>
  <si>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</si>
  <si>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</si>
  <si>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</si>
  <si>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</si>
  <si>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</si>
  <si>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</si>
  <si>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</si>
  <si>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</si>
  <si>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</si>
  <si>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</si>
  <si>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</si>
  <si>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</si>
  <si>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</si>
  <si>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</si>
  <si>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</si>
  <si>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</si>
  <si>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</si>
  <si>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</si>
  <si>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</si>
  <si>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</si>
  <si>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</si>
  <si>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</si>
  <si>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</si>
  <si>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</si>
  <si>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</si>
  <si>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</si>
  <si>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</si>
  <si>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</si>
  <si>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</si>
  <si>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</si>
  <si>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</si>
  <si>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</si>
  <si>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</si>
  <si>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</si>
  <si>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Axis Goregaon</t>
  </si>
  <si>
    <t>Latitude, Longitude</t>
  </si>
  <si>
    <t>Luceat Realtors Private Limited</t>
  </si>
  <si>
    <t>Bella</t>
  </si>
  <si>
    <t>Wing A to D</t>
  </si>
  <si>
    <t xml:space="preserve">Wing A &amp; B = P51800031973
Wing C &amp; D = P51800029526
</t>
  </si>
  <si>
    <t>Wing A to D = B + Gr/Stilt + 1st to 22nd Floor</t>
  </si>
  <si>
    <t>Wing A</t>
  </si>
  <si>
    <t>Basement Floor for Parking</t>
  </si>
  <si>
    <t>Ground Floor for Commercial &amp; Parking</t>
  </si>
  <si>
    <t>Shop</t>
  </si>
  <si>
    <t>Wing D</t>
  </si>
  <si>
    <t xml:space="preserve">1st Floor </t>
  </si>
  <si>
    <t>Office</t>
  </si>
  <si>
    <t>3rd Floor</t>
  </si>
  <si>
    <t>1st Floor for Residential &amp; Commercial</t>
  </si>
  <si>
    <t>Commercial Area</t>
  </si>
  <si>
    <t>MP Room</t>
  </si>
  <si>
    <t>2BHK</t>
  </si>
  <si>
    <t>Wing B</t>
  </si>
  <si>
    <t>Ground Floor for Parking</t>
  </si>
  <si>
    <t>1st Floor for Residential</t>
  </si>
  <si>
    <t>Wing C</t>
  </si>
  <si>
    <t>1.5BHK</t>
  </si>
  <si>
    <t>1BHK</t>
  </si>
  <si>
    <t>4th Floor</t>
  </si>
  <si>
    <t>4th Floor for Residential &amp; Fitness Center</t>
  </si>
  <si>
    <t>Fitness Center</t>
  </si>
  <si>
    <t>8th Floor (Part Refuge Area)</t>
  </si>
  <si>
    <t>Refuge Area</t>
  </si>
  <si>
    <t>15th Floor (Part Refuge Area)</t>
  </si>
  <si>
    <t>We considered Gross carpet area = Net carpet.</t>
  </si>
  <si>
    <t>CTS No</t>
  </si>
  <si>
    <t>279, 280, 280/1, 282/A, 282/C &amp; 281/A/1/1</t>
  </si>
  <si>
    <t>Bhandup</t>
  </si>
  <si>
    <t>Mumbai</t>
  </si>
  <si>
    <t>Bhandup (West)</t>
  </si>
  <si>
    <t>https://goo.gl/maps/ivcADK5Rsufi3ahXA</t>
  </si>
  <si>
    <t>LBS Marg</t>
  </si>
  <si>
    <t>Kalpataru Crest</t>
  </si>
  <si>
    <t>Kurla</t>
  </si>
  <si>
    <t>Building</t>
  </si>
  <si>
    <t>1.9 KM from Bhandup Railway Station</t>
  </si>
  <si>
    <t>04 Wings</t>
  </si>
  <si>
    <t>Municipal Corporation of Greater Mumbai</t>
  </si>
  <si>
    <t>CHE/ES/1674/S/337(NEW)</t>
  </si>
  <si>
    <t>Wing A &amp; B = B + Gr/Stilt + 1st to 22nd Floor</t>
  </si>
  <si>
    <t>Wing D = B + Gr/Stilt + 1st to 22nd Floor</t>
  </si>
  <si>
    <t>We refer latest approved floor plan &amp; CC from MCGM site.</t>
  </si>
  <si>
    <t>Validity of CC is expired on 23/05/2022. So please provide latest CC.</t>
  </si>
  <si>
    <t>MIS</t>
  </si>
  <si>
    <t>Online</t>
  </si>
  <si>
    <t>Building No.1</t>
  </si>
  <si>
    <t>Site Person - Contact Details (Name &amp; Contact No.)</t>
  </si>
  <si>
    <t>Provided Contact Details (Name &amp; Contact No.)</t>
  </si>
  <si>
    <t>Approved plans &amp; CC</t>
  </si>
  <si>
    <t>CHE/ES/1674/S/337(NEW)/FCC/1/Amend</t>
  </si>
  <si>
    <t>Further CC of wing A and wing B is granted up to 18th upper floors as per last approved amended plans dated 21.12.2022 subject to timely renewal of B.G. , SWM NOC, Workmen’s compensation policy and taking precautions during construction work.</t>
  </si>
  <si>
    <t>CHE/ES/1674/S/337(NEW)/FCC/3/Amend</t>
  </si>
  <si>
    <t>Full C.C. is re endorsed for wing ‘C’ &amp; ‘D’ and further C.C. upto 18th floor is granted for wing ‘A’ &amp; ‘B’ as per amended approved plan dated 09.05.2024 by restricting C.C. of 19th to 22nd floor for wing ‘A’ &amp; ‘B’ subject to timely renewal of B.G, SWM NOC, Workmen’s compensation policy and taking all sorts of precautions during construction and for air pollution.</t>
  </si>
  <si>
    <t>We have updated latest CC from MCGM site (On 15/06/2024).</t>
  </si>
  <si>
    <t>CHE/ES/1674/S/337(NEW)/FCC/4/Amend</t>
  </si>
  <si>
    <t>We have updated latest CC from MCGM site on 17/12/2024.</t>
  </si>
  <si>
    <t>P-23655/2024/S/Ward/BHANDUP-W/342/1</t>
  </si>
  <si>
    <t>2B</t>
  </si>
  <si>
    <t>2A</t>
  </si>
  <si>
    <t>4B</t>
  </si>
  <si>
    <t>4A</t>
  </si>
  <si>
    <t xml:space="preserve"> Office</t>
  </si>
  <si>
    <t>`</t>
  </si>
  <si>
    <t>5th to 7th, 9th to 10th &amp; 12th to 14th, 16th to 19th, 21st to 22nd Floor</t>
  </si>
  <si>
    <t>11th Floor</t>
  </si>
  <si>
    <t>20th Floor</t>
  </si>
  <si>
    <t xml:space="preserve">Meter Room </t>
  </si>
  <si>
    <t>3BHK</t>
  </si>
  <si>
    <t>3 &amp; 4</t>
  </si>
  <si>
    <t>As per Layout</t>
  </si>
  <si>
    <t>19.155940,72.938960</t>
  </si>
  <si>
    <t>Internal Road</t>
  </si>
  <si>
    <t>Gopala's Next - Restaurant</t>
  </si>
  <si>
    <t>Slum Area</t>
  </si>
  <si>
    <t>Existing 12.20 M. W Internal Access Road</t>
  </si>
  <si>
    <t>Other Plot</t>
  </si>
  <si>
    <t>Approved Floor plan No
(Ground Floor)</t>
  </si>
  <si>
    <t>Approved Floor plan No.  (Basement &amp; 1st to 22nd Floor)</t>
  </si>
  <si>
    <t>https://housing.com/in/buy/projects/page/255843-rustomjee-bella-wing-c-and-d-by-rustomjee-builders-in-bhandup-west</t>
  </si>
  <si>
    <t>Banquet Hall, Fitnesscenter, Roof Top Seating Area, Childern Play Area, Party Lawn, Jogging Track, etc.</t>
  </si>
  <si>
    <t>Further C.C. is granted for staircase, lift core, lobby area from 19th floor to terrace floor with OHT on terrace floor of wing ‘A’ &amp; ‘B’ only as per last approved amended plans dated 09.05.2024 subject to timely renewal of B.G. ,SWM NOC, Workmen’s compensation policy and taking precaution during construction work.</t>
  </si>
  <si>
    <t xml:space="preserve">Part O. Certificate
 No.: 
Approved upto : </t>
  </si>
  <si>
    <t xml:space="preserve">CHE/ES/1674/S/337(NEW)/OCC/1/New </t>
  </si>
  <si>
    <t>3rd Floor (Part Fitness Center)</t>
  </si>
  <si>
    <t xml:space="preserve"> Fitness Center</t>
  </si>
  <si>
    <t>-</t>
  </si>
  <si>
    <t xml:space="preserve">Details of Residential &amp; Commercials in Building   </t>
  </si>
  <si>
    <t>Grand Total</t>
  </si>
  <si>
    <t>Part OC for Wing ‘A’ - Part Basement + Part Ground for shops + part stilt + 1st to 3rd Part Commercial floors
Wing ‘C’ - Stilt &amp; part Ground floor + 1st to 22nd upper residential floors
Wing ‘D’ -having Ground for shops + part stilt + 1st to 3rd Part Commercial floors + 4th to 22nd upper floor upper residential floors</t>
  </si>
  <si>
    <t>We have updated latest approved plans &amp; Part OC from MCGM site on 18/02/2025.</t>
  </si>
  <si>
    <t>Residential Area Details :(Sale Flat)</t>
  </si>
  <si>
    <t>Residential Area Details :(I to R Flat)</t>
  </si>
  <si>
    <t>Building Details Floor Wise</t>
  </si>
  <si>
    <t>As per the approved floor plan, out of 397 flats, there are 36 flats that are "I to R" flats. Please check from your end.</t>
  </si>
  <si>
    <t>Mr. Bhagvan wankhede 7021552596</t>
  </si>
  <si>
    <t>Wing C  &amp; D = B + Gr/Stilt + 1st to 22nd Floor</t>
  </si>
  <si>
    <t>Sale Flats - 361, I to R Flat - 36
Shops - 12, Offices - 36</t>
  </si>
  <si>
    <t>Rate 17500 Bhargav Case A1503 Verbal on 24/02/2025</t>
  </si>
  <si>
    <t xml:space="preserve">Recommended Rates of the Property have been revised on 24/02/2025
</t>
  </si>
  <si>
    <t>As per RERA - Wing A &amp; B = 01/01/2026
                         Wing C &amp; D = Completed</t>
  </si>
  <si>
    <t>Wing A = Part OC Received upto 3rd Floor But Construction work is in process at the time of Visit. (Internal photographs not allowed.)
Wing B = Construction work is in process at the time of Visit.
Wing C &amp; D = All work completed. Part OC received</t>
  </si>
  <si>
    <t>Office No. 1031, Wing J, Akshar Business Park, Plot No. 03 Sector 25, Near APMC Market, 
Vashi, Navi Mumbai, Maharashtra 400703 TEL: 022-46090378/79/80 
E mail : vsjcapf@gmail.com. Web site : www.vsjadon.com</t>
  </si>
  <si>
    <t>Shruti Tathare</t>
  </si>
  <si>
    <t>Nainesh Tambe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</si>
</sst>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" xfId="1" applyFont="1" applyBorder="1" applyAlignment="1" applyProtection="1">
      <alignment vertical="top"/>
      <protection locked="0"/>
    </xf>
    <xf numFmtId="0" fontId="26" fillId="0" borderId="0" xfId="10"/>
    <xf numFmtId="0" fontId="24" fillId="0" borderId="31" xfId="0" applyFont="1" applyBorder="1"/>
    <xf numFmtId="0" fontId="24" fillId="0" borderId="1" xfId="0" applyFont="1" applyBorder="1"/>
    <xf numFmtId="0" fontId="24" fillId="0" borderId="5" xfId="0" applyFont="1" applyBorder="1"/>
    <xf numFmtId="0" fontId="14" fillId="0" borderId="0" xfId="0" applyFont="1" applyProtection="1">
      <protection hidden="1"/>
    </xf>
    <xf numFmtId="0" fontId="12" fillId="0" borderId="10" xfId="1" applyFont="1" applyBorder="1"/>
    <xf numFmtId="0" fontId="14" fillId="0" borderId="10" xfId="0" applyFont="1" applyBorder="1" applyProtection="1">
      <protection hidden="1"/>
    </xf>
    <xf numFmtId="1" fontId="24" fillId="0" borderId="10" xfId="0" applyNumberFormat="1" applyFont="1" applyBorder="1"/>
    <xf numFmtId="1" fontId="24" fillId="0" borderId="10" xfId="0" applyNumberFormat="1" applyFont="1" applyBorder="1" applyAlignment="1">
      <alignment horizontal="right"/>
    </xf>
    <xf numFmtId="0" fontId="14" fillId="0" borderId="11" xfId="0" applyFont="1" applyBorder="1" applyProtection="1">
      <protection hidden="1"/>
    </xf>
    <xf numFmtId="1" fontId="24" fillId="0" borderId="12" xfId="0" applyNumberFormat="1" applyFont="1" applyBorder="1"/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14" fontId="8" fillId="0" borderId="9" xfId="1" applyNumberFormat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horizontal="left" vertical="top" wrapText="1"/>
      <protection locked="0"/>
    </xf>
    <xf numFmtId="1" fontId="8" fillId="0" borderId="21" xfId="0" applyNumberFormat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3" fillId="0" borderId="17" xfId="1" applyFont="1" applyBorder="1" applyAlignment="1" applyProtection="1">
      <alignment horizontal="center" vertical="top" wrapText="1"/>
      <protection locked="0"/>
    </xf>
    <xf numFmtId="0" fontId="13" fillId="0" borderId="24" xfId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center" vertical="top" wrapText="1"/>
      <protection locked="0"/>
    </xf>
    <xf numFmtId="0" fontId="13" fillId="0" borderId="26" xfId="1" applyFont="1" applyBorder="1" applyAlignment="1" applyProtection="1">
      <alignment horizontal="center" vertical="top" wrapText="1"/>
      <protection locked="0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vertical="top"/>
      <protection locked="0"/>
    </xf>
    <xf numFmtId="0" fontId="6" fillId="0" borderId="21" xfId="1" applyFont="1" applyBorder="1" applyAlignment="1" applyProtection="1">
      <alignment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vertical="top"/>
      <protection locked="0"/>
    </xf>
    <xf numFmtId="0" fontId="8" fillId="0" borderId="21" xfId="1" applyFont="1" applyBorder="1" applyAlignment="1" applyProtection="1">
      <alignment vertical="top"/>
      <protection locked="0"/>
    </xf>
    <xf numFmtId="0" fontId="8" fillId="0" borderId="9" xfId="1" applyFont="1" applyBorder="1" applyAlignment="1" applyProtection="1">
      <alignment vertical="top"/>
      <protection locked="0"/>
    </xf>
    <xf numFmtId="0" fontId="6" fillId="0" borderId="25" xfId="1" applyFont="1" applyBorder="1" applyAlignment="1" applyProtection="1">
      <alignment horizontal="left" vertical="top" wrapText="1"/>
      <protection locked="0"/>
    </xf>
    <xf numFmtId="0" fontId="6" fillId="0" borderId="26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13" fillId="0" borderId="34" xfId="1" applyFont="1" applyBorder="1" applyAlignment="1" applyProtection="1">
      <alignment horizontal="center" vertical="center" wrapText="1"/>
      <protection locked="0"/>
    </xf>
    <xf numFmtId="0" fontId="13" fillId="0" borderId="35" xfId="1" applyFont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 applyProtection="1">
      <alignment horizontal="center" vertical="center" wrapText="1"/>
      <protection locked="0"/>
    </xf>
    <xf numFmtId="9" fontId="13" fillId="0" borderId="32" xfId="8" applyFont="1" applyFill="1" applyBorder="1" applyAlignment="1" applyProtection="1">
      <alignment horizontal="center" vertical="center" wrapText="1"/>
      <protection locked="0"/>
    </xf>
    <xf numFmtId="9" fontId="13" fillId="0" borderId="33" xfId="8" applyFont="1" applyFill="1" applyBorder="1" applyAlignment="1" applyProtection="1">
      <alignment horizontal="center" vertical="center" wrapText="1"/>
      <protection locked="0"/>
    </xf>
    <xf numFmtId="9" fontId="13" fillId="0" borderId="32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346705</xdr:colOff>
      <xdr:row>547</xdr:row>
      <xdr:rowOff>169371</xdr:rowOff>
    </xdr:from>
    <xdr:to>
      <xdr:col>6</xdr:col>
      <xdr:colOff>461793</xdr:colOff>
      <xdr:row>569</xdr:row>
      <xdr:rowOff>130734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1565" y="95792751"/>
          <a:ext cx="4374668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501346</xdr:colOff>
      <xdr:row>563</xdr:row>
      <xdr:rowOff>32084</xdr:rowOff>
    </xdr:from>
    <xdr:to>
      <xdr:col>18</xdr:col>
      <xdr:colOff>96740</xdr:colOff>
      <xdr:row>581</xdr:row>
      <xdr:rowOff>65926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6964" y="114399319"/>
          <a:ext cx="5287982" cy="36645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389655</xdr:colOff>
      <xdr:row>506</xdr:row>
      <xdr:rowOff>95249</xdr:rowOff>
    </xdr:from>
    <xdr:to>
      <xdr:col>7</xdr:col>
      <xdr:colOff>460632</xdr:colOff>
      <xdr:row>526</xdr:row>
      <xdr:rowOff>48067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9655" y="92678249"/>
          <a:ext cx="5760000" cy="3936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619588</xdr:colOff>
      <xdr:row>527</xdr:row>
      <xdr:rowOff>10773</xdr:rowOff>
    </xdr:from>
    <xdr:to>
      <xdr:col>5</xdr:col>
      <xdr:colOff>606255</xdr:colOff>
      <xdr:row>545</xdr:row>
      <xdr:rowOff>44612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04448" y="91671753"/>
          <a:ext cx="344614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179705</xdr:colOff>
      <xdr:row>510</xdr:row>
      <xdr:rowOff>84852</xdr:rowOff>
    </xdr:from>
    <xdr:to>
      <xdr:col>4</xdr:col>
      <xdr:colOff>234183</xdr:colOff>
      <xdr:row>520</xdr:row>
      <xdr:rowOff>47607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 rot="2288258">
          <a:off x="2586932" y="93464488"/>
          <a:ext cx="998319" cy="195434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18901</xdr:colOff>
      <xdr:row>513</xdr:row>
      <xdr:rowOff>124366</xdr:rowOff>
    </xdr:from>
    <xdr:to>
      <xdr:col>5</xdr:col>
      <xdr:colOff>304163</xdr:colOff>
      <xdr:row>523</xdr:row>
      <xdr:rowOff>87121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 rot="2288258">
          <a:off x="3369969" y="94101480"/>
          <a:ext cx="1064580" cy="195434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2</xdr:col>
      <xdr:colOff>623450</xdr:colOff>
      <xdr:row>506</xdr:row>
      <xdr:rowOff>190499</xdr:rowOff>
    </xdr:from>
    <xdr:ext cx="1030795" cy="31149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2182086" y="92773499"/>
          <a:ext cx="1030795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A &amp; B</a:t>
          </a:r>
        </a:p>
      </xdr:txBody>
    </xdr:sp>
    <xdr:clientData/>
  </xdr:oneCellAnchor>
  <xdr:oneCellAnchor>
    <xdr:from>
      <xdr:col>6</xdr:col>
      <xdr:colOff>69268</xdr:colOff>
      <xdr:row>509</xdr:row>
      <xdr:rowOff>103909</xdr:rowOff>
    </xdr:from>
    <xdr:ext cx="1029513" cy="31149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4978973" y="93284386"/>
          <a:ext cx="1029513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C &amp; D</a:t>
          </a:r>
        </a:p>
      </xdr:txBody>
    </xdr:sp>
    <xdr:clientData/>
  </xdr:oneCellAnchor>
  <xdr:twoCellAnchor>
    <xdr:from>
      <xdr:col>3</xdr:col>
      <xdr:colOff>337705</xdr:colOff>
      <xdr:row>508</xdr:row>
      <xdr:rowOff>112568</xdr:rowOff>
    </xdr:from>
    <xdr:to>
      <xdr:col>3</xdr:col>
      <xdr:colOff>493568</xdr:colOff>
      <xdr:row>512</xdr:row>
      <xdr:rowOff>86590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CxnSpPr/>
      </xdr:nvCxnSpPr>
      <xdr:spPr>
        <a:xfrm>
          <a:off x="2744932" y="93093886"/>
          <a:ext cx="155863" cy="770659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375329</xdr:colOff>
      <xdr:row>510</xdr:row>
      <xdr:rowOff>181840</xdr:rowOff>
    </xdr:from>
    <xdr:to>
      <xdr:col>6</xdr:col>
      <xdr:colOff>493564</xdr:colOff>
      <xdr:row>514</xdr:row>
      <xdr:rowOff>133805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CxnSpPr>
          <a:endCxn id="20" idx="0"/>
        </xdr:cNvCxnSpPr>
      </xdr:nvCxnSpPr>
      <xdr:spPr>
        <a:xfrm flipH="1">
          <a:off x="4505715" y="93561476"/>
          <a:ext cx="897554" cy="748602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458</xdr:row>
      <xdr:rowOff>0</xdr:rowOff>
    </xdr:from>
    <xdr:to>
      <xdr:col>9</xdr:col>
      <xdr:colOff>319431</xdr:colOff>
      <xdr:row>459</xdr:row>
      <xdr:rowOff>168040</xdr:rowOff>
    </xdr:to>
    <xdr:sp macro="" textlink="">
      <xdr:nvSpPr>
        <xdr:cNvPr id="30" name="TextBox 20">
          <a:extLst>
            <a:ext uri="{FF2B5EF4-FFF2-40B4-BE49-F238E27FC236}">
              <a16:creationId xmlns:a16="http://schemas.microsoft.com/office/drawing/2014/main" xmlns="" id="{CAD0F907-6C81-9C63-4C11-5DAF76A7E3A6}"/>
            </a:ext>
          </a:extLst>
        </xdr:cNvPr>
        <xdr:cNvSpPr txBox="1"/>
      </xdr:nvSpPr>
      <xdr:spPr>
        <a:xfrm>
          <a:off x="8032750" y="79203550"/>
          <a:ext cx="319431" cy="364890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B</a:t>
          </a:r>
        </a:p>
      </xdr:txBody>
    </xdr:sp>
    <xdr:clientData/>
  </xdr:twoCellAnchor>
  <xdr:twoCellAnchor>
    <xdr:from>
      <xdr:col>8</xdr:col>
      <xdr:colOff>670693</xdr:colOff>
      <xdr:row>457</xdr:row>
      <xdr:rowOff>22822</xdr:rowOff>
    </xdr:from>
    <xdr:to>
      <xdr:col>13</xdr:col>
      <xdr:colOff>675994</xdr:colOff>
      <xdr:row>463</xdr:row>
      <xdr:rowOff>206711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7158899" y="93547116"/>
          <a:ext cx="4140271" cy="1373394"/>
          <a:chOff x="492194" y="79968882"/>
          <a:chExt cx="4125264" cy="1052006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GrpSpPr/>
        </xdr:nvGrpSpPr>
        <xdr:grpSpPr>
          <a:xfrm>
            <a:off x="492194" y="79975792"/>
            <a:ext cx="2422258" cy="1045096"/>
            <a:chOff x="549088" y="80828030"/>
            <a:chExt cx="2420472" cy="1053352"/>
          </a:xfrm>
        </xdr:grpSpPr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xmlns="" id="{00000000-0008-0000-0000-000002000000}"/>
                </a:ext>
              </a:extLst>
            </xdr:cNvPr>
            <xdr:cNvSpPr txBox="1"/>
          </xdr:nvSpPr>
          <xdr:spPr>
            <a:xfrm>
              <a:off x="549088" y="80828030"/>
              <a:ext cx="930089" cy="4370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IN" sz="1800" b="1"/>
            </a:p>
          </xdr:txBody>
        </xdr:sp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xmlns="" id="{00000000-0008-0000-0000-000027000000}"/>
                </a:ext>
              </a:extLst>
            </xdr:cNvPr>
            <xdr:cNvSpPr txBox="1"/>
          </xdr:nvSpPr>
          <xdr:spPr>
            <a:xfrm>
              <a:off x="2039471" y="81444353"/>
              <a:ext cx="930089" cy="4370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IN" sz="1800" b="1"/>
            </a:p>
          </xdr:txBody>
        </xdr:sp>
      </xdr:grp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xmlns="" id="{00000000-0008-0000-0000-000028000000}"/>
              </a:ext>
            </a:extLst>
          </xdr:cNvPr>
          <xdr:cNvSpPr txBox="1"/>
        </xdr:nvSpPr>
        <xdr:spPr>
          <a:xfrm>
            <a:off x="3313020" y="79968882"/>
            <a:ext cx="1304438" cy="4336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800" b="1"/>
          </a:p>
        </xdr:txBody>
      </xdr:sp>
    </xdr:grpSp>
    <xdr:clientData/>
  </xdr:twoCellAnchor>
  <xdr:twoCellAnchor editAs="oneCell">
    <xdr:from>
      <xdr:col>8</xdr:col>
      <xdr:colOff>524190</xdr:colOff>
      <xdr:row>58</xdr:row>
      <xdr:rowOff>476251</xdr:rowOff>
    </xdr:from>
    <xdr:to>
      <xdr:col>15</xdr:col>
      <xdr:colOff>733425</xdr:colOff>
      <xdr:row>60</xdr:row>
      <xdr:rowOff>930409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0715" y="16021051"/>
          <a:ext cx="5828985" cy="1692408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46</xdr:row>
      <xdr:rowOff>352425</xdr:rowOff>
    </xdr:from>
    <xdr:to>
      <xdr:col>14</xdr:col>
      <xdr:colOff>228046</xdr:colOff>
      <xdr:row>48</xdr:row>
      <xdr:rowOff>624103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48525" y="10363200"/>
          <a:ext cx="4428571" cy="9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152</xdr:row>
      <xdr:rowOff>161926</xdr:rowOff>
    </xdr:from>
    <xdr:to>
      <xdr:col>16</xdr:col>
      <xdr:colOff>323850</xdr:colOff>
      <xdr:row>155</xdr:row>
      <xdr:rowOff>169536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4325" y="31041976"/>
          <a:ext cx="5267325" cy="1007736"/>
        </a:xfrm>
        <a:prstGeom prst="rect">
          <a:avLst/>
        </a:prstGeom>
      </xdr:spPr>
    </xdr:pic>
    <xdr:clientData/>
  </xdr:twoCellAnchor>
  <xdr:twoCellAnchor editAs="oneCell">
    <xdr:from>
      <xdr:col>9</xdr:col>
      <xdr:colOff>254492</xdr:colOff>
      <xdr:row>153</xdr:row>
      <xdr:rowOff>177574</xdr:rowOff>
    </xdr:from>
    <xdr:to>
      <xdr:col>23</xdr:col>
      <xdr:colOff>162511</xdr:colOff>
      <xdr:row>171</xdr:row>
      <xdr:rowOff>127466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03067" y="33781774"/>
          <a:ext cx="9404444" cy="3950392"/>
        </a:xfrm>
        <a:prstGeom prst="rect">
          <a:avLst/>
        </a:prstGeom>
      </xdr:spPr>
    </xdr:pic>
    <xdr:clientData/>
  </xdr:twoCellAnchor>
  <xdr:twoCellAnchor editAs="oneCell">
    <xdr:from>
      <xdr:col>8</xdr:col>
      <xdr:colOff>812223</xdr:colOff>
      <xdr:row>209</xdr:row>
      <xdr:rowOff>50222</xdr:rowOff>
    </xdr:from>
    <xdr:to>
      <xdr:col>12</xdr:col>
      <xdr:colOff>197428</xdr:colOff>
      <xdr:row>222</xdr:row>
      <xdr:rowOff>151117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06541" y="46012677"/>
          <a:ext cx="2727614" cy="3274198"/>
        </a:xfrm>
        <a:prstGeom prst="rect">
          <a:avLst/>
        </a:prstGeom>
      </xdr:spPr>
    </xdr:pic>
    <xdr:clientData/>
  </xdr:twoCellAnchor>
  <xdr:twoCellAnchor editAs="oneCell">
    <xdr:from>
      <xdr:col>8</xdr:col>
      <xdr:colOff>426028</xdr:colOff>
      <xdr:row>219</xdr:row>
      <xdr:rowOff>0</xdr:rowOff>
    </xdr:from>
    <xdr:to>
      <xdr:col>13</xdr:col>
      <xdr:colOff>303416</xdr:colOff>
      <xdr:row>246</xdr:row>
      <xdr:rowOff>122957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20346" y="48438955"/>
          <a:ext cx="4016434" cy="5734047"/>
        </a:xfrm>
        <a:prstGeom prst="rect">
          <a:avLst/>
        </a:prstGeom>
      </xdr:spPr>
    </xdr:pic>
    <xdr:clientData/>
  </xdr:twoCellAnchor>
  <xdr:twoCellAnchor editAs="oneCell">
    <xdr:from>
      <xdr:col>9</xdr:col>
      <xdr:colOff>371475</xdr:colOff>
      <xdr:row>253</xdr:row>
      <xdr:rowOff>161925</xdr:rowOff>
    </xdr:from>
    <xdr:to>
      <xdr:col>13</xdr:col>
      <xdr:colOff>828248</xdr:colOff>
      <xdr:row>262</xdr:row>
      <xdr:rowOff>1036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20050" y="51844575"/>
          <a:ext cx="3419048" cy="163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133350</xdr:colOff>
      <xdr:row>270</xdr:row>
      <xdr:rowOff>38100</xdr:rowOff>
    </xdr:from>
    <xdr:to>
      <xdr:col>15</xdr:col>
      <xdr:colOff>590207</xdr:colOff>
      <xdr:row>285</xdr:row>
      <xdr:rowOff>28204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53625" y="57245250"/>
          <a:ext cx="2742857" cy="2971429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296</xdr:row>
      <xdr:rowOff>57149</xdr:rowOff>
    </xdr:from>
    <xdr:to>
      <xdr:col>12</xdr:col>
      <xdr:colOff>714375</xdr:colOff>
      <xdr:row>320</xdr:row>
      <xdr:rowOff>195534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915150" y="70523099"/>
          <a:ext cx="3619500" cy="4938983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284</xdr:row>
      <xdr:rowOff>123825</xdr:rowOff>
    </xdr:from>
    <xdr:to>
      <xdr:col>15</xdr:col>
      <xdr:colOff>75867</xdr:colOff>
      <xdr:row>290</xdr:row>
      <xdr:rowOff>28438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15475" y="68189475"/>
          <a:ext cx="2666667" cy="11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107495</xdr:colOff>
      <xdr:row>286</xdr:row>
      <xdr:rowOff>4082</xdr:rowOff>
    </xdr:from>
    <xdr:to>
      <xdr:col>12</xdr:col>
      <xdr:colOff>559818</xdr:colOff>
      <xdr:row>294</xdr:row>
      <xdr:rowOff>141514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11709" y="61059332"/>
          <a:ext cx="3786073" cy="1770289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379</xdr:row>
      <xdr:rowOff>114300</xdr:rowOff>
    </xdr:from>
    <xdr:to>
      <xdr:col>12</xdr:col>
      <xdr:colOff>380613</xdr:colOff>
      <xdr:row>402</xdr:row>
      <xdr:rowOff>113723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05650" y="87582375"/>
          <a:ext cx="3095238" cy="46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333374</xdr:colOff>
      <xdr:row>401</xdr:row>
      <xdr:rowOff>180975</xdr:rowOff>
    </xdr:from>
    <xdr:to>
      <xdr:col>14</xdr:col>
      <xdr:colOff>451754</xdr:colOff>
      <xdr:row>408</xdr:row>
      <xdr:rowOff>152399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81949" y="91849575"/>
          <a:ext cx="3918855" cy="1371600"/>
        </a:xfrm>
        <a:prstGeom prst="rect">
          <a:avLst/>
        </a:prstGeom>
      </xdr:spPr>
    </xdr:pic>
    <xdr:clientData/>
  </xdr:twoCellAnchor>
  <xdr:twoCellAnchor editAs="oneCell">
    <xdr:from>
      <xdr:col>8</xdr:col>
      <xdr:colOff>504825</xdr:colOff>
      <xdr:row>398</xdr:row>
      <xdr:rowOff>142875</xdr:rowOff>
    </xdr:from>
    <xdr:to>
      <xdr:col>12</xdr:col>
      <xdr:colOff>390123</xdr:colOff>
      <xdr:row>418</xdr:row>
      <xdr:rowOff>161424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991350" y="82934175"/>
          <a:ext cx="3219048" cy="4019049"/>
        </a:xfrm>
        <a:prstGeom prst="rect">
          <a:avLst/>
        </a:prstGeom>
      </xdr:spPr>
    </xdr:pic>
    <xdr:clientData/>
  </xdr:twoCellAnchor>
  <xdr:twoCellAnchor editAs="oneCell">
    <xdr:from>
      <xdr:col>8</xdr:col>
      <xdr:colOff>876300</xdr:colOff>
      <xdr:row>420</xdr:row>
      <xdr:rowOff>171450</xdr:rowOff>
    </xdr:from>
    <xdr:to>
      <xdr:col>12</xdr:col>
      <xdr:colOff>694931</xdr:colOff>
      <xdr:row>430</xdr:row>
      <xdr:rowOff>167838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362825" y="87363300"/>
          <a:ext cx="3152381" cy="20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499631</xdr:colOff>
      <xdr:row>174</xdr:row>
      <xdr:rowOff>102651</xdr:rowOff>
    </xdr:from>
    <xdr:to>
      <xdr:col>16</xdr:col>
      <xdr:colOff>222951</xdr:colOff>
      <xdr:row>210</xdr:row>
      <xdr:rowOff>148937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148206" y="37621626"/>
          <a:ext cx="4952545" cy="7247186"/>
        </a:xfrm>
        <a:prstGeom prst="rect">
          <a:avLst/>
        </a:prstGeom>
      </xdr:spPr>
    </xdr:pic>
    <xdr:clientData/>
  </xdr:twoCellAnchor>
  <xdr:twoCellAnchor>
    <xdr:from>
      <xdr:col>13</xdr:col>
      <xdr:colOff>705971</xdr:colOff>
      <xdr:row>487</xdr:row>
      <xdr:rowOff>145675</xdr:rowOff>
    </xdr:from>
    <xdr:to>
      <xdr:col>15</xdr:col>
      <xdr:colOff>123265</xdr:colOff>
      <xdr:row>489</xdr:row>
      <xdr:rowOff>100852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/>
      </xdr:nvSpPr>
      <xdr:spPr>
        <a:xfrm>
          <a:off x="11329147" y="99911646"/>
          <a:ext cx="918883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en-IN" sz="16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IN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</a:t>
          </a:r>
        </a:p>
      </xdr:txBody>
    </xdr:sp>
    <xdr:clientData/>
  </xdr:twoCellAnchor>
  <xdr:twoCellAnchor>
    <xdr:from>
      <xdr:col>1</xdr:col>
      <xdr:colOff>179294</xdr:colOff>
      <xdr:row>570</xdr:row>
      <xdr:rowOff>134469</xdr:rowOff>
    </xdr:from>
    <xdr:to>
      <xdr:col>6</xdr:col>
      <xdr:colOff>649940</xdr:colOff>
      <xdr:row>586</xdr:row>
      <xdr:rowOff>182917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GrpSpPr/>
      </xdr:nvGrpSpPr>
      <xdr:grpSpPr>
        <a:xfrm>
          <a:off x="941294" y="116440322"/>
          <a:ext cx="4594411" cy="3275742"/>
          <a:chOff x="7485529" y="110333117"/>
          <a:chExt cx="4594411" cy="3275742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7485529" y="110333117"/>
            <a:ext cx="4594411" cy="327574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xmlns="" id="{00000000-0008-0000-0000-00002E000000}"/>
              </a:ext>
            </a:extLst>
          </xdr:cNvPr>
          <xdr:cNvSpPr/>
        </xdr:nvSpPr>
        <xdr:spPr>
          <a:xfrm rot="1158713">
            <a:off x="9244394" y="111479537"/>
            <a:ext cx="1208937" cy="995167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438150</xdr:colOff>
      <xdr:row>259</xdr:row>
      <xdr:rowOff>85725</xdr:rowOff>
    </xdr:from>
    <xdr:to>
      <xdr:col>14</xdr:col>
      <xdr:colOff>581738</xdr:colOff>
      <xdr:row>272</xdr:row>
      <xdr:rowOff>143244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924675" y="55092600"/>
          <a:ext cx="5106113" cy="2657846"/>
        </a:xfrm>
        <a:prstGeom prst="rect">
          <a:avLst/>
        </a:prstGeom>
      </xdr:spPr>
    </xdr:pic>
    <xdr:clientData/>
  </xdr:twoCellAnchor>
  <xdr:twoCellAnchor editAs="oneCell">
    <xdr:from>
      <xdr:col>8</xdr:col>
      <xdr:colOff>888066</xdr:colOff>
      <xdr:row>136</xdr:row>
      <xdr:rowOff>57150</xdr:rowOff>
    </xdr:from>
    <xdr:to>
      <xdr:col>12</xdr:col>
      <xdr:colOff>678933</xdr:colOff>
      <xdr:row>154</xdr:row>
      <xdr:rowOff>189940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374591" y="29575125"/>
          <a:ext cx="3124617" cy="3733240"/>
        </a:xfrm>
        <a:prstGeom prst="rect">
          <a:avLst/>
        </a:prstGeom>
      </xdr:spPr>
    </xdr:pic>
    <xdr:clientData/>
  </xdr:twoCellAnchor>
  <xdr:twoCellAnchor>
    <xdr:from>
      <xdr:col>0</xdr:col>
      <xdr:colOff>233936</xdr:colOff>
      <xdr:row>462</xdr:row>
      <xdr:rowOff>55251</xdr:rowOff>
    </xdr:from>
    <xdr:to>
      <xdr:col>7</xdr:col>
      <xdr:colOff>510806</xdr:colOff>
      <xdr:row>503</xdr:row>
      <xdr:rowOff>173365</xdr:rowOff>
    </xdr:to>
    <xdr:grpSp>
      <xdr:nvGrpSpPr>
        <xdr:cNvPr id="9" name="Group 8"/>
        <xdr:cNvGrpSpPr/>
      </xdr:nvGrpSpPr>
      <xdr:grpSpPr>
        <a:xfrm>
          <a:off x="233936" y="94576869"/>
          <a:ext cx="5935841" cy="8388055"/>
          <a:chOff x="233936" y="94778575"/>
          <a:chExt cx="5935841" cy="8388055"/>
        </a:xfrm>
      </xdr:grpSpPr>
      <xdr:pic>
        <xdr:nvPicPr>
          <xdr:cNvPr id="70" name="Picture 69" descr="https://vsjcllp.vsjadon.com/upload/insp-24323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79473" y="101161850"/>
            <a:ext cx="1499351" cy="19935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1" name="Picture 70" descr="https://vsjcllp.vsjadon.com/upload/insp-24323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72353" y="101164712"/>
            <a:ext cx="1499351" cy="19935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2" name="Picture 71" descr="https://vsjcllp.vsjadon.com/upload/insp-243235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72924" y="98555458"/>
            <a:ext cx="1896853" cy="25221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" name="Picture 73" descr="https://vsjcllp.vsjadon.com/upload/insp-243235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35496" y="94778575"/>
            <a:ext cx="2772765" cy="36867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5" name="Picture 74" descr="https://vsjcllp.vsjadon.com/upload/insp-243235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936" y="98577368"/>
            <a:ext cx="1896853" cy="25221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6" name="Picture 75" descr="https://vsjcllp.vsjadon.com/upload/insp-243235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51205" y="98566901"/>
            <a:ext cx="1896853" cy="25221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7" name="Picture 76" descr="https://vsjcllp.vsjadon.com/upload/insp-243235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77708" y="101173056"/>
            <a:ext cx="1499351" cy="19935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8" name="Picture 77" descr="https://vsjcllp.vsjadon.com/upload/insp-243235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2992" y="94790559"/>
            <a:ext cx="2772765" cy="36867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9" name="TextBox 37">
            <a:extLst>
              <a:ext uri="{FF2B5EF4-FFF2-40B4-BE49-F238E27FC236}">
                <a16:creationId xmlns:a16="http://schemas.microsoft.com/office/drawing/2014/main" xmlns="" id="{86154CD4-78A0-CAC9-2CDD-8B1E7EF2BCD1}"/>
              </a:ext>
            </a:extLst>
          </xdr:cNvPr>
          <xdr:cNvSpPr txBox="1"/>
        </xdr:nvSpPr>
        <xdr:spPr>
          <a:xfrm>
            <a:off x="1402728" y="94812971"/>
            <a:ext cx="524684" cy="53788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A</a:t>
            </a:r>
          </a:p>
        </xdr:txBody>
      </xdr:sp>
      <xdr:sp macro="" textlink="">
        <xdr:nvSpPr>
          <xdr:cNvPr id="80" name="TextBox 37">
            <a:extLst>
              <a:ext uri="{FF2B5EF4-FFF2-40B4-BE49-F238E27FC236}">
                <a16:creationId xmlns:a16="http://schemas.microsoft.com/office/drawing/2014/main" xmlns="" id="{86154CD4-78A0-CAC9-2CDD-8B1E7EF2BCD1}"/>
              </a:ext>
            </a:extLst>
          </xdr:cNvPr>
          <xdr:cNvSpPr txBox="1"/>
        </xdr:nvSpPr>
        <xdr:spPr>
          <a:xfrm>
            <a:off x="2227480" y="95256723"/>
            <a:ext cx="293255" cy="31700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81" name="TextBox 37">
            <a:extLst>
              <a:ext uri="{FF2B5EF4-FFF2-40B4-BE49-F238E27FC236}">
                <a16:creationId xmlns:a16="http://schemas.microsoft.com/office/drawing/2014/main" xmlns="" id="{86154CD4-78A0-CAC9-2CDD-8B1E7EF2BCD1}"/>
              </a:ext>
            </a:extLst>
          </xdr:cNvPr>
          <xdr:cNvSpPr txBox="1"/>
        </xdr:nvSpPr>
        <xdr:spPr>
          <a:xfrm>
            <a:off x="4098349" y="95462133"/>
            <a:ext cx="293255" cy="31700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C</a:t>
            </a:r>
          </a:p>
        </xdr:txBody>
      </xdr:sp>
      <xdr:sp macro="" textlink="">
        <xdr:nvSpPr>
          <xdr:cNvPr id="82" name="TextBox 37">
            <a:extLst>
              <a:ext uri="{FF2B5EF4-FFF2-40B4-BE49-F238E27FC236}">
                <a16:creationId xmlns:a16="http://schemas.microsoft.com/office/drawing/2014/main" xmlns="" id="{86154CD4-78A0-CAC9-2CDD-8B1E7EF2BCD1}"/>
              </a:ext>
            </a:extLst>
          </xdr:cNvPr>
          <xdr:cNvSpPr txBox="1"/>
        </xdr:nvSpPr>
        <xdr:spPr>
          <a:xfrm>
            <a:off x="4788631" y="95211122"/>
            <a:ext cx="293255" cy="31700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55843-rustomjee-bella-wing-c-and-d-by-rustomjee-builders-in-bhandup-west" TargetMode="External"/><Relationship Id="rId1" Type="http://schemas.openxmlformats.org/officeDocument/2006/relationships/hyperlink" Target="https://goo.gl/maps/ivcADK5Rsufi3ahXA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48"/>
  <sheetViews>
    <sheetView tabSelected="1" view="pageBreakPreview" topLeftCell="A424" zoomScale="85" zoomScaleNormal="100" zoomScaleSheetLayoutView="85" zoomScalePageLayoutView="85" workbookViewId="0">
      <selection activeCell="K452" sqref="K452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5703125" style="38" customWidth="1"/>
    <col min="4" max="4" width="14.140625" style="38" customWidth="1"/>
    <col min="5" max="7" width="11.570312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5703125" style="19" customWidth="1"/>
    <col min="17" max="247" width="9.140625" style="19"/>
    <col min="248" max="248" width="8.5703125" style="19" customWidth="1"/>
    <col min="249" max="249" width="9.85546875" style="19" customWidth="1"/>
    <col min="250" max="250" width="14.42578125" style="19" customWidth="1"/>
    <col min="251" max="251" width="7.425781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5703125" style="19" customWidth="1"/>
    <col min="505" max="505" width="9.85546875" style="19" customWidth="1"/>
    <col min="506" max="506" width="14.42578125" style="19" customWidth="1"/>
    <col min="507" max="507" width="7.425781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5703125" style="19" customWidth="1"/>
    <col min="761" max="761" width="9.85546875" style="19" customWidth="1"/>
    <col min="762" max="762" width="14.42578125" style="19" customWidth="1"/>
    <col min="763" max="763" width="7.425781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5703125" style="19" customWidth="1"/>
    <col min="1017" max="1017" width="9.85546875" style="19" customWidth="1"/>
    <col min="1018" max="1018" width="14.42578125" style="19" customWidth="1"/>
    <col min="1019" max="1019" width="7.425781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5703125" style="19" customWidth="1"/>
    <col min="1273" max="1273" width="9.85546875" style="19" customWidth="1"/>
    <col min="1274" max="1274" width="14.42578125" style="19" customWidth="1"/>
    <col min="1275" max="1275" width="7.425781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5703125" style="19" customWidth="1"/>
    <col min="1529" max="1529" width="9.85546875" style="19" customWidth="1"/>
    <col min="1530" max="1530" width="14.42578125" style="19" customWidth="1"/>
    <col min="1531" max="1531" width="7.425781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5703125" style="19" customWidth="1"/>
    <col min="1785" max="1785" width="9.85546875" style="19" customWidth="1"/>
    <col min="1786" max="1786" width="14.42578125" style="19" customWidth="1"/>
    <col min="1787" max="1787" width="7.425781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5703125" style="19" customWidth="1"/>
    <col min="2041" max="2041" width="9.85546875" style="19" customWidth="1"/>
    <col min="2042" max="2042" width="14.42578125" style="19" customWidth="1"/>
    <col min="2043" max="2043" width="7.425781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5703125" style="19" customWidth="1"/>
    <col min="2297" max="2297" width="9.85546875" style="19" customWidth="1"/>
    <col min="2298" max="2298" width="14.42578125" style="19" customWidth="1"/>
    <col min="2299" max="2299" width="7.425781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5703125" style="19" customWidth="1"/>
    <col min="2553" max="2553" width="9.85546875" style="19" customWidth="1"/>
    <col min="2554" max="2554" width="14.42578125" style="19" customWidth="1"/>
    <col min="2555" max="2555" width="7.425781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5703125" style="19" customWidth="1"/>
    <col min="2809" max="2809" width="9.85546875" style="19" customWidth="1"/>
    <col min="2810" max="2810" width="14.42578125" style="19" customWidth="1"/>
    <col min="2811" max="2811" width="7.425781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5703125" style="19" customWidth="1"/>
    <col min="3065" max="3065" width="9.85546875" style="19" customWidth="1"/>
    <col min="3066" max="3066" width="14.42578125" style="19" customWidth="1"/>
    <col min="3067" max="3067" width="7.425781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5703125" style="19" customWidth="1"/>
    <col min="3321" max="3321" width="9.85546875" style="19" customWidth="1"/>
    <col min="3322" max="3322" width="14.42578125" style="19" customWidth="1"/>
    <col min="3323" max="3323" width="7.425781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5703125" style="19" customWidth="1"/>
    <col min="3577" max="3577" width="9.85546875" style="19" customWidth="1"/>
    <col min="3578" max="3578" width="14.42578125" style="19" customWidth="1"/>
    <col min="3579" max="3579" width="7.425781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5703125" style="19" customWidth="1"/>
    <col min="3833" max="3833" width="9.85546875" style="19" customWidth="1"/>
    <col min="3834" max="3834" width="14.42578125" style="19" customWidth="1"/>
    <col min="3835" max="3835" width="7.425781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5703125" style="19" customWidth="1"/>
    <col min="4089" max="4089" width="9.85546875" style="19" customWidth="1"/>
    <col min="4090" max="4090" width="14.42578125" style="19" customWidth="1"/>
    <col min="4091" max="4091" width="7.425781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5703125" style="19" customWidth="1"/>
    <col min="4345" max="4345" width="9.85546875" style="19" customWidth="1"/>
    <col min="4346" max="4346" width="14.42578125" style="19" customWidth="1"/>
    <col min="4347" max="4347" width="7.425781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5703125" style="19" customWidth="1"/>
    <col min="4601" max="4601" width="9.85546875" style="19" customWidth="1"/>
    <col min="4602" max="4602" width="14.42578125" style="19" customWidth="1"/>
    <col min="4603" max="4603" width="7.425781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5703125" style="19" customWidth="1"/>
    <col min="4857" max="4857" width="9.85546875" style="19" customWidth="1"/>
    <col min="4858" max="4858" width="14.42578125" style="19" customWidth="1"/>
    <col min="4859" max="4859" width="7.425781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5703125" style="19" customWidth="1"/>
    <col min="5113" max="5113" width="9.85546875" style="19" customWidth="1"/>
    <col min="5114" max="5114" width="14.42578125" style="19" customWidth="1"/>
    <col min="5115" max="5115" width="7.425781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5703125" style="19" customWidth="1"/>
    <col min="5369" max="5369" width="9.85546875" style="19" customWidth="1"/>
    <col min="5370" max="5370" width="14.42578125" style="19" customWidth="1"/>
    <col min="5371" max="5371" width="7.425781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5703125" style="19" customWidth="1"/>
    <col min="5625" max="5625" width="9.85546875" style="19" customWidth="1"/>
    <col min="5626" max="5626" width="14.42578125" style="19" customWidth="1"/>
    <col min="5627" max="5627" width="7.425781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5703125" style="19" customWidth="1"/>
    <col min="5881" max="5881" width="9.85546875" style="19" customWidth="1"/>
    <col min="5882" max="5882" width="14.42578125" style="19" customWidth="1"/>
    <col min="5883" max="5883" width="7.425781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5703125" style="19" customWidth="1"/>
    <col min="6137" max="6137" width="9.85546875" style="19" customWidth="1"/>
    <col min="6138" max="6138" width="14.42578125" style="19" customWidth="1"/>
    <col min="6139" max="6139" width="7.425781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5703125" style="19" customWidth="1"/>
    <col min="6393" max="6393" width="9.85546875" style="19" customWidth="1"/>
    <col min="6394" max="6394" width="14.42578125" style="19" customWidth="1"/>
    <col min="6395" max="6395" width="7.425781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5703125" style="19" customWidth="1"/>
    <col min="6649" max="6649" width="9.85546875" style="19" customWidth="1"/>
    <col min="6650" max="6650" width="14.42578125" style="19" customWidth="1"/>
    <col min="6651" max="6651" width="7.425781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5703125" style="19" customWidth="1"/>
    <col min="6905" max="6905" width="9.85546875" style="19" customWidth="1"/>
    <col min="6906" max="6906" width="14.42578125" style="19" customWidth="1"/>
    <col min="6907" max="6907" width="7.425781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5703125" style="19" customWidth="1"/>
    <col min="7161" max="7161" width="9.85546875" style="19" customWidth="1"/>
    <col min="7162" max="7162" width="14.42578125" style="19" customWidth="1"/>
    <col min="7163" max="7163" width="7.425781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5703125" style="19" customWidth="1"/>
    <col min="7417" max="7417" width="9.85546875" style="19" customWidth="1"/>
    <col min="7418" max="7418" width="14.42578125" style="19" customWidth="1"/>
    <col min="7419" max="7419" width="7.425781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5703125" style="19" customWidth="1"/>
    <col min="7673" max="7673" width="9.85546875" style="19" customWidth="1"/>
    <col min="7674" max="7674" width="14.42578125" style="19" customWidth="1"/>
    <col min="7675" max="7675" width="7.425781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5703125" style="19" customWidth="1"/>
    <col min="7929" max="7929" width="9.85546875" style="19" customWidth="1"/>
    <col min="7930" max="7930" width="14.42578125" style="19" customWidth="1"/>
    <col min="7931" max="7931" width="7.425781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5703125" style="19" customWidth="1"/>
    <col min="8185" max="8185" width="9.85546875" style="19" customWidth="1"/>
    <col min="8186" max="8186" width="14.42578125" style="19" customWidth="1"/>
    <col min="8187" max="8187" width="7.425781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5703125" style="19" customWidth="1"/>
    <col min="8441" max="8441" width="9.85546875" style="19" customWidth="1"/>
    <col min="8442" max="8442" width="14.42578125" style="19" customWidth="1"/>
    <col min="8443" max="8443" width="7.425781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5703125" style="19" customWidth="1"/>
    <col min="8697" max="8697" width="9.85546875" style="19" customWidth="1"/>
    <col min="8698" max="8698" width="14.42578125" style="19" customWidth="1"/>
    <col min="8699" max="8699" width="7.425781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5703125" style="19" customWidth="1"/>
    <col min="8953" max="8953" width="9.85546875" style="19" customWidth="1"/>
    <col min="8954" max="8954" width="14.42578125" style="19" customWidth="1"/>
    <col min="8955" max="8955" width="7.425781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5703125" style="19" customWidth="1"/>
    <col min="9209" max="9209" width="9.85546875" style="19" customWidth="1"/>
    <col min="9210" max="9210" width="14.42578125" style="19" customWidth="1"/>
    <col min="9211" max="9211" width="7.425781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5703125" style="19" customWidth="1"/>
    <col min="9465" max="9465" width="9.85546875" style="19" customWidth="1"/>
    <col min="9466" max="9466" width="14.42578125" style="19" customWidth="1"/>
    <col min="9467" max="9467" width="7.425781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5703125" style="19" customWidth="1"/>
    <col min="9721" max="9721" width="9.85546875" style="19" customWidth="1"/>
    <col min="9722" max="9722" width="14.42578125" style="19" customWidth="1"/>
    <col min="9723" max="9723" width="7.425781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5703125" style="19" customWidth="1"/>
    <col min="9977" max="9977" width="9.85546875" style="19" customWidth="1"/>
    <col min="9978" max="9978" width="14.42578125" style="19" customWidth="1"/>
    <col min="9979" max="9979" width="7.425781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5703125" style="19" customWidth="1"/>
    <col min="10233" max="10233" width="9.85546875" style="19" customWidth="1"/>
    <col min="10234" max="10234" width="14.42578125" style="19" customWidth="1"/>
    <col min="10235" max="10235" width="7.425781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5703125" style="19" customWidth="1"/>
    <col min="10489" max="10489" width="9.85546875" style="19" customWidth="1"/>
    <col min="10490" max="10490" width="14.42578125" style="19" customWidth="1"/>
    <col min="10491" max="10491" width="7.425781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5703125" style="19" customWidth="1"/>
    <col min="10745" max="10745" width="9.85546875" style="19" customWidth="1"/>
    <col min="10746" max="10746" width="14.42578125" style="19" customWidth="1"/>
    <col min="10747" max="10747" width="7.425781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5703125" style="19" customWidth="1"/>
    <col min="11001" max="11001" width="9.85546875" style="19" customWidth="1"/>
    <col min="11002" max="11002" width="14.42578125" style="19" customWidth="1"/>
    <col min="11003" max="11003" width="7.425781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5703125" style="19" customWidth="1"/>
    <col min="11257" max="11257" width="9.85546875" style="19" customWidth="1"/>
    <col min="11258" max="11258" width="14.42578125" style="19" customWidth="1"/>
    <col min="11259" max="11259" width="7.425781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5703125" style="19" customWidth="1"/>
    <col min="11513" max="11513" width="9.85546875" style="19" customWidth="1"/>
    <col min="11514" max="11514" width="14.42578125" style="19" customWidth="1"/>
    <col min="11515" max="11515" width="7.425781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5703125" style="19" customWidth="1"/>
    <col min="11769" max="11769" width="9.85546875" style="19" customWidth="1"/>
    <col min="11770" max="11770" width="14.42578125" style="19" customWidth="1"/>
    <col min="11771" max="11771" width="7.425781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5703125" style="19" customWidth="1"/>
    <col min="12025" max="12025" width="9.85546875" style="19" customWidth="1"/>
    <col min="12026" max="12026" width="14.42578125" style="19" customWidth="1"/>
    <col min="12027" max="12027" width="7.425781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5703125" style="19" customWidth="1"/>
    <col min="12281" max="12281" width="9.85546875" style="19" customWidth="1"/>
    <col min="12282" max="12282" width="14.42578125" style="19" customWidth="1"/>
    <col min="12283" max="12283" width="7.425781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5703125" style="19" customWidth="1"/>
    <col min="12537" max="12537" width="9.85546875" style="19" customWidth="1"/>
    <col min="12538" max="12538" width="14.42578125" style="19" customWidth="1"/>
    <col min="12539" max="12539" width="7.425781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5703125" style="19" customWidth="1"/>
    <col min="12793" max="12793" width="9.85546875" style="19" customWidth="1"/>
    <col min="12794" max="12794" width="14.42578125" style="19" customWidth="1"/>
    <col min="12795" max="12795" width="7.425781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5703125" style="19" customWidth="1"/>
    <col min="13049" max="13049" width="9.85546875" style="19" customWidth="1"/>
    <col min="13050" max="13050" width="14.42578125" style="19" customWidth="1"/>
    <col min="13051" max="13051" width="7.425781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5703125" style="19" customWidth="1"/>
    <col min="13305" max="13305" width="9.85546875" style="19" customWidth="1"/>
    <col min="13306" max="13306" width="14.42578125" style="19" customWidth="1"/>
    <col min="13307" max="13307" width="7.425781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5703125" style="19" customWidth="1"/>
    <col min="13561" max="13561" width="9.85546875" style="19" customWidth="1"/>
    <col min="13562" max="13562" width="14.42578125" style="19" customWidth="1"/>
    <col min="13563" max="13563" width="7.425781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5703125" style="19" customWidth="1"/>
    <col min="13817" max="13817" width="9.85546875" style="19" customWidth="1"/>
    <col min="13818" max="13818" width="14.42578125" style="19" customWidth="1"/>
    <col min="13819" max="13819" width="7.425781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5703125" style="19" customWidth="1"/>
    <col min="14073" max="14073" width="9.85546875" style="19" customWidth="1"/>
    <col min="14074" max="14074" width="14.42578125" style="19" customWidth="1"/>
    <col min="14075" max="14075" width="7.425781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5703125" style="19" customWidth="1"/>
    <col min="14329" max="14329" width="9.85546875" style="19" customWidth="1"/>
    <col min="14330" max="14330" width="14.42578125" style="19" customWidth="1"/>
    <col min="14331" max="14331" width="7.425781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5703125" style="19" customWidth="1"/>
    <col min="14585" max="14585" width="9.85546875" style="19" customWidth="1"/>
    <col min="14586" max="14586" width="14.42578125" style="19" customWidth="1"/>
    <col min="14587" max="14587" width="7.425781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5703125" style="19" customWidth="1"/>
    <col min="14841" max="14841" width="9.85546875" style="19" customWidth="1"/>
    <col min="14842" max="14842" width="14.42578125" style="19" customWidth="1"/>
    <col min="14843" max="14843" width="7.425781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5703125" style="19" customWidth="1"/>
    <col min="15097" max="15097" width="9.85546875" style="19" customWidth="1"/>
    <col min="15098" max="15098" width="14.42578125" style="19" customWidth="1"/>
    <col min="15099" max="15099" width="7.425781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5703125" style="19" customWidth="1"/>
    <col min="15353" max="15353" width="9.85546875" style="19" customWidth="1"/>
    <col min="15354" max="15354" width="14.42578125" style="19" customWidth="1"/>
    <col min="15355" max="15355" width="7.425781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5703125" style="19" customWidth="1"/>
    <col min="15609" max="15609" width="9.85546875" style="19" customWidth="1"/>
    <col min="15610" max="15610" width="14.42578125" style="19" customWidth="1"/>
    <col min="15611" max="15611" width="7.425781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5703125" style="19" customWidth="1"/>
    <col min="15865" max="15865" width="9.85546875" style="19" customWidth="1"/>
    <col min="15866" max="15866" width="14.42578125" style="19" customWidth="1"/>
    <col min="15867" max="15867" width="7.425781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5703125" style="19" customWidth="1"/>
    <col min="16121" max="16121" width="9.85546875" style="19" customWidth="1"/>
    <col min="16122" max="16122" width="14.42578125" style="19" customWidth="1"/>
    <col min="16123" max="16123" width="7.425781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82" t="s">
        <v>275</v>
      </c>
      <c r="B1" s="182"/>
      <c r="C1" s="182"/>
      <c r="D1" s="182"/>
      <c r="E1" s="182"/>
      <c r="F1" s="182"/>
      <c r="G1" s="182"/>
      <c r="H1" s="182"/>
    </row>
    <row r="2" spans="1:8" ht="16.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</row>
    <row r="3" spans="1:8" x14ac:dyDescent="0.25">
      <c r="A3" s="161" t="s">
        <v>1</v>
      </c>
      <c r="B3" s="161"/>
      <c r="C3" s="161"/>
      <c r="D3" s="161"/>
      <c r="E3" s="161" t="str">
        <f ca="1">TEXT(TODAY(),"DD/MM/YYYY")</f>
        <v>19/08/2025</v>
      </c>
      <c r="F3" s="161"/>
      <c r="G3" s="161"/>
      <c r="H3" s="161"/>
    </row>
    <row r="4" spans="1:8" ht="15" customHeight="1" x14ac:dyDescent="0.25">
      <c r="A4" s="161" t="s">
        <v>2</v>
      </c>
      <c r="B4" s="161"/>
      <c r="C4" s="161"/>
      <c r="D4" s="161"/>
      <c r="E4" s="161" t="s">
        <v>167</v>
      </c>
      <c r="F4" s="161"/>
      <c r="G4" s="161"/>
      <c r="H4" s="161"/>
    </row>
    <row r="5" spans="1:8" x14ac:dyDescent="0.25">
      <c r="A5" s="161" t="s">
        <v>3</v>
      </c>
      <c r="B5" s="161"/>
      <c r="C5" s="161"/>
      <c r="D5" s="161"/>
      <c r="E5" s="183">
        <v>45883</v>
      </c>
      <c r="F5" s="161"/>
      <c r="G5" s="161"/>
      <c r="H5" s="161"/>
    </row>
    <row r="6" spans="1:8" ht="16.5" customHeight="1" x14ac:dyDescent="0.25">
      <c r="A6" s="161" t="s">
        <v>4</v>
      </c>
      <c r="B6" s="161"/>
      <c r="C6" s="161"/>
      <c r="D6" s="161"/>
      <c r="E6" s="161" t="s">
        <v>169</v>
      </c>
      <c r="F6" s="161"/>
      <c r="G6" s="161"/>
      <c r="H6" s="161"/>
    </row>
    <row r="7" spans="1:8" ht="15" customHeight="1" x14ac:dyDescent="0.25">
      <c r="A7" s="161" t="s">
        <v>5</v>
      </c>
      <c r="B7" s="161"/>
      <c r="C7" s="161"/>
      <c r="D7" s="161"/>
      <c r="E7" s="161" t="str">
        <f>E6</f>
        <v>Luceat Realtors Private Limited</v>
      </c>
      <c r="F7" s="161"/>
      <c r="G7" s="161"/>
      <c r="H7" s="161"/>
    </row>
    <row r="8" spans="1:8" x14ac:dyDescent="0.25">
      <c r="A8" s="161" t="s">
        <v>6</v>
      </c>
      <c r="B8" s="161"/>
      <c r="C8" s="161"/>
      <c r="D8" s="161"/>
      <c r="E8" s="152" t="s">
        <v>170</v>
      </c>
      <c r="F8" s="152"/>
      <c r="G8" s="152"/>
      <c r="H8" s="152"/>
    </row>
    <row r="9" spans="1:8" x14ac:dyDescent="0.25">
      <c r="A9" s="161" t="s">
        <v>221</v>
      </c>
      <c r="B9" s="161"/>
      <c r="C9" s="161"/>
      <c r="D9" s="161"/>
      <c r="E9" s="161">
        <v>9167708076</v>
      </c>
      <c r="F9" s="161"/>
      <c r="G9" s="161"/>
      <c r="H9" s="161"/>
    </row>
    <row r="10" spans="1:8" x14ac:dyDescent="0.25">
      <c r="A10" s="161" t="s">
        <v>220</v>
      </c>
      <c r="B10" s="161"/>
      <c r="C10" s="161"/>
      <c r="D10" s="161"/>
      <c r="E10" s="161" t="s">
        <v>268</v>
      </c>
      <c r="F10" s="161"/>
      <c r="G10" s="161"/>
      <c r="H10" s="161"/>
    </row>
    <row r="11" spans="1:8" x14ac:dyDescent="0.25">
      <c r="A11" s="161" t="s">
        <v>7</v>
      </c>
      <c r="B11" s="161"/>
      <c r="C11" s="161"/>
      <c r="D11" s="161"/>
      <c r="E11" s="161" t="s">
        <v>171</v>
      </c>
      <c r="F11" s="161"/>
      <c r="G11" s="161"/>
      <c r="H11" s="161"/>
    </row>
    <row r="12" spans="1:8" s="21" customFormat="1" x14ac:dyDescent="0.25">
      <c r="A12" s="161" t="s">
        <v>8</v>
      </c>
      <c r="B12" s="161"/>
      <c r="C12" s="161"/>
      <c r="D12" s="161"/>
      <c r="E12" s="154" t="s">
        <v>222</v>
      </c>
      <c r="F12" s="154"/>
      <c r="G12" s="154"/>
      <c r="H12" s="154"/>
    </row>
    <row r="13" spans="1:8" ht="31.5" customHeight="1" x14ac:dyDescent="0.25">
      <c r="A13" s="103" t="s">
        <v>9</v>
      </c>
      <c r="B13" s="103"/>
      <c r="C13" s="103"/>
      <c r="D13" s="103"/>
      <c r="E13" s="154" t="s">
        <v>172</v>
      </c>
      <c r="F13" s="161"/>
      <c r="G13" s="161"/>
      <c r="H13" s="161"/>
    </row>
    <row r="14" spans="1:8" ht="32.25" customHeight="1" x14ac:dyDescent="0.25">
      <c r="A14" s="110" t="s">
        <v>10</v>
      </c>
      <c r="B14" s="110"/>
      <c r="C14" s="11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Bella, CTS No.279, 280, 280/1, 282/A, 282/C &amp; 281/A/1/1, near Kalpataru Crest, LBS Marg, , Bhandup, Bhandup (West), Kurla, Mumbai - 400078.</v>
      </c>
      <c r="D14" s="110"/>
      <c r="E14" s="110"/>
      <c r="F14" s="110"/>
      <c r="G14" s="110"/>
      <c r="H14" s="110"/>
    </row>
    <row r="15" spans="1:8" x14ac:dyDescent="0.25">
      <c r="A15" s="154" t="s">
        <v>199</v>
      </c>
      <c r="B15" s="154"/>
      <c r="C15" s="154" t="s">
        <v>200</v>
      </c>
      <c r="D15" s="154"/>
      <c r="E15" s="154"/>
      <c r="F15" s="154"/>
      <c r="G15" s="154"/>
      <c r="H15" s="154"/>
    </row>
    <row r="16" spans="1:8" ht="15.75" hidden="1" customHeight="1" x14ac:dyDescent="0.25">
      <c r="A16" s="154" t="s">
        <v>165</v>
      </c>
      <c r="B16" s="154"/>
      <c r="C16" s="154" t="s">
        <v>29</v>
      </c>
      <c r="D16" s="154"/>
      <c r="E16" s="154"/>
      <c r="F16" s="154"/>
      <c r="G16" s="154"/>
      <c r="H16" s="154"/>
    </row>
    <row r="17" spans="1:8" ht="15.75" customHeight="1" x14ac:dyDescent="0.25">
      <c r="A17" s="110" t="s">
        <v>11</v>
      </c>
      <c r="B17" s="110"/>
      <c r="C17" s="161" t="s">
        <v>205</v>
      </c>
      <c r="D17" s="161"/>
      <c r="E17" s="110" t="s">
        <v>69</v>
      </c>
      <c r="F17" s="110"/>
      <c r="G17" s="154" t="s">
        <v>201</v>
      </c>
      <c r="H17" s="154"/>
    </row>
    <row r="18" spans="1:8" x14ac:dyDescent="0.25">
      <c r="A18" s="103" t="s">
        <v>13</v>
      </c>
      <c r="B18" s="103"/>
      <c r="C18" s="154" t="s">
        <v>203</v>
      </c>
      <c r="D18" s="154"/>
      <c r="E18" s="110" t="s">
        <v>12</v>
      </c>
      <c r="F18" s="110"/>
      <c r="G18" s="181" t="s">
        <v>202</v>
      </c>
      <c r="H18" s="181"/>
    </row>
    <row r="19" spans="1:8" x14ac:dyDescent="0.25">
      <c r="A19" s="103" t="s">
        <v>70</v>
      </c>
      <c r="B19" s="103"/>
      <c r="C19" s="154" t="s">
        <v>207</v>
      </c>
      <c r="D19" s="154"/>
      <c r="E19" s="110" t="s">
        <v>14</v>
      </c>
      <c r="F19" s="110"/>
      <c r="G19" s="154">
        <v>400078</v>
      </c>
      <c r="H19" s="154"/>
    </row>
    <row r="20" spans="1:8" ht="32.25" customHeight="1" x14ac:dyDescent="0.25">
      <c r="A20" s="103" t="s">
        <v>122</v>
      </c>
      <c r="B20" s="103"/>
      <c r="C20" s="154" t="s">
        <v>206</v>
      </c>
      <c r="D20" s="154"/>
      <c r="E20" s="110" t="s">
        <v>15</v>
      </c>
      <c r="F20" s="110"/>
      <c r="G20" s="154" t="s">
        <v>209</v>
      </c>
      <c r="H20" s="154"/>
    </row>
    <row r="21" spans="1:8" ht="15" customHeight="1" x14ac:dyDescent="0.25">
      <c r="A21" s="110" t="s">
        <v>73</v>
      </c>
      <c r="B21" s="110"/>
      <c r="C21" s="110"/>
      <c r="D21" s="110"/>
      <c r="E21" s="161" t="s">
        <v>16</v>
      </c>
      <c r="F21" s="161"/>
      <c r="G21" s="161"/>
      <c r="H21" s="161"/>
    </row>
    <row r="22" spans="1:8" ht="18.75" customHeight="1" x14ac:dyDescent="0.25">
      <c r="A22" s="110"/>
      <c r="B22" s="110"/>
      <c r="C22" s="110"/>
      <c r="D22" s="110"/>
      <c r="E22" s="161"/>
      <c r="F22" s="161"/>
      <c r="G22" s="161"/>
      <c r="H22" s="161"/>
    </row>
    <row r="23" spans="1:8" ht="15" customHeight="1" x14ac:dyDescent="0.25">
      <c r="A23" s="110" t="s">
        <v>17</v>
      </c>
      <c r="B23" s="110"/>
      <c r="C23" s="110"/>
      <c r="D23" s="110"/>
      <c r="E23" s="154" t="s">
        <v>18</v>
      </c>
      <c r="F23" s="154"/>
      <c r="G23" s="154"/>
      <c r="H23" s="154"/>
    </row>
    <row r="24" spans="1:8" ht="15" customHeight="1" x14ac:dyDescent="0.25">
      <c r="A24" s="103" t="s">
        <v>19</v>
      </c>
      <c r="B24" s="103"/>
      <c r="C24" s="103"/>
      <c r="D24" s="103"/>
      <c r="E24" s="154" t="str">
        <f>IF(AND(G18="Mumbai"),"Upper Class","Middle Class")</f>
        <v>Upper Class</v>
      </c>
      <c r="F24" s="154"/>
      <c r="G24" s="154"/>
      <c r="H24" s="154"/>
    </row>
    <row r="25" spans="1:8" x14ac:dyDescent="0.25">
      <c r="A25" s="103" t="s">
        <v>20</v>
      </c>
      <c r="B25" s="103"/>
      <c r="C25" s="103"/>
      <c r="D25" s="103"/>
      <c r="E25" s="154" t="s">
        <v>21</v>
      </c>
      <c r="F25" s="154"/>
      <c r="G25" s="154"/>
      <c r="H25" s="154"/>
    </row>
    <row r="26" spans="1:8" ht="15.75" customHeight="1" x14ac:dyDescent="0.25">
      <c r="A26" s="103" t="s">
        <v>22</v>
      </c>
      <c r="B26" s="103"/>
      <c r="C26" s="103"/>
      <c r="D26" s="103"/>
      <c r="E26" s="154" t="str">
        <f>IF(AND(G18="Mumbai"),"Developed","Developing")</f>
        <v>Developed</v>
      </c>
      <c r="F26" s="154"/>
      <c r="G26" s="154"/>
      <c r="H26" s="154"/>
    </row>
    <row r="27" spans="1:8" x14ac:dyDescent="0.25">
      <c r="A27" s="103" t="s">
        <v>23</v>
      </c>
      <c r="B27" s="103"/>
      <c r="C27" s="103"/>
      <c r="D27" s="103"/>
      <c r="E27" s="154" t="s">
        <v>24</v>
      </c>
      <c r="F27" s="154"/>
      <c r="G27" s="154"/>
      <c r="H27" s="154"/>
    </row>
    <row r="28" spans="1:8" ht="15.75" customHeight="1" x14ac:dyDescent="0.25">
      <c r="A28" s="103" t="s">
        <v>78</v>
      </c>
      <c r="B28" s="103"/>
      <c r="C28" s="103"/>
      <c r="D28" s="103"/>
      <c r="E28" s="154" t="s">
        <v>79</v>
      </c>
      <c r="F28" s="154"/>
      <c r="G28" s="154"/>
      <c r="H28" s="154"/>
    </row>
    <row r="29" spans="1:8" ht="15" customHeight="1" x14ac:dyDescent="0.25">
      <c r="A29" s="103" t="s">
        <v>32</v>
      </c>
      <c r="B29" s="103"/>
      <c r="C29" s="103"/>
      <c r="D29" s="103"/>
      <c r="E29" s="154" t="str">
        <f>IF(AND(ISNUMBER(SEARCH("Flat",D64)),ISNUMBER(SEARCH("Shop",D64)),ISNUMBER(SEARCH("Office",D64))),"Residential + Commercial",IF(AND(ISNUMBER(SEARCH("Flat",D64)),ISNUMBER(SEARCH("Shop",D64))),"Residential + Commercial",IF(AND(ISNUMBER(SEARCH("Flat",D64)),ISNUMBER(SEARCH("Office",D64))),"Residential + Commercial",IF(AND(ISNUMBER(SEARCH("Shop",D64)),ISNUMBER(SEARCH("Office",D64))),"Commercial",IF(ISNUMBER(SEARCH("Shop",D64)),"Commercial",IF(ISNUMBER(SEARCH("Office",D64)),"Commercial",IF(ISNUMBER(SEARCH("Flat",D64)),"Residential")))))))</f>
        <v>Residential + Commercial</v>
      </c>
      <c r="F29" s="154"/>
      <c r="G29" s="154"/>
      <c r="H29" s="154"/>
    </row>
    <row r="30" spans="1:8" ht="15.75" customHeight="1" x14ac:dyDescent="0.25">
      <c r="A30" s="103" t="s">
        <v>90</v>
      </c>
      <c r="B30" s="103"/>
      <c r="C30" s="103"/>
      <c r="D30" s="103"/>
      <c r="E30" s="154" t="s">
        <v>33</v>
      </c>
      <c r="F30" s="154"/>
      <c r="G30" s="154"/>
      <c r="H30" s="154"/>
    </row>
    <row r="31" spans="1:8" s="20" customFormat="1" x14ac:dyDescent="0.25">
      <c r="A31" s="180" t="s">
        <v>91</v>
      </c>
      <c r="B31" s="180"/>
      <c r="C31" s="179" t="s">
        <v>243</v>
      </c>
      <c r="D31" s="179"/>
      <c r="E31" s="179"/>
      <c r="F31" s="179" t="s">
        <v>30</v>
      </c>
      <c r="G31" s="179"/>
      <c r="H31" s="179"/>
    </row>
    <row r="32" spans="1:8" s="20" customFormat="1" x14ac:dyDescent="0.25">
      <c r="A32" s="145" t="s">
        <v>25</v>
      </c>
      <c r="B32" s="145" t="s">
        <v>29</v>
      </c>
      <c r="C32" s="146" t="s">
        <v>249</v>
      </c>
      <c r="D32" s="146"/>
      <c r="E32" s="146"/>
      <c r="F32" s="146" t="s">
        <v>247</v>
      </c>
      <c r="G32" s="146"/>
      <c r="H32" s="146"/>
    </row>
    <row r="33" spans="1:8" x14ac:dyDescent="0.25">
      <c r="A33" s="145" t="s">
        <v>26</v>
      </c>
      <c r="B33" s="145" t="s">
        <v>29</v>
      </c>
      <c r="C33" s="146" t="s">
        <v>249</v>
      </c>
      <c r="D33" s="146"/>
      <c r="E33" s="146"/>
      <c r="F33" s="146" t="s">
        <v>246</v>
      </c>
      <c r="G33" s="146"/>
      <c r="H33" s="146"/>
    </row>
    <row r="34" spans="1:8" s="20" customFormat="1" x14ac:dyDescent="0.25">
      <c r="A34" s="177" t="s">
        <v>28</v>
      </c>
      <c r="B34" s="177" t="s">
        <v>29</v>
      </c>
      <c r="C34" s="178" t="s">
        <v>248</v>
      </c>
      <c r="D34" s="178"/>
      <c r="E34" s="178"/>
      <c r="F34" s="177" t="s">
        <v>245</v>
      </c>
      <c r="G34" s="177"/>
      <c r="H34" s="177"/>
    </row>
    <row r="35" spans="1:8" x14ac:dyDescent="0.25">
      <c r="A35" s="145" t="s">
        <v>27</v>
      </c>
      <c r="B35" s="145" t="s">
        <v>29</v>
      </c>
      <c r="C35" s="146" t="s">
        <v>249</v>
      </c>
      <c r="D35" s="146"/>
      <c r="E35" s="146"/>
      <c r="F35" s="146" t="s">
        <v>208</v>
      </c>
      <c r="G35" s="146"/>
      <c r="H35" s="146"/>
    </row>
    <row r="36" spans="1:8" x14ac:dyDescent="0.25">
      <c r="A36" s="103" t="s">
        <v>31</v>
      </c>
      <c r="B36" s="103"/>
      <c r="C36" s="103"/>
      <c r="D36" s="103"/>
      <c r="E36" s="103"/>
      <c r="F36" s="103"/>
      <c r="G36" s="103"/>
      <c r="H36" s="103"/>
    </row>
    <row r="37" spans="1:8" ht="15.75" customHeight="1" x14ac:dyDescent="0.25">
      <c r="A37" s="158" t="s">
        <v>168</v>
      </c>
      <c r="B37" s="159"/>
      <c r="C37" s="160" t="s">
        <v>244</v>
      </c>
      <c r="D37" s="160"/>
      <c r="E37" s="160"/>
      <c r="F37" s="160"/>
      <c r="G37" s="160"/>
      <c r="H37" s="160"/>
    </row>
    <row r="38" spans="1:8" x14ac:dyDescent="0.25">
      <c r="A38" s="103" t="s">
        <v>164</v>
      </c>
      <c r="B38" s="103"/>
      <c r="C38" s="153" t="s">
        <v>204</v>
      </c>
      <c r="D38" s="154"/>
      <c r="E38" s="154"/>
      <c r="F38" s="154"/>
      <c r="G38" s="154"/>
      <c r="H38" s="154"/>
    </row>
    <row r="39" spans="1:8" x14ac:dyDescent="0.25">
      <c r="A39" s="160" t="s">
        <v>34</v>
      </c>
      <c r="B39" s="160"/>
      <c r="C39" s="160"/>
      <c r="D39" s="160"/>
      <c r="E39" s="160"/>
      <c r="F39" s="160"/>
      <c r="G39" s="160"/>
      <c r="H39" s="160"/>
    </row>
    <row r="40" spans="1:8" x14ac:dyDescent="0.25">
      <c r="A40" s="103" t="s">
        <v>35</v>
      </c>
      <c r="B40" s="103"/>
      <c r="C40" s="103"/>
      <c r="D40" s="103"/>
      <c r="E40" s="150">
        <v>7200.56</v>
      </c>
      <c r="F40" s="150"/>
      <c r="G40" s="150"/>
      <c r="H40" s="150"/>
    </row>
    <row r="41" spans="1:8" x14ac:dyDescent="0.25">
      <c r="A41" s="103" t="s">
        <v>36</v>
      </c>
      <c r="B41" s="103"/>
      <c r="C41" s="103"/>
      <c r="D41" s="103"/>
      <c r="E41" s="175">
        <v>1</v>
      </c>
      <c r="F41" s="175"/>
      <c r="G41" s="175"/>
      <c r="H41" s="175"/>
    </row>
    <row r="42" spans="1:8" x14ac:dyDescent="0.25">
      <c r="A42" s="103" t="s">
        <v>37</v>
      </c>
      <c r="B42" s="103"/>
      <c r="C42" s="103"/>
      <c r="D42" s="103"/>
      <c r="E42" s="175">
        <f>E44/E40-E41</f>
        <v>1.0963091759529813</v>
      </c>
      <c r="F42" s="175"/>
      <c r="G42" s="175"/>
      <c r="H42" s="175"/>
    </row>
    <row r="43" spans="1:8" x14ac:dyDescent="0.25">
      <c r="A43" s="103" t="s">
        <v>38</v>
      </c>
      <c r="B43" s="103"/>
      <c r="C43" s="103"/>
      <c r="D43" s="103"/>
      <c r="E43" s="175">
        <f>E41+E42</f>
        <v>2.0963091759529813</v>
      </c>
      <c r="F43" s="175"/>
      <c r="G43" s="175"/>
      <c r="H43" s="175"/>
    </row>
    <row r="44" spans="1:8" x14ac:dyDescent="0.25">
      <c r="A44" s="103" t="s">
        <v>89</v>
      </c>
      <c r="B44" s="103"/>
      <c r="C44" s="103"/>
      <c r="D44" s="103"/>
      <c r="E44" s="176">
        <v>15094.6</v>
      </c>
      <c r="F44" s="176"/>
      <c r="G44" s="176"/>
      <c r="H44" s="176"/>
    </row>
    <row r="45" spans="1:8" x14ac:dyDescent="0.25">
      <c r="A45" s="161" t="s">
        <v>39</v>
      </c>
      <c r="B45" s="161"/>
      <c r="C45" s="161"/>
      <c r="D45" s="161"/>
      <c r="E45" s="161" t="s">
        <v>210</v>
      </c>
      <c r="F45" s="161"/>
      <c r="G45" s="161"/>
      <c r="H45" s="161"/>
    </row>
    <row r="46" spans="1:8" x14ac:dyDescent="0.25">
      <c r="A46" s="160" t="s">
        <v>40</v>
      </c>
      <c r="B46" s="160"/>
      <c r="C46" s="160"/>
      <c r="D46" s="160"/>
      <c r="E46" s="160"/>
      <c r="F46" s="160"/>
      <c r="G46" s="160"/>
      <c r="H46" s="160"/>
    </row>
    <row r="47" spans="1:8" ht="33.75" customHeight="1" x14ac:dyDescent="0.25">
      <c r="A47" s="139" t="s">
        <v>151</v>
      </c>
      <c r="B47" s="140"/>
      <c r="C47" s="141" t="s">
        <v>211</v>
      </c>
      <c r="D47" s="142"/>
      <c r="E47" s="142"/>
      <c r="F47" s="142"/>
      <c r="G47" s="142"/>
      <c r="H47" s="143"/>
    </row>
    <row r="48" spans="1:8" x14ac:dyDescent="0.25">
      <c r="A48" s="139" t="s">
        <v>41</v>
      </c>
      <c r="B48" s="140"/>
      <c r="C48" s="139" t="s">
        <v>212</v>
      </c>
      <c r="D48" s="200"/>
      <c r="E48" s="140"/>
      <c r="F48" s="18" t="s">
        <v>42</v>
      </c>
      <c r="G48" s="95">
        <v>45559</v>
      </c>
      <c r="H48" s="140"/>
    </row>
    <row r="49" spans="1:9" ht="49.5" customHeight="1" x14ac:dyDescent="0.25">
      <c r="A49" s="139" t="s">
        <v>251</v>
      </c>
      <c r="B49" s="140"/>
      <c r="C49" s="139" t="str">
        <f>C48</f>
        <v>CHE/ES/1674/S/337(NEW)</v>
      </c>
      <c r="D49" s="200"/>
      <c r="E49" s="140"/>
      <c r="F49" s="18" t="s">
        <v>42</v>
      </c>
      <c r="G49" s="95">
        <f>G48</f>
        <v>45559</v>
      </c>
      <c r="H49" s="96"/>
    </row>
    <row r="50" spans="1:9" s="21" customFormat="1" ht="37.5" customHeight="1" x14ac:dyDescent="0.25">
      <c r="A50" s="139" t="s">
        <v>250</v>
      </c>
      <c r="B50" s="140"/>
      <c r="C50" s="139" t="s">
        <v>230</v>
      </c>
      <c r="D50" s="200"/>
      <c r="E50" s="140"/>
      <c r="F50" s="18" t="s">
        <v>42</v>
      </c>
      <c r="G50" s="95">
        <v>45652</v>
      </c>
      <c r="H50" s="96"/>
    </row>
    <row r="51" spans="1:9" s="21" customFormat="1" ht="15.75" customHeight="1" x14ac:dyDescent="0.25">
      <c r="A51" s="112" t="s">
        <v>155</v>
      </c>
      <c r="B51" s="114"/>
      <c r="C51" s="112" t="s">
        <v>223</v>
      </c>
      <c r="D51" s="113"/>
      <c r="E51" s="114"/>
      <c r="F51" s="18" t="s">
        <v>42</v>
      </c>
      <c r="G51" s="95">
        <v>45008</v>
      </c>
      <c r="H51" s="96"/>
    </row>
    <row r="52" spans="1:9" ht="31.5" x14ac:dyDescent="0.25">
      <c r="A52" s="227"/>
      <c r="B52" s="228"/>
      <c r="C52" s="115"/>
      <c r="D52" s="116"/>
      <c r="E52" s="117"/>
      <c r="F52" s="18" t="s">
        <v>121</v>
      </c>
      <c r="G52" s="95">
        <v>45069</v>
      </c>
      <c r="H52" s="96"/>
    </row>
    <row r="53" spans="1:9" ht="72" customHeight="1" x14ac:dyDescent="0.25">
      <c r="A53" s="115"/>
      <c r="B53" s="117"/>
      <c r="C53" s="139" t="s">
        <v>224</v>
      </c>
      <c r="D53" s="200"/>
      <c r="E53" s="200"/>
      <c r="F53" s="200"/>
      <c r="G53" s="200"/>
      <c r="H53" s="140"/>
    </row>
    <row r="54" spans="1:9" s="21" customFormat="1" x14ac:dyDescent="0.25">
      <c r="A54" s="112" t="s">
        <v>155</v>
      </c>
      <c r="B54" s="114"/>
      <c r="C54" s="112" t="s">
        <v>225</v>
      </c>
      <c r="D54" s="113"/>
      <c r="E54" s="114"/>
      <c r="F54" s="18" t="s">
        <v>42</v>
      </c>
      <c r="G54" s="95">
        <v>45425</v>
      </c>
      <c r="H54" s="96"/>
    </row>
    <row r="55" spans="1:9" s="21" customFormat="1" ht="31.5" x14ac:dyDescent="0.25">
      <c r="A55" s="227"/>
      <c r="B55" s="228"/>
      <c r="C55" s="115"/>
      <c r="D55" s="116"/>
      <c r="E55" s="117"/>
      <c r="F55" s="18" t="s">
        <v>121</v>
      </c>
      <c r="G55" s="95">
        <v>45435</v>
      </c>
      <c r="H55" s="96"/>
    </row>
    <row r="56" spans="1:9" s="21" customFormat="1" ht="85.5" customHeight="1" x14ac:dyDescent="0.25">
      <c r="A56" s="115"/>
      <c r="B56" s="117"/>
      <c r="C56" s="139" t="s">
        <v>226</v>
      </c>
      <c r="D56" s="200"/>
      <c r="E56" s="200"/>
      <c r="F56" s="200"/>
      <c r="G56" s="200"/>
      <c r="H56" s="140"/>
    </row>
    <row r="57" spans="1:9" s="21" customFormat="1" ht="15.75" customHeight="1" x14ac:dyDescent="0.25">
      <c r="A57" s="112" t="s">
        <v>155</v>
      </c>
      <c r="B57" s="114"/>
      <c r="C57" s="112" t="s">
        <v>228</v>
      </c>
      <c r="D57" s="113"/>
      <c r="E57" s="114"/>
      <c r="F57" s="18" t="s">
        <v>42</v>
      </c>
      <c r="G57" s="95">
        <v>45589</v>
      </c>
      <c r="H57" s="96"/>
    </row>
    <row r="58" spans="1:9" s="21" customFormat="1" ht="31.5" x14ac:dyDescent="0.25">
      <c r="A58" s="227"/>
      <c r="B58" s="228"/>
      <c r="C58" s="115"/>
      <c r="D58" s="116"/>
      <c r="E58" s="117"/>
      <c r="F58" s="18" t="s">
        <v>121</v>
      </c>
      <c r="G58" s="95">
        <v>46165</v>
      </c>
      <c r="H58" s="96"/>
    </row>
    <row r="59" spans="1:9" s="21" customFormat="1" ht="64.5" customHeight="1" x14ac:dyDescent="0.25">
      <c r="A59" s="115"/>
      <c r="B59" s="117"/>
      <c r="C59" s="139" t="s">
        <v>254</v>
      </c>
      <c r="D59" s="200"/>
      <c r="E59" s="200"/>
      <c r="F59" s="200"/>
      <c r="G59" s="200"/>
      <c r="H59" s="140"/>
    </row>
    <row r="60" spans="1:9" ht="33" customHeight="1" x14ac:dyDescent="0.25">
      <c r="A60" s="118" t="s">
        <v>255</v>
      </c>
      <c r="B60" s="119"/>
      <c r="C60" s="166" t="s">
        <v>256</v>
      </c>
      <c r="D60" s="167"/>
      <c r="E60" s="168"/>
      <c r="F60" s="56" t="s">
        <v>42</v>
      </c>
      <c r="G60" s="170">
        <v>45559</v>
      </c>
      <c r="H60" s="171"/>
    </row>
    <row r="61" spans="1:9" ht="84" customHeight="1" x14ac:dyDescent="0.25">
      <c r="A61" s="120"/>
      <c r="B61" s="121"/>
      <c r="C61" s="166" t="s">
        <v>262</v>
      </c>
      <c r="D61" s="167"/>
      <c r="E61" s="167"/>
      <c r="F61" s="167"/>
      <c r="G61" s="167"/>
      <c r="H61" s="168"/>
    </row>
    <row r="62" spans="1:9" x14ac:dyDescent="0.25">
      <c r="A62" s="169" t="s">
        <v>44</v>
      </c>
      <c r="B62" s="169"/>
      <c r="C62" s="169"/>
      <c r="D62" s="169"/>
      <c r="E62" s="169"/>
      <c r="F62" s="169"/>
      <c r="G62" s="169"/>
      <c r="H62" s="169"/>
    </row>
    <row r="63" spans="1:9" x14ac:dyDescent="0.25">
      <c r="A63" s="110" t="s">
        <v>88</v>
      </c>
      <c r="B63" s="110"/>
      <c r="C63" s="110"/>
      <c r="D63" s="103">
        <f>E44</f>
        <v>15094.6</v>
      </c>
      <c r="E63" s="103"/>
      <c r="F63" s="103"/>
      <c r="G63" s="103"/>
      <c r="H63" s="103"/>
    </row>
    <row r="64" spans="1:9" ht="33" customHeight="1" x14ac:dyDescent="0.25">
      <c r="A64" s="154" t="s">
        <v>45</v>
      </c>
      <c r="B64" s="161"/>
      <c r="C64" s="161"/>
      <c r="D64" s="154" t="s">
        <v>270</v>
      </c>
      <c r="E64" s="161"/>
      <c r="F64" s="161"/>
      <c r="G64" s="161"/>
      <c r="H64" s="161"/>
      <c r="I64" s="22"/>
    </row>
    <row r="65" spans="1:14" x14ac:dyDescent="0.25">
      <c r="A65" s="163" t="s">
        <v>46</v>
      </c>
      <c r="B65" s="164"/>
      <c r="C65" s="165"/>
      <c r="D65" s="157" t="s">
        <v>173</v>
      </c>
      <c r="E65" s="162"/>
      <c r="F65" s="162"/>
      <c r="G65" s="162"/>
      <c r="H65" s="162"/>
    </row>
    <row r="66" spans="1:14" ht="15.75" customHeight="1" x14ac:dyDescent="0.25">
      <c r="A66" s="163" t="s">
        <v>86</v>
      </c>
      <c r="B66" s="164"/>
      <c r="C66" s="164"/>
      <c r="D66" s="190" t="s">
        <v>213</v>
      </c>
      <c r="E66" s="191"/>
      <c r="F66" s="191"/>
      <c r="G66" s="191"/>
      <c r="H66" s="192"/>
    </row>
    <row r="67" spans="1:14" ht="15.75" customHeight="1" x14ac:dyDescent="0.25">
      <c r="A67" s="186"/>
      <c r="B67" s="187"/>
      <c r="C67" s="187"/>
      <c r="D67" s="193" t="s">
        <v>269</v>
      </c>
      <c r="E67" s="194"/>
      <c r="F67" s="194"/>
      <c r="G67" s="194"/>
      <c r="H67" s="195"/>
    </row>
    <row r="68" spans="1:14" ht="15.75" hidden="1" customHeight="1" x14ac:dyDescent="0.25">
      <c r="A68" s="188"/>
      <c r="B68" s="189"/>
      <c r="C68" s="189"/>
      <c r="D68" s="196" t="s">
        <v>214</v>
      </c>
      <c r="E68" s="197"/>
      <c r="F68" s="197"/>
      <c r="G68" s="197"/>
      <c r="H68" s="198"/>
    </row>
    <row r="69" spans="1:14" ht="31.5" customHeight="1" x14ac:dyDescent="0.25">
      <c r="A69" s="103" t="s">
        <v>43</v>
      </c>
      <c r="B69" s="103"/>
      <c r="C69" s="103"/>
      <c r="D69" s="110" t="s">
        <v>273</v>
      </c>
      <c r="E69" s="110"/>
      <c r="F69" s="110"/>
      <c r="G69" s="110"/>
      <c r="H69" s="110"/>
      <c r="J69" s="23"/>
      <c r="K69" s="22"/>
      <c r="N69" s="22"/>
    </row>
    <row r="70" spans="1:14" ht="15.75" customHeight="1" x14ac:dyDescent="0.25">
      <c r="A70" s="103" t="s">
        <v>84</v>
      </c>
      <c r="B70" s="103"/>
      <c r="C70" s="103"/>
      <c r="D70" s="174" t="str">
        <f ca="1">(IF(G60="NA","60 Years After Completion",IF(G60&lt;&gt;"NA",""&amp;60-ROUNDDOWN((E3-G60)/360,0)&amp;" Years"," ")))</f>
        <v>60 Years</v>
      </c>
      <c r="E70" s="174"/>
      <c r="F70" s="174"/>
      <c r="G70" s="174"/>
      <c r="H70" s="174"/>
      <c r="N70" s="22"/>
    </row>
    <row r="71" spans="1:14" ht="15.75" customHeight="1" x14ac:dyDescent="0.25">
      <c r="A71" s="103" t="s">
        <v>85</v>
      </c>
      <c r="B71" s="103"/>
      <c r="C71" s="103"/>
      <c r="D71" s="110" t="s">
        <v>24</v>
      </c>
      <c r="E71" s="110"/>
      <c r="F71" s="110"/>
      <c r="G71" s="110"/>
      <c r="H71" s="110"/>
      <c r="J71" s="24"/>
      <c r="K71" s="24"/>
    </row>
    <row r="72" spans="1:14" ht="30" customHeight="1" x14ac:dyDescent="0.25">
      <c r="A72" s="103" t="s">
        <v>71</v>
      </c>
      <c r="B72" s="103"/>
      <c r="C72" s="103"/>
      <c r="D72" s="154" t="s">
        <v>253</v>
      </c>
      <c r="E72" s="154"/>
      <c r="F72" s="154"/>
      <c r="G72" s="154"/>
      <c r="H72" s="154"/>
      <c r="I72" s="57" t="s">
        <v>252</v>
      </c>
    </row>
    <row r="73" spans="1:14" x14ac:dyDescent="0.25">
      <c r="A73" s="110" t="s">
        <v>148</v>
      </c>
      <c r="B73" s="110"/>
      <c r="C73" s="110"/>
      <c r="D73" s="110" t="s">
        <v>29</v>
      </c>
      <c r="E73" s="110"/>
      <c r="F73" s="110"/>
      <c r="G73" s="110"/>
      <c r="H73" s="110"/>
      <c r="I73" s="25"/>
      <c r="J73" s="25"/>
      <c r="K73" s="25"/>
      <c r="L73" s="25"/>
      <c r="M73" s="25"/>
      <c r="N73" s="25"/>
    </row>
    <row r="74" spans="1:14" ht="15.75" customHeight="1" x14ac:dyDescent="0.25">
      <c r="A74" s="199" t="s">
        <v>83</v>
      </c>
      <c r="B74" s="199"/>
      <c r="C74" s="199"/>
      <c r="D74" s="157" t="str">
        <f ca="1">(IF(G80&gt;95%,"Nothing",IF(G80&gt;0%,"Cement, Aggregate, Steel, etc",IF(G80=0%,"Work not yet Started"))))</f>
        <v>Cement, Aggregate, Steel, etc</v>
      </c>
      <c r="E74" s="157"/>
      <c r="F74" s="157"/>
      <c r="G74" s="157"/>
      <c r="H74" s="157"/>
      <c r="J74" s="24"/>
    </row>
    <row r="75" spans="1:14" ht="33.75" customHeight="1" thickBot="1" x14ac:dyDescent="0.3">
      <c r="A75" s="156" t="s">
        <v>115</v>
      </c>
      <c r="B75" s="156"/>
      <c r="C75" s="156"/>
      <c r="D75" s="157" t="str">
        <f ca="1">(IF(D74="Nothing","Yes",IF(D74="Cement, Aggregate, Steel, etc","Under Construction",IF(D74="Work not yet Started","Work not yet Started"))))</f>
        <v>Under Construction</v>
      </c>
      <c r="E75" s="157"/>
      <c r="F75" s="157" t="str">
        <f ca="1">(IF(D74="Nothing","Yes",IF(D74="Cement, Aggregate, Steel, etc","Under Construction",IF(D74="Work not yet Started","Work not yet Started"))))</f>
        <v>Under Construction</v>
      </c>
      <c r="G75" s="157"/>
      <c r="H75" s="157"/>
    </row>
    <row r="76" spans="1:14" ht="15.75" customHeight="1" x14ac:dyDescent="0.25">
      <c r="A76" s="128" t="s">
        <v>140</v>
      </c>
      <c r="B76" s="129"/>
      <c r="C76" s="130" t="str">
        <f>D66</f>
        <v>Wing A &amp; B = B + Gr/Stilt + 1st to 22nd Floor</v>
      </c>
      <c r="D76" s="131"/>
      <c r="E76" s="131"/>
      <c r="F76" s="131"/>
      <c r="G76" s="131"/>
      <c r="H76" s="132"/>
      <c r="I76" s="43" t="str">
        <f ca="1">IF(D89=100%,"All work Completed. Possession granted to the Building.",IF(D88=100%,"All work Completed, Waiting for OC",I77&amp;""&amp;I78&amp;""&amp;J77&amp;""&amp;J76&amp;" "&amp;J78))</f>
        <v>Excavation, Plinth, RCC Slab, Brickwork, Internal Plaster Completed, External Plaster upto 20 Floor, Flooring upto 13 Floor Completed</v>
      </c>
      <c r="J76" s="44" t="str">
        <f ca="1">(IF(C82=(D77+F77+H77),"",IF(C82&gt;0,", RCC upto "&amp;C82&amp;" Slab","")))&amp;(IF(C83=H77,"",IF(C83&gt;0,", Brickwork upto "&amp;C83&amp;" Floor","")))&amp;(IF(C84=H77,"",IF(C84&gt;0,", Internal Plaster upto "&amp;C84&amp;" Floor","")))&amp;(IF(C85=H77,"",IF(C85&gt;0,", External Plaster upto "&amp;C85&amp;" Floor","")))&amp;(IF(C86=H77,"",IF(C86&gt;0,", Flooring upto "&amp;C86&amp;" Floor","")))&amp;(IF(C87=H77,"",IF(C87&gt;0,", Painting upto "&amp;C87&amp;" Floor","")))&amp;(IF(C88=H77,"",IF(C88&gt;0,", Finishing upto "&amp;C88&amp;" Floor","")))&amp;(IF(C89=H77,"",IF(C89&gt;0,", Possession upto "&amp;C89&amp;" Floor","")))</f>
        <v>, External Plaster upto 20 Floor, Flooring upto 13 Floor</v>
      </c>
    </row>
    <row r="77" spans="1:14" x14ac:dyDescent="0.25">
      <c r="A77" s="16" t="s">
        <v>142</v>
      </c>
      <c r="B77" s="47">
        <v>1</v>
      </c>
      <c r="C77" s="47" t="s">
        <v>68</v>
      </c>
      <c r="D77" s="47">
        <v>1</v>
      </c>
      <c r="E77" s="47" t="s">
        <v>67</v>
      </c>
      <c r="F77" s="47">
        <v>0</v>
      </c>
      <c r="G77" s="47" t="s">
        <v>77</v>
      </c>
      <c r="H77" s="17">
        <f ca="1">--TRIM(RIGHT(SUBSTITUTE(LEFT(C76,_xlfn.AGGREGATE(16,6,FIND({0,1,2,3,4,5,6,7,8,9},C76,ROW(INDIRECT("1:"&amp;LEN(C76)))),1))," ",REPT(" ",LEN(C76))),LEN(C76)))</f>
        <v>22</v>
      </c>
      <c r="I77" s="45" t="str">
        <f ca="1">IF(D80=100%,"Excavation","")&amp;IF(D81=100%,", Plinth","")&amp;IF(D82=100%,", RCC Slab","")&amp;IF(D83=100%,", Brickwork","")&amp;IF(D84=100%,", Internal Plaster","")&amp;IF(D85=100%,", External Plaster","")&amp;IF(D86=100%,", Flooring","")&amp;IF(D87=100%,", Painting","")&amp;IF(D88=100%,", Building common Amenities","")</f>
        <v>Excavation, Plinth, RCC Slab, Brickwork, Internal Plaster</v>
      </c>
      <c r="J77" s="46" t="str">
        <f ca="1">(IF(C80=0,"Work not yet Started.",IF(D80=25%,"Piling work in process",IF(D80=50%,"Excavation work in process",IF(D80=100%,"","0")))))&amp;(IF(C81=0%,"",IF(C81=J82,", Footing work is process",IF(C81=J83,", Footing work Completed",IF(C81=J84,", 1st Basement Completed",IF(C81=J85,", 1st &amp; 2nd Basement Completed",IF(C81=J86,", 1st to 3rd Basement Completed",IF(C81=J87,", 1st to 4th Basement Completed",IF(C81=J88,", Plinth work is process",IF(C81=J89,"","0"))))))))))</f>
        <v/>
      </c>
    </row>
    <row r="78" spans="1:14" ht="34.5" customHeight="1" x14ac:dyDescent="0.25">
      <c r="A78" s="151" t="s">
        <v>87</v>
      </c>
      <c r="B78" s="152"/>
      <c r="C78" s="99" t="str">
        <f ca="1">I76</f>
        <v>Excavation, Plinth, RCC Slab, Brickwork, Internal Plaster Completed, External Plaster upto 20 Floor, Flooring upto 13 Floor Completed</v>
      </c>
      <c r="D78" s="99"/>
      <c r="E78" s="99"/>
      <c r="F78" s="99"/>
      <c r="G78" s="99"/>
      <c r="H78" s="100"/>
      <c r="I78" s="45" t="str">
        <f ca="1">IF(I77&lt;&gt;""," Completed","")</f>
        <v xml:space="preserve"> Completed</v>
      </c>
      <c r="J78" s="46" t="str">
        <f ca="1">IF(J76&lt;&gt;"","Completed","")</f>
        <v>Completed</v>
      </c>
    </row>
    <row r="79" spans="1:14" ht="15.75" customHeight="1" x14ac:dyDescent="0.25">
      <c r="A79" s="101" t="s">
        <v>47</v>
      </c>
      <c r="B79" s="102"/>
      <c r="C79" s="49" t="s">
        <v>139</v>
      </c>
      <c r="D79" s="49" t="s">
        <v>80</v>
      </c>
      <c r="E79" s="102" t="s">
        <v>82</v>
      </c>
      <c r="F79" s="102"/>
      <c r="G79" s="102" t="s">
        <v>81</v>
      </c>
      <c r="H79" s="155"/>
      <c r="I79" s="14" t="s">
        <v>141</v>
      </c>
      <c r="J79" s="26">
        <f ca="1">H77*25%</f>
        <v>5.5</v>
      </c>
    </row>
    <row r="80" spans="1:14" x14ac:dyDescent="0.25">
      <c r="A80" s="101" t="s">
        <v>128</v>
      </c>
      <c r="B80" s="102"/>
      <c r="C80" s="49">
        <f ca="1">J81</f>
        <v>22</v>
      </c>
      <c r="D80" s="50">
        <f ca="1">((100/H77)*C80)/100</f>
        <v>1.0000000000000002</v>
      </c>
      <c r="E80" s="104">
        <f ca="1">(((C81/H77*10)+(40/(D77+F77+H77)*C82)+(7.5/(H77)*C83)+(7.5/(H77)*C84)+(10/H77*C85)+(10/H77*C86)+(5/H77*C87)+(5/H77*C88)+(5/H77*C89))/100)</f>
        <v>0.8</v>
      </c>
      <c r="F80" s="105"/>
      <c r="G80" s="104">
        <f ca="1">((((C80/H77)*20)+((C81/H77)*25)+(30/(H77+F77+D77)*C82)+(5/H77*C83)+(5/H77*C84)+(5/H77*C85)+(5/H77*C86)+(0/H77*C87)+(0/H77*C88)+(5/H77*C89))/100)</f>
        <v>0.92500000000000004</v>
      </c>
      <c r="H80" s="147"/>
      <c r="I80" s="14" t="s">
        <v>98</v>
      </c>
      <c r="J80" s="27">
        <f ca="1">H77*50%</f>
        <v>11</v>
      </c>
    </row>
    <row r="81" spans="1:10" x14ac:dyDescent="0.25">
      <c r="A81" s="101" t="s">
        <v>48</v>
      </c>
      <c r="B81" s="102"/>
      <c r="C81" s="49">
        <f ca="1">J89</f>
        <v>22</v>
      </c>
      <c r="D81" s="50">
        <f ca="1">((100/H77)*C81)/100</f>
        <v>1.0000000000000002</v>
      </c>
      <c r="E81" s="106"/>
      <c r="F81" s="107"/>
      <c r="G81" s="106"/>
      <c r="H81" s="148"/>
      <c r="I81" s="14" t="s">
        <v>99</v>
      </c>
      <c r="J81" s="27">
        <f ca="1">H77</f>
        <v>22</v>
      </c>
    </row>
    <row r="82" spans="1:10" ht="15.75" customHeight="1" x14ac:dyDescent="0.25">
      <c r="A82" s="101" t="s">
        <v>129</v>
      </c>
      <c r="B82" s="102"/>
      <c r="C82" s="49">
        <v>23</v>
      </c>
      <c r="D82" s="50">
        <f ca="1">((100/(D77+F77+H77))*C82)/100</f>
        <v>1</v>
      </c>
      <c r="E82" s="106"/>
      <c r="F82" s="107"/>
      <c r="G82" s="106"/>
      <c r="H82" s="148"/>
      <c r="I82" s="14" t="s">
        <v>100</v>
      </c>
      <c r="J82" s="28">
        <f ca="1">(IF(B77&gt;1,(H77/(B77+2)),H77/4))</f>
        <v>5.5</v>
      </c>
    </row>
    <row r="83" spans="1:10" ht="15.75" customHeight="1" x14ac:dyDescent="0.25">
      <c r="A83" s="101" t="s">
        <v>136</v>
      </c>
      <c r="B83" s="102" t="s">
        <v>130</v>
      </c>
      <c r="C83" s="49">
        <v>22</v>
      </c>
      <c r="D83" s="50">
        <f ca="1">((100/H77)*C83)/100</f>
        <v>1.0000000000000002</v>
      </c>
      <c r="E83" s="106"/>
      <c r="F83" s="107"/>
      <c r="G83" s="106"/>
      <c r="H83" s="148"/>
      <c r="I83" s="14" t="s">
        <v>101</v>
      </c>
      <c r="J83" s="28">
        <f ca="1">(IF(B77&gt;1,(H77/(B77+2)+J82),H77/4+J82))</f>
        <v>11</v>
      </c>
    </row>
    <row r="84" spans="1:10" ht="15.75" customHeight="1" x14ac:dyDescent="0.25">
      <c r="A84" s="101" t="s">
        <v>137</v>
      </c>
      <c r="B84" s="102" t="s">
        <v>130</v>
      </c>
      <c r="C84" s="49">
        <v>22</v>
      </c>
      <c r="D84" s="50">
        <f ca="1">((100/H77)*C84)/100</f>
        <v>1.0000000000000002</v>
      </c>
      <c r="E84" s="106"/>
      <c r="F84" s="107"/>
      <c r="G84" s="106"/>
      <c r="H84" s="148"/>
      <c r="I84" s="14" t="s">
        <v>146</v>
      </c>
      <c r="J84" s="28">
        <f>(IF(B77&gt;1,(H77/(B77+2)+J83),0))</f>
        <v>0</v>
      </c>
    </row>
    <row r="85" spans="1:10" ht="15" customHeight="1" x14ac:dyDescent="0.25">
      <c r="A85" s="101" t="s">
        <v>135</v>
      </c>
      <c r="B85" s="102" t="s">
        <v>132</v>
      </c>
      <c r="C85" s="49">
        <v>20</v>
      </c>
      <c r="D85" s="50">
        <f ca="1">((100/(H77))*C85)/100</f>
        <v>0.90909090909090917</v>
      </c>
      <c r="E85" s="106"/>
      <c r="F85" s="107"/>
      <c r="G85" s="106"/>
      <c r="H85" s="148"/>
      <c r="I85" s="14" t="s">
        <v>143</v>
      </c>
      <c r="J85" s="28">
        <f>(IF(B77&gt;2,(H77/(B77+2)+J84),0))</f>
        <v>0</v>
      </c>
    </row>
    <row r="86" spans="1:10" ht="15.75" customHeight="1" x14ac:dyDescent="0.25">
      <c r="A86" s="101" t="s">
        <v>131</v>
      </c>
      <c r="B86" s="102" t="s">
        <v>131</v>
      </c>
      <c r="C86" s="49">
        <v>13</v>
      </c>
      <c r="D86" s="50">
        <f ca="1">((100/H77)*C86)/100</f>
        <v>0.59090909090909094</v>
      </c>
      <c r="E86" s="106"/>
      <c r="F86" s="107"/>
      <c r="G86" s="106"/>
      <c r="H86" s="148"/>
      <c r="I86" s="14" t="s">
        <v>144</v>
      </c>
      <c r="J86" s="29">
        <f>(IF(B77&gt;3,(H77/(B77+2)+J85),0))</f>
        <v>0</v>
      </c>
    </row>
    <row r="87" spans="1:10" ht="15.75" customHeight="1" x14ac:dyDescent="0.25">
      <c r="A87" s="101" t="s">
        <v>138</v>
      </c>
      <c r="B87" s="102"/>
      <c r="C87" s="49">
        <v>0</v>
      </c>
      <c r="D87" s="50">
        <f ca="1">((100/H77)*C87)/100</f>
        <v>0</v>
      </c>
      <c r="E87" s="106"/>
      <c r="F87" s="107"/>
      <c r="G87" s="106"/>
      <c r="H87" s="148"/>
      <c r="I87" s="14" t="s">
        <v>145</v>
      </c>
      <c r="J87" s="28">
        <f>(IF(B77&gt;4,(H77/(B77+2)+J86),0))</f>
        <v>0</v>
      </c>
    </row>
    <row r="88" spans="1:10" ht="15.75" customHeight="1" x14ac:dyDescent="0.25">
      <c r="A88" s="101" t="s">
        <v>133</v>
      </c>
      <c r="B88" s="102" t="s">
        <v>133</v>
      </c>
      <c r="C88" s="49">
        <v>0</v>
      </c>
      <c r="D88" s="50">
        <f ca="1">((100/(H77))*C88)/100</f>
        <v>0</v>
      </c>
      <c r="E88" s="106"/>
      <c r="F88" s="107"/>
      <c r="G88" s="106"/>
      <c r="H88" s="148"/>
      <c r="I88" s="14" t="s">
        <v>147</v>
      </c>
      <c r="J88" s="28">
        <f ca="1">(IF(B77=1,(H77/(B77+3)+J83),IF(B77=0,(H77/4+J83),IF(B77&gt;1,0))))</f>
        <v>16.5</v>
      </c>
    </row>
    <row r="89" spans="1:10" ht="16.5" thickBot="1" x14ac:dyDescent="0.3">
      <c r="A89" s="172" t="s">
        <v>134</v>
      </c>
      <c r="B89" s="173"/>
      <c r="C89" s="51">
        <v>0</v>
      </c>
      <c r="D89" s="52">
        <f ca="1">((100/(H77))*C89)/100</f>
        <v>0</v>
      </c>
      <c r="E89" s="108"/>
      <c r="F89" s="109"/>
      <c r="G89" s="108"/>
      <c r="H89" s="149"/>
      <c r="I89" s="15" t="s">
        <v>102</v>
      </c>
      <c r="J89" s="30">
        <f ca="1">(IF(B77&gt;1.5,(H77/(B77+2)+J83+MAX(0,J84-J83)+MAX(0,J85-J84)+MAX(0,J86-J85)+MAX(0,J87-J86)+MAX(0,J88-J87)),IF(B77=1,(H77/(B77+3)+J88),IF(B77=0,H77/4+J88))))</f>
        <v>22</v>
      </c>
    </row>
    <row r="90" spans="1:10" ht="15.75" customHeight="1" x14ac:dyDescent="0.25">
      <c r="A90" s="128" t="s">
        <v>140</v>
      </c>
      <c r="B90" s="129"/>
      <c r="C90" s="130" t="str">
        <f>D67</f>
        <v>Wing C  &amp; D = B + Gr/Stilt + 1st to 22nd Floor</v>
      </c>
      <c r="D90" s="131"/>
      <c r="E90" s="131"/>
      <c r="F90" s="131"/>
      <c r="G90" s="131"/>
      <c r="H90" s="132"/>
      <c r="I90" s="43" t="str">
        <f ca="1">IF(D103=100%,"All work Completed. Possession granted to the Building.",IF(D102=100%,"All work Completed, Waiting for OC",I91&amp;""&amp;I92&amp;""&amp;J91&amp;""&amp;J90&amp;" "&amp;J92))</f>
        <v>All work Completed. Possession granted to the Building.</v>
      </c>
      <c r="J90" s="58" t="str">
        <f ca="1">(IF(C96=(D91+F91+H91),"",IF(C96&gt;0,", RCC upto "&amp;C96&amp;" Slab","")))&amp;(IF(C97=H91,"",IF(C97&gt;0,", Brickwork upto "&amp;C97&amp;" Floor","")))&amp;(IF(C98=H91,"",IF(C98&gt;0,", Internal Plaster upto "&amp;C98&amp;" Floor","")))&amp;(IF(C99=H91,"",IF(C99&gt;0,", External Plaster upto "&amp;C99&amp;" Floor","")))&amp;(IF(C100=H91,"",IF(C100&gt;0,", Flooring upto "&amp;C100&amp;" Floor","")))&amp;(IF(C101=H91,"",IF(C101&gt;0,", Painting upto "&amp;C101&amp;" Floor","")))&amp;(IF(C102=H91,"",IF(C102&gt;0,", Finishing upto "&amp;C102&amp;" Floor","")))&amp;(IF(C103=H91,"",IF(C103&gt;0,", Possession upto "&amp;C103&amp;" Floor","")))</f>
        <v/>
      </c>
    </row>
    <row r="91" spans="1:10" x14ac:dyDescent="0.25">
      <c r="A91" s="16" t="s">
        <v>142</v>
      </c>
      <c r="B91" s="47">
        <v>1</v>
      </c>
      <c r="C91" s="47" t="s">
        <v>68</v>
      </c>
      <c r="D91" s="47">
        <v>1</v>
      </c>
      <c r="E91" s="47" t="s">
        <v>67</v>
      </c>
      <c r="F91" s="47">
        <v>0</v>
      </c>
      <c r="G91" s="47" t="s">
        <v>77</v>
      </c>
      <c r="H91" s="17">
        <f ca="1">--TRIM(RIGHT(SUBSTITUTE(LEFT(C90,_xlfn.AGGREGATE(16,6,FIND({0,1,2,3,4,5,6,7,8,9},C90,ROW(INDIRECT("1:"&amp;LEN(C90)))),1))," ",REPT(" ",LEN(C90))),LEN(C90)))</f>
        <v>22</v>
      </c>
      <c r="I91" s="59" t="str">
        <f ca="1">IF(D94=100%,"Excavation","")&amp;IF(D95=100%,", Plinth","")&amp;IF(D96=100%,", RCC Slab","")&amp;IF(D97=100%,", Brickwork","")&amp;IF(D98=100%,", Internal Plaster","")&amp;IF(D99=100%,", External Plaster","")&amp;IF(D100=100%,", Flooring","")&amp;IF(D101=100%,", Painting","")&amp;IF(D102=100%,", Building common Amenities","")</f>
        <v>Excavation, Plinth, RCC Slab, Brickwork, Internal Plaster, External Plaster, Flooring, Painting, Building common Amenities</v>
      </c>
      <c r="J91" s="60" t="str">
        <f ca="1">(IF(C94=0,"Work not yet Started.",IF(D94=25%,"Piling work in process",IF(D94=50%,"Excavation work in process",IF(D94=100%,"","0")))))&amp;(IF(C95=0%,"",IF(C95=J96,", Footing work is process",IF(C95=J97,", Footing work Completed",IF(C95=J98,", 1st Basement Completed",IF(C95=J99,", 1st &amp; 2nd Basement Completed",IF(C95=J100,", 1st to 3rd Basement Completed",IF(C95=J101,", 1st to 4th Basement Completed",IF(C95=J102,", Plinth work is process",IF(C95=J103,"","0"))))))))))</f>
        <v/>
      </c>
    </row>
    <row r="92" spans="1:10" ht="16.5" thickBot="1" x14ac:dyDescent="0.3">
      <c r="A92" s="151" t="s">
        <v>87</v>
      </c>
      <c r="B92" s="152"/>
      <c r="C92" s="99" t="str">
        <f ca="1">I90</f>
        <v>All work Completed. Possession granted to the Building.</v>
      </c>
      <c r="D92" s="99"/>
      <c r="E92" s="99"/>
      <c r="F92" s="99"/>
      <c r="G92" s="99"/>
      <c r="H92" s="100"/>
      <c r="I92" s="59" t="str">
        <f ca="1">IF(I91&lt;&gt;""," Completed","")</f>
        <v xml:space="preserve"> Completed</v>
      </c>
      <c r="J92" s="60" t="str">
        <f ca="1">IF(J90&lt;&gt;"","Completed","")</f>
        <v/>
      </c>
    </row>
    <row r="93" spans="1:10" ht="15.75" hidden="1" customHeight="1" x14ac:dyDescent="0.25">
      <c r="A93" s="101" t="s">
        <v>47</v>
      </c>
      <c r="B93" s="102"/>
      <c r="C93" s="49" t="s">
        <v>139</v>
      </c>
      <c r="D93" s="49" t="s">
        <v>80</v>
      </c>
      <c r="E93" s="102" t="s">
        <v>82</v>
      </c>
      <c r="F93" s="102"/>
      <c r="G93" s="102" t="s">
        <v>81</v>
      </c>
      <c r="H93" s="155"/>
      <c r="I93" s="61" t="s">
        <v>141</v>
      </c>
      <c r="J93" s="62">
        <f ca="1">H91*25%</f>
        <v>5.5</v>
      </c>
    </row>
    <row r="94" spans="1:10" hidden="1" x14ac:dyDescent="0.25">
      <c r="A94" s="101" t="s">
        <v>128</v>
      </c>
      <c r="B94" s="102"/>
      <c r="C94" s="49">
        <f ca="1">J95</f>
        <v>22</v>
      </c>
      <c r="D94" s="50">
        <f ca="1">((100/H91)*C94)/100</f>
        <v>1.0000000000000002</v>
      </c>
      <c r="E94" s="104">
        <f ca="1">(((C95/H91*10)+(40/(D91+F91+H91)*C96)+(7.5/(H91)*C97)+(7.5/(H91)*C98)+(10/H91*C99)+(10/H91*C100)+(5/H91*C101)+(5/H91*C102)+(5/H91*C103))/100)</f>
        <v>1</v>
      </c>
      <c r="F94" s="105"/>
      <c r="G94" s="104">
        <f ca="1">((((C94/H91)*20)+((C95/H91)*25)+(30/(H91+F91+D91)*C96)+(5/H91*C97)+(5/H91*C98)+(5/H91*C99)+(5/H91*C100)+(0/H91*C101)+(0/H91*C102)+(5/H91*C103))/100)</f>
        <v>1</v>
      </c>
      <c r="H94" s="147"/>
      <c r="I94" s="61" t="s">
        <v>98</v>
      </c>
      <c r="J94" s="63">
        <f ca="1">H91*50%</f>
        <v>11</v>
      </c>
    </row>
    <row r="95" spans="1:10" hidden="1" x14ac:dyDescent="0.25">
      <c r="A95" s="101" t="s">
        <v>48</v>
      </c>
      <c r="B95" s="102"/>
      <c r="C95" s="49">
        <f ca="1">J103</f>
        <v>22</v>
      </c>
      <c r="D95" s="50">
        <f ca="1">((100/H91)*C95)/100</f>
        <v>1.0000000000000002</v>
      </c>
      <c r="E95" s="106"/>
      <c r="F95" s="107"/>
      <c r="G95" s="106"/>
      <c r="H95" s="148"/>
      <c r="I95" s="61" t="s">
        <v>99</v>
      </c>
      <c r="J95" s="63">
        <f ca="1">H91</f>
        <v>22</v>
      </c>
    </row>
    <row r="96" spans="1:10" ht="15.75" hidden="1" customHeight="1" x14ac:dyDescent="0.25">
      <c r="A96" s="101" t="s">
        <v>129</v>
      </c>
      <c r="B96" s="102"/>
      <c r="C96" s="49">
        <v>23</v>
      </c>
      <c r="D96" s="50">
        <f ca="1">((100/(D91+F91+H91))*C96)/100</f>
        <v>1</v>
      </c>
      <c r="E96" s="106"/>
      <c r="F96" s="107"/>
      <c r="G96" s="106"/>
      <c r="H96" s="148"/>
      <c r="I96" s="61" t="s">
        <v>100</v>
      </c>
      <c r="J96" s="64">
        <f ca="1">(IF(B91&gt;1,(H91/(B91+2)),H91/4))</f>
        <v>5.5</v>
      </c>
    </row>
    <row r="97" spans="1:10" ht="15.75" hidden="1" customHeight="1" x14ac:dyDescent="0.25">
      <c r="A97" s="101" t="s">
        <v>136</v>
      </c>
      <c r="B97" s="102" t="s">
        <v>130</v>
      </c>
      <c r="C97" s="49">
        <v>22</v>
      </c>
      <c r="D97" s="50">
        <f ca="1">((100/H91)*C97)/100</f>
        <v>1.0000000000000002</v>
      </c>
      <c r="E97" s="106"/>
      <c r="F97" s="107"/>
      <c r="G97" s="106"/>
      <c r="H97" s="148"/>
      <c r="I97" s="61" t="s">
        <v>101</v>
      </c>
      <c r="J97" s="64">
        <f ca="1">(IF(B91&gt;1,(H91/(B91+2)+J96),H91/4+J96))</f>
        <v>11</v>
      </c>
    </row>
    <row r="98" spans="1:10" ht="15.75" hidden="1" customHeight="1" x14ac:dyDescent="0.25">
      <c r="A98" s="101" t="s">
        <v>137</v>
      </c>
      <c r="B98" s="102" t="s">
        <v>130</v>
      </c>
      <c r="C98" s="49">
        <v>22</v>
      </c>
      <c r="D98" s="50">
        <f ca="1">((100/H91)*C98)/100</f>
        <v>1.0000000000000002</v>
      </c>
      <c r="E98" s="106"/>
      <c r="F98" s="107"/>
      <c r="G98" s="106"/>
      <c r="H98" s="148"/>
      <c r="I98" s="61" t="s">
        <v>146</v>
      </c>
      <c r="J98" s="64">
        <f>(IF(B91&gt;1,(H91/(B91+2)+J97),0))</f>
        <v>0</v>
      </c>
    </row>
    <row r="99" spans="1:10" ht="15" hidden="1" customHeight="1" x14ac:dyDescent="0.25">
      <c r="A99" s="101" t="s">
        <v>135</v>
      </c>
      <c r="B99" s="102" t="s">
        <v>132</v>
      </c>
      <c r="C99" s="49">
        <v>22</v>
      </c>
      <c r="D99" s="50">
        <f ca="1">((100/(H91))*C99)/100</f>
        <v>1.0000000000000002</v>
      </c>
      <c r="E99" s="106"/>
      <c r="F99" s="107"/>
      <c r="G99" s="106"/>
      <c r="H99" s="148"/>
      <c r="I99" s="61" t="s">
        <v>143</v>
      </c>
      <c r="J99" s="64">
        <f>(IF(B91&gt;2,(H91/(B91+2)+J98),0))</f>
        <v>0</v>
      </c>
    </row>
    <row r="100" spans="1:10" ht="15.75" hidden="1" customHeight="1" x14ac:dyDescent="0.25">
      <c r="A100" s="101" t="s">
        <v>131</v>
      </c>
      <c r="B100" s="102" t="s">
        <v>131</v>
      </c>
      <c r="C100" s="49">
        <v>22</v>
      </c>
      <c r="D100" s="50">
        <f ca="1">((100/H91)*C100)/100</f>
        <v>1.0000000000000002</v>
      </c>
      <c r="E100" s="106"/>
      <c r="F100" s="107"/>
      <c r="G100" s="106"/>
      <c r="H100" s="148"/>
      <c r="I100" s="61" t="s">
        <v>144</v>
      </c>
      <c r="J100" s="65">
        <f>(IF(B91&gt;3,(H91/(B91+2)+J99),0))</f>
        <v>0</v>
      </c>
    </row>
    <row r="101" spans="1:10" ht="15.75" hidden="1" customHeight="1" x14ac:dyDescent="0.25">
      <c r="A101" s="101" t="s">
        <v>138</v>
      </c>
      <c r="B101" s="102"/>
      <c r="C101" s="49">
        <v>22</v>
      </c>
      <c r="D101" s="50">
        <f ca="1">((100/H91)*C101)/100</f>
        <v>1.0000000000000002</v>
      </c>
      <c r="E101" s="106"/>
      <c r="F101" s="107"/>
      <c r="G101" s="106"/>
      <c r="H101" s="148"/>
      <c r="I101" s="61" t="s">
        <v>145</v>
      </c>
      <c r="J101" s="64">
        <f>(IF(B91&gt;4,(H91/(B91+2)+J100),0))</f>
        <v>0</v>
      </c>
    </row>
    <row r="102" spans="1:10" ht="15.75" hidden="1" customHeight="1" x14ac:dyDescent="0.25">
      <c r="A102" s="101" t="s">
        <v>133</v>
      </c>
      <c r="B102" s="102" t="s">
        <v>133</v>
      </c>
      <c r="C102" s="49">
        <v>22</v>
      </c>
      <c r="D102" s="50">
        <f ca="1">((100/(H91))*C102)/100</f>
        <v>1.0000000000000002</v>
      </c>
      <c r="E102" s="106"/>
      <c r="F102" s="107"/>
      <c r="G102" s="106"/>
      <c r="H102" s="148"/>
      <c r="I102" s="61" t="s">
        <v>147</v>
      </c>
      <c r="J102" s="64">
        <f ca="1">(IF(B91=1,(H91/(B91+3)+J97),IF(B91=0,(H91/4+J97),IF(B91&gt;1,0))))</f>
        <v>16.5</v>
      </c>
    </row>
    <row r="103" spans="1:10" ht="16.5" hidden="1" thickBot="1" x14ac:dyDescent="0.3">
      <c r="A103" s="172" t="s">
        <v>134</v>
      </c>
      <c r="B103" s="173"/>
      <c r="C103" s="51">
        <v>22</v>
      </c>
      <c r="D103" s="52">
        <f ca="1">((100/(H91))*C103)/100</f>
        <v>1.0000000000000002</v>
      </c>
      <c r="E103" s="108"/>
      <c r="F103" s="109"/>
      <c r="G103" s="108"/>
      <c r="H103" s="149"/>
      <c r="I103" s="66" t="s">
        <v>102</v>
      </c>
      <c r="J103" s="67">
        <f ca="1">(IF(B91&gt;1.5,(H91/(B91+2)+J97+MAX(0,J98-J97)+MAX(0,J99-J98)+MAX(0,J100-J99)+MAX(0,J101-J100)+MAX(0,J102-J101)),IF(B91=1,(H91/(B91+3)+J102),IF(B91=0,H91/4+J102))))</f>
        <v>22</v>
      </c>
    </row>
    <row r="104" spans="1:10" ht="31.5" customHeight="1" thickBot="1" x14ac:dyDescent="0.3">
      <c r="A104" s="230" t="s">
        <v>82</v>
      </c>
      <c r="B104" s="231"/>
      <c r="C104" s="235">
        <f ca="1">E94</f>
        <v>1</v>
      </c>
      <c r="D104" s="232"/>
      <c r="E104" s="233" t="s">
        <v>81</v>
      </c>
      <c r="F104" s="234"/>
      <c r="G104" s="233">
        <f ca="1">G94</f>
        <v>1</v>
      </c>
      <c r="H104" s="234"/>
      <c r="I104" s="66" t="s">
        <v>102</v>
      </c>
      <c r="J104" s="67">
        <f ca="1">(IF(B107&gt;1.5,(H107/(B107+2)+J113+MAX(0,J114-J113)+MAX(0,J115-J114)+MAX(0,J116-J115)+MAX(0,J117-J116)+MAX(0,J118-J117)),IF(B107=1,(H107/(B107+3)+J118),IF(B107=0,H107/4+J118))))</f>
        <v>22</v>
      </c>
    </row>
    <row r="105" spans="1:10" ht="15.75" hidden="1" customHeight="1" x14ac:dyDescent="0.25">
      <c r="A105" s="128" t="s">
        <v>140</v>
      </c>
      <c r="B105" s="129"/>
      <c r="C105" s="130" t="str">
        <f>D68</f>
        <v>Wing D = B + Gr/Stilt + 1st to 22nd Floor</v>
      </c>
      <c r="D105" s="131"/>
      <c r="E105" s="131"/>
      <c r="F105" s="131"/>
      <c r="G105" s="131"/>
      <c r="H105" s="132"/>
      <c r="I105" s="43" t="str">
        <f ca="1">IF(D118=100%,"All work Completed. Possession granted to the Building.",IF(D117=100%,"All work Completed, Waiting for OC",I106&amp;""&amp;I107&amp;""&amp;J106&amp;""&amp;J105&amp;" "&amp;J107))</f>
        <v>Excavation, Plinth Completed, RCC upto 20 Slab, Brickwork upto 10 Floor Completed</v>
      </c>
      <c r="J105" s="44" t="str">
        <f ca="1">(IF(C111=(D106+F106+H106),"",IF(C111&gt;0,", RCC upto "&amp;C111&amp;" Slab","")))&amp;(IF(C112=H106,"",IF(C112&gt;0,", Brickwork upto "&amp;C112&amp;" Floor","")))&amp;(IF(C113=H106,"",IF(C113&gt;0,", Internal Plaster upto "&amp;C113&amp;" Floor","")))&amp;(IF(C114=H106,"",IF(C114&gt;0,", External Plaster upto "&amp;C114&amp;" Floor","")))&amp;(IF(C115=H106,"",IF(C115&gt;0,", Flooring upto "&amp;C115&amp;" Floor","")))&amp;(IF(C116=H106,"",IF(C116&gt;0,", Painting upto "&amp;C116&amp;" Floor","")))&amp;(IF(C117=H106,"",IF(C117&gt;0,", Finishing upto "&amp;C117&amp;" Floor","")))&amp;(IF(C118=H106,"",IF(C118&gt;0,", Possession upto "&amp;C118&amp;" Floor","")))</f>
        <v>, RCC upto 20 Slab, Brickwork upto 10 Floor</v>
      </c>
    </row>
    <row r="106" spans="1:10" hidden="1" x14ac:dyDescent="0.25">
      <c r="A106" s="16" t="s">
        <v>142</v>
      </c>
      <c r="B106" s="47">
        <v>1</v>
      </c>
      <c r="C106" s="47" t="s">
        <v>68</v>
      </c>
      <c r="D106" s="47">
        <v>1</v>
      </c>
      <c r="E106" s="47" t="s">
        <v>67</v>
      </c>
      <c r="F106" s="47">
        <v>0</v>
      </c>
      <c r="G106" s="47" t="s">
        <v>77</v>
      </c>
      <c r="H106" s="17">
        <f ca="1">--TRIM(RIGHT(SUBSTITUTE(LEFT(C105,_xlfn.AGGREGATE(16,6,FIND({0,1,2,3,4,5,6,7,8,9},C105,ROW(INDIRECT("1:"&amp;LEN(C105)))),1))," ",REPT(" ",LEN(C105))),LEN(C105)))</f>
        <v>22</v>
      </c>
      <c r="I106" s="45" t="str">
        <f ca="1">IF(D109=100%,"Excavation","")&amp;IF(D110=100%,", Plinth","")&amp;IF(D111=100%,", RCC Slab","")&amp;IF(D112=100%,", Brickwork","")&amp;IF(D113=100%,", Internal Plaster","")&amp;IF(D114=100%,", External Plaster","")&amp;IF(D115=100%,", Flooring","")&amp;IF(D116=100%,", Painting","")&amp;IF(D117=100%,", Building common Amenities","")</f>
        <v>Excavation, Plinth</v>
      </c>
      <c r="J106" s="46" t="str">
        <f ca="1">(IF(C109=0,"Work not yet Started.",IF(D109=25%,"Piling work in process",IF(D109=50%,"Excavation work in process",IF(D109=100%,"","0")))))&amp;(IF(C110=0%,"",IF(C110=J111,", Footing work is process",IF(C110=J112,", Footing work Completed",IF(C110=J113,", 1st Basement Completed",IF(C110=J114,", 1st &amp; 2nd Basement Completed",IF(C110=J115,", 1st to 3rd Basement Completed",IF(C110=J116,", 1st to 4th Basement Completed",IF(C110=J117,", Plinth work is process",IF(C110=J118,"","0"))))))))))</f>
        <v/>
      </c>
    </row>
    <row r="107" spans="1:10" ht="33" hidden="1" customHeight="1" x14ac:dyDescent="0.25">
      <c r="A107" s="151" t="s">
        <v>87</v>
      </c>
      <c r="B107" s="152"/>
      <c r="C107" s="99" t="str">
        <f>(IF($G$60="NA",I105,"All work Completed. OC Received."))</f>
        <v>All work Completed. OC Received.</v>
      </c>
      <c r="D107" s="99"/>
      <c r="E107" s="99"/>
      <c r="F107" s="99"/>
      <c r="G107" s="99"/>
      <c r="H107" s="100"/>
      <c r="I107" s="45" t="str">
        <f ca="1">IF(I106&lt;&gt;""," Completed","")</f>
        <v xml:space="preserve"> Completed</v>
      </c>
      <c r="J107" s="46" t="str">
        <f ca="1">IF(J105&lt;&gt;"","Completed","")</f>
        <v>Completed</v>
      </c>
    </row>
    <row r="108" spans="1:10" ht="15.75" hidden="1" customHeight="1" x14ac:dyDescent="0.25">
      <c r="A108" s="101" t="s">
        <v>47</v>
      </c>
      <c r="B108" s="102"/>
      <c r="C108" s="49" t="s">
        <v>139</v>
      </c>
      <c r="D108" s="49" t="s">
        <v>80</v>
      </c>
      <c r="E108" s="102" t="s">
        <v>82</v>
      </c>
      <c r="F108" s="102"/>
      <c r="G108" s="102" t="s">
        <v>81</v>
      </c>
      <c r="H108" s="155"/>
      <c r="I108" s="14" t="s">
        <v>141</v>
      </c>
      <c r="J108" s="26">
        <f ca="1">H106*25%</f>
        <v>5.5</v>
      </c>
    </row>
    <row r="109" spans="1:10" hidden="1" x14ac:dyDescent="0.25">
      <c r="A109" s="101" t="s">
        <v>128</v>
      </c>
      <c r="B109" s="102"/>
      <c r="C109" s="49">
        <f ca="1">J110</f>
        <v>22</v>
      </c>
      <c r="D109" s="50">
        <f ca="1">((100/H106)*C109)/100</f>
        <v>1.0000000000000002</v>
      </c>
      <c r="E109" s="104">
        <f ca="1">(((C110/H106*10)+(40/(D106+F106+H106)*C111)+(7.5/(H106)*C112)+(7.5/(H106)*C113)+(10/H106*C114)+(10/H106*C115)+(5/H106*C116)+(5/H106*C117)+(5/H106*C118))/100)</f>
        <v>0.48191699604743077</v>
      </c>
      <c r="F109" s="105"/>
      <c r="G109" s="104">
        <f ca="1">((((C109/H106)*20)+((C110/H106)*25)+(30/(H106+F106+D106)*C111)+(5/H106*C112)+(5/H106*C113)+(5/H106*C114)+(5/H106*C115)+(0/H106*C116)+(0/H106*C117)+(5/H106*C118))/100)</f>
        <v>0.7335968379446639</v>
      </c>
      <c r="H109" s="147"/>
      <c r="I109" s="14" t="s">
        <v>98</v>
      </c>
      <c r="J109" s="27">
        <f ca="1">H106*50%</f>
        <v>11</v>
      </c>
    </row>
    <row r="110" spans="1:10" hidden="1" x14ac:dyDescent="0.25">
      <c r="A110" s="101" t="s">
        <v>48</v>
      </c>
      <c r="B110" s="102"/>
      <c r="C110" s="49">
        <f ca="1">J118</f>
        <v>22</v>
      </c>
      <c r="D110" s="50">
        <f ca="1">((100/H106)*C110)/100</f>
        <v>1.0000000000000002</v>
      </c>
      <c r="E110" s="106"/>
      <c r="F110" s="107"/>
      <c r="G110" s="106"/>
      <c r="H110" s="148"/>
      <c r="I110" s="14" t="s">
        <v>99</v>
      </c>
      <c r="J110" s="27">
        <f ca="1">H106</f>
        <v>22</v>
      </c>
    </row>
    <row r="111" spans="1:10" ht="15.75" hidden="1" customHeight="1" x14ac:dyDescent="0.25">
      <c r="A111" s="101" t="s">
        <v>129</v>
      </c>
      <c r="B111" s="102"/>
      <c r="C111" s="49">
        <v>20</v>
      </c>
      <c r="D111" s="50">
        <f ca="1">((100/(D106+F106+H106))*C111)/100</f>
        <v>0.86956521739130432</v>
      </c>
      <c r="E111" s="106"/>
      <c r="F111" s="107"/>
      <c r="G111" s="106"/>
      <c r="H111" s="148"/>
      <c r="I111" s="14" t="s">
        <v>100</v>
      </c>
      <c r="J111" s="28">
        <f ca="1">(IF(B106&gt;1,(H106/(B106+2)),H106/4))</f>
        <v>5.5</v>
      </c>
    </row>
    <row r="112" spans="1:10" ht="15.75" hidden="1" customHeight="1" x14ac:dyDescent="0.25">
      <c r="A112" s="101" t="s">
        <v>136</v>
      </c>
      <c r="B112" s="102" t="s">
        <v>130</v>
      </c>
      <c r="C112" s="49">
        <v>10</v>
      </c>
      <c r="D112" s="50">
        <f ca="1">((100/H106)*C112)/100</f>
        <v>0.45454545454545459</v>
      </c>
      <c r="E112" s="106"/>
      <c r="F112" s="107"/>
      <c r="G112" s="106"/>
      <c r="H112" s="148"/>
      <c r="I112" s="14" t="s">
        <v>101</v>
      </c>
      <c r="J112" s="28">
        <f ca="1">(IF(B106&gt;1,(H106/(B106+2)+J111),H106/4+J111))</f>
        <v>11</v>
      </c>
    </row>
    <row r="113" spans="1:13" ht="15.75" hidden="1" customHeight="1" x14ac:dyDescent="0.25">
      <c r="A113" s="101" t="s">
        <v>137</v>
      </c>
      <c r="B113" s="102" t="s">
        <v>130</v>
      </c>
      <c r="C113" s="49">
        <v>0</v>
      </c>
      <c r="D113" s="50">
        <f ca="1">((100/H106)*C113)/100</f>
        <v>0</v>
      </c>
      <c r="E113" s="106"/>
      <c r="F113" s="107"/>
      <c r="G113" s="106"/>
      <c r="H113" s="148"/>
      <c r="I113" s="14" t="s">
        <v>146</v>
      </c>
      <c r="J113" s="28">
        <f>(IF(B106&gt;1,(H106/(B106+2)+J112),0))</f>
        <v>0</v>
      </c>
    </row>
    <row r="114" spans="1:13" ht="15" hidden="1" customHeight="1" x14ac:dyDescent="0.25">
      <c r="A114" s="101" t="s">
        <v>135</v>
      </c>
      <c r="B114" s="102" t="s">
        <v>132</v>
      </c>
      <c r="C114" s="49">
        <v>0</v>
      </c>
      <c r="D114" s="50">
        <f ca="1">((100/(H106))*C114)/100</f>
        <v>0</v>
      </c>
      <c r="E114" s="106"/>
      <c r="F114" s="107"/>
      <c r="G114" s="106"/>
      <c r="H114" s="148"/>
      <c r="I114" s="14" t="s">
        <v>143</v>
      </c>
      <c r="J114" s="28">
        <f>(IF(B106&gt;2,(H106/(B106+2)+J113),0))</f>
        <v>0</v>
      </c>
    </row>
    <row r="115" spans="1:13" ht="15.75" hidden="1" customHeight="1" x14ac:dyDescent="0.25">
      <c r="A115" s="101" t="s">
        <v>131</v>
      </c>
      <c r="B115" s="102" t="s">
        <v>131</v>
      </c>
      <c r="C115" s="49">
        <v>0</v>
      </c>
      <c r="D115" s="50">
        <f ca="1">((100/H106)*C115)/100</f>
        <v>0</v>
      </c>
      <c r="E115" s="106"/>
      <c r="F115" s="107"/>
      <c r="G115" s="106"/>
      <c r="H115" s="148"/>
      <c r="I115" s="14" t="s">
        <v>144</v>
      </c>
      <c r="J115" s="29">
        <f>(IF(B106&gt;3,(H106/(B106+2)+J114),0))</f>
        <v>0</v>
      </c>
    </row>
    <row r="116" spans="1:13" ht="15.75" hidden="1" customHeight="1" x14ac:dyDescent="0.25">
      <c r="A116" s="101" t="s">
        <v>138</v>
      </c>
      <c r="B116" s="102"/>
      <c r="C116" s="49">
        <v>0</v>
      </c>
      <c r="D116" s="50">
        <f ca="1">((100/H106)*C116)/100</f>
        <v>0</v>
      </c>
      <c r="E116" s="106"/>
      <c r="F116" s="107"/>
      <c r="G116" s="106"/>
      <c r="H116" s="148"/>
      <c r="I116" s="14" t="s">
        <v>145</v>
      </c>
      <c r="J116" s="28">
        <f>(IF(B106&gt;4,(H106/(B106+2)+J115),0))</f>
        <v>0</v>
      </c>
    </row>
    <row r="117" spans="1:13" ht="15.75" hidden="1" customHeight="1" x14ac:dyDescent="0.25">
      <c r="A117" s="101" t="s">
        <v>133</v>
      </c>
      <c r="B117" s="102" t="s">
        <v>133</v>
      </c>
      <c r="C117" s="49">
        <v>0</v>
      </c>
      <c r="D117" s="50">
        <f ca="1">((100/(H106))*C117)/100</f>
        <v>0</v>
      </c>
      <c r="E117" s="106"/>
      <c r="F117" s="107"/>
      <c r="G117" s="106"/>
      <c r="H117" s="148"/>
      <c r="I117" s="14" t="s">
        <v>147</v>
      </c>
      <c r="J117" s="28">
        <f ca="1">(IF(B106=1,(H106/(B106+3)+J112),IF(B106=0,(H106/4+J112),IF(B106&gt;1,0))))</f>
        <v>16.5</v>
      </c>
    </row>
    <row r="118" spans="1:13" ht="16.5" hidden="1" thickBot="1" x14ac:dyDescent="0.3">
      <c r="A118" s="172" t="s">
        <v>134</v>
      </c>
      <c r="B118" s="173"/>
      <c r="C118" s="51">
        <v>0</v>
      </c>
      <c r="D118" s="52">
        <f ca="1">((100/(H106))*C118)/100</f>
        <v>0</v>
      </c>
      <c r="E118" s="108"/>
      <c r="F118" s="109"/>
      <c r="G118" s="108"/>
      <c r="H118" s="149"/>
      <c r="I118" s="15" t="s">
        <v>102</v>
      </c>
      <c r="J118" s="30">
        <f ca="1">(IF(B106&gt;1.5,(H106/(B106+2)+J112+MAX(0,J113-J112)+MAX(0,J114-J113)+MAX(0,J115-J114)+MAX(0,J116-J115)+MAX(0,J117-J116)),IF(B106=1,(H106/(B106+3)+J117),IF(B106=0,H106/4+J117))))</f>
        <v>22</v>
      </c>
    </row>
    <row r="119" spans="1:13" x14ac:dyDescent="0.25">
      <c r="A119" s="124" t="s">
        <v>157</v>
      </c>
      <c r="B119" s="124"/>
      <c r="C119" s="124"/>
      <c r="D119" s="124"/>
      <c r="E119" s="124"/>
      <c r="F119" s="144" t="s">
        <v>162</v>
      </c>
      <c r="G119" s="144"/>
      <c r="H119" s="144"/>
      <c r="I119" s="35"/>
      <c r="J119" s="35" t="s">
        <v>217</v>
      </c>
      <c r="K119" s="35" t="s">
        <v>218</v>
      </c>
      <c r="L119" s="35"/>
      <c r="M119" s="35"/>
    </row>
    <row r="120" spans="1:13" x14ac:dyDescent="0.25">
      <c r="A120" s="103" t="s">
        <v>160</v>
      </c>
      <c r="B120" s="103"/>
      <c r="C120" s="103"/>
      <c r="D120" s="103"/>
      <c r="E120" s="103"/>
      <c r="F120" s="111">
        <v>17500</v>
      </c>
      <c r="G120" s="111"/>
      <c r="H120" s="111"/>
      <c r="I120" s="34">
        <f>AVERAGE(J120:K120)</f>
        <v>16471.281391515811</v>
      </c>
      <c r="J120" s="35">
        <v>16000</v>
      </c>
      <c r="K120" s="34">
        <f>AVERAGE(J232:J235)</f>
        <v>16942.562783031623</v>
      </c>
      <c r="L120" s="35"/>
      <c r="M120" s="35"/>
    </row>
    <row r="121" spans="1:13" x14ac:dyDescent="0.25">
      <c r="A121" s="103" t="s">
        <v>159</v>
      </c>
      <c r="B121" s="103"/>
      <c r="C121" s="103"/>
      <c r="D121" s="103"/>
      <c r="E121" s="103"/>
      <c r="F121" s="111">
        <v>30000</v>
      </c>
      <c r="G121" s="111"/>
      <c r="H121" s="111"/>
      <c r="I121" s="35"/>
      <c r="J121" s="35"/>
      <c r="K121" s="35"/>
      <c r="L121" s="35"/>
      <c r="M121" s="35"/>
    </row>
    <row r="122" spans="1:13" x14ac:dyDescent="0.25">
      <c r="A122" s="103" t="s">
        <v>161</v>
      </c>
      <c r="B122" s="103"/>
      <c r="C122" s="103"/>
      <c r="D122" s="103"/>
      <c r="E122" s="103"/>
      <c r="F122" s="111">
        <v>22000</v>
      </c>
      <c r="G122" s="111"/>
      <c r="H122" s="111"/>
      <c r="I122" s="35"/>
      <c r="K122" s="35"/>
      <c r="L122" s="35" t="s">
        <v>271</v>
      </c>
      <c r="M122" s="35"/>
    </row>
    <row r="123" spans="1:13" s="31" customFormat="1" hidden="1" x14ac:dyDescent="0.25">
      <c r="A123" s="103" t="s">
        <v>158</v>
      </c>
      <c r="B123" s="103"/>
      <c r="C123" s="103"/>
      <c r="D123" s="103"/>
      <c r="E123" s="103"/>
      <c r="F123" s="111"/>
      <c r="G123" s="111"/>
      <c r="H123" s="111"/>
    </row>
    <row r="124" spans="1:13" s="31" customFormat="1" hidden="1" x14ac:dyDescent="0.25">
      <c r="A124" s="103" t="s">
        <v>92</v>
      </c>
      <c r="B124" s="103"/>
      <c r="C124" s="103"/>
      <c r="D124" s="103"/>
      <c r="E124" s="103"/>
      <c r="F124" s="111"/>
      <c r="G124" s="111"/>
      <c r="H124" s="111"/>
    </row>
    <row r="125" spans="1:13" s="31" customFormat="1" hidden="1" x14ac:dyDescent="0.25">
      <c r="A125" s="103" t="s">
        <v>93</v>
      </c>
      <c r="B125" s="103"/>
      <c r="C125" s="103"/>
      <c r="D125" s="103"/>
      <c r="E125" s="103"/>
      <c r="F125" s="111"/>
      <c r="G125" s="111"/>
      <c r="H125" s="111"/>
    </row>
    <row r="126" spans="1:13" s="31" customFormat="1" hidden="1" x14ac:dyDescent="0.25">
      <c r="A126" s="103" t="s">
        <v>163</v>
      </c>
      <c r="B126" s="103"/>
      <c r="C126" s="103"/>
      <c r="D126" s="103"/>
      <c r="E126" s="103"/>
      <c r="F126" s="111"/>
      <c r="G126" s="111"/>
      <c r="H126" s="111"/>
    </row>
    <row r="127" spans="1:13" s="31" customFormat="1" hidden="1" x14ac:dyDescent="0.25">
      <c r="A127" s="103" t="s">
        <v>94</v>
      </c>
      <c r="B127" s="103"/>
      <c r="C127" s="103"/>
      <c r="D127" s="103"/>
      <c r="E127" s="103"/>
      <c r="F127" s="111"/>
      <c r="G127" s="111"/>
      <c r="H127" s="111"/>
    </row>
    <row r="128" spans="1:13" s="31" customFormat="1" hidden="1" x14ac:dyDescent="0.25">
      <c r="A128" s="103" t="s">
        <v>95</v>
      </c>
      <c r="B128" s="103"/>
      <c r="C128" s="103"/>
      <c r="D128" s="103"/>
      <c r="E128" s="103"/>
      <c r="F128" s="111"/>
      <c r="G128" s="111"/>
      <c r="H128" s="111"/>
    </row>
    <row r="129" spans="1:9" s="31" customFormat="1" hidden="1" x14ac:dyDescent="0.25">
      <c r="A129" s="103" t="s">
        <v>96</v>
      </c>
      <c r="B129" s="103"/>
      <c r="C129" s="103"/>
      <c r="D129" s="103"/>
      <c r="E129" s="103"/>
      <c r="F129" s="111"/>
      <c r="G129" s="111"/>
      <c r="H129" s="111"/>
    </row>
    <row r="130" spans="1:9" s="31" customFormat="1" hidden="1" x14ac:dyDescent="0.25">
      <c r="A130" s="103" t="s">
        <v>97</v>
      </c>
      <c r="B130" s="103"/>
      <c r="C130" s="103"/>
      <c r="D130" s="103"/>
      <c r="E130" s="103"/>
      <c r="F130" s="111"/>
      <c r="G130" s="111"/>
      <c r="H130" s="111"/>
    </row>
    <row r="131" spans="1:9" x14ac:dyDescent="0.25">
      <c r="A131" s="103" t="s">
        <v>49</v>
      </c>
      <c r="B131" s="103"/>
      <c r="C131" s="103"/>
      <c r="D131" s="103"/>
      <c r="E131" s="103"/>
      <c r="F131" s="111">
        <v>700000</v>
      </c>
      <c r="G131" s="111"/>
      <c r="H131" s="111"/>
    </row>
    <row r="132" spans="1:9" s="32" customFormat="1" x14ac:dyDescent="0.25">
      <c r="A132" s="160" t="s">
        <v>50</v>
      </c>
      <c r="B132" s="160"/>
      <c r="C132" s="160"/>
      <c r="D132" s="160"/>
      <c r="E132" s="160"/>
      <c r="F132" s="111">
        <f>F120*0.8</f>
        <v>14000</v>
      </c>
      <c r="G132" s="111"/>
      <c r="H132" s="111"/>
    </row>
    <row r="133" spans="1:9" s="33" customFormat="1" ht="15.75" customHeight="1" x14ac:dyDescent="0.25">
      <c r="A133" s="73" t="s">
        <v>72</v>
      </c>
      <c r="B133" s="73"/>
      <c r="C133" s="73"/>
      <c r="D133" s="73"/>
      <c r="E133" s="73"/>
      <c r="F133" s="73"/>
      <c r="G133" s="73"/>
      <c r="H133" s="73"/>
    </row>
    <row r="134" spans="1:9" s="33" customFormat="1" ht="15.75" customHeight="1" x14ac:dyDescent="0.25">
      <c r="A134" s="78" t="s">
        <v>51</v>
      </c>
      <c r="B134" s="78"/>
      <c r="C134" s="75" t="s">
        <v>75</v>
      </c>
      <c r="D134" s="75"/>
      <c r="E134" s="77" t="s">
        <v>52</v>
      </c>
      <c r="F134" s="77"/>
      <c r="G134" s="78" t="s">
        <v>53</v>
      </c>
      <c r="H134" s="78"/>
    </row>
    <row r="135" spans="1:9" s="33" customFormat="1" x14ac:dyDescent="0.25">
      <c r="A135" s="184" t="s">
        <v>174</v>
      </c>
      <c r="B135" s="42" t="s">
        <v>177</v>
      </c>
      <c r="C135" s="125">
        <f>COUNT(D161:D166)</f>
        <v>6</v>
      </c>
      <c r="D135" s="126"/>
      <c r="E135" s="125">
        <f>SUM(D161:D166)</f>
        <v>1140.5534399999999</v>
      </c>
      <c r="F135" s="126"/>
      <c r="G135" s="125">
        <f>SUM(F161:F166)</f>
        <v>1824.8855039999999</v>
      </c>
      <c r="H135" s="126"/>
    </row>
    <row r="136" spans="1:9" s="33" customFormat="1" x14ac:dyDescent="0.25">
      <c r="A136" s="185"/>
      <c r="B136" s="42" t="s">
        <v>180</v>
      </c>
      <c r="C136" s="97">
        <f>COUNT(D168:D173)+COUNT(D175:D180)+COUNT(D182:D187)</f>
        <v>18</v>
      </c>
      <c r="D136" s="98"/>
      <c r="E136" s="97">
        <f>SUM(D168:D173)+SUM(D175:D180)+SUM(D182:D187)</f>
        <v>4406.5663199999999</v>
      </c>
      <c r="F136" s="98"/>
      <c r="G136" s="97">
        <f>SUM(F168:F173)+SUM(F175:F180)+SUM(F182:F187)</f>
        <v>7050.5061119999991</v>
      </c>
      <c r="H136" s="98"/>
      <c r="I136" s="70">
        <f>C136+C138</f>
        <v>36</v>
      </c>
    </row>
    <row r="137" spans="1:9" s="33" customFormat="1" x14ac:dyDescent="0.25">
      <c r="A137" s="184" t="s">
        <v>178</v>
      </c>
      <c r="B137" s="42" t="s">
        <v>177</v>
      </c>
      <c r="C137" s="97">
        <f>COUNT(D191:D196)</f>
        <v>6</v>
      </c>
      <c r="D137" s="98"/>
      <c r="E137" s="97">
        <f>SUM(D191:D196)</f>
        <v>1140.5534399999999</v>
      </c>
      <c r="F137" s="98"/>
      <c r="G137" s="97">
        <f>SUM(F191:F196)</f>
        <v>1824.8855039999999</v>
      </c>
      <c r="H137" s="98"/>
    </row>
    <row r="138" spans="1:9" s="33" customFormat="1" x14ac:dyDescent="0.25">
      <c r="A138" s="185"/>
      <c r="B138" s="42" t="s">
        <v>180</v>
      </c>
      <c r="C138" s="97">
        <f>COUNT(D198:D203)+COUNT(D205:D210)+COUNT(D212:D217)</f>
        <v>18</v>
      </c>
      <c r="D138" s="98"/>
      <c r="E138" s="97">
        <f>SUM(D198:D203)+SUM(D205:D210)+SUM(D212:D217)</f>
        <v>5135.7196800000002</v>
      </c>
      <c r="F138" s="98"/>
      <c r="G138" s="97">
        <f>SUM(F198:F203)+SUM(F205:F210)+SUM(F212:F217)</f>
        <v>8217.1514879999995</v>
      </c>
      <c r="H138" s="98"/>
    </row>
    <row r="139" spans="1:9" s="33" customFormat="1" x14ac:dyDescent="0.25">
      <c r="A139" s="73" t="s">
        <v>150</v>
      </c>
      <c r="B139" s="73"/>
      <c r="C139" s="74">
        <f>SUM(C135:C138)</f>
        <v>48</v>
      </c>
      <c r="D139" s="75"/>
      <c r="E139" s="76">
        <f>SUM(E135:E138)</f>
        <v>11823.392879999999</v>
      </c>
      <c r="F139" s="77"/>
      <c r="G139" s="78">
        <f>SUM(G135:G138)</f>
        <v>18917.428607999998</v>
      </c>
      <c r="H139" s="78"/>
    </row>
    <row r="140" spans="1:9" s="33" customFormat="1" x14ac:dyDescent="0.25">
      <c r="A140" s="73" t="s">
        <v>264</v>
      </c>
      <c r="B140" s="73"/>
      <c r="C140" s="73"/>
      <c r="D140" s="73"/>
      <c r="E140" s="73"/>
      <c r="F140" s="73"/>
      <c r="G140" s="73"/>
      <c r="H140" s="73"/>
    </row>
    <row r="141" spans="1:9" s="33" customFormat="1" ht="15.75" customHeight="1" x14ac:dyDescent="0.25">
      <c r="A141" s="78" t="s">
        <v>51</v>
      </c>
      <c r="B141" s="78"/>
      <c r="C141" s="75" t="s">
        <v>75</v>
      </c>
      <c r="D141" s="75"/>
      <c r="E141" s="77" t="s">
        <v>52</v>
      </c>
      <c r="F141" s="77"/>
      <c r="G141" s="78" t="s">
        <v>53</v>
      </c>
      <c r="H141" s="78"/>
    </row>
    <row r="142" spans="1:9" s="33" customFormat="1" x14ac:dyDescent="0.25">
      <c r="A142" s="71" t="s">
        <v>174</v>
      </c>
      <c r="B142" s="71"/>
      <c r="C142" s="72">
        <f>COUNT(D226:D227)+COUNT(D231:D232)+COUNT(D236:D237)+COUNT(D239:D242)+COUNT(D245:D249)*14+COUNT(D251:D255)+COUNT(D257:D261)+COUNT(D263:D265,D267)+COUNT(D269:D271,D273)</f>
        <v>98</v>
      </c>
      <c r="D142" s="72"/>
      <c r="E142" s="72">
        <f>SUM(D226:D227)+SUM(D231:D232)+SUM(D236:D237)+SUM(D239:D242)+SUM(D245:D249)*14+SUM(D251:D255)+SUM(D257:D261)+SUM(D263:D265,D267)+SUM(D269:D271,D273)</f>
        <v>45920.623320000006</v>
      </c>
      <c r="F142" s="72"/>
      <c r="G142" s="72">
        <f>SUM(F226:F227)+SUM(F231:F232)+SUM(F236:F237)+SUM(F239:F242)+SUM(F245:F249)*14+SUM(F251:F255)+SUM(F257:F261)+SUM(F263:F265,F267)+SUM(F269:F271,F273)</f>
        <v>71176.966145999992</v>
      </c>
      <c r="H142" s="72"/>
    </row>
    <row r="143" spans="1:9" s="33" customFormat="1" x14ac:dyDescent="0.25">
      <c r="A143" s="71" t="s">
        <v>186</v>
      </c>
      <c r="B143" s="71"/>
      <c r="C143" s="72">
        <f>COUNT(D278:D280)+COUNT(D283:D286)+COUNT(D288:D291)+COUNT(D295:D297)+COUNT(D299:D302)*14+COUNT(D305:D308)+COUNT(D311:D314)+COUNT(D317:D319)+COUNT(D323:D324)</f>
        <v>83</v>
      </c>
      <c r="D143" s="72"/>
      <c r="E143" s="72">
        <f>SUM(D278:D280)+SUM(D283:D286)+SUM(D288:D291)+SUM(D295:D297)+SUM(D299:D302)*14+SUM(D305:D308)+SUM(D311:D314)+SUM(D317:D319)+SUM(D323:D324)</f>
        <v>38633.610599999993</v>
      </c>
      <c r="F143" s="72"/>
      <c r="G143" s="72">
        <f>SUM(F278:F280)+SUM(F283:F286)+SUM(F288:F291)+SUM(F295:F297)+SUM(F299:F302)*14+SUM(F305:F308)+SUM(F311:F314)+SUM(F317:F319)+SUM(F323:F324)</f>
        <v>59882.096429999991</v>
      </c>
      <c r="H143" s="72"/>
      <c r="I143" s="70">
        <f>C143+C149</f>
        <v>101</v>
      </c>
    </row>
    <row r="144" spans="1:9" s="33" customFormat="1" x14ac:dyDescent="0.25">
      <c r="A144" s="71" t="s">
        <v>189</v>
      </c>
      <c r="B144" s="71"/>
      <c r="C144" s="72">
        <f>COUNT(D332:D334)+COUNT(D337:D340)+COUNT(D342:D345)+COUNT(D348:D350)+COUNT(D352:D355)*14+COUNT(D358:D361)+COUNT(D364:D367)+COUNT(D370:D372)+COUNT(D376:D377)</f>
        <v>83</v>
      </c>
      <c r="D144" s="72"/>
      <c r="E144" s="72">
        <f>SUM(D332:D334)+SUM(D337:D340)+SUM(D342:D345)+SUM(D348:D350)+SUM(D352:D355)*14+SUM(D358:D361)+SUM(D364:D367)+SUM(D370:D372)+SUM(D376:D377)</f>
        <v>38633.610599999993</v>
      </c>
      <c r="F144" s="72"/>
      <c r="G144" s="72">
        <f>SUM(F332:F334)+SUM(F337:F340)+SUM(F342:F345)+SUM(F348:F350)+SUM(F352:F355)*14+SUM(F358:F361)+SUM(F364:F367)+SUM(F370:F372)+SUM(F376:F377)</f>
        <v>59882.096429999991</v>
      </c>
      <c r="H144" s="72"/>
    </row>
    <row r="145" spans="1:14" s="33" customFormat="1" x14ac:dyDescent="0.25">
      <c r="A145" s="71" t="s">
        <v>178</v>
      </c>
      <c r="B145" s="71"/>
      <c r="C145" s="72">
        <f>COUNT(D385:D386)+COUNT(D391:D392)+COUNT(D396:D397)+COUNT(D399:D402)+COUNT(D405:D409)*14+COUNT(D411:D415)+COUNT(D417:D420)+COUNT(D422:D424,D426)+COUNT(D428:D430,D432)</f>
        <v>97</v>
      </c>
      <c r="D145" s="72"/>
      <c r="E145" s="72">
        <f>SUM(D385:D386)+SUM(D391:D392)+SUM(D396:D397)+SUM(D399:D402)+SUM(D405:D409)*14+SUM(D411:D415)+SUM(D417:D420)+SUM(D422:D424,D426)+SUM(D428:D430,D432)</f>
        <v>45926.328240000003</v>
      </c>
      <c r="F145" s="72"/>
      <c r="G145" s="72">
        <f>SUM(F385:F386)+SUM(F391:F392)+SUM(F396:F397)+SUM(F399:F402)+SUM(F405:F409)*14+SUM(F411:F415)+SUM(F417:F420)+SUM(F422:F424,F426)+SUM(F428:F430,F432)</f>
        <v>71185.808771999989</v>
      </c>
      <c r="H145" s="72"/>
      <c r="I145" s="70">
        <f>C146+C151</f>
        <v>397</v>
      </c>
    </row>
    <row r="146" spans="1:14" s="33" customFormat="1" x14ac:dyDescent="0.25">
      <c r="A146" s="73" t="s">
        <v>150</v>
      </c>
      <c r="B146" s="73"/>
      <c r="C146" s="74">
        <f t="shared" ref="C146:G146" si="0">SUM(C142:D145)</f>
        <v>361</v>
      </c>
      <c r="D146" s="75"/>
      <c r="E146" s="76">
        <f t="shared" si="0"/>
        <v>169114.17275999999</v>
      </c>
      <c r="F146" s="77"/>
      <c r="G146" s="78">
        <f t="shared" si="0"/>
        <v>262126.96777799996</v>
      </c>
      <c r="H146" s="78"/>
    </row>
    <row r="147" spans="1:14" s="32" customFormat="1" x14ac:dyDescent="0.25">
      <c r="A147" s="73" t="s">
        <v>265</v>
      </c>
      <c r="B147" s="73"/>
      <c r="C147" s="73"/>
      <c r="D147" s="73"/>
      <c r="E147" s="73"/>
      <c r="F147" s="73"/>
      <c r="G147" s="73"/>
      <c r="H147" s="73"/>
    </row>
    <row r="148" spans="1:14" x14ac:dyDescent="0.25">
      <c r="A148" s="78" t="s">
        <v>51</v>
      </c>
      <c r="B148" s="78"/>
      <c r="C148" s="75" t="s">
        <v>75</v>
      </c>
      <c r="D148" s="75"/>
      <c r="E148" s="77" t="s">
        <v>52</v>
      </c>
      <c r="F148" s="77"/>
      <c r="G148" s="78" t="s">
        <v>53</v>
      </c>
      <c r="H148" s="78"/>
      <c r="I148" s="19">
        <f>199+197+1</f>
        <v>397</v>
      </c>
    </row>
    <row r="149" spans="1:14" x14ac:dyDescent="0.25">
      <c r="A149" s="71" t="s">
        <v>186</v>
      </c>
      <c r="B149" s="71"/>
      <c r="C149" s="72">
        <f>COUNT(D303)*14+COUNT(D309)+COUNT(D315)+COUNT(D321)+COUNT(D327)</f>
        <v>18</v>
      </c>
      <c r="D149" s="72"/>
      <c r="E149" s="72">
        <f>SUM(D303)*14+SUM(D309)+SUM(D315)+SUM(D321)+SUM(D327)</f>
        <v>7697.7669600000008</v>
      </c>
      <c r="F149" s="72"/>
      <c r="G149" s="72">
        <f>SUM(F303)*14+SUM(F309)+SUM(F315)+SUM(F321)+SUM(F327)</f>
        <v>11931.538788</v>
      </c>
      <c r="H149" s="72"/>
    </row>
    <row r="150" spans="1:14" x14ac:dyDescent="0.25">
      <c r="A150" s="71" t="s">
        <v>189</v>
      </c>
      <c r="B150" s="71"/>
      <c r="C150" s="72">
        <f>COUNT(D356)*14+COUNT(D362)+COUNT(D368)+COUNT(D374)+COUNT(D380)</f>
        <v>18</v>
      </c>
      <c r="D150" s="72"/>
      <c r="E150" s="72">
        <f>SUM(D356)*14+SUM(D362)+SUM(D368)+SUM(D374)+SUM(D380)</f>
        <v>7697.7669600000008</v>
      </c>
      <c r="F150" s="72"/>
      <c r="G150" s="72">
        <f>SUM(F356)*14+SUM(F362)+SUM(F368)+SUM(F374)+SUM(F380)</f>
        <v>11931.538788</v>
      </c>
      <c r="H150" s="72"/>
    </row>
    <row r="151" spans="1:14" s="35" customFormat="1" x14ac:dyDescent="0.25">
      <c r="A151" s="73" t="s">
        <v>150</v>
      </c>
      <c r="B151" s="73"/>
      <c r="C151" s="74">
        <f t="shared" ref="C151:G151" si="1">SUM(C149:D150)</f>
        <v>36</v>
      </c>
      <c r="D151" s="75"/>
      <c r="E151" s="76">
        <f t="shared" si="1"/>
        <v>15395.533920000002</v>
      </c>
      <c r="F151" s="77"/>
      <c r="G151" s="78">
        <f t="shared" si="1"/>
        <v>23863.077576</v>
      </c>
      <c r="H151" s="78"/>
      <c r="I151" s="35">
        <f>10+5+3</f>
        <v>18</v>
      </c>
    </row>
    <row r="152" spans="1:14" s="35" customFormat="1" x14ac:dyDescent="0.25">
      <c r="A152" s="73" t="s">
        <v>261</v>
      </c>
      <c r="B152" s="73"/>
      <c r="C152" s="74">
        <f>C139+C146+C151</f>
        <v>445</v>
      </c>
      <c r="D152" s="75"/>
      <c r="E152" s="76">
        <f>E139+E146+E151</f>
        <v>196333.09956</v>
      </c>
      <c r="F152" s="77"/>
      <c r="G152" s="76">
        <f>G139+G146+G151</f>
        <v>304907.47396199999</v>
      </c>
      <c r="H152" s="77"/>
      <c r="J152" s="48">
        <v>10.763999999999999</v>
      </c>
    </row>
    <row r="153" spans="1:14" s="35" customFormat="1" x14ac:dyDescent="0.25">
      <c r="A153" s="127" t="s">
        <v>266</v>
      </c>
      <c r="B153" s="127"/>
      <c r="C153" s="127"/>
      <c r="D153" s="127"/>
      <c r="E153" s="127"/>
      <c r="F153" s="127"/>
      <c r="G153" s="127"/>
      <c r="H153" s="127"/>
      <c r="J153" s="34"/>
    </row>
    <row r="154" spans="1:14" s="35" customFormat="1" x14ac:dyDescent="0.25">
      <c r="A154" s="127" t="s">
        <v>260</v>
      </c>
      <c r="B154" s="127"/>
      <c r="C154" s="127"/>
      <c r="D154" s="127"/>
      <c r="E154" s="127"/>
      <c r="F154" s="127"/>
      <c r="G154" s="127"/>
      <c r="H154" s="127"/>
      <c r="J154" s="34"/>
    </row>
    <row r="155" spans="1:14" s="35" customFormat="1" ht="47.25" x14ac:dyDescent="0.25">
      <c r="A155" s="122" t="s">
        <v>118</v>
      </c>
      <c r="B155" s="122" t="s">
        <v>117</v>
      </c>
      <c r="C155" s="122" t="s">
        <v>54</v>
      </c>
      <c r="D155" s="122" t="s">
        <v>55</v>
      </c>
      <c r="E155" s="133" t="s">
        <v>156</v>
      </c>
      <c r="F155" s="41" t="s">
        <v>149</v>
      </c>
      <c r="G155" s="135" t="s">
        <v>57</v>
      </c>
      <c r="H155" s="136"/>
      <c r="I155" s="35">
        <v>1</v>
      </c>
      <c r="J155" s="34"/>
    </row>
    <row r="156" spans="1:14" s="35" customFormat="1" ht="15.75" customHeight="1" x14ac:dyDescent="0.25">
      <c r="A156" s="123"/>
      <c r="B156" s="123"/>
      <c r="C156" s="123"/>
      <c r="D156" s="123"/>
      <c r="E156" s="134"/>
      <c r="F156" s="13">
        <v>0.6</v>
      </c>
      <c r="G156" s="137"/>
      <c r="H156" s="138"/>
      <c r="I156" s="34">
        <f>5.13*3.87+2.15*1.25+1.3*1.36</f>
        <v>24.308600000000002</v>
      </c>
      <c r="L156" s="81"/>
      <c r="M156" s="81"/>
      <c r="N156" s="34"/>
    </row>
    <row r="157" spans="1:14" s="35" customFormat="1" x14ac:dyDescent="0.25">
      <c r="A157" s="92" t="s">
        <v>219</v>
      </c>
      <c r="B157" s="93"/>
      <c r="C157" s="93"/>
      <c r="D157" s="93"/>
      <c r="E157" s="93"/>
      <c r="F157" s="93"/>
      <c r="G157" s="93"/>
      <c r="H157" s="94"/>
      <c r="I157" s="34"/>
      <c r="L157" s="81"/>
      <c r="M157" s="81"/>
      <c r="N157" s="34"/>
    </row>
    <row r="158" spans="1:14" s="35" customFormat="1" x14ac:dyDescent="0.25">
      <c r="A158" s="92" t="s">
        <v>174</v>
      </c>
      <c r="B158" s="93"/>
      <c r="C158" s="93"/>
      <c r="D158" s="93"/>
      <c r="E158" s="93"/>
      <c r="F158" s="93"/>
      <c r="G158" s="93"/>
      <c r="H158" s="94"/>
      <c r="I158" s="34"/>
      <c r="L158" s="81"/>
      <c r="M158" s="81"/>
      <c r="N158" s="34"/>
    </row>
    <row r="159" spans="1:14" s="35" customFormat="1" x14ac:dyDescent="0.25">
      <c r="A159" s="92" t="s">
        <v>175</v>
      </c>
      <c r="B159" s="93"/>
      <c r="C159" s="93"/>
      <c r="D159" s="93"/>
      <c r="E159" s="93"/>
      <c r="F159" s="93"/>
      <c r="G159" s="93"/>
      <c r="H159" s="94"/>
      <c r="I159" s="34"/>
      <c r="L159" s="81"/>
      <c r="M159" s="81"/>
      <c r="N159" s="34"/>
    </row>
    <row r="160" spans="1:14" s="35" customFormat="1" x14ac:dyDescent="0.25">
      <c r="A160" s="92" t="s">
        <v>176</v>
      </c>
      <c r="B160" s="93"/>
      <c r="C160" s="93"/>
      <c r="D160" s="93"/>
      <c r="E160" s="93"/>
      <c r="F160" s="93"/>
      <c r="G160" s="93"/>
      <c r="H160" s="94"/>
      <c r="I160" s="34"/>
      <c r="L160" s="81"/>
      <c r="M160" s="81"/>
      <c r="N160" s="34"/>
    </row>
    <row r="161" spans="1:14" s="35" customFormat="1" x14ac:dyDescent="0.25">
      <c r="A161" s="79">
        <v>1</v>
      </c>
      <c r="B161" s="80"/>
      <c r="C161" s="40" t="s">
        <v>177</v>
      </c>
      <c r="D161" s="48">
        <f>(24.87)*10.764</f>
        <v>267.70067999999998</v>
      </c>
      <c r="E161" s="40">
        <v>0</v>
      </c>
      <c r="F161" s="40">
        <f t="shared" ref="F161:F166" si="2">(D161+E161)*(($F$156)+1)</f>
        <v>428.32108799999997</v>
      </c>
      <c r="G161" s="82" t="str">
        <f>A160</f>
        <v>Ground Floor for Commercial &amp; Parking</v>
      </c>
      <c r="H161" s="83"/>
      <c r="I161" s="34">
        <f>3.21*4.38+1.35*0.95+2.03*1.2</f>
        <v>17.778299999999998</v>
      </c>
      <c r="L161" s="81"/>
      <c r="M161" s="81"/>
      <c r="N161" s="34"/>
    </row>
    <row r="162" spans="1:14" s="35" customFormat="1" x14ac:dyDescent="0.25">
      <c r="A162" s="79" t="s">
        <v>232</v>
      </c>
      <c r="B162" s="80"/>
      <c r="C162" s="40" t="s">
        <v>177</v>
      </c>
      <c r="D162" s="48">
        <f>(16.82)*10.764</f>
        <v>181.05047999999999</v>
      </c>
      <c r="E162" s="40">
        <v>0</v>
      </c>
      <c r="F162" s="40">
        <f t="shared" si="2"/>
        <v>289.680768</v>
      </c>
      <c r="G162" s="84"/>
      <c r="H162" s="85"/>
      <c r="I162" s="35">
        <v>1</v>
      </c>
      <c r="J162" s="34"/>
    </row>
    <row r="163" spans="1:14" s="35" customFormat="1" ht="15.75" customHeight="1" x14ac:dyDescent="0.25">
      <c r="A163" s="79" t="s">
        <v>231</v>
      </c>
      <c r="B163" s="80"/>
      <c r="C163" s="40" t="s">
        <v>177</v>
      </c>
      <c r="D163" s="48">
        <f>(13.86)*10.764</f>
        <v>149.18903999999998</v>
      </c>
      <c r="E163" s="40">
        <v>0</v>
      </c>
      <c r="F163" s="40">
        <f t="shared" si="2"/>
        <v>238.70246399999996</v>
      </c>
      <c r="G163" s="84"/>
      <c r="H163" s="85"/>
      <c r="I163" s="34">
        <f>6.98*2.83+1.13*0.45+2.85*2.4+2.79*1.47+2.14*1.25</f>
        <v>33.8782</v>
      </c>
      <c r="L163" s="81"/>
      <c r="M163" s="81"/>
      <c r="N163" s="34"/>
    </row>
    <row r="164" spans="1:14" s="35" customFormat="1" x14ac:dyDescent="0.25">
      <c r="A164" s="79">
        <v>3</v>
      </c>
      <c r="B164" s="80"/>
      <c r="C164" s="40" t="s">
        <v>177</v>
      </c>
      <c r="D164" s="48">
        <f>(14.28)*10.764</f>
        <v>153.70991999999998</v>
      </c>
      <c r="E164" s="40">
        <v>0</v>
      </c>
      <c r="F164" s="40">
        <f t="shared" si="2"/>
        <v>245.93587199999999</v>
      </c>
      <c r="G164" s="84"/>
      <c r="H164" s="85"/>
      <c r="I164" s="34"/>
      <c r="L164" s="81"/>
      <c r="M164" s="81"/>
      <c r="N164" s="34"/>
    </row>
    <row r="165" spans="1:14" s="35" customFormat="1" x14ac:dyDescent="0.25">
      <c r="A165" s="79" t="s">
        <v>234</v>
      </c>
      <c r="B165" s="80"/>
      <c r="C165" s="40" t="s">
        <v>177</v>
      </c>
      <c r="D165" s="48">
        <f>(17.74)*10.764</f>
        <v>190.95335999999998</v>
      </c>
      <c r="E165" s="40">
        <v>0</v>
      </c>
      <c r="F165" s="40">
        <f t="shared" si="2"/>
        <v>305.52537599999999</v>
      </c>
      <c r="G165" s="84"/>
      <c r="H165" s="85"/>
      <c r="I165" s="34"/>
      <c r="L165" s="81"/>
      <c r="M165" s="81"/>
      <c r="N165" s="34"/>
    </row>
    <row r="166" spans="1:14" s="35" customFormat="1" x14ac:dyDescent="0.25">
      <c r="A166" s="79" t="s">
        <v>233</v>
      </c>
      <c r="B166" s="80"/>
      <c r="C166" s="40" t="s">
        <v>177</v>
      </c>
      <c r="D166" s="48">
        <f>(18.39)*10.764</f>
        <v>197.94996</v>
      </c>
      <c r="E166" s="40">
        <v>0</v>
      </c>
      <c r="F166" s="40">
        <f t="shared" si="2"/>
        <v>316.71993600000002</v>
      </c>
      <c r="G166" s="86"/>
      <c r="H166" s="87"/>
      <c r="I166" s="34"/>
      <c r="L166" s="81"/>
      <c r="M166" s="81"/>
      <c r="N166" s="34"/>
    </row>
    <row r="167" spans="1:14" s="35" customFormat="1" x14ac:dyDescent="0.25">
      <c r="A167" s="92" t="s">
        <v>179</v>
      </c>
      <c r="B167" s="93"/>
      <c r="C167" s="93"/>
      <c r="D167" s="93"/>
      <c r="E167" s="93"/>
      <c r="F167" s="93"/>
      <c r="G167" s="93"/>
      <c r="H167" s="94"/>
      <c r="I167" s="34"/>
      <c r="L167" s="81"/>
      <c r="M167" s="81"/>
      <c r="N167" s="34"/>
    </row>
    <row r="168" spans="1:14" s="35" customFormat="1" x14ac:dyDescent="0.25">
      <c r="A168" s="79">
        <v>1</v>
      </c>
      <c r="B168" s="80"/>
      <c r="C168" s="40" t="s">
        <v>235</v>
      </c>
      <c r="D168" s="48">
        <f>(34.29)*10.764</f>
        <v>369.09755999999999</v>
      </c>
      <c r="E168" s="40">
        <v>0</v>
      </c>
      <c r="F168" s="40">
        <f t="shared" ref="F168:F173" si="3">(D168+E168)*(($F$156)+1)</f>
        <v>590.55609600000003</v>
      </c>
      <c r="G168" s="82" t="str">
        <f>A167</f>
        <v xml:space="preserve">1st Floor </v>
      </c>
      <c r="H168" s="83"/>
      <c r="I168" s="34"/>
      <c r="L168" s="81"/>
      <c r="M168" s="81"/>
      <c r="N168" s="34"/>
    </row>
    <row r="169" spans="1:14" s="35" customFormat="1" x14ac:dyDescent="0.25">
      <c r="A169" s="79">
        <f t="shared" ref="A169:A173" si="4">A168+1</f>
        <v>2</v>
      </c>
      <c r="B169" s="80"/>
      <c r="C169" s="40" t="s">
        <v>235</v>
      </c>
      <c r="D169" s="48">
        <f>(18.86)*10.764</f>
        <v>203.00903999999997</v>
      </c>
      <c r="E169" s="40">
        <v>0</v>
      </c>
      <c r="F169" s="40">
        <f t="shared" si="3"/>
        <v>324.81446399999999</v>
      </c>
      <c r="G169" s="84"/>
      <c r="H169" s="85"/>
      <c r="I169" s="35">
        <v>1</v>
      </c>
      <c r="J169" s="34"/>
    </row>
    <row r="170" spans="1:14" s="35" customFormat="1" ht="15.75" customHeight="1" x14ac:dyDescent="0.25">
      <c r="A170" s="79">
        <f t="shared" si="4"/>
        <v>3</v>
      </c>
      <c r="B170" s="80"/>
      <c r="C170" s="40" t="s">
        <v>235</v>
      </c>
      <c r="D170" s="48">
        <f>(15.75)*10.764</f>
        <v>169.53299999999999</v>
      </c>
      <c r="E170" s="40">
        <v>0</v>
      </c>
      <c r="F170" s="40">
        <f t="shared" si="3"/>
        <v>271.25279999999998</v>
      </c>
      <c r="G170" s="84"/>
      <c r="H170" s="85"/>
      <c r="I170" s="34"/>
      <c r="L170" s="81"/>
      <c r="M170" s="81"/>
      <c r="N170" s="34"/>
    </row>
    <row r="171" spans="1:14" s="35" customFormat="1" x14ac:dyDescent="0.25">
      <c r="A171" s="79">
        <f t="shared" si="4"/>
        <v>4</v>
      </c>
      <c r="B171" s="80"/>
      <c r="C171" s="40" t="s">
        <v>235</v>
      </c>
      <c r="D171" s="48">
        <f>(19.94)*10.764</f>
        <v>214.63416000000001</v>
      </c>
      <c r="E171" s="40">
        <v>0</v>
      </c>
      <c r="F171" s="40">
        <f t="shared" si="3"/>
        <v>343.41465600000004</v>
      </c>
      <c r="G171" s="84"/>
      <c r="H171" s="85"/>
      <c r="I171" s="34"/>
      <c r="L171" s="81"/>
      <c r="M171" s="81"/>
      <c r="N171" s="34"/>
    </row>
    <row r="172" spans="1:14" s="35" customFormat="1" x14ac:dyDescent="0.25">
      <c r="A172" s="79">
        <f t="shared" si="4"/>
        <v>5</v>
      </c>
      <c r="B172" s="80"/>
      <c r="C172" s="40" t="s">
        <v>235</v>
      </c>
      <c r="D172" s="48">
        <f>(22.93)*10.764</f>
        <v>246.81851999999998</v>
      </c>
      <c r="E172" s="40">
        <v>0</v>
      </c>
      <c r="F172" s="40">
        <f t="shared" si="3"/>
        <v>394.90963199999999</v>
      </c>
      <c r="G172" s="84"/>
      <c r="H172" s="85"/>
      <c r="I172" s="34"/>
      <c r="L172" s="81"/>
      <c r="M172" s="81"/>
      <c r="N172" s="34"/>
    </row>
    <row r="173" spans="1:14" s="35" customFormat="1" x14ac:dyDescent="0.25">
      <c r="A173" s="79">
        <f t="shared" si="4"/>
        <v>6</v>
      </c>
      <c r="B173" s="80"/>
      <c r="C173" s="40" t="s">
        <v>180</v>
      </c>
      <c r="D173" s="48">
        <f>(24.69)*10.764</f>
        <v>265.76315999999997</v>
      </c>
      <c r="E173" s="40">
        <v>0</v>
      </c>
      <c r="F173" s="40">
        <f t="shared" si="3"/>
        <v>425.22105599999998</v>
      </c>
      <c r="G173" s="86"/>
      <c r="H173" s="87"/>
      <c r="I173" s="34"/>
      <c r="L173" s="81"/>
      <c r="M173" s="81"/>
      <c r="N173" s="34"/>
    </row>
    <row r="174" spans="1:14" s="35" customFormat="1" x14ac:dyDescent="0.25">
      <c r="A174" s="92" t="s">
        <v>116</v>
      </c>
      <c r="B174" s="93"/>
      <c r="C174" s="93"/>
      <c r="D174" s="93"/>
      <c r="E174" s="93"/>
      <c r="F174" s="93"/>
      <c r="G174" s="93"/>
      <c r="H174" s="94"/>
      <c r="I174" s="34"/>
      <c r="L174" s="81"/>
      <c r="M174" s="81"/>
      <c r="N174" s="34"/>
    </row>
    <row r="175" spans="1:14" s="35" customFormat="1" x14ac:dyDescent="0.25">
      <c r="A175" s="79">
        <v>1</v>
      </c>
      <c r="B175" s="80"/>
      <c r="C175" s="40" t="s">
        <v>180</v>
      </c>
      <c r="D175" s="48">
        <f>(34.29)*10.764</f>
        <v>369.09755999999999</v>
      </c>
      <c r="E175" s="40">
        <v>0</v>
      </c>
      <c r="F175" s="40">
        <f t="shared" ref="F175:F180" si="5">(D175+E175)*(($F$156)+1)</f>
        <v>590.55609600000003</v>
      </c>
      <c r="G175" s="82" t="str">
        <f>A174</f>
        <v>2nd Floor</v>
      </c>
      <c r="H175" s="83"/>
      <c r="I175" s="34"/>
      <c r="L175" s="81"/>
      <c r="M175" s="81"/>
      <c r="N175" s="34"/>
    </row>
    <row r="176" spans="1:14" s="35" customFormat="1" x14ac:dyDescent="0.25">
      <c r="A176" s="79">
        <f t="shared" ref="A176:A180" si="6">A175+1</f>
        <v>2</v>
      </c>
      <c r="B176" s="80"/>
      <c r="C176" s="40" t="s">
        <v>180</v>
      </c>
      <c r="D176" s="48">
        <f>(18.86)*10.764</f>
        <v>203.00903999999997</v>
      </c>
      <c r="E176" s="40">
        <v>0</v>
      </c>
      <c r="F176" s="40">
        <f t="shared" si="5"/>
        <v>324.81446399999999</v>
      </c>
      <c r="G176" s="84"/>
      <c r="H176" s="85"/>
      <c r="J176" s="34"/>
    </row>
    <row r="177" spans="1:14" s="35" customFormat="1" ht="15.75" customHeight="1" x14ac:dyDescent="0.25">
      <c r="A177" s="79">
        <f t="shared" si="6"/>
        <v>3</v>
      </c>
      <c r="B177" s="80"/>
      <c r="C177" s="40" t="s">
        <v>180</v>
      </c>
      <c r="D177" s="48">
        <f>(15.75)*10.764</f>
        <v>169.53299999999999</v>
      </c>
      <c r="E177" s="40">
        <v>0</v>
      </c>
      <c r="F177" s="40">
        <f t="shared" si="5"/>
        <v>271.25279999999998</v>
      </c>
      <c r="G177" s="84"/>
      <c r="H177" s="85"/>
      <c r="I177" s="34"/>
      <c r="L177" s="81"/>
      <c r="M177" s="81"/>
      <c r="N177" s="34"/>
    </row>
    <row r="178" spans="1:14" s="35" customFormat="1" x14ac:dyDescent="0.25">
      <c r="A178" s="79">
        <f t="shared" si="6"/>
        <v>4</v>
      </c>
      <c r="B178" s="80"/>
      <c r="C178" s="40" t="s">
        <v>180</v>
      </c>
      <c r="D178" s="48">
        <f>(19.94)*10.764</f>
        <v>214.63416000000001</v>
      </c>
      <c r="E178" s="40">
        <v>0</v>
      </c>
      <c r="F178" s="40">
        <f t="shared" si="5"/>
        <v>343.41465600000004</v>
      </c>
      <c r="G178" s="84"/>
      <c r="H178" s="85"/>
      <c r="I178" s="34"/>
      <c r="L178" s="81"/>
      <c r="M178" s="81"/>
      <c r="N178" s="34"/>
    </row>
    <row r="179" spans="1:14" s="35" customFormat="1" x14ac:dyDescent="0.25">
      <c r="A179" s="79">
        <f t="shared" si="6"/>
        <v>5</v>
      </c>
      <c r="B179" s="80"/>
      <c r="C179" s="40" t="s">
        <v>180</v>
      </c>
      <c r="D179" s="48">
        <f>(22.93)*10.764</f>
        <v>246.81851999999998</v>
      </c>
      <c r="E179" s="40">
        <v>0</v>
      </c>
      <c r="F179" s="40">
        <f t="shared" si="5"/>
        <v>394.90963199999999</v>
      </c>
      <c r="G179" s="84"/>
      <c r="H179" s="85"/>
      <c r="I179" s="34"/>
      <c r="L179" s="81"/>
      <c r="M179" s="81"/>
      <c r="N179" s="34"/>
    </row>
    <row r="180" spans="1:14" s="35" customFormat="1" x14ac:dyDescent="0.25">
      <c r="A180" s="79">
        <f t="shared" si="6"/>
        <v>6</v>
      </c>
      <c r="B180" s="80"/>
      <c r="C180" s="40" t="s">
        <v>180</v>
      </c>
      <c r="D180" s="48">
        <f>(24.69)*10.764</f>
        <v>265.76315999999997</v>
      </c>
      <c r="E180" s="40">
        <v>0</v>
      </c>
      <c r="F180" s="40">
        <f t="shared" si="5"/>
        <v>425.22105599999998</v>
      </c>
      <c r="G180" s="84"/>
      <c r="H180" s="85"/>
      <c r="I180" s="34"/>
      <c r="L180" s="81"/>
      <c r="M180" s="81"/>
      <c r="N180" s="34"/>
    </row>
    <row r="181" spans="1:14" s="35" customFormat="1" x14ac:dyDescent="0.25">
      <c r="A181" s="92" t="s">
        <v>181</v>
      </c>
      <c r="B181" s="93"/>
      <c r="C181" s="93"/>
      <c r="D181" s="93"/>
      <c r="E181" s="93"/>
      <c r="F181" s="93"/>
      <c r="G181" s="93"/>
      <c r="H181" s="94"/>
      <c r="I181" s="34"/>
      <c r="L181" s="81"/>
      <c r="M181" s="81"/>
      <c r="N181" s="34"/>
    </row>
    <row r="182" spans="1:14" s="35" customFormat="1" x14ac:dyDescent="0.25">
      <c r="A182" s="79">
        <v>1</v>
      </c>
      <c r="B182" s="80"/>
      <c r="C182" s="40" t="s">
        <v>180</v>
      </c>
      <c r="D182" s="48">
        <f>(34.29)*10.764</f>
        <v>369.09755999999999</v>
      </c>
      <c r="E182" s="40">
        <v>0</v>
      </c>
      <c r="F182" s="40">
        <f t="shared" ref="F182:F187" si="7">(D182+E182)*(($F$156)+1)</f>
        <v>590.55609600000003</v>
      </c>
      <c r="G182" s="82" t="str">
        <f>A181</f>
        <v>3rd Floor</v>
      </c>
      <c r="H182" s="83"/>
      <c r="I182" s="34"/>
      <c r="L182" s="81"/>
      <c r="M182" s="81"/>
      <c r="N182" s="34"/>
    </row>
    <row r="183" spans="1:14" s="35" customFormat="1" x14ac:dyDescent="0.25">
      <c r="A183" s="79">
        <f t="shared" ref="A183:A187" si="8">A182+1</f>
        <v>2</v>
      </c>
      <c r="B183" s="80"/>
      <c r="C183" s="40" t="s">
        <v>180</v>
      </c>
      <c r="D183" s="48">
        <f>(18.86)*10.764</f>
        <v>203.00903999999997</v>
      </c>
      <c r="E183" s="40">
        <v>0</v>
      </c>
      <c r="F183" s="40">
        <f t="shared" si="7"/>
        <v>324.81446399999999</v>
      </c>
      <c r="G183" s="84"/>
      <c r="H183" s="85"/>
      <c r="J183" s="34"/>
    </row>
    <row r="184" spans="1:14" s="35" customFormat="1" x14ac:dyDescent="0.25">
      <c r="A184" s="79">
        <f t="shared" si="8"/>
        <v>3</v>
      </c>
      <c r="B184" s="80"/>
      <c r="C184" s="40" t="s">
        <v>180</v>
      </c>
      <c r="D184" s="48">
        <f>(15.75)*10.764</f>
        <v>169.53299999999999</v>
      </c>
      <c r="E184" s="40">
        <v>0</v>
      </c>
      <c r="F184" s="40">
        <f t="shared" si="7"/>
        <v>271.25279999999998</v>
      </c>
      <c r="G184" s="84"/>
      <c r="H184" s="85"/>
      <c r="J184" s="34"/>
    </row>
    <row r="185" spans="1:14" s="35" customFormat="1" ht="15.75" customHeight="1" x14ac:dyDescent="0.25">
      <c r="A185" s="79">
        <f t="shared" si="8"/>
        <v>4</v>
      </c>
      <c r="B185" s="80"/>
      <c r="C185" s="40" t="s">
        <v>180</v>
      </c>
      <c r="D185" s="48">
        <f>(19.94)*10.764</f>
        <v>214.63416000000001</v>
      </c>
      <c r="E185" s="40">
        <v>0</v>
      </c>
      <c r="F185" s="40">
        <f t="shared" si="7"/>
        <v>343.41465600000004</v>
      </c>
      <c r="G185" s="84"/>
      <c r="H185" s="85"/>
      <c r="J185" s="34"/>
    </row>
    <row r="186" spans="1:14" s="35" customFormat="1" ht="15.75" customHeight="1" x14ac:dyDescent="0.25">
      <c r="A186" s="79">
        <f t="shared" si="8"/>
        <v>5</v>
      </c>
      <c r="B186" s="80"/>
      <c r="C186" s="40" t="s">
        <v>180</v>
      </c>
      <c r="D186" s="48">
        <f>(22.93)*10.764</f>
        <v>246.81851999999998</v>
      </c>
      <c r="E186" s="40">
        <v>0</v>
      </c>
      <c r="F186" s="40">
        <f t="shared" si="7"/>
        <v>394.90963199999999</v>
      </c>
      <c r="G186" s="84"/>
      <c r="H186" s="85"/>
      <c r="I186" s="34"/>
      <c r="L186" s="81"/>
      <c r="M186" s="81"/>
      <c r="N186" s="34"/>
    </row>
    <row r="187" spans="1:14" s="35" customFormat="1" x14ac:dyDescent="0.25">
      <c r="A187" s="79">
        <f t="shared" si="8"/>
        <v>6</v>
      </c>
      <c r="B187" s="80"/>
      <c r="C187" s="40" t="s">
        <v>180</v>
      </c>
      <c r="D187" s="48">
        <f>(24.69)*10.764</f>
        <v>265.76315999999997</v>
      </c>
      <c r="E187" s="40">
        <v>0</v>
      </c>
      <c r="F187" s="40">
        <f t="shared" si="7"/>
        <v>425.22105599999998</v>
      </c>
      <c r="G187" s="84"/>
      <c r="H187" s="85"/>
      <c r="I187" s="34"/>
      <c r="L187" s="81"/>
      <c r="M187" s="81"/>
      <c r="N187" s="34"/>
    </row>
    <row r="188" spans="1:14" s="35" customFormat="1" x14ac:dyDescent="0.25">
      <c r="A188" s="92" t="s">
        <v>178</v>
      </c>
      <c r="B188" s="93"/>
      <c r="C188" s="93"/>
      <c r="D188" s="93"/>
      <c r="E188" s="93"/>
      <c r="F188" s="93"/>
      <c r="G188" s="93"/>
      <c r="H188" s="94"/>
      <c r="I188" s="34"/>
      <c r="L188" s="81"/>
      <c r="M188" s="81"/>
      <c r="N188" s="34"/>
    </row>
    <row r="189" spans="1:14" s="35" customFormat="1" x14ac:dyDescent="0.25">
      <c r="A189" s="92" t="s">
        <v>175</v>
      </c>
      <c r="B189" s="93"/>
      <c r="C189" s="93"/>
      <c r="D189" s="93"/>
      <c r="E189" s="93"/>
      <c r="F189" s="93"/>
      <c r="G189" s="93"/>
      <c r="H189" s="94"/>
      <c r="I189" s="34"/>
      <c r="L189" s="81"/>
      <c r="M189" s="81"/>
      <c r="N189" s="34"/>
    </row>
    <row r="190" spans="1:14" s="35" customFormat="1" x14ac:dyDescent="0.25">
      <c r="A190" s="92" t="s">
        <v>176</v>
      </c>
      <c r="B190" s="93"/>
      <c r="C190" s="93"/>
      <c r="D190" s="93"/>
      <c r="E190" s="93"/>
      <c r="F190" s="93"/>
      <c r="G190" s="93"/>
      <c r="H190" s="94"/>
      <c r="I190" s="34"/>
      <c r="L190" s="81"/>
      <c r="M190" s="81"/>
      <c r="N190" s="34"/>
    </row>
    <row r="191" spans="1:14" s="35" customFormat="1" x14ac:dyDescent="0.25">
      <c r="A191" s="79">
        <v>1</v>
      </c>
      <c r="B191" s="80"/>
      <c r="C191" s="40" t="s">
        <v>177</v>
      </c>
      <c r="D191" s="48">
        <f>(24.87)*10.764</f>
        <v>267.70067999999998</v>
      </c>
      <c r="E191" s="40">
        <v>0</v>
      </c>
      <c r="F191" s="40">
        <f t="shared" ref="F191:F196" si="9">(D191+E191)*(($F$156)+1)</f>
        <v>428.32108799999997</v>
      </c>
      <c r="G191" s="82" t="str">
        <f>A190</f>
        <v>Ground Floor for Commercial &amp; Parking</v>
      </c>
      <c r="H191" s="83"/>
      <c r="I191" s="34"/>
      <c r="L191" s="81"/>
      <c r="M191" s="81"/>
      <c r="N191" s="34"/>
    </row>
    <row r="192" spans="1:14" s="35" customFormat="1" x14ac:dyDescent="0.25">
      <c r="A192" s="79" t="s">
        <v>232</v>
      </c>
      <c r="B192" s="80"/>
      <c r="C192" s="40" t="s">
        <v>177</v>
      </c>
      <c r="D192" s="48">
        <f>(16.82)*10.764</f>
        <v>181.05047999999999</v>
      </c>
      <c r="E192" s="40">
        <v>0</v>
      </c>
      <c r="F192" s="40">
        <f t="shared" si="9"/>
        <v>289.680768</v>
      </c>
      <c r="G192" s="84"/>
      <c r="H192" s="85"/>
      <c r="J192" s="34"/>
    </row>
    <row r="193" spans="1:14" s="35" customFormat="1" ht="15.75" customHeight="1" x14ac:dyDescent="0.25">
      <c r="A193" s="79" t="s">
        <v>231</v>
      </c>
      <c r="B193" s="80"/>
      <c r="C193" s="40" t="s">
        <v>177</v>
      </c>
      <c r="D193" s="48">
        <f>(13.86)*10.764</f>
        <v>149.18903999999998</v>
      </c>
      <c r="E193" s="40">
        <v>0</v>
      </c>
      <c r="F193" s="40">
        <f t="shared" si="9"/>
        <v>238.70246399999996</v>
      </c>
      <c r="G193" s="84"/>
      <c r="H193" s="85"/>
      <c r="I193" s="34"/>
      <c r="L193" s="81"/>
      <c r="M193" s="81"/>
      <c r="N193" s="34"/>
    </row>
    <row r="194" spans="1:14" s="35" customFormat="1" x14ac:dyDescent="0.25">
      <c r="A194" s="79">
        <v>3</v>
      </c>
      <c r="B194" s="80"/>
      <c r="C194" s="40" t="s">
        <v>177</v>
      </c>
      <c r="D194" s="48">
        <f>(14.28)*10.764</f>
        <v>153.70991999999998</v>
      </c>
      <c r="E194" s="40">
        <v>0</v>
      </c>
      <c r="F194" s="40">
        <f t="shared" si="9"/>
        <v>245.93587199999999</v>
      </c>
      <c r="G194" s="84"/>
      <c r="H194" s="85"/>
      <c r="I194" s="34"/>
      <c r="L194" s="81"/>
      <c r="M194" s="81"/>
      <c r="N194" s="34"/>
    </row>
    <row r="195" spans="1:14" s="35" customFormat="1" x14ac:dyDescent="0.25">
      <c r="A195" s="79" t="s">
        <v>234</v>
      </c>
      <c r="B195" s="80"/>
      <c r="C195" s="40" t="s">
        <v>177</v>
      </c>
      <c r="D195" s="48">
        <f>(17.74)*10.764</f>
        <v>190.95335999999998</v>
      </c>
      <c r="E195" s="40">
        <v>0</v>
      </c>
      <c r="F195" s="40">
        <f t="shared" si="9"/>
        <v>305.52537599999999</v>
      </c>
      <c r="G195" s="84"/>
      <c r="H195" s="85"/>
      <c r="I195" s="34"/>
      <c r="L195" s="81"/>
      <c r="M195" s="81"/>
      <c r="N195" s="34"/>
    </row>
    <row r="196" spans="1:14" s="35" customFormat="1" x14ac:dyDescent="0.25">
      <c r="A196" s="79" t="s">
        <v>233</v>
      </c>
      <c r="B196" s="80"/>
      <c r="C196" s="40" t="s">
        <v>177</v>
      </c>
      <c r="D196" s="48">
        <f>(18.39)*10.764</f>
        <v>197.94996</v>
      </c>
      <c r="E196" s="40">
        <v>0</v>
      </c>
      <c r="F196" s="40">
        <f t="shared" si="9"/>
        <v>316.71993600000002</v>
      </c>
      <c r="G196" s="86"/>
      <c r="H196" s="87"/>
      <c r="I196" s="34"/>
      <c r="L196" s="81"/>
      <c r="M196" s="81"/>
      <c r="N196" s="34"/>
    </row>
    <row r="197" spans="1:14" s="35" customFormat="1" x14ac:dyDescent="0.25">
      <c r="A197" s="92" t="s">
        <v>179</v>
      </c>
      <c r="B197" s="93"/>
      <c r="C197" s="93"/>
      <c r="D197" s="93"/>
      <c r="E197" s="93"/>
      <c r="F197" s="93"/>
      <c r="G197" s="93"/>
      <c r="H197" s="94"/>
      <c r="I197" s="34"/>
      <c r="L197" s="81"/>
      <c r="M197" s="81"/>
      <c r="N197" s="34"/>
    </row>
    <row r="198" spans="1:14" s="35" customFormat="1" x14ac:dyDescent="0.25">
      <c r="A198" s="79">
        <v>1</v>
      </c>
      <c r="B198" s="80"/>
      <c r="C198" s="40" t="s">
        <v>235</v>
      </c>
      <c r="D198" s="48">
        <f>(38.83)*10.764</f>
        <v>417.96611999999993</v>
      </c>
      <c r="E198" s="40">
        <v>0</v>
      </c>
      <c r="F198" s="40">
        <f t="shared" ref="F198:F203" si="10">(D198+E198)*(($F$156)+1)</f>
        <v>668.74579199999994</v>
      </c>
      <c r="G198" s="82" t="str">
        <f>A197</f>
        <v xml:space="preserve">1st Floor </v>
      </c>
      <c r="H198" s="83"/>
      <c r="I198" s="34"/>
      <c r="L198" s="81"/>
      <c r="M198" s="81"/>
      <c r="N198" s="34"/>
    </row>
    <row r="199" spans="1:14" s="35" customFormat="1" x14ac:dyDescent="0.25">
      <c r="A199" s="79">
        <f t="shared" ref="A199:A203" si="11">A198+1</f>
        <v>2</v>
      </c>
      <c r="B199" s="80"/>
      <c r="C199" s="40" t="s">
        <v>235</v>
      </c>
      <c r="D199" s="48">
        <f>(31.63)*10.764</f>
        <v>340.46531999999996</v>
      </c>
      <c r="E199" s="40">
        <v>0</v>
      </c>
      <c r="F199" s="40">
        <f t="shared" si="10"/>
        <v>544.74451199999999</v>
      </c>
      <c r="G199" s="84"/>
      <c r="H199" s="85"/>
      <c r="J199" s="34"/>
    </row>
    <row r="200" spans="1:14" s="35" customFormat="1" ht="15.75" customHeight="1" x14ac:dyDescent="0.25">
      <c r="A200" s="79">
        <f t="shared" si="11"/>
        <v>3</v>
      </c>
      <c r="B200" s="80"/>
      <c r="C200" s="40" t="s">
        <v>235</v>
      </c>
      <c r="D200" s="48">
        <f>(21.02)*10.764</f>
        <v>226.25927999999999</v>
      </c>
      <c r="E200" s="40">
        <v>0</v>
      </c>
      <c r="F200" s="40">
        <f t="shared" si="10"/>
        <v>362.01484800000003</v>
      </c>
      <c r="G200" s="84"/>
      <c r="H200" s="85"/>
      <c r="I200" s="34"/>
      <c r="L200" s="81"/>
      <c r="M200" s="81"/>
      <c r="N200" s="34"/>
    </row>
    <row r="201" spans="1:14" s="35" customFormat="1" x14ac:dyDescent="0.25">
      <c r="A201" s="79">
        <f t="shared" si="11"/>
        <v>4</v>
      </c>
      <c r="B201" s="80"/>
      <c r="C201" s="40" t="s">
        <v>235</v>
      </c>
      <c r="D201" s="48">
        <f>(19.94)*10.764</f>
        <v>214.63416000000001</v>
      </c>
      <c r="E201" s="40">
        <v>0</v>
      </c>
      <c r="F201" s="40">
        <f t="shared" si="10"/>
        <v>343.41465600000004</v>
      </c>
      <c r="G201" s="84"/>
      <c r="H201" s="85"/>
      <c r="I201" s="34"/>
      <c r="L201" s="81"/>
      <c r="M201" s="81"/>
      <c r="N201" s="34"/>
    </row>
    <row r="202" spans="1:14" s="35" customFormat="1" x14ac:dyDescent="0.25">
      <c r="A202" s="79">
        <f t="shared" si="11"/>
        <v>5</v>
      </c>
      <c r="B202" s="80"/>
      <c r="C202" s="40" t="s">
        <v>235</v>
      </c>
      <c r="D202" s="48">
        <f>(22.93)*10.764</f>
        <v>246.81851999999998</v>
      </c>
      <c r="E202" s="40">
        <v>0</v>
      </c>
      <c r="F202" s="40">
        <f t="shared" si="10"/>
        <v>394.90963199999999</v>
      </c>
      <c r="G202" s="84"/>
      <c r="H202" s="85"/>
      <c r="I202" s="34"/>
      <c r="L202" s="81"/>
      <c r="M202" s="81"/>
      <c r="N202" s="34"/>
    </row>
    <row r="203" spans="1:14" s="35" customFormat="1" x14ac:dyDescent="0.25">
      <c r="A203" s="79">
        <f t="shared" si="11"/>
        <v>6</v>
      </c>
      <c r="B203" s="80"/>
      <c r="C203" s="40" t="s">
        <v>235</v>
      </c>
      <c r="D203" s="48">
        <f>(24.69)*10.764</f>
        <v>265.76315999999997</v>
      </c>
      <c r="E203" s="40">
        <v>0</v>
      </c>
      <c r="F203" s="40">
        <f t="shared" si="10"/>
        <v>425.22105599999998</v>
      </c>
      <c r="G203" s="84"/>
      <c r="H203" s="85"/>
      <c r="I203" s="34"/>
      <c r="L203" s="81"/>
      <c r="M203" s="81"/>
      <c r="N203" s="34"/>
    </row>
    <row r="204" spans="1:14" s="35" customFormat="1" x14ac:dyDescent="0.25">
      <c r="A204" s="92" t="s">
        <v>116</v>
      </c>
      <c r="B204" s="93"/>
      <c r="C204" s="93"/>
      <c r="D204" s="93"/>
      <c r="E204" s="93"/>
      <c r="F204" s="93"/>
      <c r="G204" s="93"/>
      <c r="H204" s="94"/>
      <c r="I204" s="34"/>
      <c r="L204" s="81"/>
      <c r="M204" s="81"/>
      <c r="N204" s="34"/>
    </row>
    <row r="205" spans="1:14" s="35" customFormat="1" x14ac:dyDescent="0.25">
      <c r="A205" s="79">
        <v>1</v>
      </c>
      <c r="B205" s="80"/>
      <c r="C205" s="40" t="s">
        <v>235</v>
      </c>
      <c r="D205" s="48">
        <f>(38.83)*10.764</f>
        <v>417.96611999999993</v>
      </c>
      <c r="E205" s="40">
        <v>0</v>
      </c>
      <c r="F205" s="40">
        <f t="shared" ref="F205:F210" si="12">(D205+E205)*(($F$156)+1)</f>
        <v>668.74579199999994</v>
      </c>
      <c r="G205" s="82" t="str">
        <f>A204</f>
        <v>2nd Floor</v>
      </c>
      <c r="H205" s="83"/>
      <c r="I205" s="34"/>
      <c r="L205" s="81"/>
      <c r="M205" s="81"/>
      <c r="N205" s="34"/>
    </row>
    <row r="206" spans="1:14" s="35" customFormat="1" x14ac:dyDescent="0.25">
      <c r="A206" s="79">
        <f t="shared" ref="A206:A210" si="13">A205+1</f>
        <v>2</v>
      </c>
      <c r="B206" s="80"/>
      <c r="C206" s="40" t="s">
        <v>235</v>
      </c>
      <c r="D206" s="48">
        <f>(31.63)*10.764</f>
        <v>340.46531999999996</v>
      </c>
      <c r="E206" s="40">
        <v>0</v>
      </c>
      <c r="F206" s="40">
        <f t="shared" si="12"/>
        <v>544.74451199999999</v>
      </c>
      <c r="G206" s="84"/>
      <c r="H206" s="85"/>
      <c r="J206" s="34"/>
    </row>
    <row r="207" spans="1:14" s="35" customFormat="1" ht="15.75" customHeight="1" x14ac:dyDescent="0.25">
      <c r="A207" s="79">
        <f t="shared" si="13"/>
        <v>3</v>
      </c>
      <c r="B207" s="80"/>
      <c r="C207" s="40" t="s">
        <v>235</v>
      </c>
      <c r="D207" s="48">
        <f>(21.02)*10.764</f>
        <v>226.25927999999999</v>
      </c>
      <c r="E207" s="40">
        <v>0</v>
      </c>
      <c r="F207" s="40">
        <f t="shared" si="12"/>
        <v>362.01484800000003</v>
      </c>
      <c r="G207" s="84"/>
      <c r="H207" s="85"/>
      <c r="I207" s="34"/>
      <c r="L207" s="81"/>
      <c r="M207" s="81"/>
      <c r="N207" s="34"/>
    </row>
    <row r="208" spans="1:14" s="35" customFormat="1" x14ac:dyDescent="0.25">
      <c r="A208" s="79">
        <f t="shared" si="13"/>
        <v>4</v>
      </c>
      <c r="B208" s="80"/>
      <c r="C208" s="40" t="s">
        <v>235</v>
      </c>
      <c r="D208" s="48">
        <f>(19.94)*10.764</f>
        <v>214.63416000000001</v>
      </c>
      <c r="E208" s="40">
        <v>0</v>
      </c>
      <c r="F208" s="40">
        <f t="shared" si="12"/>
        <v>343.41465600000004</v>
      </c>
      <c r="G208" s="84"/>
      <c r="H208" s="85"/>
      <c r="I208" s="34"/>
      <c r="L208" s="81"/>
      <c r="M208" s="81"/>
      <c r="N208" s="34"/>
    </row>
    <row r="209" spans="1:14" s="35" customFormat="1" x14ac:dyDescent="0.25">
      <c r="A209" s="79">
        <f t="shared" si="13"/>
        <v>5</v>
      </c>
      <c r="B209" s="80"/>
      <c r="C209" s="40" t="s">
        <v>235</v>
      </c>
      <c r="D209" s="48">
        <f>(22.93)*10.764</f>
        <v>246.81851999999998</v>
      </c>
      <c r="E209" s="40">
        <v>0</v>
      </c>
      <c r="F209" s="40">
        <f t="shared" si="12"/>
        <v>394.90963199999999</v>
      </c>
      <c r="G209" s="84"/>
      <c r="H209" s="85"/>
      <c r="I209" s="34"/>
      <c r="L209" s="81"/>
      <c r="M209" s="81"/>
      <c r="N209" s="34"/>
    </row>
    <row r="210" spans="1:14" s="35" customFormat="1" x14ac:dyDescent="0.25">
      <c r="A210" s="79">
        <f t="shared" si="13"/>
        <v>6</v>
      </c>
      <c r="B210" s="80"/>
      <c r="C210" s="40" t="s">
        <v>235</v>
      </c>
      <c r="D210" s="48">
        <f>(24.69)*10.764</f>
        <v>265.76315999999997</v>
      </c>
      <c r="E210" s="40">
        <v>0</v>
      </c>
      <c r="F210" s="40">
        <f t="shared" si="12"/>
        <v>425.22105599999998</v>
      </c>
      <c r="G210" s="84"/>
      <c r="H210" s="85"/>
      <c r="I210" s="34"/>
      <c r="L210" s="81"/>
      <c r="M210" s="81"/>
      <c r="N210" s="34"/>
    </row>
    <row r="211" spans="1:14" s="35" customFormat="1" x14ac:dyDescent="0.25">
      <c r="A211" s="92" t="s">
        <v>181</v>
      </c>
      <c r="B211" s="93"/>
      <c r="C211" s="93"/>
      <c r="D211" s="93"/>
      <c r="E211" s="93"/>
      <c r="F211" s="93"/>
      <c r="G211" s="93"/>
      <c r="H211" s="94"/>
      <c r="I211" s="34"/>
      <c r="L211" s="81"/>
      <c r="M211" s="81"/>
      <c r="N211" s="34"/>
    </row>
    <row r="212" spans="1:14" s="35" customFormat="1" x14ac:dyDescent="0.25">
      <c r="A212" s="79">
        <v>1</v>
      </c>
      <c r="B212" s="80"/>
      <c r="C212" s="40" t="s">
        <v>235</v>
      </c>
      <c r="D212" s="48">
        <f>(38.83)*10.764</f>
        <v>417.96611999999993</v>
      </c>
      <c r="E212" s="40">
        <v>0</v>
      </c>
      <c r="F212" s="40">
        <f t="shared" ref="F212:F217" si="14">(D212+E212)*(($F$156)+1)</f>
        <v>668.74579199999994</v>
      </c>
      <c r="G212" s="82" t="str">
        <f>A211</f>
        <v>3rd Floor</v>
      </c>
      <c r="H212" s="83"/>
      <c r="I212" s="34"/>
      <c r="L212" s="81"/>
      <c r="M212" s="81"/>
      <c r="N212" s="34"/>
    </row>
    <row r="213" spans="1:14" s="35" customFormat="1" x14ac:dyDescent="0.25">
      <c r="A213" s="79">
        <f t="shared" ref="A213:A217" si="15">A212+1</f>
        <v>2</v>
      </c>
      <c r="B213" s="80"/>
      <c r="C213" s="40" t="s">
        <v>235</v>
      </c>
      <c r="D213" s="48">
        <f>(31.63)*10.764</f>
        <v>340.46531999999996</v>
      </c>
      <c r="E213" s="40">
        <v>0</v>
      </c>
      <c r="F213" s="40">
        <f t="shared" si="14"/>
        <v>544.74451199999999</v>
      </c>
      <c r="G213" s="84"/>
      <c r="H213" s="85"/>
      <c r="I213" s="34"/>
      <c r="N213" s="34"/>
    </row>
    <row r="214" spans="1:14" x14ac:dyDescent="0.25">
      <c r="A214" s="79">
        <f t="shared" si="15"/>
        <v>3</v>
      </c>
      <c r="B214" s="80"/>
      <c r="C214" s="40" t="s">
        <v>235</v>
      </c>
      <c r="D214" s="48">
        <f>(21.02)*10.764</f>
        <v>226.25927999999999</v>
      </c>
      <c r="E214" s="40">
        <v>0</v>
      </c>
      <c r="F214" s="40">
        <f t="shared" si="14"/>
        <v>362.01484800000003</v>
      </c>
      <c r="G214" s="84"/>
      <c r="H214" s="85"/>
      <c r="I214" s="34"/>
    </row>
    <row r="215" spans="1:14" s="35" customFormat="1" x14ac:dyDescent="0.25">
      <c r="A215" s="79">
        <f t="shared" si="15"/>
        <v>4</v>
      </c>
      <c r="B215" s="80"/>
      <c r="C215" s="40" t="s">
        <v>235</v>
      </c>
      <c r="D215" s="48">
        <f>(19.94)*10.764</f>
        <v>214.63416000000001</v>
      </c>
      <c r="E215" s="40">
        <v>0</v>
      </c>
      <c r="F215" s="40">
        <f t="shared" si="14"/>
        <v>343.41465600000004</v>
      </c>
      <c r="G215" s="84"/>
      <c r="H215" s="85"/>
      <c r="I215" s="34"/>
    </row>
    <row r="216" spans="1:14" s="35" customFormat="1" ht="15.75" customHeight="1" x14ac:dyDescent="0.25">
      <c r="A216" s="79">
        <f t="shared" si="15"/>
        <v>5</v>
      </c>
      <c r="B216" s="80"/>
      <c r="C216" s="40" t="s">
        <v>235</v>
      </c>
      <c r="D216" s="48">
        <f>(22.93)*10.764</f>
        <v>246.81851999999998</v>
      </c>
      <c r="E216" s="40">
        <v>0</v>
      </c>
      <c r="F216" s="40">
        <f t="shared" si="14"/>
        <v>394.90963199999999</v>
      </c>
      <c r="G216" s="84"/>
      <c r="H216" s="85"/>
      <c r="J216" s="34"/>
    </row>
    <row r="217" spans="1:14" s="35" customFormat="1" x14ac:dyDescent="0.25">
      <c r="A217" s="79">
        <f t="shared" si="15"/>
        <v>6</v>
      </c>
      <c r="B217" s="80"/>
      <c r="C217" s="40" t="s">
        <v>235</v>
      </c>
      <c r="D217" s="48">
        <f>(24.69)*10.764</f>
        <v>265.76315999999997</v>
      </c>
      <c r="E217" s="40">
        <v>0</v>
      </c>
      <c r="F217" s="40">
        <f t="shared" si="14"/>
        <v>425.22105599999998</v>
      </c>
      <c r="G217" s="84"/>
      <c r="H217" s="85"/>
      <c r="J217" s="34"/>
    </row>
    <row r="218" spans="1:14" s="35" customFormat="1" x14ac:dyDescent="0.25">
      <c r="A218" s="79"/>
      <c r="B218" s="91"/>
      <c r="C218" s="91"/>
      <c r="D218" s="91"/>
      <c r="E218" s="91"/>
      <c r="F218" s="91"/>
      <c r="G218" s="91"/>
      <c r="H218" s="80"/>
      <c r="I218" s="35">
        <v>1</v>
      </c>
      <c r="J218" s="34"/>
    </row>
    <row r="219" spans="1:14" s="35" customFormat="1" ht="52.5" customHeight="1" x14ac:dyDescent="0.25">
      <c r="A219" s="135" t="s">
        <v>119</v>
      </c>
      <c r="B219" s="135" t="s">
        <v>120</v>
      </c>
      <c r="C219" s="122" t="s">
        <v>54</v>
      </c>
      <c r="D219" s="122" t="s">
        <v>55</v>
      </c>
      <c r="E219" s="133" t="s">
        <v>56</v>
      </c>
      <c r="F219" s="41" t="s">
        <v>149</v>
      </c>
      <c r="G219" s="135" t="s">
        <v>57</v>
      </c>
      <c r="H219" s="136"/>
      <c r="I219" s="34"/>
      <c r="L219" s="81"/>
      <c r="M219" s="81"/>
      <c r="N219" s="34"/>
    </row>
    <row r="220" spans="1:14" s="35" customFormat="1" x14ac:dyDescent="0.25">
      <c r="A220" s="137"/>
      <c r="B220" s="137"/>
      <c r="C220" s="123"/>
      <c r="D220" s="123"/>
      <c r="E220" s="134"/>
      <c r="F220" s="13">
        <v>0.55000000000000004</v>
      </c>
      <c r="G220" s="137"/>
      <c r="H220" s="138"/>
      <c r="I220" s="34"/>
      <c r="L220" s="81"/>
      <c r="M220" s="81"/>
      <c r="N220" s="34"/>
    </row>
    <row r="221" spans="1:14" s="35" customFormat="1" x14ac:dyDescent="0.25">
      <c r="A221" s="92" t="s">
        <v>219</v>
      </c>
      <c r="B221" s="93"/>
      <c r="C221" s="93"/>
      <c r="D221" s="93"/>
      <c r="E221" s="93"/>
      <c r="F221" s="93"/>
      <c r="G221" s="93"/>
      <c r="H221" s="94"/>
      <c r="I221" s="34">
        <f>5.07*3.05+1.47*1.05+3.37*2.75+1.55*1.78</f>
        <v>29.033500000000004</v>
      </c>
      <c r="L221" s="81"/>
      <c r="M221" s="81"/>
      <c r="N221" s="34"/>
    </row>
    <row r="222" spans="1:14" s="35" customFormat="1" x14ac:dyDescent="0.25">
      <c r="A222" s="92" t="s">
        <v>174</v>
      </c>
      <c r="B222" s="93"/>
      <c r="C222" s="93"/>
      <c r="D222" s="93"/>
      <c r="E222" s="93"/>
      <c r="F222" s="93"/>
      <c r="G222" s="93"/>
      <c r="H222" s="94"/>
      <c r="I222" s="34"/>
      <c r="L222" s="81"/>
      <c r="M222" s="81"/>
      <c r="N222" s="34"/>
    </row>
    <row r="223" spans="1:14" s="35" customFormat="1" x14ac:dyDescent="0.25">
      <c r="A223" s="92" t="s">
        <v>182</v>
      </c>
      <c r="B223" s="93"/>
      <c r="C223" s="93"/>
      <c r="D223" s="93"/>
      <c r="E223" s="93"/>
      <c r="F223" s="93"/>
      <c r="G223" s="93"/>
      <c r="H223" s="94"/>
      <c r="I223" s="35">
        <v>1</v>
      </c>
      <c r="J223" s="34"/>
    </row>
    <row r="224" spans="1:14" s="35" customFormat="1" ht="15.75" customHeight="1" x14ac:dyDescent="0.25">
      <c r="A224" s="79">
        <v>1</v>
      </c>
      <c r="B224" s="80"/>
      <c r="C224" s="82" t="s">
        <v>183</v>
      </c>
      <c r="D224" s="88"/>
      <c r="E224" s="88"/>
      <c r="F224" s="83"/>
      <c r="G224" s="82" t="str">
        <f>A223</f>
        <v>1st Floor for Residential &amp; Commercial</v>
      </c>
      <c r="H224" s="83"/>
      <c r="I224" s="34"/>
      <c r="L224" s="81"/>
      <c r="M224" s="81"/>
      <c r="N224" s="34"/>
    </row>
    <row r="225" spans="1:14" s="35" customFormat="1" x14ac:dyDescent="0.25">
      <c r="A225" s="79">
        <v>2</v>
      </c>
      <c r="B225" s="80"/>
      <c r="C225" s="86"/>
      <c r="D225" s="90"/>
      <c r="E225" s="90"/>
      <c r="F225" s="87"/>
      <c r="G225" s="84"/>
      <c r="H225" s="85"/>
      <c r="I225" s="34"/>
      <c r="L225" s="81"/>
      <c r="M225" s="81"/>
      <c r="N225" s="34"/>
    </row>
    <row r="226" spans="1:14" s="35" customFormat="1" x14ac:dyDescent="0.25">
      <c r="A226" s="79">
        <v>3</v>
      </c>
      <c r="B226" s="80"/>
      <c r="C226" s="40" t="s">
        <v>184</v>
      </c>
      <c r="D226" s="48">
        <f>(30.33)*10.764</f>
        <v>326.47211999999996</v>
      </c>
      <c r="E226" s="40">
        <v>0</v>
      </c>
      <c r="F226" s="40">
        <f>D226*(($F$220)+1)+(IF(E226&lt;101,E226,IF(E226&lt;201,E226/2,IF(E226&lt;=301,E226/3,E226/4))))</f>
        <v>506.03178599999995</v>
      </c>
      <c r="G226" s="84"/>
      <c r="H226" s="85"/>
      <c r="I226" s="34"/>
      <c r="L226" s="81"/>
      <c r="M226" s="81"/>
      <c r="N226" s="34"/>
    </row>
    <row r="227" spans="1:14" s="35" customFormat="1" x14ac:dyDescent="0.25">
      <c r="A227" s="79">
        <v>4</v>
      </c>
      <c r="B227" s="80"/>
      <c r="C227" s="40" t="s">
        <v>185</v>
      </c>
      <c r="D227" s="48">
        <f>(53.67)*10.764</f>
        <v>577.70388000000003</v>
      </c>
      <c r="E227" s="40">
        <v>0</v>
      </c>
      <c r="F227" s="40">
        <f>D227*(($F$220)+1)+(IF(E227&lt;101,E227,IF(E227&lt;201,E227/2,IF(E227&lt;=301,E227/3,E227/4))))</f>
        <v>895.44101400000011</v>
      </c>
      <c r="G227" s="84"/>
      <c r="H227" s="85"/>
      <c r="I227" s="34"/>
      <c r="L227" s="81"/>
      <c r="M227" s="81"/>
      <c r="N227" s="34"/>
    </row>
    <row r="228" spans="1:14" s="35" customFormat="1" x14ac:dyDescent="0.25">
      <c r="A228" s="92" t="s">
        <v>116</v>
      </c>
      <c r="B228" s="93"/>
      <c r="C228" s="93"/>
      <c r="D228" s="93"/>
      <c r="E228" s="93"/>
      <c r="F228" s="93"/>
      <c r="G228" s="93"/>
      <c r="H228" s="94"/>
      <c r="I228" s="35">
        <v>1</v>
      </c>
      <c r="J228" s="34"/>
    </row>
    <row r="229" spans="1:14" s="35" customFormat="1" ht="15.75" customHeight="1" x14ac:dyDescent="0.25">
      <c r="A229" s="79">
        <v>1</v>
      </c>
      <c r="B229" s="80"/>
      <c r="C229" s="82" t="s">
        <v>183</v>
      </c>
      <c r="D229" s="88"/>
      <c r="E229" s="88"/>
      <c r="F229" s="83"/>
      <c r="G229" s="82" t="str">
        <f>A228</f>
        <v>2nd Floor</v>
      </c>
      <c r="H229" s="83"/>
      <c r="I229" s="34"/>
      <c r="J229" s="35">
        <f>5.07*3.05+3.37*2.75+1.55*1.71</f>
        <v>27.381500000000003</v>
      </c>
      <c r="L229" s="81"/>
      <c r="M229" s="81"/>
      <c r="N229" s="34"/>
    </row>
    <row r="230" spans="1:14" s="35" customFormat="1" x14ac:dyDescent="0.25">
      <c r="A230" s="79">
        <f t="shared" ref="A230:A231" si="16">A229+1</f>
        <v>2</v>
      </c>
      <c r="B230" s="80"/>
      <c r="C230" s="86"/>
      <c r="D230" s="90"/>
      <c r="E230" s="90"/>
      <c r="F230" s="87"/>
      <c r="G230" s="84"/>
      <c r="H230" s="85"/>
      <c r="I230" s="34" t="s">
        <v>236</v>
      </c>
      <c r="L230" s="81"/>
      <c r="M230" s="81"/>
      <c r="N230" s="34"/>
    </row>
    <row r="231" spans="1:14" s="35" customFormat="1" x14ac:dyDescent="0.25">
      <c r="A231" s="79">
        <f t="shared" si="16"/>
        <v>3</v>
      </c>
      <c r="B231" s="80"/>
      <c r="C231" s="40" t="s">
        <v>184</v>
      </c>
      <c r="D231" s="48">
        <f>(30.33)*10.764</f>
        <v>326.47211999999996</v>
      </c>
      <c r="E231" s="40">
        <v>0</v>
      </c>
      <c r="F231" s="40">
        <f>D231*(($F$220)+1)+(IF(E231&lt;101,E231,IF(E231&lt;201,E231/2,IF(E231&lt;=301,E231/3,E231/4))))</f>
        <v>506.03178599999995</v>
      </c>
      <c r="G231" s="84"/>
      <c r="H231" s="85"/>
      <c r="I231" s="34"/>
      <c r="L231" s="81"/>
      <c r="M231" s="81"/>
      <c r="N231" s="34"/>
    </row>
    <row r="232" spans="1:14" s="35" customFormat="1" x14ac:dyDescent="0.25">
      <c r="A232" s="79">
        <f>A231+1</f>
        <v>4</v>
      </c>
      <c r="B232" s="80"/>
      <c r="C232" s="40" t="s">
        <v>185</v>
      </c>
      <c r="D232" s="48">
        <f>(53.67)*10.764</f>
        <v>577.70388000000003</v>
      </c>
      <c r="E232" s="40">
        <v>0</v>
      </c>
      <c r="F232" s="40">
        <f>D232*(($F$220)+1)+(IF(E232&lt;101,E232,IF(E232&lt;201,E232/2,IF(E232&lt;=301,E232/3,E232/4))))</f>
        <v>895.44101400000011</v>
      </c>
      <c r="G232" s="86"/>
      <c r="H232" s="87"/>
      <c r="I232" s="34"/>
      <c r="J232" s="34">
        <f>17500000/F237</f>
        <v>19543.442534339843</v>
      </c>
      <c r="L232" s="81"/>
      <c r="M232" s="81"/>
      <c r="N232" s="34"/>
    </row>
    <row r="233" spans="1:14" s="35" customFormat="1" ht="15.75" customHeight="1" x14ac:dyDescent="0.25">
      <c r="A233" s="92" t="s">
        <v>181</v>
      </c>
      <c r="B233" s="93"/>
      <c r="C233" s="93"/>
      <c r="D233" s="93"/>
      <c r="E233" s="93"/>
      <c r="F233" s="93"/>
      <c r="G233" s="93"/>
      <c r="H233" s="94"/>
      <c r="I233" s="35">
        <v>1</v>
      </c>
      <c r="J233" s="34"/>
    </row>
    <row r="234" spans="1:14" s="35" customFormat="1" ht="15.75" customHeight="1" x14ac:dyDescent="0.25">
      <c r="A234" s="79">
        <v>1</v>
      </c>
      <c r="B234" s="80"/>
      <c r="C234" s="82" t="s">
        <v>183</v>
      </c>
      <c r="D234" s="88"/>
      <c r="E234" s="88"/>
      <c r="F234" s="83"/>
      <c r="G234" s="82" t="str">
        <f>A233</f>
        <v>3rd Floor</v>
      </c>
      <c r="H234" s="83"/>
      <c r="I234" s="34"/>
      <c r="J234" s="34">
        <f>13000000/F239</f>
        <v>16092.116941800028</v>
      </c>
      <c r="L234" s="81"/>
      <c r="M234" s="81"/>
      <c r="N234" s="34"/>
    </row>
    <row r="235" spans="1:14" s="35" customFormat="1" x14ac:dyDescent="0.25">
      <c r="A235" s="79">
        <f t="shared" ref="A235:A237" si="17">A234+1</f>
        <v>2</v>
      </c>
      <c r="B235" s="80"/>
      <c r="C235" s="86"/>
      <c r="D235" s="90"/>
      <c r="E235" s="90"/>
      <c r="F235" s="87"/>
      <c r="G235" s="84"/>
      <c r="H235" s="85"/>
      <c r="I235" s="34"/>
      <c r="J235" s="34">
        <f>9500000/F240</f>
        <v>15192.128872955001</v>
      </c>
      <c r="L235" s="81"/>
      <c r="M235" s="81"/>
      <c r="N235" s="34"/>
    </row>
    <row r="236" spans="1:14" s="35" customFormat="1" x14ac:dyDescent="0.25">
      <c r="A236" s="79">
        <f t="shared" si="17"/>
        <v>3</v>
      </c>
      <c r="B236" s="80"/>
      <c r="C236" s="40" t="s">
        <v>184</v>
      </c>
      <c r="D236" s="48">
        <f>(30.33)*10.764</f>
        <v>326.47211999999996</v>
      </c>
      <c r="E236" s="40">
        <v>0</v>
      </c>
      <c r="F236" s="40">
        <f>D236*(($F$220)+1)+(IF(E236&lt;101,E236,IF(E236&lt;201,E236/2,IF(E236&lt;=301,E236/3,E236/4))))</f>
        <v>506.03178599999995</v>
      </c>
      <c r="G236" s="84"/>
      <c r="H236" s="85"/>
      <c r="I236" s="34"/>
      <c r="L236" s="81"/>
      <c r="M236" s="81"/>
      <c r="N236" s="34"/>
    </row>
    <row r="237" spans="1:14" s="35" customFormat="1" x14ac:dyDescent="0.25">
      <c r="A237" s="79">
        <f t="shared" si="17"/>
        <v>4</v>
      </c>
      <c r="B237" s="80"/>
      <c r="C237" s="40" t="s">
        <v>185</v>
      </c>
      <c r="D237" s="48">
        <f>(53.67)*10.764</f>
        <v>577.70388000000003</v>
      </c>
      <c r="E237" s="40">
        <v>0</v>
      </c>
      <c r="F237" s="40">
        <f>D237*(($F$220)+1)+(IF(E237&lt;101,E237,IF(E237&lt;201,E237/2,IF(E237&lt;=301,E237/3,E237/4))))</f>
        <v>895.44101400000011</v>
      </c>
      <c r="G237" s="86"/>
      <c r="H237" s="87"/>
      <c r="I237" s="34"/>
      <c r="L237" s="81"/>
      <c r="M237" s="81"/>
      <c r="N237" s="34"/>
    </row>
    <row r="238" spans="1:14" s="35" customFormat="1" x14ac:dyDescent="0.25">
      <c r="A238" s="92" t="s">
        <v>193</v>
      </c>
      <c r="B238" s="93"/>
      <c r="C238" s="93"/>
      <c r="D238" s="93"/>
      <c r="E238" s="93"/>
      <c r="F238" s="93"/>
      <c r="G238" s="93"/>
      <c r="H238" s="94"/>
      <c r="I238" s="34"/>
      <c r="L238" s="81"/>
      <c r="M238" s="81"/>
      <c r="N238" s="34"/>
    </row>
    <row r="239" spans="1:14" s="35" customFormat="1" ht="15.75" customHeight="1" x14ac:dyDescent="0.25">
      <c r="A239" s="79">
        <v>1</v>
      </c>
      <c r="B239" s="80"/>
      <c r="C239" s="40" t="s">
        <v>190</v>
      </c>
      <c r="D239" s="48">
        <f>(48.42)*10.764</f>
        <v>521.19287999999995</v>
      </c>
      <c r="E239" s="40">
        <v>0</v>
      </c>
      <c r="F239" s="40">
        <f>D239*(($F$220)+1)+(IF(E239&lt;101,E239,IF(E239&lt;201,E239/2,IF(E239&lt;=301,E239/3,E239/4))))</f>
        <v>807.84896399999991</v>
      </c>
      <c r="G239" s="82" t="str">
        <f>A238</f>
        <v>4th Floor for Residential &amp; Fitness Center</v>
      </c>
      <c r="H239" s="83"/>
      <c r="I239" s="35">
        <v>11</v>
      </c>
      <c r="J239" s="34"/>
    </row>
    <row r="240" spans="1:14" s="35" customFormat="1" ht="15.75" customHeight="1" x14ac:dyDescent="0.25">
      <c r="A240" s="79">
        <v>2</v>
      </c>
      <c r="B240" s="80"/>
      <c r="C240" s="40" t="s">
        <v>191</v>
      </c>
      <c r="D240" s="48">
        <f>(37.48)*10.764</f>
        <v>403.43471999999997</v>
      </c>
      <c r="E240" s="40">
        <v>0</v>
      </c>
      <c r="F240" s="40">
        <f>D240*(($F$220)+1)+(IF(E240&lt;101,E240,IF(E240&lt;201,E240/2,IF(E240&lt;=301,E240/3,E240/4))))</f>
        <v>625.32381599999997</v>
      </c>
      <c r="G240" s="84"/>
      <c r="H240" s="85"/>
      <c r="I240" s="34"/>
      <c r="K240" s="35">
        <f>3+2+3+4+2</f>
        <v>14</v>
      </c>
      <c r="L240" s="81"/>
      <c r="M240" s="81"/>
      <c r="N240" s="34"/>
    </row>
    <row r="241" spans="1:14" s="35" customFormat="1" x14ac:dyDescent="0.25">
      <c r="A241" s="79">
        <v>3</v>
      </c>
      <c r="B241" s="80"/>
      <c r="C241" s="40" t="s">
        <v>184</v>
      </c>
      <c r="D241" s="48">
        <f>(30.33)*10.764</f>
        <v>326.47211999999996</v>
      </c>
      <c r="E241" s="40">
        <v>0</v>
      </c>
      <c r="F241" s="40">
        <f>D241*(($F$220)+1)+(IF(E241&lt;101,E241,IF(E241&lt;201,E241/2,IF(E241&lt;=301,E241/3,E241/4))))</f>
        <v>506.03178599999995</v>
      </c>
      <c r="G241" s="84"/>
      <c r="H241" s="85"/>
      <c r="I241" s="34"/>
      <c r="L241" s="81"/>
      <c r="M241" s="81"/>
      <c r="N241" s="34"/>
    </row>
    <row r="242" spans="1:14" s="35" customFormat="1" x14ac:dyDescent="0.25">
      <c r="A242" s="79">
        <v>4</v>
      </c>
      <c r="B242" s="80"/>
      <c r="C242" s="40" t="s">
        <v>185</v>
      </c>
      <c r="D242" s="48">
        <f>(53.67)*10.764</f>
        <v>577.70388000000003</v>
      </c>
      <c r="E242" s="40">
        <v>0</v>
      </c>
      <c r="F242" s="40">
        <f>D242*(($F$220)+1)+(IF(E242&lt;101,E242,IF(E242&lt;201,E242/2,IF(E242&lt;=301,E242/3,E242/4))))</f>
        <v>895.44101400000011</v>
      </c>
      <c r="G242" s="84"/>
      <c r="H242" s="85"/>
      <c r="I242" s="34"/>
      <c r="L242" s="81"/>
      <c r="M242" s="81"/>
      <c r="N242" s="34"/>
    </row>
    <row r="243" spans="1:14" s="35" customFormat="1" x14ac:dyDescent="0.25">
      <c r="A243" s="79">
        <v>5</v>
      </c>
      <c r="B243" s="80"/>
      <c r="C243" s="79" t="s">
        <v>194</v>
      </c>
      <c r="D243" s="91"/>
      <c r="E243" s="91"/>
      <c r="F243" s="80"/>
      <c r="G243" s="86"/>
      <c r="H243" s="87"/>
      <c r="I243" s="34"/>
      <c r="L243" s="81"/>
      <c r="M243" s="81"/>
      <c r="N243" s="34"/>
    </row>
    <row r="244" spans="1:14" s="35" customFormat="1" x14ac:dyDescent="0.25">
      <c r="A244" s="92" t="s">
        <v>237</v>
      </c>
      <c r="B244" s="93"/>
      <c r="C244" s="93"/>
      <c r="D244" s="93"/>
      <c r="E244" s="93"/>
      <c r="F244" s="93"/>
      <c r="G244" s="93"/>
      <c r="H244" s="94"/>
      <c r="I244" s="34"/>
      <c r="L244" s="81"/>
      <c r="M244" s="81"/>
      <c r="N244" s="34"/>
    </row>
    <row r="245" spans="1:14" s="35" customFormat="1" ht="15.75" customHeight="1" x14ac:dyDescent="0.25">
      <c r="A245" s="79">
        <v>1</v>
      </c>
      <c r="B245" s="80"/>
      <c r="C245" s="40" t="s">
        <v>190</v>
      </c>
      <c r="D245" s="48">
        <f>(48.42)*10.764</f>
        <v>521.19287999999995</v>
      </c>
      <c r="E245" s="40">
        <v>0</v>
      </c>
      <c r="F245" s="40">
        <f>D245*(($F$220)+1)+(IF(E245&lt;101,E245,IF(E245&lt;201,E245/2,IF(E245&lt;=301,E245/3,E245/4))))</f>
        <v>807.84896399999991</v>
      </c>
      <c r="G245" s="82" t="str">
        <f>A244</f>
        <v>5th to 7th, 9th to 10th &amp; 12th to 14th, 16th to 19th, 21st to 22nd Floor</v>
      </c>
      <c r="H245" s="83"/>
      <c r="I245" s="35">
        <v>1</v>
      </c>
      <c r="J245" s="34"/>
    </row>
    <row r="246" spans="1:14" s="35" customFormat="1" ht="15.75" customHeight="1" x14ac:dyDescent="0.25">
      <c r="A246" s="79">
        <f t="shared" ref="A246:A249" si="18">A245+1</f>
        <v>2</v>
      </c>
      <c r="B246" s="80"/>
      <c r="C246" s="40" t="s">
        <v>191</v>
      </c>
      <c r="D246" s="48">
        <f>(37.48)*10.764</f>
        <v>403.43471999999997</v>
      </c>
      <c r="E246" s="40">
        <v>0</v>
      </c>
      <c r="F246" s="40">
        <f>D246*(($F$220)+1)+(IF(E246&lt;101,E246,IF(E246&lt;201,E246/2,IF(E246&lt;=301,E246/3,E246/4))))</f>
        <v>625.32381599999997</v>
      </c>
      <c r="G246" s="84"/>
      <c r="H246" s="85"/>
      <c r="I246" s="34"/>
      <c r="L246" s="81"/>
      <c r="M246" s="81"/>
      <c r="N246" s="34"/>
    </row>
    <row r="247" spans="1:14" s="35" customFormat="1" x14ac:dyDescent="0.25">
      <c r="A247" s="79">
        <f t="shared" si="18"/>
        <v>3</v>
      </c>
      <c r="B247" s="80"/>
      <c r="C247" s="40" t="s">
        <v>184</v>
      </c>
      <c r="D247" s="48">
        <f>(30.33)*10.764</f>
        <v>326.47211999999996</v>
      </c>
      <c r="E247" s="40">
        <v>0</v>
      </c>
      <c r="F247" s="40">
        <f>D247*(($F$220)+1)+(IF(E247&lt;101,E247,IF(E247&lt;201,E247/2,IF(E247&lt;=301,E247/3,E247/4))))</f>
        <v>506.03178599999995</v>
      </c>
      <c r="G247" s="84"/>
      <c r="H247" s="85"/>
      <c r="I247" s="34"/>
      <c r="L247" s="81"/>
      <c r="M247" s="81"/>
      <c r="N247" s="34"/>
    </row>
    <row r="248" spans="1:14" s="35" customFormat="1" x14ac:dyDescent="0.25">
      <c r="A248" s="79">
        <f t="shared" si="18"/>
        <v>4</v>
      </c>
      <c r="B248" s="80"/>
      <c r="C248" s="40" t="s">
        <v>185</v>
      </c>
      <c r="D248" s="48">
        <f>(53.67)*10.764</f>
        <v>577.70388000000003</v>
      </c>
      <c r="E248" s="40">
        <v>0</v>
      </c>
      <c r="F248" s="40">
        <f>D248*(($F$220)+1)+(IF(E248&lt;101,E248,IF(E248&lt;201,E248/2,IF(E248&lt;=301,E248/3,E248/4))))</f>
        <v>895.44101400000011</v>
      </c>
      <c r="G248" s="84"/>
      <c r="H248" s="85"/>
      <c r="I248" s="34"/>
      <c r="L248" s="81"/>
      <c r="M248" s="81"/>
      <c r="N248" s="34"/>
    </row>
    <row r="249" spans="1:14" s="35" customFormat="1" x14ac:dyDescent="0.25">
      <c r="A249" s="79">
        <f t="shared" si="18"/>
        <v>5</v>
      </c>
      <c r="B249" s="80"/>
      <c r="C249" s="40" t="s">
        <v>190</v>
      </c>
      <c r="D249" s="48">
        <f>(49.16)*10.764</f>
        <v>529.15823999999998</v>
      </c>
      <c r="E249" s="40">
        <v>0</v>
      </c>
      <c r="F249" s="40">
        <f>D249*(($F$220)+1)+(IF(E249&lt;101,E249,IF(E249&lt;201,E249/2,IF(E249&lt;=301,E249/3,E249/4))))</f>
        <v>820.19527200000005</v>
      </c>
      <c r="G249" s="86"/>
      <c r="H249" s="87"/>
      <c r="I249" s="34"/>
      <c r="L249" s="81"/>
      <c r="M249" s="81"/>
      <c r="N249" s="34"/>
    </row>
    <row r="250" spans="1:14" s="35" customFormat="1" x14ac:dyDescent="0.25">
      <c r="A250" s="92" t="s">
        <v>238</v>
      </c>
      <c r="B250" s="93"/>
      <c r="C250" s="93"/>
      <c r="D250" s="93"/>
      <c r="E250" s="93"/>
      <c r="F250" s="93"/>
      <c r="G250" s="93"/>
      <c r="H250" s="94"/>
      <c r="I250" s="34"/>
      <c r="N250" s="34"/>
    </row>
    <row r="251" spans="1:14" s="35" customFormat="1" ht="15.75" customHeight="1" x14ac:dyDescent="0.25">
      <c r="A251" s="79">
        <v>1</v>
      </c>
      <c r="B251" s="80"/>
      <c r="C251" s="40" t="s">
        <v>190</v>
      </c>
      <c r="D251" s="48">
        <f>(48.42)*10.764</f>
        <v>521.19287999999995</v>
      </c>
      <c r="E251" s="40">
        <v>0</v>
      </c>
      <c r="F251" s="40">
        <f>D251*(($F$220)+1)+(IF(E251&lt;101,E251,IF(E251&lt;201,E251/2,IF(E251&lt;=301,E251/3,E251/4))))</f>
        <v>807.84896399999991</v>
      </c>
      <c r="G251" s="88" t="str">
        <f>A250</f>
        <v>11th Floor</v>
      </c>
      <c r="H251" s="83"/>
      <c r="I251" s="35">
        <v>1</v>
      </c>
      <c r="J251" s="34"/>
    </row>
    <row r="252" spans="1:14" s="35" customFormat="1" ht="15.75" customHeight="1" x14ac:dyDescent="0.25">
      <c r="A252" s="79">
        <f t="shared" ref="A252:A255" si="19">A251+1</f>
        <v>2</v>
      </c>
      <c r="B252" s="80"/>
      <c r="C252" s="40" t="s">
        <v>191</v>
      </c>
      <c r="D252" s="48">
        <f>(37.48)*10.764</f>
        <v>403.43471999999997</v>
      </c>
      <c r="E252" s="40">
        <v>0</v>
      </c>
      <c r="F252" s="40">
        <f>D252*(($F$220)+1)+(IF(E252&lt;101,E252,IF(E252&lt;201,E252/2,IF(E252&lt;=301,E252/3,E252/4))))</f>
        <v>625.32381599999997</v>
      </c>
      <c r="G252" s="89"/>
      <c r="H252" s="85"/>
      <c r="I252" s="34"/>
      <c r="L252" s="81"/>
      <c r="M252" s="81"/>
      <c r="N252" s="34"/>
    </row>
    <row r="253" spans="1:14" s="35" customFormat="1" x14ac:dyDescent="0.25">
      <c r="A253" s="79">
        <f t="shared" si="19"/>
        <v>3</v>
      </c>
      <c r="B253" s="80"/>
      <c r="C253" s="40" t="s">
        <v>184</v>
      </c>
      <c r="D253" s="48">
        <f>(30.33)*10.764</f>
        <v>326.47211999999996</v>
      </c>
      <c r="E253" s="40">
        <v>0</v>
      </c>
      <c r="F253" s="40">
        <f>D253*(($F$220)+1)+(IF(E253&lt;101,E253,IF(E253&lt;201,E253/2,IF(E253&lt;=301,E253/3,E253/4))))</f>
        <v>506.03178599999995</v>
      </c>
      <c r="G253" s="89"/>
      <c r="H253" s="85"/>
      <c r="I253" s="34"/>
      <c r="L253" s="81"/>
      <c r="M253" s="81"/>
      <c r="N253" s="34"/>
    </row>
    <row r="254" spans="1:14" s="35" customFormat="1" x14ac:dyDescent="0.25">
      <c r="A254" s="79">
        <f t="shared" si="19"/>
        <v>4</v>
      </c>
      <c r="B254" s="80"/>
      <c r="C254" s="40" t="s">
        <v>185</v>
      </c>
      <c r="D254" s="48">
        <f>(53.67)*10.764</f>
        <v>577.70388000000003</v>
      </c>
      <c r="E254" s="40">
        <v>0</v>
      </c>
      <c r="F254" s="40">
        <f>D254*(($F$220)+1)+(IF(E254&lt;101,E254,IF(E254&lt;201,E254/2,IF(E254&lt;=301,E254/3,E254/4))))</f>
        <v>895.44101400000011</v>
      </c>
      <c r="G254" s="89"/>
      <c r="H254" s="85"/>
      <c r="I254" s="34"/>
      <c r="L254" s="81"/>
      <c r="M254" s="81"/>
      <c r="N254" s="34"/>
    </row>
    <row r="255" spans="1:14" s="35" customFormat="1" x14ac:dyDescent="0.25">
      <c r="A255" s="79">
        <f t="shared" si="19"/>
        <v>5</v>
      </c>
      <c r="B255" s="80"/>
      <c r="C255" s="40" t="s">
        <v>190</v>
      </c>
      <c r="D255" s="48">
        <f>(49.16)*10.764</f>
        <v>529.15823999999998</v>
      </c>
      <c r="E255" s="40">
        <v>0</v>
      </c>
      <c r="F255" s="40">
        <f>D255*(($F$220)+1)+(IF(E255&lt;101,E255,IF(E255&lt;201,E255/2,IF(E255&lt;=301,E255/3,E255/4))))</f>
        <v>820.19527200000005</v>
      </c>
      <c r="G255" s="90"/>
      <c r="H255" s="87"/>
      <c r="I255" s="34"/>
      <c r="L255" s="81"/>
      <c r="M255" s="81"/>
      <c r="N255" s="34"/>
    </row>
    <row r="256" spans="1:14" s="35" customFormat="1" x14ac:dyDescent="0.25">
      <c r="A256" s="92" t="s">
        <v>239</v>
      </c>
      <c r="B256" s="93"/>
      <c r="C256" s="93"/>
      <c r="D256" s="93"/>
      <c r="E256" s="93"/>
      <c r="F256" s="93"/>
      <c r="G256" s="93"/>
      <c r="H256" s="94"/>
      <c r="I256" s="34"/>
      <c r="N256" s="34"/>
    </row>
    <row r="257" spans="1:14" s="35" customFormat="1" ht="15.75" customHeight="1" x14ac:dyDescent="0.25">
      <c r="A257" s="79">
        <v>1</v>
      </c>
      <c r="B257" s="80"/>
      <c r="C257" s="40" t="s">
        <v>190</v>
      </c>
      <c r="D257" s="48">
        <f>(48.42)*10.764</f>
        <v>521.19287999999995</v>
      </c>
      <c r="E257" s="40">
        <v>0</v>
      </c>
      <c r="F257" s="40">
        <f>D257*(($F$220)+1)+(IF(E257&lt;101,E257,IF(E257&lt;201,E257/2,IF(E257&lt;=301,E257/3,E257/4))))</f>
        <v>807.84896399999991</v>
      </c>
      <c r="G257" s="82" t="str">
        <f>A256</f>
        <v>20th Floor</v>
      </c>
      <c r="H257" s="83"/>
      <c r="I257" s="35">
        <v>1</v>
      </c>
      <c r="J257" s="34"/>
    </row>
    <row r="258" spans="1:14" s="35" customFormat="1" ht="15.75" customHeight="1" x14ac:dyDescent="0.25">
      <c r="A258" s="79">
        <f t="shared" ref="A258:A261" si="20">A257+1</f>
        <v>2</v>
      </c>
      <c r="B258" s="80"/>
      <c r="C258" s="40" t="s">
        <v>191</v>
      </c>
      <c r="D258" s="48">
        <f>(37.48)*10.764</f>
        <v>403.43471999999997</v>
      </c>
      <c r="E258" s="40">
        <v>0</v>
      </c>
      <c r="F258" s="40">
        <f>D258*(($F$220)+1)+(IF(E258&lt;101,E258,IF(E258&lt;201,E258/2,IF(E258&lt;=301,E258/3,E258/4))))</f>
        <v>625.32381599999997</v>
      </c>
      <c r="G258" s="84"/>
      <c r="H258" s="85"/>
      <c r="I258" s="34"/>
      <c r="L258" s="81"/>
      <c r="M258" s="81"/>
      <c r="N258" s="34"/>
    </row>
    <row r="259" spans="1:14" s="35" customFormat="1" x14ac:dyDescent="0.25">
      <c r="A259" s="79">
        <f t="shared" si="20"/>
        <v>3</v>
      </c>
      <c r="B259" s="80"/>
      <c r="C259" s="40" t="s">
        <v>184</v>
      </c>
      <c r="D259" s="48">
        <f>(30.33)*10.764</f>
        <v>326.47211999999996</v>
      </c>
      <c r="E259" s="40">
        <v>0</v>
      </c>
      <c r="F259" s="40">
        <f>D259*(($F$220)+1)+(IF(E259&lt;101,E259,IF(E259&lt;201,E259/2,IF(E259&lt;=301,E259/3,E259/4))))</f>
        <v>506.03178599999995</v>
      </c>
      <c r="G259" s="84"/>
      <c r="H259" s="85"/>
      <c r="I259" s="34"/>
      <c r="L259" s="81"/>
      <c r="M259" s="81"/>
      <c r="N259" s="34"/>
    </row>
    <row r="260" spans="1:14" s="35" customFormat="1" x14ac:dyDescent="0.25">
      <c r="A260" s="79">
        <f t="shared" si="20"/>
        <v>4</v>
      </c>
      <c r="B260" s="80"/>
      <c r="C260" s="40" t="s">
        <v>185</v>
      </c>
      <c r="D260" s="48">
        <f>(53.67)*10.764</f>
        <v>577.70388000000003</v>
      </c>
      <c r="E260" s="40">
        <v>0</v>
      </c>
      <c r="F260" s="40">
        <f>D260*(($F$220)+1)+(IF(E260&lt;101,E260,IF(E260&lt;201,E260/2,IF(E260&lt;=301,E260/3,E260/4))))</f>
        <v>895.44101400000011</v>
      </c>
      <c r="G260" s="84"/>
      <c r="H260" s="85"/>
      <c r="I260" s="34"/>
      <c r="L260" s="81"/>
      <c r="M260" s="81"/>
      <c r="N260" s="34"/>
    </row>
    <row r="261" spans="1:14" s="35" customFormat="1" x14ac:dyDescent="0.25">
      <c r="A261" s="79">
        <f t="shared" si="20"/>
        <v>5</v>
      </c>
      <c r="B261" s="80"/>
      <c r="C261" s="40" t="s">
        <v>190</v>
      </c>
      <c r="D261" s="48">
        <f>(49.16)*10.764</f>
        <v>529.15823999999998</v>
      </c>
      <c r="E261" s="40">
        <v>0</v>
      </c>
      <c r="F261" s="40">
        <f>D261*(($F$220)+1)+(IF(E261&lt;101,E261,IF(E261&lt;201,E261/2,IF(E261&lt;=301,E261/3,E261/4))))</f>
        <v>820.19527200000005</v>
      </c>
      <c r="G261" s="86"/>
      <c r="H261" s="87"/>
      <c r="I261" s="34"/>
      <c r="L261" s="81"/>
      <c r="M261" s="81"/>
      <c r="N261" s="34"/>
    </row>
    <row r="262" spans="1:14" s="35" customFormat="1" x14ac:dyDescent="0.25">
      <c r="A262" s="92" t="s">
        <v>195</v>
      </c>
      <c r="B262" s="93"/>
      <c r="C262" s="93"/>
      <c r="D262" s="93"/>
      <c r="E262" s="93"/>
      <c r="F262" s="93"/>
      <c r="G262" s="93"/>
      <c r="H262" s="94"/>
      <c r="I262" s="34"/>
      <c r="L262" s="81"/>
      <c r="M262" s="81"/>
      <c r="N262" s="34"/>
    </row>
    <row r="263" spans="1:14" s="35" customFormat="1" ht="15.75" customHeight="1" x14ac:dyDescent="0.25">
      <c r="A263" s="79">
        <v>1</v>
      </c>
      <c r="B263" s="80"/>
      <c r="C263" s="40" t="s">
        <v>190</v>
      </c>
      <c r="D263" s="48">
        <f>(48.42)*10.764</f>
        <v>521.19287999999995</v>
      </c>
      <c r="E263" s="40">
        <v>0</v>
      </c>
      <c r="F263" s="40">
        <f>D263*(($F$220)+1)+(IF(E263&lt;101,E263,IF(E263&lt;201,E263/2,IF(E263&lt;=301,E263/3,E263/4))))</f>
        <v>807.84896399999991</v>
      </c>
      <c r="G263" s="82" t="str">
        <f>A262</f>
        <v>8th Floor (Part Refuge Area)</v>
      </c>
      <c r="H263" s="83"/>
      <c r="I263" s="35">
        <v>1</v>
      </c>
      <c r="J263" s="34"/>
    </row>
    <row r="264" spans="1:14" s="35" customFormat="1" ht="15.75" customHeight="1" x14ac:dyDescent="0.25">
      <c r="A264" s="79">
        <f t="shared" ref="A264:A267" si="21">A263+1</f>
        <v>2</v>
      </c>
      <c r="B264" s="80"/>
      <c r="C264" s="40" t="s">
        <v>191</v>
      </c>
      <c r="D264" s="48">
        <f>(37.48)*10.764</f>
        <v>403.43471999999997</v>
      </c>
      <c r="E264" s="40">
        <v>0</v>
      </c>
      <c r="F264" s="40">
        <f>D264*(($F$220)+1)+(IF(E264&lt;101,E264,IF(E264&lt;201,E264/2,IF(E264&lt;=301,E264/3,E264/4))))</f>
        <v>625.32381599999997</v>
      </c>
      <c r="G264" s="84"/>
      <c r="H264" s="85"/>
      <c r="I264" s="34"/>
      <c r="L264" s="81"/>
      <c r="M264" s="81"/>
      <c r="N264" s="34"/>
    </row>
    <row r="265" spans="1:14" s="35" customFormat="1" x14ac:dyDescent="0.25">
      <c r="A265" s="79">
        <f t="shared" si="21"/>
        <v>3</v>
      </c>
      <c r="B265" s="80"/>
      <c r="C265" s="40" t="s">
        <v>184</v>
      </c>
      <c r="D265" s="48">
        <f>(30.33)*10.764</f>
        <v>326.47211999999996</v>
      </c>
      <c r="E265" s="40">
        <v>0</v>
      </c>
      <c r="F265" s="40">
        <f>D265*(($F$220)+1)+(IF(E265&lt;101,E265,IF(E265&lt;201,E265/2,IF(E265&lt;=301,E265/3,E265/4))))</f>
        <v>506.03178599999995</v>
      </c>
      <c r="G265" s="84"/>
      <c r="H265" s="85"/>
      <c r="I265" s="34"/>
      <c r="L265" s="81"/>
      <c r="M265" s="81"/>
      <c r="N265" s="34"/>
    </row>
    <row r="266" spans="1:14" s="35" customFormat="1" x14ac:dyDescent="0.25">
      <c r="A266" s="79">
        <f t="shared" si="21"/>
        <v>4</v>
      </c>
      <c r="B266" s="80"/>
      <c r="C266" s="79" t="s">
        <v>196</v>
      </c>
      <c r="D266" s="91"/>
      <c r="E266" s="91"/>
      <c r="F266" s="80"/>
      <c r="G266" s="84"/>
      <c r="H266" s="85"/>
      <c r="I266" s="34"/>
      <c r="L266" s="81"/>
      <c r="M266" s="81"/>
      <c r="N266" s="34"/>
    </row>
    <row r="267" spans="1:14" s="35" customFormat="1" x14ac:dyDescent="0.25">
      <c r="A267" s="79">
        <f t="shared" si="21"/>
        <v>5</v>
      </c>
      <c r="B267" s="80"/>
      <c r="C267" s="40" t="s">
        <v>190</v>
      </c>
      <c r="D267" s="48">
        <f>(49.16)*10.764</f>
        <v>529.15823999999998</v>
      </c>
      <c r="E267" s="40">
        <v>0</v>
      </c>
      <c r="F267" s="40">
        <f>D267*(($F$220)+1)+(IF(E267&lt;101,E267,IF(E267&lt;201,E267/2,IF(E267&lt;=301,E267/3,E267/4))))</f>
        <v>820.19527200000005</v>
      </c>
      <c r="G267" s="86"/>
      <c r="H267" s="87"/>
      <c r="I267" s="34"/>
      <c r="L267" s="81"/>
      <c r="M267" s="81"/>
      <c r="N267" s="34"/>
    </row>
    <row r="268" spans="1:14" s="35" customFormat="1" x14ac:dyDescent="0.25">
      <c r="A268" s="92" t="s">
        <v>197</v>
      </c>
      <c r="B268" s="93"/>
      <c r="C268" s="93"/>
      <c r="D268" s="93"/>
      <c r="E268" s="93"/>
      <c r="F268" s="93"/>
      <c r="G268" s="93"/>
      <c r="H268" s="94"/>
      <c r="I268" s="34"/>
      <c r="L268" s="81"/>
      <c r="M268" s="81"/>
      <c r="N268" s="34"/>
    </row>
    <row r="269" spans="1:14" s="35" customFormat="1" x14ac:dyDescent="0.25">
      <c r="A269" s="79">
        <v>1</v>
      </c>
      <c r="B269" s="80"/>
      <c r="C269" s="40" t="s">
        <v>190</v>
      </c>
      <c r="D269" s="48">
        <f>(48.42)*10.764</f>
        <v>521.19287999999995</v>
      </c>
      <c r="E269" s="40">
        <v>0</v>
      </c>
      <c r="F269" s="40">
        <f>D269*(($F$220)+1)+(IF(E269&lt;101,E269,IF(E269&lt;201,E269/2,IF(E269&lt;=301,E269/3,E269/4))))</f>
        <v>807.84896399999991</v>
      </c>
      <c r="G269" s="82" t="str">
        <f>A268</f>
        <v>15th Floor (Part Refuge Area)</v>
      </c>
      <c r="H269" s="83"/>
      <c r="J269" s="34"/>
    </row>
    <row r="270" spans="1:14" s="35" customFormat="1" ht="15.75" customHeight="1" x14ac:dyDescent="0.25">
      <c r="A270" s="79">
        <f t="shared" ref="A270:A273" si="22">A269+1</f>
        <v>2</v>
      </c>
      <c r="B270" s="80"/>
      <c r="C270" s="40" t="s">
        <v>191</v>
      </c>
      <c r="D270" s="48">
        <f>(37.48)*10.764</f>
        <v>403.43471999999997</v>
      </c>
      <c r="E270" s="40">
        <v>0</v>
      </c>
      <c r="F270" s="40">
        <f>D270*(($F$220)+1)+(IF(E270&lt;101,E270,IF(E270&lt;201,E270/2,IF(E270&lt;=301,E270/3,E270/4))))</f>
        <v>625.32381599999997</v>
      </c>
      <c r="G270" s="84"/>
      <c r="H270" s="85"/>
      <c r="J270" s="34"/>
    </row>
    <row r="271" spans="1:14" s="35" customFormat="1" ht="15.75" customHeight="1" x14ac:dyDescent="0.25">
      <c r="A271" s="79">
        <f t="shared" si="22"/>
        <v>3</v>
      </c>
      <c r="B271" s="80"/>
      <c r="C271" s="40" t="s">
        <v>191</v>
      </c>
      <c r="D271" s="69">
        <f>(38.82)*10.764</f>
        <v>417.85847999999999</v>
      </c>
      <c r="E271" s="68">
        <v>0</v>
      </c>
      <c r="F271" s="68">
        <f>D271*(($F$220)+1)+(IF(E271&lt;101,E271,IF(E271&lt;201,E271/2,IF(E271&lt;=301,E271/3,E271/4))))</f>
        <v>647.68064400000003</v>
      </c>
      <c r="G271" s="84"/>
      <c r="H271" s="85"/>
      <c r="J271" s="34"/>
    </row>
    <row r="272" spans="1:14" s="35" customFormat="1" ht="15.75" customHeight="1" x14ac:dyDescent="0.25">
      <c r="A272" s="79">
        <f t="shared" si="22"/>
        <v>4</v>
      </c>
      <c r="B272" s="80"/>
      <c r="C272" s="79" t="s">
        <v>196</v>
      </c>
      <c r="D272" s="91"/>
      <c r="E272" s="91"/>
      <c r="F272" s="80"/>
      <c r="G272" s="84"/>
      <c r="H272" s="85"/>
      <c r="J272" s="34"/>
    </row>
    <row r="273" spans="1:14" s="35" customFormat="1" ht="15.75" customHeight="1" x14ac:dyDescent="0.25">
      <c r="A273" s="79">
        <f t="shared" si="22"/>
        <v>5</v>
      </c>
      <c r="B273" s="80"/>
      <c r="C273" s="40" t="s">
        <v>190</v>
      </c>
      <c r="D273" s="48">
        <f>(49.16)*10.764</f>
        <v>529.15823999999998</v>
      </c>
      <c r="E273" s="40">
        <v>0</v>
      </c>
      <c r="F273" s="40">
        <f>D273*(($F$220)+1)+(IF(E273&lt;101,E273,IF(E273&lt;201,E273/2,IF(E273&lt;=301,E273/3,E273/4))))</f>
        <v>820.19527200000005</v>
      </c>
      <c r="G273" s="86"/>
      <c r="H273" s="87"/>
      <c r="I273" s="34"/>
      <c r="L273" s="81"/>
      <c r="M273" s="81"/>
      <c r="N273" s="34"/>
    </row>
    <row r="274" spans="1:14" s="35" customFormat="1" x14ac:dyDescent="0.25">
      <c r="A274" s="92" t="s">
        <v>186</v>
      </c>
      <c r="B274" s="93"/>
      <c r="C274" s="93"/>
      <c r="D274" s="93"/>
      <c r="E274" s="93"/>
      <c r="F274" s="93"/>
      <c r="G274" s="93"/>
      <c r="H274" s="94"/>
      <c r="I274" s="34"/>
      <c r="L274" s="81"/>
      <c r="M274" s="81"/>
      <c r="N274" s="34"/>
    </row>
    <row r="275" spans="1:14" s="35" customFormat="1" x14ac:dyDescent="0.25">
      <c r="A275" s="92" t="s">
        <v>175</v>
      </c>
      <c r="B275" s="93"/>
      <c r="C275" s="93"/>
      <c r="D275" s="93"/>
      <c r="E275" s="93"/>
      <c r="F275" s="93"/>
      <c r="G275" s="93"/>
      <c r="H275" s="94"/>
      <c r="I275" s="34"/>
      <c r="L275" s="81"/>
      <c r="M275" s="81"/>
      <c r="N275" s="34"/>
    </row>
    <row r="276" spans="1:14" s="35" customFormat="1" x14ac:dyDescent="0.25">
      <c r="A276" s="92" t="s">
        <v>187</v>
      </c>
      <c r="B276" s="93"/>
      <c r="C276" s="93"/>
      <c r="D276" s="93"/>
      <c r="E276" s="93"/>
      <c r="F276" s="93"/>
      <c r="G276" s="93"/>
      <c r="H276" s="94"/>
      <c r="I276" s="34"/>
      <c r="L276" s="81"/>
      <c r="M276" s="81"/>
      <c r="N276" s="34"/>
    </row>
    <row r="277" spans="1:14" s="35" customFormat="1" x14ac:dyDescent="0.25">
      <c r="A277" s="92" t="s">
        <v>188</v>
      </c>
      <c r="B277" s="93"/>
      <c r="C277" s="93"/>
      <c r="D277" s="93"/>
      <c r="E277" s="93"/>
      <c r="F277" s="93"/>
      <c r="G277" s="93"/>
      <c r="H277" s="94"/>
      <c r="J277" s="34"/>
    </row>
    <row r="278" spans="1:14" s="35" customFormat="1" x14ac:dyDescent="0.25">
      <c r="A278" s="79">
        <v>2</v>
      </c>
      <c r="B278" s="80"/>
      <c r="C278" s="40" t="s">
        <v>185</v>
      </c>
      <c r="D278" s="48">
        <f>(56.99)*10.764</f>
        <v>613.44035999999994</v>
      </c>
      <c r="E278" s="40">
        <v>0</v>
      </c>
      <c r="F278" s="40">
        <f>D278*(($F$220)+1)+(IF(E278&lt;101,E278,IF(E278&lt;201,E278/2,IF(E278&lt;=301,E278/3,E278/4))))</f>
        <v>950.83255799999995</v>
      </c>
      <c r="G278" s="82" t="str">
        <f>A277</f>
        <v>1st Floor for Residential</v>
      </c>
      <c r="H278" s="83"/>
      <c r="I278" s="34"/>
      <c r="L278" s="81"/>
      <c r="M278" s="81"/>
      <c r="N278" s="34"/>
    </row>
    <row r="279" spans="1:14" s="35" customFormat="1" x14ac:dyDescent="0.25">
      <c r="A279" s="79">
        <v>3</v>
      </c>
      <c r="B279" s="80"/>
      <c r="C279" s="40" t="s">
        <v>184</v>
      </c>
      <c r="D279" s="48">
        <f>(30.33)*10.764</f>
        <v>326.47211999999996</v>
      </c>
      <c r="E279" s="40">
        <v>0</v>
      </c>
      <c r="F279" s="40">
        <f>D279*(($F$220)+1)+(IF(E279&lt;101,E279,IF(E279&lt;201,E279/2,IF(E279&lt;=301,E279/3,E279/4))))</f>
        <v>506.03178599999995</v>
      </c>
      <c r="G279" s="84"/>
      <c r="H279" s="85"/>
      <c r="I279" s="34"/>
      <c r="L279" s="81"/>
      <c r="M279" s="81"/>
      <c r="N279" s="34"/>
    </row>
    <row r="280" spans="1:14" s="35" customFormat="1" x14ac:dyDescent="0.25">
      <c r="A280" s="79">
        <v>4</v>
      </c>
      <c r="B280" s="80"/>
      <c r="C280" s="40" t="s">
        <v>185</v>
      </c>
      <c r="D280" s="48">
        <f>(53.67)*10.764</f>
        <v>577.70388000000003</v>
      </c>
      <c r="E280" s="40">
        <v>0</v>
      </c>
      <c r="F280" s="40">
        <f>D280*(($F$220)+1)+(IF(E280&lt;101,E280,IF(E280&lt;201,E280/2,IF(E280&lt;=301,E280/3,E280/4))))</f>
        <v>895.44101400000011</v>
      </c>
      <c r="G280" s="84"/>
      <c r="H280" s="85"/>
      <c r="I280" s="34"/>
      <c r="L280" s="81"/>
      <c r="M280" s="81"/>
      <c r="N280" s="34"/>
    </row>
    <row r="281" spans="1:14" s="35" customFormat="1" x14ac:dyDescent="0.25">
      <c r="A281" s="79">
        <v>5</v>
      </c>
      <c r="B281" s="80"/>
      <c r="C281" s="79" t="s">
        <v>240</v>
      </c>
      <c r="D281" s="91"/>
      <c r="E281" s="91"/>
      <c r="F281" s="80"/>
      <c r="G281" s="86"/>
      <c r="H281" s="87"/>
      <c r="I281" s="34"/>
      <c r="L281" s="81"/>
      <c r="M281" s="81"/>
      <c r="N281" s="34"/>
    </row>
    <row r="282" spans="1:14" s="35" customFormat="1" x14ac:dyDescent="0.25">
      <c r="A282" s="92" t="s">
        <v>116</v>
      </c>
      <c r="B282" s="93"/>
      <c r="C282" s="93"/>
      <c r="D282" s="93"/>
      <c r="E282" s="93"/>
      <c r="F282" s="93"/>
      <c r="G282" s="93"/>
      <c r="H282" s="94"/>
      <c r="J282" s="34"/>
    </row>
    <row r="283" spans="1:14" s="35" customFormat="1" ht="14.25" customHeight="1" x14ac:dyDescent="0.25">
      <c r="A283" s="79">
        <v>1</v>
      </c>
      <c r="B283" s="80"/>
      <c r="C283" s="40" t="s">
        <v>190</v>
      </c>
      <c r="D283" s="48">
        <f>(49.25)*10.764</f>
        <v>530.12699999999995</v>
      </c>
      <c r="E283" s="40">
        <v>0</v>
      </c>
      <c r="F283" s="40">
        <f>D283*(($F$220)+1)+(IF(E283&lt;101,E283,IF(E283&lt;201,E283/2,IF(E283&lt;=301,E283/3,E283/4))))</f>
        <v>821.69684999999993</v>
      </c>
      <c r="G283" s="82" t="str">
        <f>A282</f>
        <v>2nd Floor</v>
      </c>
      <c r="H283" s="83"/>
      <c r="I283" s="34"/>
      <c r="L283" s="81"/>
      <c r="M283" s="81"/>
      <c r="N283" s="34"/>
    </row>
    <row r="284" spans="1:14" s="35" customFormat="1" x14ac:dyDescent="0.25">
      <c r="A284" s="79">
        <v>2</v>
      </c>
      <c r="B284" s="80"/>
      <c r="C284" s="40" t="s">
        <v>191</v>
      </c>
      <c r="D284" s="48">
        <f>(39.01)*10.764</f>
        <v>419.90363999999994</v>
      </c>
      <c r="E284" s="40">
        <v>0</v>
      </c>
      <c r="F284" s="40">
        <f>D284*(($F$220)+1)+(IF(E284&lt;101,E284,IF(E284&lt;201,E284/2,IF(E284&lt;=301,E284/3,E284/4))))</f>
        <v>650.85064199999988</v>
      </c>
      <c r="G284" s="84"/>
      <c r="H284" s="85"/>
      <c r="I284" s="34"/>
      <c r="L284" s="81"/>
      <c r="M284" s="81"/>
      <c r="N284" s="34"/>
    </row>
    <row r="285" spans="1:14" s="35" customFormat="1" x14ac:dyDescent="0.25">
      <c r="A285" s="79">
        <f t="shared" ref="A285:A286" si="23">A284+1</f>
        <v>3</v>
      </c>
      <c r="B285" s="80"/>
      <c r="C285" s="40" t="s">
        <v>184</v>
      </c>
      <c r="D285" s="48">
        <f>(30.33)*10.764</f>
        <v>326.47211999999996</v>
      </c>
      <c r="E285" s="40">
        <v>0</v>
      </c>
      <c r="F285" s="40">
        <f>D285*(($F$220)+1)+(IF(E285&lt;101,E285,IF(E285&lt;201,E285/2,IF(E285&lt;=301,E285/3,E285/4))))</f>
        <v>506.03178599999995</v>
      </c>
      <c r="G285" s="84"/>
      <c r="H285" s="85"/>
      <c r="I285" s="34"/>
      <c r="L285" s="81"/>
      <c r="M285" s="81"/>
      <c r="N285" s="34"/>
    </row>
    <row r="286" spans="1:14" s="35" customFormat="1" x14ac:dyDescent="0.25">
      <c r="A286" s="79">
        <f t="shared" si="23"/>
        <v>4</v>
      </c>
      <c r="B286" s="80"/>
      <c r="C286" s="40" t="s">
        <v>185</v>
      </c>
      <c r="D286" s="48">
        <f>(53.67)*10.764</f>
        <v>577.70388000000003</v>
      </c>
      <c r="E286" s="40">
        <v>0</v>
      </c>
      <c r="F286" s="40">
        <f>D286*(($F$220)+1)+(IF(E286&lt;101,E286,IF(E286&lt;201,E286/2,IF(E286&lt;=301,E286/3,E286/4))))</f>
        <v>895.44101400000011</v>
      </c>
      <c r="G286" s="86"/>
      <c r="H286" s="87"/>
      <c r="I286" s="34"/>
      <c r="L286" s="81"/>
      <c r="M286" s="81"/>
      <c r="N286" s="34"/>
    </row>
    <row r="287" spans="1:14" s="35" customFormat="1" x14ac:dyDescent="0.25">
      <c r="A287" s="92" t="s">
        <v>257</v>
      </c>
      <c r="B287" s="93"/>
      <c r="C287" s="93"/>
      <c r="D287" s="93"/>
      <c r="E287" s="93"/>
      <c r="F287" s="93"/>
      <c r="G287" s="93"/>
      <c r="H287" s="94"/>
      <c r="I287" s="34"/>
      <c r="L287" s="81"/>
      <c r="M287" s="81"/>
      <c r="N287" s="34"/>
    </row>
    <row r="288" spans="1:14" s="35" customFormat="1" x14ac:dyDescent="0.25">
      <c r="A288" s="79">
        <v>1</v>
      </c>
      <c r="B288" s="80"/>
      <c r="C288" s="40" t="s">
        <v>190</v>
      </c>
      <c r="D288" s="48">
        <f>(49.25)*10.764</f>
        <v>530.12699999999995</v>
      </c>
      <c r="E288" s="40">
        <v>0</v>
      </c>
      <c r="F288" s="40">
        <f>D288*(($F$220)+1)+(IF(E288&lt;101,E288,IF(E288&lt;201,E288/2,IF(E288&lt;=301,E288/3,E288/4))))</f>
        <v>821.69684999999993</v>
      </c>
      <c r="G288" s="82" t="str">
        <f>A287</f>
        <v>3rd Floor (Part Fitness Center)</v>
      </c>
      <c r="H288" s="83"/>
      <c r="J288" s="34"/>
    </row>
    <row r="289" spans="1:14" s="35" customFormat="1" x14ac:dyDescent="0.25">
      <c r="A289" s="79">
        <v>2</v>
      </c>
      <c r="B289" s="80"/>
      <c r="C289" s="40" t="s">
        <v>191</v>
      </c>
      <c r="D289" s="48">
        <f>(39.01)*10.764</f>
        <v>419.90363999999994</v>
      </c>
      <c r="E289" s="40">
        <v>0</v>
      </c>
      <c r="F289" s="40">
        <f>D289*(($F$220)+1)+(IF(E289&lt;101,E289,IF(E289&lt;201,E289/2,IF(E289&lt;=301,E289/3,E289/4))))</f>
        <v>650.85064199999988</v>
      </c>
      <c r="G289" s="84"/>
      <c r="H289" s="85"/>
      <c r="I289" s="34"/>
      <c r="L289" s="81"/>
      <c r="M289" s="81"/>
      <c r="N289" s="34"/>
    </row>
    <row r="290" spans="1:14" s="35" customFormat="1" x14ac:dyDescent="0.25">
      <c r="A290" s="79">
        <v>3</v>
      </c>
      <c r="B290" s="80"/>
      <c r="C290" s="40" t="s">
        <v>184</v>
      </c>
      <c r="D290" s="48">
        <f>(30.33)*10.764</f>
        <v>326.47211999999996</v>
      </c>
      <c r="E290" s="40">
        <v>0</v>
      </c>
      <c r="F290" s="40">
        <f>D290*(($F$220)+1)+(IF(E290&lt;101,E290,IF(E290&lt;201,E290/2,IF(E290&lt;=301,E290/3,E290/4))))</f>
        <v>506.03178599999995</v>
      </c>
      <c r="G290" s="84"/>
      <c r="H290" s="85"/>
      <c r="I290" s="34"/>
      <c r="L290" s="81"/>
      <c r="M290" s="81"/>
      <c r="N290" s="34"/>
    </row>
    <row r="291" spans="1:14" s="35" customFormat="1" x14ac:dyDescent="0.25">
      <c r="A291" s="79">
        <v>4</v>
      </c>
      <c r="B291" s="80"/>
      <c r="C291" s="40" t="s">
        <v>185</v>
      </c>
      <c r="D291" s="48">
        <f>(53.67)*10.764</f>
        <v>577.70388000000003</v>
      </c>
      <c r="E291" s="40">
        <v>0</v>
      </c>
      <c r="F291" s="40">
        <f>D291*(($F$220)+1)+(IF(E291&lt;101,E291,IF(E291&lt;201,E291/2,IF(E291&lt;=301,E291/3,E291/4))))</f>
        <v>895.44101400000011</v>
      </c>
      <c r="G291" s="84"/>
      <c r="H291" s="85"/>
      <c r="I291" s="34"/>
      <c r="L291" s="81"/>
      <c r="M291" s="81"/>
      <c r="N291" s="34"/>
    </row>
    <row r="292" spans="1:14" s="35" customFormat="1" x14ac:dyDescent="0.25">
      <c r="A292" s="79">
        <v>5</v>
      </c>
      <c r="B292" s="80"/>
      <c r="C292" s="79" t="s">
        <v>258</v>
      </c>
      <c r="D292" s="91"/>
      <c r="E292" s="91"/>
      <c r="F292" s="80"/>
      <c r="G292" s="86"/>
      <c r="H292" s="87"/>
      <c r="I292" s="34"/>
      <c r="L292" s="81"/>
      <c r="M292" s="81"/>
      <c r="N292" s="34"/>
    </row>
    <row r="293" spans="1:14" s="35" customFormat="1" ht="15.75" customHeight="1" x14ac:dyDescent="0.25">
      <c r="A293" s="92" t="s">
        <v>192</v>
      </c>
      <c r="B293" s="93"/>
      <c r="C293" s="93"/>
      <c r="D293" s="93"/>
      <c r="E293" s="93"/>
      <c r="F293" s="93"/>
      <c r="G293" s="93"/>
      <c r="H293" s="94"/>
      <c r="J293" s="34"/>
    </row>
    <row r="294" spans="1:14" s="35" customFormat="1" ht="15.75" customHeight="1" x14ac:dyDescent="0.25">
      <c r="A294" s="79">
        <v>1</v>
      </c>
      <c r="B294" s="80"/>
      <c r="C294" s="79" t="s">
        <v>194</v>
      </c>
      <c r="D294" s="91"/>
      <c r="E294" s="91"/>
      <c r="F294" s="80"/>
      <c r="G294" s="82" t="str">
        <f>A293</f>
        <v>4th Floor</v>
      </c>
      <c r="H294" s="83"/>
      <c r="I294" s="34"/>
      <c r="L294" s="81"/>
      <c r="M294" s="81"/>
      <c r="N294" s="34"/>
    </row>
    <row r="295" spans="1:14" s="35" customFormat="1" x14ac:dyDescent="0.25">
      <c r="A295" s="79">
        <v>2</v>
      </c>
      <c r="B295" s="80"/>
      <c r="C295" s="40" t="s">
        <v>185</v>
      </c>
      <c r="D295" s="48">
        <f>(56.63)*10.764</f>
        <v>609.56532000000004</v>
      </c>
      <c r="E295" s="40">
        <v>0</v>
      </c>
      <c r="F295" s="40">
        <f>D295*(($F$220)+1)+(IF(E295&lt;101,E295,IF(E295&lt;201,E295/2,IF(E295&lt;=301,E295/3,E295/4))))</f>
        <v>944.82624600000008</v>
      </c>
      <c r="G295" s="84"/>
      <c r="H295" s="85"/>
      <c r="I295" s="34"/>
      <c r="L295" s="81"/>
      <c r="M295" s="81"/>
      <c r="N295" s="34"/>
    </row>
    <row r="296" spans="1:14" s="35" customFormat="1" x14ac:dyDescent="0.25">
      <c r="A296" s="79">
        <f t="shared" ref="A296:A297" si="24">A295+1</f>
        <v>3</v>
      </c>
      <c r="B296" s="80"/>
      <c r="C296" s="40" t="s">
        <v>184</v>
      </c>
      <c r="D296" s="48">
        <f>(30.33)*10.764</f>
        <v>326.47211999999996</v>
      </c>
      <c r="E296" s="40">
        <v>0</v>
      </c>
      <c r="F296" s="40">
        <f>D296*(($F$220)+1)+(IF(E296&lt;101,E296,IF(E296&lt;201,E296/2,IF(E296&lt;=301,E296/3,E296/4))))</f>
        <v>506.03178599999995</v>
      </c>
      <c r="G296" s="84"/>
      <c r="H296" s="85"/>
      <c r="I296" s="34"/>
      <c r="L296" s="81"/>
      <c r="M296" s="81"/>
      <c r="N296" s="34"/>
    </row>
    <row r="297" spans="1:14" s="35" customFormat="1" x14ac:dyDescent="0.25">
      <c r="A297" s="79">
        <f t="shared" si="24"/>
        <v>4</v>
      </c>
      <c r="B297" s="80"/>
      <c r="C297" s="40" t="s">
        <v>185</v>
      </c>
      <c r="D297" s="48">
        <f>(53.67)*10.764</f>
        <v>577.70388000000003</v>
      </c>
      <c r="E297" s="40">
        <v>0</v>
      </c>
      <c r="F297" s="40">
        <f>D297*(($F$220)+1)+(IF(E297&lt;101,E297,IF(E297&lt;201,E297/2,IF(E297&lt;=301,E297/3,E297/4))))</f>
        <v>895.44101400000011</v>
      </c>
      <c r="G297" s="86"/>
      <c r="H297" s="87"/>
      <c r="I297" s="34"/>
      <c r="L297" s="81"/>
      <c r="M297" s="81"/>
      <c r="N297" s="34"/>
    </row>
    <row r="298" spans="1:14" s="35" customFormat="1" x14ac:dyDescent="0.25">
      <c r="A298" s="92" t="s">
        <v>237</v>
      </c>
      <c r="B298" s="93"/>
      <c r="C298" s="93"/>
      <c r="D298" s="93"/>
      <c r="E298" s="93"/>
      <c r="F298" s="93"/>
      <c r="G298" s="93"/>
      <c r="H298" s="94"/>
      <c r="I298" s="34"/>
      <c r="L298" s="81"/>
      <c r="M298" s="81"/>
      <c r="N298" s="34"/>
    </row>
    <row r="299" spans="1:14" s="35" customFormat="1" ht="15.75" customHeight="1" x14ac:dyDescent="0.25">
      <c r="A299" s="79">
        <v>1</v>
      </c>
      <c r="B299" s="80"/>
      <c r="C299" s="40" t="s">
        <v>190</v>
      </c>
      <c r="D299" s="48">
        <f>(49.25)*10.764</f>
        <v>530.12699999999995</v>
      </c>
      <c r="E299" s="40">
        <v>0</v>
      </c>
      <c r="F299" s="40">
        <f>D299*(($F$220)+1)+(IF(E299&lt;101,E299,IF(E299&lt;201,E299/2,IF(E299&lt;=301,E299/3,E299/4))))</f>
        <v>821.69684999999993</v>
      </c>
      <c r="G299" s="82" t="str">
        <f>A298</f>
        <v>5th to 7th, 9th to 10th &amp; 12th to 14th, 16th to 19th, 21st to 22nd Floor</v>
      </c>
      <c r="H299" s="83"/>
      <c r="J299" s="34"/>
    </row>
    <row r="300" spans="1:14" s="35" customFormat="1" ht="15.75" customHeight="1" x14ac:dyDescent="0.25">
      <c r="A300" s="79">
        <f t="shared" ref="A300:A303" si="25">A299+1</f>
        <v>2</v>
      </c>
      <c r="B300" s="80"/>
      <c r="C300" s="40" t="s">
        <v>191</v>
      </c>
      <c r="D300" s="48">
        <f>(39.01)*10.764</f>
        <v>419.90363999999994</v>
      </c>
      <c r="E300" s="40">
        <v>0</v>
      </c>
      <c r="F300" s="40">
        <f>D300*(($F$220)+1)+(IF(E300&lt;101,E300,IF(E300&lt;201,E300/2,IF(E300&lt;=301,E300/3,E300/4))))</f>
        <v>650.85064199999988</v>
      </c>
      <c r="G300" s="84"/>
      <c r="H300" s="85"/>
      <c r="I300" s="34"/>
      <c r="L300" s="81"/>
      <c r="M300" s="81"/>
      <c r="N300" s="34"/>
    </row>
    <row r="301" spans="1:14" s="35" customFormat="1" x14ac:dyDescent="0.25">
      <c r="A301" s="79">
        <f t="shared" si="25"/>
        <v>3</v>
      </c>
      <c r="B301" s="80"/>
      <c r="C301" s="40" t="s">
        <v>184</v>
      </c>
      <c r="D301" s="48">
        <f>(30.33)*10.764</f>
        <v>326.47211999999996</v>
      </c>
      <c r="E301" s="40">
        <v>0</v>
      </c>
      <c r="F301" s="40">
        <f>D301*(($F$220)+1)+(IF(E301&lt;101,E301,IF(E301&lt;201,E301/2,IF(E301&lt;=301,E301/3,E301/4))))</f>
        <v>506.03178599999995</v>
      </c>
      <c r="G301" s="84"/>
      <c r="H301" s="85"/>
      <c r="I301" s="34"/>
      <c r="L301" s="81"/>
      <c r="M301" s="81"/>
      <c r="N301" s="34"/>
    </row>
    <row r="302" spans="1:14" s="35" customFormat="1" x14ac:dyDescent="0.25">
      <c r="A302" s="79">
        <f t="shared" si="25"/>
        <v>4</v>
      </c>
      <c r="B302" s="80"/>
      <c r="C302" s="40" t="s">
        <v>185</v>
      </c>
      <c r="D302" s="48">
        <f>(53.67)*10.764</f>
        <v>577.70388000000003</v>
      </c>
      <c r="E302" s="40">
        <v>0</v>
      </c>
      <c r="F302" s="40">
        <f>D302*(($F$220)+1)+(IF(E302&lt;101,E302,IF(E302&lt;201,E302/2,IF(E302&lt;=301,E302/3,E302/4))))</f>
        <v>895.44101400000011</v>
      </c>
      <c r="G302" s="84"/>
      <c r="H302" s="85"/>
      <c r="I302" s="34"/>
      <c r="L302" s="81"/>
      <c r="M302" s="81"/>
      <c r="N302" s="34"/>
    </row>
    <row r="303" spans="1:14" s="35" customFormat="1" x14ac:dyDescent="0.25">
      <c r="A303" s="79">
        <f t="shared" si="25"/>
        <v>5</v>
      </c>
      <c r="B303" s="80"/>
      <c r="C303" s="40" t="s">
        <v>191</v>
      </c>
      <c r="D303" s="48">
        <f>(39.73)*10.764</f>
        <v>427.65371999999996</v>
      </c>
      <c r="E303" s="40">
        <v>0</v>
      </c>
      <c r="F303" s="40">
        <f>D303*(($F$220)+1)+(IF(E303&lt;101,E303,IF(E303&lt;201,E303/2,IF(E303&lt;=301,E303/3,E303/4))))</f>
        <v>662.86326599999995</v>
      </c>
      <c r="G303" s="86"/>
      <c r="H303" s="87"/>
      <c r="I303" s="34"/>
      <c r="L303" s="81"/>
      <c r="M303" s="81"/>
      <c r="N303" s="34"/>
    </row>
    <row r="304" spans="1:14" s="35" customFormat="1" x14ac:dyDescent="0.25">
      <c r="A304" s="92" t="s">
        <v>238</v>
      </c>
      <c r="B304" s="93"/>
      <c r="C304" s="93"/>
      <c r="D304" s="93"/>
      <c r="E304" s="93"/>
      <c r="F304" s="93"/>
      <c r="G304" s="93"/>
      <c r="H304" s="94"/>
      <c r="I304" s="34"/>
      <c r="L304" s="81"/>
      <c r="M304" s="81"/>
      <c r="N304" s="34"/>
    </row>
    <row r="305" spans="1:14" s="35" customFormat="1" ht="15.75" customHeight="1" x14ac:dyDescent="0.25">
      <c r="A305" s="79">
        <v>1</v>
      </c>
      <c r="B305" s="80"/>
      <c r="C305" s="40" t="s">
        <v>191</v>
      </c>
      <c r="D305" s="48">
        <f>(49.25)*10.764</f>
        <v>530.12699999999995</v>
      </c>
      <c r="E305" s="40">
        <v>0</v>
      </c>
      <c r="F305" s="40">
        <f>D305*(($F$220)+1)+(IF(E305&lt;101,E305,IF(E305&lt;201,E305/2,IF(E305&lt;=301,E305/3,E305/4))))</f>
        <v>821.69684999999993</v>
      </c>
      <c r="G305" s="82" t="str">
        <f>A304</f>
        <v>11th Floor</v>
      </c>
      <c r="H305" s="83"/>
      <c r="J305" s="34"/>
    </row>
    <row r="306" spans="1:14" s="35" customFormat="1" ht="15.75" customHeight="1" x14ac:dyDescent="0.25">
      <c r="A306" s="79">
        <v>2</v>
      </c>
      <c r="B306" s="80"/>
      <c r="C306" s="40" t="s">
        <v>191</v>
      </c>
      <c r="D306" s="48">
        <f>(39.01)*10.764</f>
        <v>419.90363999999994</v>
      </c>
      <c r="E306" s="40">
        <v>0</v>
      </c>
      <c r="F306" s="40">
        <f>D306*(($F$220)+1)+(IF(E306&lt;101,E306,IF(E306&lt;201,E306/2,IF(E306&lt;=301,E306/3,E306/4))))</f>
        <v>650.85064199999988</v>
      </c>
      <c r="G306" s="84"/>
      <c r="H306" s="85"/>
      <c r="I306" s="34"/>
      <c r="L306" s="81"/>
      <c r="M306" s="81"/>
      <c r="N306" s="34"/>
    </row>
    <row r="307" spans="1:14" s="35" customFormat="1" x14ac:dyDescent="0.25">
      <c r="A307" s="79">
        <v>3</v>
      </c>
      <c r="B307" s="80"/>
      <c r="C307" s="40" t="s">
        <v>184</v>
      </c>
      <c r="D307" s="48">
        <f>(30.33)*10.764</f>
        <v>326.47211999999996</v>
      </c>
      <c r="E307" s="40">
        <v>0</v>
      </c>
      <c r="F307" s="40">
        <f>D307*(($F$220)+1)+(IF(E307&lt;101,E307,IF(E307&lt;201,E307/2,IF(E307&lt;=301,E307/3,E307/4))))</f>
        <v>506.03178599999995</v>
      </c>
      <c r="G307" s="84"/>
      <c r="H307" s="85"/>
      <c r="I307" s="34"/>
      <c r="L307" s="81"/>
      <c r="M307" s="81"/>
      <c r="N307" s="34"/>
    </row>
    <row r="308" spans="1:14" s="35" customFormat="1" x14ac:dyDescent="0.25">
      <c r="A308" s="79">
        <v>4</v>
      </c>
      <c r="B308" s="80"/>
      <c r="C308" s="40" t="s">
        <v>185</v>
      </c>
      <c r="D308" s="48">
        <f>(53.67)*10.764</f>
        <v>577.70388000000003</v>
      </c>
      <c r="E308" s="40">
        <v>0</v>
      </c>
      <c r="F308" s="40">
        <f>D308*(($F$220)+1)+(IF(E308&lt;101,E308,IF(E308&lt;201,E308/2,IF(E308&lt;=301,E308/3,E308/4))))</f>
        <v>895.44101400000011</v>
      </c>
      <c r="G308" s="84"/>
      <c r="H308" s="85"/>
      <c r="I308" s="34"/>
      <c r="L308" s="81"/>
      <c r="M308" s="81"/>
      <c r="N308" s="34"/>
    </row>
    <row r="309" spans="1:14" s="35" customFormat="1" x14ac:dyDescent="0.25">
      <c r="A309" s="79">
        <v>5</v>
      </c>
      <c r="B309" s="80"/>
      <c r="C309" s="40" t="s">
        <v>191</v>
      </c>
      <c r="D309" s="48">
        <f>(39.73)*10.764</f>
        <v>427.65371999999996</v>
      </c>
      <c r="E309" s="40">
        <v>0</v>
      </c>
      <c r="F309" s="40">
        <f>D309*(($F$220)+1)+(IF(E309&lt;101,E309,IF(E309&lt;201,E309/2,IF(E309&lt;=301,E309/3,E309/4))))</f>
        <v>662.86326599999995</v>
      </c>
      <c r="G309" s="84"/>
      <c r="H309" s="85"/>
      <c r="I309" s="34"/>
      <c r="L309" s="81"/>
      <c r="M309" s="81"/>
      <c r="N309" s="34"/>
    </row>
    <row r="310" spans="1:14" s="35" customFormat="1" x14ac:dyDescent="0.25">
      <c r="A310" s="92" t="s">
        <v>239</v>
      </c>
      <c r="B310" s="93"/>
      <c r="C310" s="93"/>
      <c r="D310" s="93"/>
      <c r="E310" s="93"/>
      <c r="F310" s="93"/>
      <c r="G310" s="93"/>
      <c r="H310" s="94"/>
      <c r="I310" s="34"/>
      <c r="L310" s="81"/>
      <c r="M310" s="81"/>
      <c r="N310" s="34"/>
    </row>
    <row r="311" spans="1:14" s="35" customFormat="1" ht="15.75" customHeight="1" x14ac:dyDescent="0.25">
      <c r="A311" s="79">
        <v>1</v>
      </c>
      <c r="B311" s="80"/>
      <c r="C311" s="40" t="s">
        <v>190</v>
      </c>
      <c r="D311" s="48">
        <f>(49.25)*10.764</f>
        <v>530.12699999999995</v>
      </c>
      <c r="E311" s="40">
        <v>0</v>
      </c>
      <c r="F311" s="40">
        <f>D311*(($F$220)+1)+(IF(E311&lt;101,E311,IF(E311&lt;201,E311/2,IF(E311&lt;=301,E311/3,E311/4))))</f>
        <v>821.69684999999993</v>
      </c>
      <c r="G311" s="82" t="str">
        <f>A310</f>
        <v>20th Floor</v>
      </c>
      <c r="H311" s="83"/>
      <c r="J311" s="34"/>
    </row>
    <row r="312" spans="1:14" s="35" customFormat="1" ht="15.75" customHeight="1" x14ac:dyDescent="0.25">
      <c r="A312" s="79">
        <v>2</v>
      </c>
      <c r="B312" s="80"/>
      <c r="C312" s="40" t="s">
        <v>191</v>
      </c>
      <c r="D312" s="48">
        <f>(39.01)*10.764</f>
        <v>419.90363999999994</v>
      </c>
      <c r="E312" s="40">
        <v>0</v>
      </c>
      <c r="F312" s="40">
        <f>D312*(($F$220)+1)+(IF(E312&lt;101,E312,IF(E312&lt;201,E312/2,IF(E312&lt;=301,E312/3,E312/4))))</f>
        <v>650.85064199999988</v>
      </c>
      <c r="G312" s="84"/>
      <c r="H312" s="85"/>
      <c r="I312" s="34"/>
      <c r="L312" s="81"/>
      <c r="M312" s="81"/>
      <c r="N312" s="34"/>
    </row>
    <row r="313" spans="1:14" s="35" customFormat="1" x14ac:dyDescent="0.25">
      <c r="A313" s="79">
        <v>3</v>
      </c>
      <c r="B313" s="80"/>
      <c r="C313" s="40" t="s">
        <v>184</v>
      </c>
      <c r="D313" s="48">
        <f>(30.33)*10.764</f>
        <v>326.47211999999996</v>
      </c>
      <c r="E313" s="40">
        <v>0</v>
      </c>
      <c r="F313" s="40">
        <f>D313*(($F$220)+1)+(IF(E313&lt;101,E313,IF(E313&lt;201,E313/2,IF(E313&lt;=301,E313/3,E313/4))))</f>
        <v>506.03178599999995</v>
      </c>
      <c r="G313" s="84"/>
      <c r="H313" s="85"/>
      <c r="I313" s="34"/>
      <c r="L313" s="81"/>
      <c r="M313" s="81"/>
      <c r="N313" s="34"/>
    </row>
    <row r="314" spans="1:14" s="35" customFormat="1" x14ac:dyDescent="0.25">
      <c r="A314" s="79">
        <v>4</v>
      </c>
      <c r="B314" s="80"/>
      <c r="C314" s="40" t="s">
        <v>185</v>
      </c>
      <c r="D314" s="48">
        <f>(53.67)*10.764</f>
        <v>577.70388000000003</v>
      </c>
      <c r="E314" s="40">
        <v>0</v>
      </c>
      <c r="F314" s="40">
        <f>D314*(($F$220)+1)+(IF(E314&lt;101,E314,IF(E314&lt;201,E314/2,IF(E314&lt;=301,E314/3,E314/4))))</f>
        <v>895.44101400000011</v>
      </c>
      <c r="G314" s="84"/>
      <c r="H314" s="85"/>
      <c r="I314" s="34"/>
      <c r="L314" s="81"/>
      <c r="M314" s="81"/>
      <c r="N314" s="34"/>
    </row>
    <row r="315" spans="1:14" s="35" customFormat="1" x14ac:dyDescent="0.25">
      <c r="A315" s="79">
        <v>5</v>
      </c>
      <c r="B315" s="80"/>
      <c r="C315" s="40" t="s">
        <v>191</v>
      </c>
      <c r="D315" s="48">
        <f>(39.73)*10.764</f>
        <v>427.65371999999996</v>
      </c>
      <c r="E315" s="40">
        <v>0</v>
      </c>
      <c r="F315" s="40">
        <f>D315*(($F$220)+1)+(IF(E315&lt;101,E315,IF(E315&lt;201,E315/2,IF(E315&lt;=301,E315/3,E315/4))))</f>
        <v>662.86326599999995</v>
      </c>
      <c r="G315" s="84"/>
      <c r="H315" s="85"/>
      <c r="I315" s="34"/>
      <c r="L315" s="81"/>
      <c r="M315" s="81"/>
      <c r="N315" s="34"/>
    </row>
    <row r="316" spans="1:14" s="35" customFormat="1" x14ac:dyDescent="0.25">
      <c r="A316" s="92" t="s">
        <v>195</v>
      </c>
      <c r="B316" s="93"/>
      <c r="C316" s="93"/>
      <c r="D316" s="93"/>
      <c r="E316" s="93"/>
      <c r="F316" s="93"/>
      <c r="G316" s="93"/>
      <c r="H316" s="94"/>
      <c r="I316" s="34"/>
      <c r="L316" s="81"/>
      <c r="M316" s="81"/>
      <c r="N316" s="34"/>
    </row>
    <row r="317" spans="1:14" s="35" customFormat="1" ht="15.75" customHeight="1" x14ac:dyDescent="0.25">
      <c r="A317" s="79">
        <v>1</v>
      </c>
      <c r="B317" s="80"/>
      <c r="C317" s="40" t="s">
        <v>190</v>
      </c>
      <c r="D317" s="48">
        <f>(49.25)*10.764</f>
        <v>530.12699999999995</v>
      </c>
      <c r="E317" s="40">
        <v>0</v>
      </c>
      <c r="F317" s="40">
        <f>D317*(($F$220)+1)+(IF(E317&lt;101,E317,IF(E317&lt;201,E317/2,IF(E317&lt;=301,E317/3,E317/4))))</f>
        <v>821.69684999999993</v>
      </c>
      <c r="G317" s="82" t="str">
        <f>A316</f>
        <v>8th Floor (Part Refuge Area)</v>
      </c>
      <c r="H317" s="83"/>
      <c r="J317" s="34"/>
    </row>
    <row r="318" spans="1:14" s="35" customFormat="1" ht="15.75" customHeight="1" x14ac:dyDescent="0.25">
      <c r="A318" s="79">
        <f t="shared" ref="A318:A321" si="26">A317+1</f>
        <v>2</v>
      </c>
      <c r="B318" s="80"/>
      <c r="C318" s="40" t="s">
        <v>191</v>
      </c>
      <c r="D318" s="48">
        <f>(39.01)*10.764</f>
        <v>419.90363999999994</v>
      </c>
      <c r="E318" s="40">
        <v>0</v>
      </c>
      <c r="F318" s="40">
        <f>D318*(($F$220)+1)+(IF(E318&lt;101,E318,IF(E318&lt;201,E318/2,IF(E318&lt;=301,E318/3,E318/4))))</f>
        <v>650.85064199999988</v>
      </c>
      <c r="G318" s="84"/>
      <c r="H318" s="85"/>
      <c r="I318" s="34"/>
      <c r="L318" s="81"/>
      <c r="M318" s="81"/>
      <c r="N318" s="34"/>
    </row>
    <row r="319" spans="1:14" s="35" customFormat="1" x14ac:dyDescent="0.25">
      <c r="A319" s="79">
        <f t="shared" si="26"/>
        <v>3</v>
      </c>
      <c r="B319" s="80"/>
      <c r="C319" s="40" t="s">
        <v>184</v>
      </c>
      <c r="D319" s="48">
        <f>(30.33)*10.764</f>
        <v>326.47211999999996</v>
      </c>
      <c r="E319" s="40">
        <v>0</v>
      </c>
      <c r="F319" s="40">
        <f>D319*(($F$220)+1)+(IF(E319&lt;101,E319,IF(E319&lt;201,E319/2,IF(E319&lt;=301,E319/3,E319/4))))</f>
        <v>506.03178599999995</v>
      </c>
      <c r="G319" s="84"/>
      <c r="H319" s="85"/>
      <c r="I319" s="34"/>
      <c r="L319" s="81"/>
      <c r="M319" s="81"/>
      <c r="N319" s="34"/>
    </row>
    <row r="320" spans="1:14" s="35" customFormat="1" x14ac:dyDescent="0.25">
      <c r="A320" s="79">
        <f t="shared" si="26"/>
        <v>4</v>
      </c>
      <c r="B320" s="80"/>
      <c r="C320" s="79" t="s">
        <v>196</v>
      </c>
      <c r="D320" s="91"/>
      <c r="E320" s="91"/>
      <c r="F320" s="80"/>
      <c r="G320" s="84"/>
      <c r="H320" s="85"/>
      <c r="I320" s="34"/>
      <c r="L320" s="81"/>
      <c r="M320" s="81"/>
      <c r="N320" s="34"/>
    </row>
    <row r="321" spans="1:14" s="35" customFormat="1" x14ac:dyDescent="0.25">
      <c r="A321" s="79">
        <f t="shared" si="26"/>
        <v>5</v>
      </c>
      <c r="B321" s="80"/>
      <c r="C321" s="40" t="s">
        <v>191</v>
      </c>
      <c r="D321" s="48">
        <f>(39.73)*10.764</f>
        <v>427.65371999999996</v>
      </c>
      <c r="E321" s="40">
        <v>0</v>
      </c>
      <c r="F321" s="40">
        <f>D321*(($F$220)+1)+(IF(E321&lt;101,E321,IF(E321&lt;201,E321/2,IF(E321&lt;=301,E321/3,E321/4))))</f>
        <v>662.86326599999995</v>
      </c>
      <c r="G321" s="86"/>
      <c r="H321" s="87"/>
      <c r="I321" s="34"/>
      <c r="L321" s="81"/>
      <c r="M321" s="81"/>
      <c r="N321" s="34"/>
    </row>
    <row r="322" spans="1:14" s="35" customFormat="1" x14ac:dyDescent="0.25">
      <c r="A322" s="92" t="s">
        <v>197</v>
      </c>
      <c r="B322" s="93"/>
      <c r="C322" s="93"/>
      <c r="D322" s="93"/>
      <c r="E322" s="93"/>
      <c r="F322" s="93"/>
      <c r="G322" s="93"/>
      <c r="H322" s="94"/>
      <c r="I322" s="34"/>
      <c r="L322" s="81"/>
      <c r="M322" s="81"/>
      <c r="N322" s="34"/>
    </row>
    <row r="323" spans="1:14" s="35" customFormat="1" x14ac:dyDescent="0.25">
      <c r="A323" s="79">
        <v>1</v>
      </c>
      <c r="B323" s="80"/>
      <c r="C323" s="40" t="s">
        <v>190</v>
      </c>
      <c r="D323" s="48">
        <f>(49.25)*10.764</f>
        <v>530.12699999999995</v>
      </c>
      <c r="E323" s="40">
        <v>0</v>
      </c>
      <c r="F323" s="40">
        <f>D323*(($F$220)+1)+(IF(E323&lt;101,E323,IF(E323&lt;201,E323/2,IF(E323&lt;=301,E323/3,E323/4))))</f>
        <v>821.69684999999993</v>
      </c>
      <c r="G323" s="82" t="str">
        <f>A322</f>
        <v>15th Floor (Part Refuge Area)</v>
      </c>
      <c r="H323" s="83"/>
      <c r="J323" s="34"/>
    </row>
    <row r="324" spans="1:14" s="35" customFormat="1" ht="15.75" customHeight="1" x14ac:dyDescent="0.25">
      <c r="A324" s="79">
        <f t="shared" ref="A324:A327" si="27">A323+1</f>
        <v>2</v>
      </c>
      <c r="B324" s="80"/>
      <c r="C324" s="40" t="s">
        <v>191</v>
      </c>
      <c r="D324" s="48">
        <f>(39.01)*10.764</f>
        <v>419.90363999999994</v>
      </c>
      <c r="E324" s="40">
        <v>0</v>
      </c>
      <c r="F324" s="40">
        <f>D324*(($F$220)+1)+(IF(E324&lt;101,E324,IF(E324&lt;201,E324/2,IF(E324&lt;=301,E324/3,E324/4))))</f>
        <v>650.85064199999988</v>
      </c>
      <c r="G324" s="84"/>
      <c r="H324" s="85"/>
      <c r="J324" s="34"/>
    </row>
    <row r="325" spans="1:14" s="35" customFormat="1" ht="15.75" customHeight="1" x14ac:dyDescent="0.25">
      <c r="A325" s="79">
        <f t="shared" si="27"/>
        <v>3</v>
      </c>
      <c r="B325" s="80"/>
      <c r="C325" s="82" t="s">
        <v>196</v>
      </c>
      <c r="D325" s="88"/>
      <c r="E325" s="88"/>
      <c r="F325" s="83"/>
      <c r="G325" s="84"/>
      <c r="H325" s="85"/>
      <c r="J325" s="34"/>
    </row>
    <row r="326" spans="1:14" s="35" customFormat="1" ht="15.75" customHeight="1" x14ac:dyDescent="0.25">
      <c r="A326" s="79">
        <f t="shared" si="27"/>
        <v>4</v>
      </c>
      <c r="B326" s="80"/>
      <c r="C326" s="86"/>
      <c r="D326" s="90"/>
      <c r="E326" s="90"/>
      <c r="F326" s="87"/>
      <c r="G326" s="84"/>
      <c r="H326" s="85"/>
      <c r="J326" s="34"/>
    </row>
    <row r="327" spans="1:14" s="35" customFormat="1" ht="15.75" customHeight="1" x14ac:dyDescent="0.25">
      <c r="A327" s="79">
        <f t="shared" si="27"/>
        <v>5</v>
      </c>
      <c r="B327" s="80"/>
      <c r="C327" s="40" t="s">
        <v>191</v>
      </c>
      <c r="D327" s="48">
        <f>(39.73)*10.764</f>
        <v>427.65371999999996</v>
      </c>
      <c r="E327" s="40">
        <v>0</v>
      </c>
      <c r="F327" s="40">
        <f>D327*(($F$220)+1)+(IF(E327&lt;101,E327,IF(E327&lt;201,E327/2,IF(E327&lt;=301,E327/3,E327/4))))</f>
        <v>662.86326599999995</v>
      </c>
      <c r="G327" s="86"/>
      <c r="H327" s="87"/>
      <c r="I327" s="34"/>
      <c r="L327" s="81"/>
      <c r="M327" s="81"/>
      <c r="N327" s="34"/>
    </row>
    <row r="328" spans="1:14" s="35" customFormat="1" x14ac:dyDescent="0.25">
      <c r="A328" s="92" t="s">
        <v>189</v>
      </c>
      <c r="B328" s="93"/>
      <c r="C328" s="93"/>
      <c r="D328" s="93"/>
      <c r="E328" s="93"/>
      <c r="F328" s="93"/>
      <c r="G328" s="93"/>
      <c r="H328" s="94"/>
      <c r="I328" s="34"/>
      <c r="L328" s="81"/>
      <c r="M328" s="81"/>
      <c r="N328" s="34"/>
    </row>
    <row r="329" spans="1:14" s="35" customFormat="1" x14ac:dyDescent="0.25">
      <c r="A329" s="92" t="s">
        <v>175</v>
      </c>
      <c r="B329" s="93"/>
      <c r="C329" s="93"/>
      <c r="D329" s="93"/>
      <c r="E329" s="93"/>
      <c r="F329" s="93"/>
      <c r="G329" s="93"/>
      <c r="H329" s="94"/>
      <c r="I329" s="34"/>
      <c r="L329" s="81"/>
      <c r="M329" s="81"/>
      <c r="N329" s="34"/>
    </row>
    <row r="330" spans="1:14" s="35" customFormat="1" x14ac:dyDescent="0.25">
      <c r="A330" s="92" t="s">
        <v>187</v>
      </c>
      <c r="B330" s="93"/>
      <c r="C330" s="93"/>
      <c r="D330" s="93"/>
      <c r="E330" s="93"/>
      <c r="F330" s="93"/>
      <c r="G330" s="93"/>
      <c r="H330" s="94"/>
      <c r="I330" s="34"/>
      <c r="L330" s="81"/>
      <c r="M330" s="81"/>
      <c r="N330" s="34"/>
    </row>
    <row r="331" spans="1:14" s="35" customFormat="1" x14ac:dyDescent="0.25">
      <c r="A331" s="92" t="s">
        <v>188</v>
      </c>
      <c r="B331" s="93"/>
      <c r="C331" s="93"/>
      <c r="D331" s="93"/>
      <c r="E331" s="93"/>
      <c r="F331" s="93"/>
      <c r="G331" s="93"/>
      <c r="H331" s="94"/>
      <c r="J331" s="34"/>
    </row>
    <row r="332" spans="1:14" s="35" customFormat="1" x14ac:dyDescent="0.25">
      <c r="A332" s="79">
        <v>2</v>
      </c>
      <c r="B332" s="80"/>
      <c r="C332" s="40" t="s">
        <v>185</v>
      </c>
      <c r="D332" s="48">
        <f>(56.99)*10.764</f>
        <v>613.44035999999994</v>
      </c>
      <c r="E332" s="40">
        <v>0</v>
      </c>
      <c r="F332" s="40">
        <f>D332*(($F$220)+1)+(IF(E332&lt;101,E332,IF(E332&lt;201,E332/2,IF(E332&lt;=301,E332/3,E332/4))))</f>
        <v>950.83255799999995</v>
      </c>
      <c r="G332" s="82" t="str">
        <f>A331</f>
        <v>1st Floor for Residential</v>
      </c>
      <c r="H332" s="83"/>
      <c r="I332" s="34"/>
      <c r="L332" s="81"/>
      <c r="M332" s="81"/>
      <c r="N332" s="34"/>
    </row>
    <row r="333" spans="1:14" s="35" customFormat="1" x14ac:dyDescent="0.25">
      <c r="A333" s="79">
        <v>3</v>
      </c>
      <c r="B333" s="80"/>
      <c r="C333" s="40" t="s">
        <v>184</v>
      </c>
      <c r="D333" s="48">
        <f>(30.33)*10.764</f>
        <v>326.47211999999996</v>
      </c>
      <c r="E333" s="40">
        <v>0</v>
      </c>
      <c r="F333" s="40">
        <f>D333*(($F$220)+1)+(IF(E333&lt;101,E333,IF(E333&lt;201,E333/2,IF(E333&lt;=301,E333/3,E333/4))))</f>
        <v>506.03178599999995</v>
      </c>
      <c r="G333" s="84"/>
      <c r="H333" s="85"/>
      <c r="I333" s="34"/>
      <c r="L333" s="81"/>
      <c r="M333" s="81"/>
      <c r="N333" s="34"/>
    </row>
    <row r="334" spans="1:14" s="35" customFormat="1" x14ac:dyDescent="0.25">
      <c r="A334" s="79">
        <v>4</v>
      </c>
      <c r="B334" s="80"/>
      <c r="C334" s="40" t="s">
        <v>185</v>
      </c>
      <c r="D334" s="48">
        <f>(53.67)*10.764</f>
        <v>577.70388000000003</v>
      </c>
      <c r="E334" s="40">
        <v>0</v>
      </c>
      <c r="F334" s="40">
        <f>D334*(($F$220)+1)+(IF(E334&lt;101,E334,IF(E334&lt;201,E334/2,IF(E334&lt;=301,E334/3,E334/4))))</f>
        <v>895.44101400000011</v>
      </c>
      <c r="G334" s="84"/>
      <c r="H334" s="85"/>
      <c r="I334" s="34"/>
      <c r="L334" s="81"/>
      <c r="M334" s="81"/>
      <c r="N334" s="34"/>
    </row>
    <row r="335" spans="1:14" s="35" customFormat="1" x14ac:dyDescent="0.25">
      <c r="A335" s="79">
        <v>5</v>
      </c>
      <c r="B335" s="80"/>
      <c r="C335" s="79" t="s">
        <v>240</v>
      </c>
      <c r="D335" s="91"/>
      <c r="E335" s="91"/>
      <c r="F335" s="80"/>
      <c r="G335" s="86"/>
      <c r="H335" s="87"/>
      <c r="I335" s="34"/>
      <c r="L335" s="81"/>
      <c r="M335" s="81"/>
      <c r="N335" s="34"/>
    </row>
    <row r="336" spans="1:14" s="35" customFormat="1" x14ac:dyDescent="0.25">
      <c r="A336" s="92" t="s">
        <v>116</v>
      </c>
      <c r="B336" s="93"/>
      <c r="C336" s="93"/>
      <c r="D336" s="93"/>
      <c r="E336" s="93"/>
      <c r="F336" s="93"/>
      <c r="G336" s="93"/>
      <c r="H336" s="94"/>
      <c r="J336" s="34"/>
    </row>
    <row r="337" spans="1:14" s="35" customFormat="1" x14ac:dyDescent="0.25">
      <c r="A337" s="79">
        <v>1</v>
      </c>
      <c r="B337" s="80"/>
      <c r="C337" s="40" t="s">
        <v>190</v>
      </c>
      <c r="D337" s="48">
        <f>(49.25)*10.764</f>
        <v>530.12699999999995</v>
      </c>
      <c r="E337" s="40">
        <v>0</v>
      </c>
      <c r="F337" s="40">
        <f>D337*(($F$220)+1)+(IF(E337&lt;101,E337,IF(E337&lt;201,E337/2,IF(E337&lt;=301,E337/3,E337/4))))</f>
        <v>821.69684999999993</v>
      </c>
      <c r="G337" s="82" t="str">
        <f>A336</f>
        <v>2nd Floor</v>
      </c>
      <c r="H337" s="83"/>
      <c r="I337" s="34"/>
      <c r="L337" s="81"/>
      <c r="M337" s="81"/>
      <c r="N337" s="34"/>
    </row>
    <row r="338" spans="1:14" s="35" customFormat="1" x14ac:dyDescent="0.25">
      <c r="A338" s="79">
        <v>2</v>
      </c>
      <c r="B338" s="80"/>
      <c r="C338" s="40" t="s">
        <v>191</v>
      </c>
      <c r="D338" s="48">
        <f>(39.01)*10.764</f>
        <v>419.90363999999994</v>
      </c>
      <c r="E338" s="40">
        <v>0</v>
      </c>
      <c r="F338" s="40">
        <f>D338*(($F$220)+1)+(IF(E338&lt;101,E338,IF(E338&lt;201,E338/2,IF(E338&lt;=301,E338/3,E338/4))))</f>
        <v>650.85064199999988</v>
      </c>
      <c r="G338" s="84"/>
      <c r="H338" s="85"/>
      <c r="I338" s="34"/>
      <c r="L338" s="81"/>
      <c r="M338" s="81"/>
      <c r="N338" s="34"/>
    </row>
    <row r="339" spans="1:14" s="35" customFormat="1" x14ac:dyDescent="0.25">
      <c r="A339" s="79">
        <f t="shared" ref="A339:A340" si="28">A338+1</f>
        <v>3</v>
      </c>
      <c r="B339" s="80"/>
      <c r="C339" s="40" t="s">
        <v>184</v>
      </c>
      <c r="D339" s="48">
        <f>(30.33)*10.764</f>
        <v>326.47211999999996</v>
      </c>
      <c r="E339" s="40">
        <v>0</v>
      </c>
      <c r="F339" s="40">
        <f>D339*(($F$220)+1)+(IF(E339&lt;101,E339,IF(E339&lt;201,E339/2,IF(E339&lt;=301,E339/3,E339/4))))</f>
        <v>506.03178599999995</v>
      </c>
      <c r="G339" s="84"/>
      <c r="H339" s="85"/>
      <c r="I339" s="34"/>
      <c r="L339" s="81"/>
      <c r="M339" s="81"/>
      <c r="N339" s="34"/>
    </row>
    <row r="340" spans="1:14" s="35" customFormat="1" x14ac:dyDescent="0.25">
      <c r="A340" s="79">
        <f t="shared" si="28"/>
        <v>4</v>
      </c>
      <c r="B340" s="80"/>
      <c r="C340" s="40" t="s">
        <v>185</v>
      </c>
      <c r="D340" s="48">
        <f>(53.67)*10.764</f>
        <v>577.70388000000003</v>
      </c>
      <c r="E340" s="40">
        <v>0</v>
      </c>
      <c r="F340" s="40">
        <f>D340*(($F$220)+1)+(IF(E340&lt;101,E340,IF(E340&lt;201,E340/2,IF(E340&lt;=301,E340/3,E340/4))))</f>
        <v>895.44101400000011</v>
      </c>
      <c r="G340" s="86"/>
      <c r="H340" s="87"/>
      <c r="I340" s="34"/>
      <c r="L340" s="81"/>
      <c r="M340" s="81"/>
      <c r="N340" s="34"/>
    </row>
    <row r="341" spans="1:14" s="35" customFormat="1" x14ac:dyDescent="0.25">
      <c r="A341" s="92" t="s">
        <v>181</v>
      </c>
      <c r="B341" s="93"/>
      <c r="C341" s="93"/>
      <c r="D341" s="93"/>
      <c r="E341" s="93"/>
      <c r="F341" s="93"/>
      <c r="G341" s="93"/>
      <c r="H341" s="94"/>
      <c r="J341" s="34"/>
    </row>
    <row r="342" spans="1:14" s="35" customFormat="1" x14ac:dyDescent="0.25">
      <c r="A342" s="79">
        <v>1</v>
      </c>
      <c r="B342" s="80"/>
      <c r="C342" s="40" t="s">
        <v>190</v>
      </c>
      <c r="D342" s="48">
        <f>(49.25)*10.764</f>
        <v>530.12699999999995</v>
      </c>
      <c r="E342" s="40">
        <v>0</v>
      </c>
      <c r="F342" s="40">
        <f>D342*(($F$220)+1)+(IF(E342&lt;101,E342,IF(E342&lt;201,E342/2,IF(E342&lt;=301,E342/3,E342/4))))</f>
        <v>821.69684999999993</v>
      </c>
      <c r="G342" s="82" t="str">
        <f>A341</f>
        <v>3rd Floor</v>
      </c>
      <c r="H342" s="83"/>
      <c r="I342" s="34"/>
      <c r="L342" s="81"/>
      <c r="M342" s="81"/>
      <c r="N342" s="34"/>
    </row>
    <row r="343" spans="1:14" s="35" customFormat="1" x14ac:dyDescent="0.25">
      <c r="A343" s="79">
        <v>2</v>
      </c>
      <c r="B343" s="80"/>
      <c r="C343" s="40" t="s">
        <v>191</v>
      </c>
      <c r="D343" s="48">
        <f>(39.01)*10.764</f>
        <v>419.90363999999994</v>
      </c>
      <c r="E343" s="40">
        <v>0</v>
      </c>
      <c r="F343" s="40">
        <f>D343*(($F$220)+1)+(IF(E343&lt;101,E343,IF(E343&lt;201,E343/2,IF(E343&lt;=301,E343/3,E343/4))))</f>
        <v>650.85064199999988</v>
      </c>
      <c r="G343" s="84"/>
      <c r="H343" s="85"/>
      <c r="I343" s="34"/>
      <c r="L343" s="81"/>
      <c r="M343" s="81"/>
      <c r="N343" s="34"/>
    </row>
    <row r="344" spans="1:14" s="35" customFormat="1" x14ac:dyDescent="0.25">
      <c r="A344" s="79">
        <f t="shared" ref="A344:A345" si="29">A343+1</f>
        <v>3</v>
      </c>
      <c r="B344" s="80"/>
      <c r="C344" s="40" t="s">
        <v>184</v>
      </c>
      <c r="D344" s="48">
        <f>(30.33)*10.764</f>
        <v>326.47211999999996</v>
      </c>
      <c r="E344" s="40">
        <v>0</v>
      </c>
      <c r="F344" s="40">
        <f>D344*(($F$220)+1)+(IF(E344&lt;101,E344,IF(E344&lt;201,E344/2,IF(E344&lt;=301,E344/3,E344/4))))</f>
        <v>506.03178599999995</v>
      </c>
      <c r="G344" s="84"/>
      <c r="H344" s="85"/>
      <c r="I344" s="34"/>
      <c r="L344" s="81"/>
      <c r="M344" s="81"/>
      <c r="N344" s="34"/>
    </row>
    <row r="345" spans="1:14" s="35" customFormat="1" x14ac:dyDescent="0.25">
      <c r="A345" s="79">
        <f t="shared" si="29"/>
        <v>4</v>
      </c>
      <c r="B345" s="80"/>
      <c r="C345" s="40" t="s">
        <v>185</v>
      </c>
      <c r="D345" s="48">
        <f>(53.67)*10.764</f>
        <v>577.70388000000003</v>
      </c>
      <c r="E345" s="40">
        <v>0</v>
      </c>
      <c r="F345" s="40">
        <f>D345*(($F$220)+1)+(IF(E345&lt;101,E345,IF(E345&lt;201,E345/2,IF(E345&lt;=301,E345/3,E345/4))))</f>
        <v>895.44101400000011</v>
      </c>
      <c r="G345" s="86"/>
      <c r="H345" s="87"/>
      <c r="I345" s="34"/>
      <c r="L345" s="81"/>
      <c r="M345" s="81"/>
      <c r="N345" s="34"/>
    </row>
    <row r="346" spans="1:14" s="35" customFormat="1" ht="15.75" customHeight="1" x14ac:dyDescent="0.25">
      <c r="A346" s="92" t="s">
        <v>192</v>
      </c>
      <c r="B346" s="93"/>
      <c r="C346" s="93"/>
      <c r="D346" s="93"/>
      <c r="E346" s="93"/>
      <c r="F346" s="93"/>
      <c r="G346" s="93"/>
      <c r="H346" s="94"/>
      <c r="J346" s="34"/>
    </row>
    <row r="347" spans="1:14" s="35" customFormat="1" ht="15.75" customHeight="1" x14ac:dyDescent="0.25">
      <c r="A347" s="79">
        <v>1</v>
      </c>
      <c r="B347" s="80"/>
      <c r="C347" s="79" t="s">
        <v>194</v>
      </c>
      <c r="D347" s="91"/>
      <c r="E347" s="91"/>
      <c r="F347" s="80"/>
      <c r="G347" s="82" t="str">
        <f>A346</f>
        <v>4th Floor</v>
      </c>
      <c r="H347" s="83"/>
      <c r="I347" s="34"/>
      <c r="L347" s="81"/>
      <c r="M347" s="81"/>
      <c r="N347" s="34"/>
    </row>
    <row r="348" spans="1:14" s="35" customFormat="1" x14ac:dyDescent="0.25">
      <c r="A348" s="79">
        <v>2</v>
      </c>
      <c r="B348" s="80"/>
      <c r="C348" s="40" t="s">
        <v>185</v>
      </c>
      <c r="D348" s="48">
        <f>(56.63)*10.764</f>
        <v>609.56532000000004</v>
      </c>
      <c r="E348" s="40">
        <v>0</v>
      </c>
      <c r="F348" s="40">
        <f>D348*(($F$220)+1)+(IF(E348&lt;101,E348,IF(E348&lt;201,E348/2,IF(E348&lt;=301,E348/3,E348/4))))</f>
        <v>944.82624600000008</v>
      </c>
      <c r="G348" s="84"/>
      <c r="H348" s="85"/>
      <c r="I348" s="34"/>
      <c r="L348" s="81"/>
      <c r="M348" s="81"/>
      <c r="N348" s="34"/>
    </row>
    <row r="349" spans="1:14" s="35" customFormat="1" x14ac:dyDescent="0.25">
      <c r="A349" s="79">
        <f t="shared" ref="A349:A350" si="30">A348+1</f>
        <v>3</v>
      </c>
      <c r="B349" s="80"/>
      <c r="C349" s="40" t="s">
        <v>184</v>
      </c>
      <c r="D349" s="48">
        <f>(30.33)*10.764</f>
        <v>326.47211999999996</v>
      </c>
      <c r="E349" s="40">
        <v>0</v>
      </c>
      <c r="F349" s="40">
        <f>D349*(($F$220)+1)+(IF(E349&lt;101,E349,IF(E349&lt;201,E349/2,IF(E349&lt;=301,E349/3,E349/4))))</f>
        <v>506.03178599999995</v>
      </c>
      <c r="G349" s="84"/>
      <c r="H349" s="85"/>
      <c r="I349" s="34"/>
      <c r="L349" s="81"/>
      <c r="M349" s="81"/>
      <c r="N349" s="34"/>
    </row>
    <row r="350" spans="1:14" s="35" customFormat="1" x14ac:dyDescent="0.25">
      <c r="A350" s="79">
        <f t="shared" si="30"/>
        <v>4</v>
      </c>
      <c r="B350" s="80"/>
      <c r="C350" s="40" t="s">
        <v>185</v>
      </c>
      <c r="D350" s="48">
        <f>(53.67)*10.764</f>
        <v>577.70388000000003</v>
      </c>
      <c r="E350" s="40">
        <v>0</v>
      </c>
      <c r="F350" s="40">
        <f>D350*(($F$220)+1)+(IF(E350&lt;101,E350,IF(E350&lt;201,E350/2,IF(E350&lt;=301,E350/3,E350/4))))</f>
        <v>895.44101400000011</v>
      </c>
      <c r="G350" s="86"/>
      <c r="H350" s="87"/>
      <c r="I350" s="34"/>
      <c r="L350" s="81"/>
      <c r="M350" s="81"/>
      <c r="N350" s="34"/>
    </row>
    <row r="351" spans="1:14" s="35" customFormat="1" x14ac:dyDescent="0.25">
      <c r="A351" s="92" t="s">
        <v>237</v>
      </c>
      <c r="B351" s="93"/>
      <c r="C351" s="93"/>
      <c r="D351" s="93"/>
      <c r="E351" s="93"/>
      <c r="F351" s="93"/>
      <c r="G351" s="93"/>
      <c r="H351" s="94"/>
      <c r="I351" s="34"/>
      <c r="L351" s="81"/>
      <c r="M351" s="81"/>
      <c r="N351" s="34"/>
    </row>
    <row r="352" spans="1:14" s="35" customFormat="1" ht="15.75" customHeight="1" x14ac:dyDescent="0.25">
      <c r="A352" s="79">
        <v>1</v>
      </c>
      <c r="B352" s="80"/>
      <c r="C352" s="40" t="s">
        <v>190</v>
      </c>
      <c r="D352" s="48">
        <f>(49.25)*10.764</f>
        <v>530.12699999999995</v>
      </c>
      <c r="E352" s="40">
        <v>0</v>
      </c>
      <c r="F352" s="40">
        <f>D352*(($F$220)+1)+(IF(E352&lt;101,E352,IF(E352&lt;201,E352/2,IF(E352&lt;=301,E352/3,E352/4))))</f>
        <v>821.69684999999993</v>
      </c>
      <c r="G352" s="82" t="str">
        <f>A351</f>
        <v>5th to 7th, 9th to 10th &amp; 12th to 14th, 16th to 19th, 21st to 22nd Floor</v>
      </c>
      <c r="H352" s="83"/>
      <c r="J352" s="34"/>
    </row>
    <row r="353" spans="1:14" s="35" customFormat="1" ht="15.75" customHeight="1" x14ac:dyDescent="0.25">
      <c r="A353" s="79">
        <f t="shared" ref="A353:A356" si="31">A352+1</f>
        <v>2</v>
      </c>
      <c r="B353" s="80"/>
      <c r="C353" s="40" t="s">
        <v>191</v>
      </c>
      <c r="D353" s="48">
        <f>(39.01)*10.764</f>
        <v>419.90363999999994</v>
      </c>
      <c r="E353" s="40">
        <v>0</v>
      </c>
      <c r="F353" s="40">
        <f>D353*(($F$220)+1)+(IF(E353&lt;101,E353,IF(E353&lt;201,E353/2,IF(E353&lt;=301,E353/3,E353/4))))</f>
        <v>650.85064199999988</v>
      </c>
      <c r="G353" s="84"/>
      <c r="H353" s="85"/>
      <c r="I353" s="34"/>
      <c r="L353" s="81"/>
      <c r="M353" s="81"/>
      <c r="N353" s="34"/>
    </row>
    <row r="354" spans="1:14" s="35" customFormat="1" x14ac:dyDescent="0.25">
      <c r="A354" s="79">
        <f t="shared" si="31"/>
        <v>3</v>
      </c>
      <c r="B354" s="80"/>
      <c r="C354" s="40" t="s">
        <v>184</v>
      </c>
      <c r="D354" s="48">
        <f>(30.33)*10.764</f>
        <v>326.47211999999996</v>
      </c>
      <c r="E354" s="40">
        <v>0</v>
      </c>
      <c r="F354" s="40">
        <f>D354*(($F$220)+1)+(IF(E354&lt;101,E354,IF(E354&lt;201,E354/2,IF(E354&lt;=301,E354/3,E354/4))))</f>
        <v>506.03178599999995</v>
      </c>
      <c r="G354" s="84"/>
      <c r="H354" s="85"/>
      <c r="I354" s="34"/>
      <c r="L354" s="81"/>
      <c r="M354" s="81"/>
      <c r="N354" s="34"/>
    </row>
    <row r="355" spans="1:14" s="35" customFormat="1" x14ac:dyDescent="0.25">
      <c r="A355" s="79">
        <f t="shared" si="31"/>
        <v>4</v>
      </c>
      <c r="B355" s="80"/>
      <c r="C355" s="40" t="s">
        <v>185</v>
      </c>
      <c r="D355" s="48">
        <f>(53.67)*10.764</f>
        <v>577.70388000000003</v>
      </c>
      <c r="E355" s="40">
        <v>0</v>
      </c>
      <c r="F355" s="40">
        <f>D355*(($F$220)+1)+(IF(E355&lt;101,E355,IF(E355&lt;201,E355/2,IF(E355&lt;=301,E355/3,E355/4))))</f>
        <v>895.44101400000011</v>
      </c>
      <c r="G355" s="84"/>
      <c r="H355" s="85"/>
      <c r="I355" s="34"/>
      <c r="L355" s="81"/>
      <c r="M355" s="81"/>
      <c r="N355" s="34"/>
    </row>
    <row r="356" spans="1:14" s="35" customFormat="1" x14ac:dyDescent="0.25">
      <c r="A356" s="79">
        <f t="shared" si="31"/>
        <v>5</v>
      </c>
      <c r="B356" s="80"/>
      <c r="C356" s="40" t="s">
        <v>191</v>
      </c>
      <c r="D356" s="48">
        <f>(39.73)*10.764</f>
        <v>427.65371999999996</v>
      </c>
      <c r="E356" s="40">
        <v>0</v>
      </c>
      <c r="F356" s="40">
        <f>D356*(($F$220)+1)+(IF(E356&lt;101,E356,IF(E356&lt;201,E356/2,IF(E356&lt;=301,E356/3,E356/4))))</f>
        <v>662.86326599999995</v>
      </c>
      <c r="G356" s="86"/>
      <c r="H356" s="87"/>
      <c r="I356" s="34"/>
      <c r="L356" s="81"/>
      <c r="M356" s="81"/>
      <c r="N356" s="34"/>
    </row>
    <row r="357" spans="1:14" s="35" customFormat="1" x14ac:dyDescent="0.25">
      <c r="A357" s="92" t="s">
        <v>238</v>
      </c>
      <c r="B357" s="93"/>
      <c r="C357" s="93"/>
      <c r="D357" s="93"/>
      <c r="E357" s="93"/>
      <c r="F357" s="93"/>
      <c r="G357" s="93"/>
      <c r="H357" s="94"/>
      <c r="I357" s="34"/>
      <c r="L357" s="81"/>
      <c r="M357" s="81"/>
      <c r="N357" s="34"/>
    </row>
    <row r="358" spans="1:14" s="35" customFormat="1" ht="15.75" customHeight="1" x14ac:dyDescent="0.25">
      <c r="A358" s="79">
        <v>1</v>
      </c>
      <c r="B358" s="80"/>
      <c r="C358" s="40" t="s">
        <v>191</v>
      </c>
      <c r="D358" s="48">
        <f>(49.25)*10.764</f>
        <v>530.12699999999995</v>
      </c>
      <c r="E358" s="40">
        <v>0</v>
      </c>
      <c r="F358" s="40">
        <f>D358*(($F$220)+1)+(IF(E358&lt;101,E358,IF(E358&lt;201,E358/2,IF(E358&lt;=301,E358/3,E358/4))))</f>
        <v>821.69684999999993</v>
      </c>
      <c r="G358" s="82" t="str">
        <f>A357</f>
        <v>11th Floor</v>
      </c>
      <c r="H358" s="83"/>
      <c r="J358" s="34"/>
    </row>
    <row r="359" spans="1:14" s="35" customFormat="1" ht="15.75" customHeight="1" x14ac:dyDescent="0.25">
      <c r="A359" s="79">
        <v>2</v>
      </c>
      <c r="B359" s="80"/>
      <c r="C359" s="40" t="s">
        <v>191</v>
      </c>
      <c r="D359" s="48">
        <f>(39.01)*10.764</f>
        <v>419.90363999999994</v>
      </c>
      <c r="E359" s="40">
        <v>0</v>
      </c>
      <c r="F359" s="40">
        <f>D359*(($F$220)+1)+(IF(E359&lt;101,E359,IF(E359&lt;201,E359/2,IF(E359&lt;=301,E359/3,E359/4))))</f>
        <v>650.85064199999988</v>
      </c>
      <c r="G359" s="84"/>
      <c r="H359" s="85"/>
      <c r="I359" s="34"/>
      <c r="L359" s="81"/>
      <c r="M359" s="81"/>
      <c r="N359" s="34"/>
    </row>
    <row r="360" spans="1:14" s="35" customFormat="1" x14ac:dyDescent="0.25">
      <c r="A360" s="79">
        <v>3</v>
      </c>
      <c r="B360" s="80"/>
      <c r="C360" s="40" t="s">
        <v>184</v>
      </c>
      <c r="D360" s="48">
        <f>(30.33)*10.764</f>
        <v>326.47211999999996</v>
      </c>
      <c r="E360" s="40">
        <v>0</v>
      </c>
      <c r="F360" s="40">
        <f>D360*(($F$220)+1)+(IF(E360&lt;101,E360,IF(E360&lt;201,E360/2,IF(E360&lt;=301,E360/3,E360/4))))</f>
        <v>506.03178599999995</v>
      </c>
      <c r="G360" s="84"/>
      <c r="H360" s="85"/>
      <c r="I360" s="34"/>
      <c r="L360" s="81"/>
      <c r="M360" s="81"/>
      <c r="N360" s="34"/>
    </row>
    <row r="361" spans="1:14" s="35" customFormat="1" x14ac:dyDescent="0.25">
      <c r="A361" s="79">
        <v>4</v>
      </c>
      <c r="B361" s="80"/>
      <c r="C361" s="40" t="s">
        <v>185</v>
      </c>
      <c r="D361" s="48">
        <f>(53.67)*10.764</f>
        <v>577.70388000000003</v>
      </c>
      <c r="E361" s="40">
        <v>0</v>
      </c>
      <c r="F361" s="40">
        <f>D361*(($F$220)+1)+(IF(E361&lt;101,E361,IF(E361&lt;201,E361/2,IF(E361&lt;=301,E361/3,E361/4))))</f>
        <v>895.44101400000011</v>
      </c>
      <c r="G361" s="84"/>
      <c r="H361" s="85"/>
      <c r="I361" s="34"/>
      <c r="L361" s="81"/>
      <c r="M361" s="81"/>
      <c r="N361" s="34"/>
    </row>
    <row r="362" spans="1:14" s="35" customFormat="1" x14ac:dyDescent="0.25">
      <c r="A362" s="79">
        <v>5</v>
      </c>
      <c r="B362" s="80"/>
      <c r="C362" s="40" t="s">
        <v>191</v>
      </c>
      <c r="D362" s="48">
        <f>(39.73)*10.764</f>
        <v>427.65371999999996</v>
      </c>
      <c r="E362" s="40">
        <v>0</v>
      </c>
      <c r="F362" s="40">
        <f>D362*(($F$220)+1)+(IF(E362&lt;101,E362,IF(E362&lt;201,E362/2,IF(E362&lt;=301,E362/3,E362/4))))</f>
        <v>662.86326599999995</v>
      </c>
      <c r="G362" s="84"/>
      <c r="H362" s="85"/>
      <c r="I362" s="34"/>
      <c r="L362" s="81"/>
      <c r="M362" s="81"/>
      <c r="N362" s="34"/>
    </row>
    <row r="363" spans="1:14" s="35" customFormat="1" x14ac:dyDescent="0.25">
      <c r="A363" s="92" t="s">
        <v>239</v>
      </c>
      <c r="B363" s="93"/>
      <c r="C363" s="93"/>
      <c r="D363" s="93"/>
      <c r="E363" s="93"/>
      <c r="F363" s="93"/>
      <c r="G363" s="93"/>
      <c r="H363" s="94"/>
      <c r="I363" s="34"/>
      <c r="L363" s="81"/>
      <c r="M363" s="81"/>
      <c r="N363" s="34"/>
    </row>
    <row r="364" spans="1:14" s="35" customFormat="1" ht="15.75" customHeight="1" x14ac:dyDescent="0.25">
      <c r="A364" s="79">
        <v>1</v>
      </c>
      <c r="B364" s="80"/>
      <c r="C364" s="40" t="s">
        <v>190</v>
      </c>
      <c r="D364" s="48">
        <f>(49.25)*10.764</f>
        <v>530.12699999999995</v>
      </c>
      <c r="E364" s="40">
        <v>0</v>
      </c>
      <c r="F364" s="40">
        <f>D364*(($F$220)+1)+(IF(E364&lt;101,E364,IF(E364&lt;201,E364/2,IF(E364&lt;=301,E364/3,E364/4))))</f>
        <v>821.69684999999993</v>
      </c>
      <c r="G364" s="82" t="str">
        <f>A363</f>
        <v>20th Floor</v>
      </c>
      <c r="H364" s="83"/>
      <c r="J364" s="34"/>
    </row>
    <row r="365" spans="1:14" s="35" customFormat="1" ht="15.75" customHeight="1" x14ac:dyDescent="0.25">
      <c r="A365" s="79">
        <v>2</v>
      </c>
      <c r="B365" s="80"/>
      <c r="C365" s="40" t="s">
        <v>191</v>
      </c>
      <c r="D365" s="48">
        <f>(39.01)*10.764</f>
        <v>419.90363999999994</v>
      </c>
      <c r="E365" s="40">
        <v>0</v>
      </c>
      <c r="F365" s="40">
        <f>D365*(($F$220)+1)+(IF(E365&lt;101,E365,IF(E365&lt;201,E365/2,IF(E365&lt;=301,E365/3,E365/4))))</f>
        <v>650.85064199999988</v>
      </c>
      <c r="G365" s="84"/>
      <c r="H365" s="85"/>
      <c r="I365" s="34"/>
      <c r="L365" s="81"/>
      <c r="M365" s="81"/>
      <c r="N365" s="34"/>
    </row>
    <row r="366" spans="1:14" s="35" customFormat="1" x14ac:dyDescent="0.25">
      <c r="A366" s="79">
        <v>3</v>
      </c>
      <c r="B366" s="80"/>
      <c r="C366" s="40" t="s">
        <v>184</v>
      </c>
      <c r="D366" s="48">
        <f>(30.33)*10.764</f>
        <v>326.47211999999996</v>
      </c>
      <c r="E366" s="40">
        <v>0</v>
      </c>
      <c r="F366" s="40">
        <f>D366*(($F$220)+1)+(IF(E366&lt;101,E366,IF(E366&lt;201,E366/2,IF(E366&lt;=301,E366/3,E366/4))))</f>
        <v>506.03178599999995</v>
      </c>
      <c r="G366" s="84"/>
      <c r="H366" s="85"/>
      <c r="I366" s="34"/>
      <c r="L366" s="81"/>
      <c r="M366" s="81"/>
      <c r="N366" s="34"/>
    </row>
    <row r="367" spans="1:14" s="35" customFormat="1" x14ac:dyDescent="0.25">
      <c r="A367" s="79">
        <v>4</v>
      </c>
      <c r="B367" s="80"/>
      <c r="C367" s="40" t="s">
        <v>185</v>
      </c>
      <c r="D367" s="48">
        <f>(53.67)*10.764</f>
        <v>577.70388000000003</v>
      </c>
      <c r="E367" s="40">
        <v>0</v>
      </c>
      <c r="F367" s="40">
        <f>D367*(($F$220)+1)+(IF(E367&lt;101,E367,IF(E367&lt;201,E367/2,IF(E367&lt;=301,E367/3,E367/4))))</f>
        <v>895.44101400000011</v>
      </c>
      <c r="G367" s="84"/>
      <c r="H367" s="85"/>
      <c r="I367" s="34"/>
      <c r="L367" s="81"/>
      <c r="M367" s="81"/>
      <c r="N367" s="34"/>
    </row>
    <row r="368" spans="1:14" s="35" customFormat="1" x14ac:dyDescent="0.25">
      <c r="A368" s="79">
        <v>5</v>
      </c>
      <c r="B368" s="80"/>
      <c r="C368" s="40" t="s">
        <v>191</v>
      </c>
      <c r="D368" s="48">
        <f>(39.73)*10.764</f>
        <v>427.65371999999996</v>
      </c>
      <c r="E368" s="40">
        <v>0</v>
      </c>
      <c r="F368" s="40">
        <f>D368*(($F$220)+1)+(IF(E368&lt;101,E368,IF(E368&lt;201,E368/2,IF(E368&lt;=301,E368/3,E368/4))))</f>
        <v>662.86326599999995</v>
      </c>
      <c r="G368" s="84"/>
      <c r="H368" s="85"/>
      <c r="I368" s="34"/>
      <c r="L368" s="81"/>
      <c r="M368" s="81"/>
      <c r="N368" s="34"/>
    </row>
    <row r="369" spans="1:14" s="35" customFormat="1" x14ac:dyDescent="0.25">
      <c r="A369" s="92" t="s">
        <v>195</v>
      </c>
      <c r="B369" s="93"/>
      <c r="C369" s="93"/>
      <c r="D369" s="93"/>
      <c r="E369" s="93"/>
      <c r="F369" s="93"/>
      <c r="G369" s="93"/>
      <c r="H369" s="94"/>
      <c r="I369" s="34"/>
      <c r="L369" s="81"/>
      <c r="M369" s="81"/>
      <c r="N369" s="34"/>
    </row>
    <row r="370" spans="1:14" s="35" customFormat="1" ht="15.75" customHeight="1" x14ac:dyDescent="0.25">
      <c r="A370" s="79">
        <v>1</v>
      </c>
      <c r="B370" s="80"/>
      <c r="C370" s="40" t="s">
        <v>190</v>
      </c>
      <c r="D370" s="48">
        <f>(49.25)*10.764</f>
        <v>530.12699999999995</v>
      </c>
      <c r="E370" s="40">
        <v>0</v>
      </c>
      <c r="F370" s="40">
        <f>D370*(($F$220)+1)+(IF(E370&lt;101,E370,IF(E370&lt;201,E370/2,IF(E370&lt;=301,E370/3,E370/4))))</f>
        <v>821.69684999999993</v>
      </c>
      <c r="G370" s="82" t="str">
        <f>A369</f>
        <v>8th Floor (Part Refuge Area)</v>
      </c>
      <c r="H370" s="83"/>
      <c r="J370" s="34"/>
    </row>
    <row r="371" spans="1:14" s="35" customFormat="1" ht="15.75" customHeight="1" x14ac:dyDescent="0.25">
      <c r="A371" s="79">
        <f t="shared" ref="A371:A374" si="32">A370+1</f>
        <v>2</v>
      </c>
      <c r="B371" s="80"/>
      <c r="C371" s="40" t="s">
        <v>191</v>
      </c>
      <c r="D371" s="48">
        <f>(39.01)*10.764</f>
        <v>419.90363999999994</v>
      </c>
      <c r="E371" s="40">
        <v>0</v>
      </c>
      <c r="F371" s="40">
        <f>D371*(($F$220)+1)+(IF(E371&lt;101,E371,IF(E371&lt;201,E371/2,IF(E371&lt;=301,E371/3,E371/4))))</f>
        <v>650.85064199999988</v>
      </c>
      <c r="G371" s="84"/>
      <c r="H371" s="85"/>
      <c r="I371" s="34"/>
      <c r="L371" s="81"/>
      <c r="M371" s="81"/>
      <c r="N371" s="34"/>
    </row>
    <row r="372" spans="1:14" s="35" customFormat="1" x14ac:dyDescent="0.25">
      <c r="A372" s="79">
        <f t="shared" si="32"/>
        <v>3</v>
      </c>
      <c r="B372" s="80"/>
      <c r="C372" s="40" t="s">
        <v>184</v>
      </c>
      <c r="D372" s="48">
        <f>(30.33)*10.764</f>
        <v>326.47211999999996</v>
      </c>
      <c r="E372" s="40">
        <v>0</v>
      </c>
      <c r="F372" s="40">
        <f>D372*(($F$220)+1)+(IF(E372&lt;101,E372,IF(E372&lt;201,E372/2,IF(E372&lt;=301,E372/3,E372/4))))</f>
        <v>506.03178599999995</v>
      </c>
      <c r="G372" s="84"/>
      <c r="H372" s="85"/>
      <c r="I372" s="34"/>
      <c r="L372" s="81"/>
      <c r="M372" s="81"/>
      <c r="N372" s="34"/>
    </row>
    <row r="373" spans="1:14" s="35" customFormat="1" x14ac:dyDescent="0.25">
      <c r="A373" s="79">
        <f t="shared" si="32"/>
        <v>4</v>
      </c>
      <c r="B373" s="80"/>
      <c r="C373" s="79" t="s">
        <v>196</v>
      </c>
      <c r="D373" s="91"/>
      <c r="E373" s="91"/>
      <c r="F373" s="80"/>
      <c r="G373" s="84"/>
      <c r="H373" s="85"/>
      <c r="I373" s="34"/>
      <c r="L373" s="81"/>
      <c r="M373" s="81"/>
      <c r="N373" s="34"/>
    </row>
    <row r="374" spans="1:14" s="35" customFormat="1" x14ac:dyDescent="0.25">
      <c r="A374" s="79">
        <f t="shared" si="32"/>
        <v>5</v>
      </c>
      <c r="B374" s="80"/>
      <c r="C374" s="40" t="s">
        <v>191</v>
      </c>
      <c r="D374" s="48">
        <f>(39.73)*10.764</f>
        <v>427.65371999999996</v>
      </c>
      <c r="E374" s="40">
        <v>0</v>
      </c>
      <c r="F374" s="40">
        <f>D374*(($F$220)+1)+(IF(E374&lt;101,E374,IF(E374&lt;201,E374/2,IF(E374&lt;=301,E374/3,E374/4))))</f>
        <v>662.86326599999995</v>
      </c>
      <c r="G374" s="86"/>
      <c r="H374" s="87"/>
      <c r="I374" s="34"/>
      <c r="L374" s="81"/>
      <c r="M374" s="81"/>
      <c r="N374" s="34"/>
    </row>
    <row r="375" spans="1:14" s="35" customFormat="1" x14ac:dyDescent="0.25">
      <c r="A375" s="92" t="s">
        <v>197</v>
      </c>
      <c r="B375" s="93"/>
      <c r="C375" s="93"/>
      <c r="D375" s="93"/>
      <c r="E375" s="93"/>
      <c r="F375" s="93"/>
      <c r="G375" s="93"/>
      <c r="H375" s="94"/>
      <c r="I375" s="34"/>
      <c r="L375" s="81"/>
      <c r="M375" s="81"/>
      <c r="N375" s="34"/>
    </row>
    <row r="376" spans="1:14" s="35" customFormat="1" x14ac:dyDescent="0.25">
      <c r="A376" s="79">
        <v>1</v>
      </c>
      <c r="B376" s="80"/>
      <c r="C376" s="40" t="s">
        <v>190</v>
      </c>
      <c r="D376" s="48">
        <f>(49.25)*10.764</f>
        <v>530.12699999999995</v>
      </c>
      <c r="E376" s="40">
        <v>0</v>
      </c>
      <c r="F376" s="40">
        <f>D376*(($F$220)+1)+(IF(E376&lt;101,E376,IF(E376&lt;201,E376/2,IF(E376&lt;=301,E376/3,E376/4))))</f>
        <v>821.69684999999993</v>
      </c>
      <c r="G376" s="82" t="str">
        <f>A375</f>
        <v>15th Floor (Part Refuge Area)</v>
      </c>
      <c r="H376" s="83"/>
      <c r="J376" s="34"/>
    </row>
    <row r="377" spans="1:14" s="35" customFormat="1" ht="15.75" customHeight="1" x14ac:dyDescent="0.25">
      <c r="A377" s="79">
        <f t="shared" ref="A377:A380" si="33">A376+1</f>
        <v>2</v>
      </c>
      <c r="B377" s="80"/>
      <c r="C377" s="40" t="s">
        <v>191</v>
      </c>
      <c r="D377" s="48">
        <f>(39.01)*10.764</f>
        <v>419.90363999999994</v>
      </c>
      <c r="E377" s="40">
        <v>0</v>
      </c>
      <c r="F377" s="40">
        <f>D377*(($F$220)+1)+(IF(E377&lt;101,E377,IF(E377&lt;201,E377/2,IF(E377&lt;=301,E377/3,E377/4))))</f>
        <v>650.85064199999988</v>
      </c>
      <c r="G377" s="84"/>
      <c r="H377" s="85"/>
      <c r="J377" s="34"/>
    </row>
    <row r="378" spans="1:14" s="35" customFormat="1" ht="15.75" customHeight="1" x14ac:dyDescent="0.25">
      <c r="A378" s="79">
        <f t="shared" si="33"/>
        <v>3</v>
      </c>
      <c r="B378" s="80"/>
      <c r="C378" s="82" t="s">
        <v>196</v>
      </c>
      <c r="D378" s="88"/>
      <c r="E378" s="88"/>
      <c r="F378" s="83"/>
      <c r="G378" s="84"/>
      <c r="H378" s="85"/>
      <c r="I378" s="34"/>
      <c r="L378" s="81"/>
      <c r="M378" s="81"/>
      <c r="N378" s="34"/>
    </row>
    <row r="379" spans="1:14" s="35" customFormat="1" x14ac:dyDescent="0.25">
      <c r="A379" s="79">
        <f t="shared" si="33"/>
        <v>4</v>
      </c>
      <c r="B379" s="80"/>
      <c r="C379" s="86"/>
      <c r="D379" s="90"/>
      <c r="E379" s="90"/>
      <c r="F379" s="87"/>
      <c r="G379" s="84"/>
      <c r="H379" s="85"/>
      <c r="I379" s="34"/>
      <c r="L379" s="81"/>
      <c r="M379" s="81"/>
      <c r="N379" s="34"/>
    </row>
    <row r="380" spans="1:14" s="35" customFormat="1" x14ac:dyDescent="0.25">
      <c r="A380" s="79">
        <f t="shared" si="33"/>
        <v>5</v>
      </c>
      <c r="B380" s="80"/>
      <c r="C380" s="40" t="s">
        <v>191</v>
      </c>
      <c r="D380" s="48">
        <f>(39.73)*10.764</f>
        <v>427.65371999999996</v>
      </c>
      <c r="E380" s="40">
        <v>0</v>
      </c>
      <c r="F380" s="40">
        <f>D380*(($F$220)+1)+(IF(E380&lt;101,E380,IF(E380&lt;201,E380/2,IF(E380&lt;=301,E380/3,E380/4))))</f>
        <v>662.86326599999995</v>
      </c>
      <c r="G380" s="86"/>
      <c r="H380" s="87"/>
      <c r="I380" s="34"/>
      <c r="L380" s="81"/>
      <c r="M380" s="81"/>
      <c r="N380" s="34"/>
    </row>
    <row r="381" spans="1:14" s="35" customFormat="1" x14ac:dyDescent="0.25">
      <c r="A381" s="92" t="s">
        <v>178</v>
      </c>
      <c r="B381" s="93"/>
      <c r="C381" s="93"/>
      <c r="D381" s="93"/>
      <c r="E381" s="93"/>
      <c r="F381" s="93"/>
      <c r="G381" s="93"/>
      <c r="H381" s="94"/>
      <c r="I381" s="34"/>
      <c r="L381" s="81"/>
      <c r="M381" s="81"/>
      <c r="N381" s="34"/>
    </row>
    <row r="382" spans="1:14" s="35" customFormat="1" x14ac:dyDescent="0.25">
      <c r="A382" s="92" t="s">
        <v>182</v>
      </c>
      <c r="B382" s="93"/>
      <c r="C382" s="93"/>
      <c r="D382" s="93"/>
      <c r="E382" s="93"/>
      <c r="F382" s="93"/>
      <c r="G382" s="93"/>
      <c r="H382" s="94"/>
      <c r="I382" s="34"/>
      <c r="L382" s="81"/>
      <c r="M382" s="81"/>
      <c r="N382" s="34"/>
    </row>
    <row r="383" spans="1:14" s="35" customFormat="1" x14ac:dyDescent="0.25">
      <c r="A383" s="79">
        <v>1</v>
      </c>
      <c r="B383" s="80"/>
      <c r="C383" s="82" t="s">
        <v>183</v>
      </c>
      <c r="D383" s="88"/>
      <c r="E383" s="88"/>
      <c r="F383" s="83"/>
      <c r="G383" s="82" t="str">
        <f>A382</f>
        <v>1st Floor for Residential &amp; Commercial</v>
      </c>
      <c r="H383" s="83"/>
      <c r="J383" s="34"/>
    </row>
    <row r="384" spans="1:14" s="35" customFormat="1" ht="15.75" customHeight="1" x14ac:dyDescent="0.25">
      <c r="A384" s="79">
        <v>2</v>
      </c>
      <c r="B384" s="80"/>
      <c r="C384" s="86"/>
      <c r="D384" s="90"/>
      <c r="E384" s="90"/>
      <c r="F384" s="87"/>
      <c r="G384" s="84"/>
      <c r="H384" s="85"/>
      <c r="I384" s="34"/>
      <c r="L384" s="81"/>
      <c r="M384" s="81"/>
      <c r="N384" s="34"/>
    </row>
    <row r="385" spans="1:14" s="35" customFormat="1" x14ac:dyDescent="0.25">
      <c r="A385" s="79">
        <v>3</v>
      </c>
      <c r="B385" s="80"/>
      <c r="C385" s="40" t="s">
        <v>184</v>
      </c>
      <c r="D385" s="48">
        <f>(30.33)*10.764</f>
        <v>326.47211999999996</v>
      </c>
      <c r="E385" s="40">
        <v>0</v>
      </c>
      <c r="F385" s="40">
        <f>D385*(($F$220)+1)+(IF(E385&lt;101,E385,IF(E385&lt;201,E385/2,IF(E385&lt;=301,E385/3,E385/4))))</f>
        <v>506.03178599999995</v>
      </c>
      <c r="G385" s="84"/>
      <c r="H385" s="85"/>
      <c r="I385" s="34"/>
      <c r="L385" s="81"/>
      <c r="M385" s="81"/>
      <c r="N385" s="34"/>
    </row>
    <row r="386" spans="1:14" s="35" customFormat="1" x14ac:dyDescent="0.25">
      <c r="A386" s="79">
        <v>4</v>
      </c>
      <c r="B386" s="80"/>
      <c r="C386" s="40" t="s">
        <v>185</v>
      </c>
      <c r="D386" s="48">
        <f>(53.67)*10.764</f>
        <v>577.70388000000003</v>
      </c>
      <c r="E386" s="40">
        <v>0</v>
      </c>
      <c r="F386" s="40">
        <f>D386*(($F$220)+1)+(IF(E386&lt;101,E386,IF(E386&lt;201,E386/2,IF(E386&lt;=301,E386/3,E386/4))))</f>
        <v>895.44101400000011</v>
      </c>
      <c r="G386" s="84"/>
      <c r="H386" s="85"/>
      <c r="I386" s="34"/>
      <c r="L386" s="81"/>
      <c r="M386" s="81"/>
      <c r="N386" s="34"/>
    </row>
    <row r="387" spans="1:14" s="35" customFormat="1" x14ac:dyDescent="0.25">
      <c r="A387" s="79">
        <v>5</v>
      </c>
      <c r="B387" s="80"/>
      <c r="C387" s="79" t="s">
        <v>240</v>
      </c>
      <c r="D387" s="91"/>
      <c r="E387" s="91"/>
      <c r="F387" s="80"/>
      <c r="G387" s="86"/>
      <c r="H387" s="87"/>
      <c r="I387" s="34"/>
      <c r="L387" s="81"/>
      <c r="M387" s="81"/>
      <c r="N387" s="34"/>
    </row>
    <row r="388" spans="1:14" s="35" customFormat="1" x14ac:dyDescent="0.25">
      <c r="A388" s="92" t="s">
        <v>116</v>
      </c>
      <c r="B388" s="93"/>
      <c r="C388" s="93"/>
      <c r="D388" s="93"/>
      <c r="E388" s="93"/>
      <c r="F388" s="93"/>
      <c r="G388" s="93"/>
      <c r="H388" s="94"/>
      <c r="J388" s="34"/>
    </row>
    <row r="389" spans="1:14" s="35" customFormat="1" ht="15.75" customHeight="1" x14ac:dyDescent="0.25">
      <c r="A389" s="79">
        <v>1</v>
      </c>
      <c r="B389" s="80"/>
      <c r="C389" s="82" t="s">
        <v>183</v>
      </c>
      <c r="D389" s="88"/>
      <c r="E389" s="88"/>
      <c r="F389" s="83"/>
      <c r="G389" s="82" t="str">
        <f>A388</f>
        <v>2nd Floor</v>
      </c>
      <c r="H389" s="83"/>
      <c r="I389" s="34"/>
      <c r="L389" s="81"/>
      <c r="M389" s="81"/>
      <c r="N389" s="34"/>
    </row>
    <row r="390" spans="1:14" s="35" customFormat="1" x14ac:dyDescent="0.25">
      <c r="A390" s="79">
        <f t="shared" ref="A390:A392" si="34">A389+1</f>
        <v>2</v>
      </c>
      <c r="B390" s="80"/>
      <c r="C390" s="86"/>
      <c r="D390" s="90"/>
      <c r="E390" s="90"/>
      <c r="F390" s="87"/>
      <c r="G390" s="84"/>
      <c r="H390" s="85"/>
      <c r="I390" s="34"/>
      <c r="L390" s="81"/>
      <c r="M390" s="81"/>
      <c r="N390" s="34"/>
    </row>
    <row r="391" spans="1:14" s="35" customFormat="1" x14ac:dyDescent="0.25">
      <c r="A391" s="79">
        <f t="shared" si="34"/>
        <v>3</v>
      </c>
      <c r="B391" s="80"/>
      <c r="C391" s="40" t="s">
        <v>184</v>
      </c>
      <c r="D391" s="48">
        <f>(30.33)*10.764</f>
        <v>326.47211999999996</v>
      </c>
      <c r="E391" s="40">
        <v>0</v>
      </c>
      <c r="F391" s="40">
        <f>D391*(($F$220)+1)+(IF(E391&lt;101,E391,IF(E391&lt;201,E391/2,IF(E391&lt;=301,E391/3,E391/4))))</f>
        <v>506.03178599999995</v>
      </c>
      <c r="G391" s="84"/>
      <c r="H391" s="85"/>
      <c r="I391" s="34"/>
      <c r="L391" s="81"/>
      <c r="M391" s="81"/>
      <c r="N391" s="34"/>
    </row>
    <row r="392" spans="1:14" s="35" customFormat="1" x14ac:dyDescent="0.25">
      <c r="A392" s="79">
        <f t="shared" si="34"/>
        <v>4</v>
      </c>
      <c r="B392" s="80"/>
      <c r="C392" s="40" t="s">
        <v>185</v>
      </c>
      <c r="D392" s="48">
        <f>(53.67)*10.764</f>
        <v>577.70388000000003</v>
      </c>
      <c r="E392" s="40">
        <v>0</v>
      </c>
      <c r="F392" s="40">
        <f>D392*(($F$220)+1)+(IF(E392&lt;101,E392,IF(E392&lt;201,E392/2,IF(E392&lt;=301,E392/3,E392/4))))</f>
        <v>895.44101400000011</v>
      </c>
      <c r="G392" s="86"/>
      <c r="H392" s="87"/>
      <c r="I392" s="34"/>
      <c r="L392" s="81"/>
      <c r="M392" s="81"/>
      <c r="N392" s="34"/>
    </row>
    <row r="393" spans="1:14" s="35" customFormat="1" ht="15.75" customHeight="1" x14ac:dyDescent="0.25">
      <c r="A393" s="92" t="s">
        <v>181</v>
      </c>
      <c r="B393" s="93"/>
      <c r="C393" s="93"/>
      <c r="D393" s="93"/>
      <c r="E393" s="93"/>
      <c r="F393" s="93"/>
      <c r="G393" s="93"/>
      <c r="H393" s="94"/>
      <c r="J393" s="34"/>
    </row>
    <row r="394" spans="1:14" s="35" customFormat="1" ht="15.75" customHeight="1" x14ac:dyDescent="0.25">
      <c r="A394" s="79">
        <v>1</v>
      </c>
      <c r="B394" s="80"/>
      <c r="C394" s="82" t="s">
        <v>183</v>
      </c>
      <c r="D394" s="88"/>
      <c r="E394" s="88"/>
      <c r="F394" s="83"/>
      <c r="G394" s="82" t="str">
        <f>A393</f>
        <v>3rd Floor</v>
      </c>
      <c r="H394" s="83"/>
      <c r="I394" s="34"/>
      <c r="L394" s="81"/>
      <c r="M394" s="81"/>
      <c r="N394" s="34"/>
    </row>
    <row r="395" spans="1:14" s="35" customFormat="1" x14ac:dyDescent="0.25">
      <c r="A395" s="79">
        <f t="shared" ref="A395:A397" si="35">A394+1</f>
        <v>2</v>
      </c>
      <c r="B395" s="80"/>
      <c r="C395" s="86"/>
      <c r="D395" s="90"/>
      <c r="E395" s="90"/>
      <c r="F395" s="87"/>
      <c r="G395" s="84"/>
      <c r="H395" s="85"/>
      <c r="I395" s="34"/>
      <c r="L395" s="81"/>
      <c r="M395" s="81"/>
      <c r="N395" s="34"/>
    </row>
    <row r="396" spans="1:14" s="35" customFormat="1" x14ac:dyDescent="0.25">
      <c r="A396" s="79">
        <f t="shared" si="35"/>
        <v>3</v>
      </c>
      <c r="B396" s="80"/>
      <c r="C396" s="40" t="s">
        <v>184</v>
      </c>
      <c r="D396" s="48">
        <f>(30.33)*10.764</f>
        <v>326.47211999999996</v>
      </c>
      <c r="E396" s="40">
        <v>0</v>
      </c>
      <c r="F396" s="40">
        <f>D396*(($F$220)+1)+(IF(E396&lt;101,E396,IF(E396&lt;201,E396/2,IF(E396&lt;=301,E396/3,E396/4))))</f>
        <v>506.03178599999995</v>
      </c>
      <c r="G396" s="84"/>
      <c r="H396" s="85"/>
      <c r="I396" s="34"/>
      <c r="L396" s="81"/>
      <c r="M396" s="81"/>
      <c r="N396" s="34"/>
    </row>
    <row r="397" spans="1:14" s="35" customFormat="1" x14ac:dyDescent="0.25">
      <c r="A397" s="79">
        <f t="shared" si="35"/>
        <v>4</v>
      </c>
      <c r="B397" s="80"/>
      <c r="C397" s="40" t="s">
        <v>185</v>
      </c>
      <c r="D397" s="48">
        <f>(53.67)*10.764</f>
        <v>577.70388000000003</v>
      </c>
      <c r="E397" s="40">
        <v>0</v>
      </c>
      <c r="F397" s="40">
        <f>D397*(($F$220)+1)+(IF(E397&lt;101,E397,IF(E397&lt;201,E397/2,IF(E397&lt;=301,E397/3,E397/4))))</f>
        <v>895.44101400000011</v>
      </c>
      <c r="G397" s="86"/>
      <c r="H397" s="87"/>
      <c r="I397" s="34"/>
      <c r="L397" s="81"/>
      <c r="M397" s="81"/>
      <c r="N397" s="34"/>
    </row>
    <row r="398" spans="1:14" s="35" customFormat="1" x14ac:dyDescent="0.25">
      <c r="A398" s="92" t="s">
        <v>193</v>
      </c>
      <c r="B398" s="93"/>
      <c r="C398" s="93"/>
      <c r="D398" s="93"/>
      <c r="E398" s="93"/>
      <c r="F398" s="93"/>
      <c r="G398" s="93"/>
      <c r="H398" s="94"/>
      <c r="I398" s="34"/>
      <c r="N398" s="34"/>
    </row>
    <row r="399" spans="1:14" s="35" customFormat="1" ht="15.75" customHeight="1" x14ac:dyDescent="0.25">
      <c r="A399" s="79">
        <v>1</v>
      </c>
      <c r="B399" s="80"/>
      <c r="C399" s="40" t="s">
        <v>190</v>
      </c>
      <c r="D399" s="48">
        <f>(48.42)*10.764</f>
        <v>521.19287999999995</v>
      </c>
      <c r="E399" s="40">
        <v>0</v>
      </c>
      <c r="F399" s="40">
        <f>D399*(($F$220)+1)+(IF(E399&lt;101,E399,IF(E399&lt;201,E399/2,IF(E399&lt;=301,E399/3,E399/4))))</f>
        <v>807.84896399999991</v>
      </c>
      <c r="G399" s="88" t="str">
        <f>A398</f>
        <v>4th Floor for Residential &amp; Fitness Center</v>
      </c>
      <c r="H399" s="83"/>
      <c r="J399" s="34"/>
    </row>
    <row r="400" spans="1:14" s="35" customFormat="1" ht="15.75" customHeight="1" x14ac:dyDescent="0.25">
      <c r="A400" s="79">
        <f t="shared" ref="A400:A402" si="36">A399+1</f>
        <v>2</v>
      </c>
      <c r="B400" s="80"/>
      <c r="C400" s="40" t="s">
        <v>191</v>
      </c>
      <c r="D400" s="48">
        <f>(37.48)*10.764</f>
        <v>403.43471999999997</v>
      </c>
      <c r="E400" s="40">
        <v>0</v>
      </c>
      <c r="F400" s="40">
        <f>D400*(($F$220)+1)+(IF(E400&lt;101,E400,IF(E400&lt;201,E400/2,IF(E400&lt;=301,E400/3,E400/4))))</f>
        <v>625.32381599999997</v>
      </c>
      <c r="G400" s="89"/>
      <c r="H400" s="85"/>
      <c r="I400" s="34"/>
      <c r="L400" s="81"/>
      <c r="M400" s="81"/>
      <c r="N400" s="34"/>
    </row>
    <row r="401" spans="1:14" s="35" customFormat="1" x14ac:dyDescent="0.25">
      <c r="A401" s="79">
        <f t="shared" si="36"/>
        <v>3</v>
      </c>
      <c r="B401" s="80"/>
      <c r="C401" s="40" t="s">
        <v>184</v>
      </c>
      <c r="D401" s="48">
        <f>(30.33)*10.764</f>
        <v>326.47211999999996</v>
      </c>
      <c r="E401" s="40">
        <v>0</v>
      </c>
      <c r="F401" s="40">
        <f>D401*(($F$220)+1)+(IF(E401&lt;101,E401,IF(E401&lt;201,E401/2,IF(E401&lt;=301,E401/3,E401/4))))</f>
        <v>506.03178599999995</v>
      </c>
      <c r="G401" s="89"/>
      <c r="H401" s="85"/>
      <c r="I401" s="34"/>
      <c r="L401" s="81"/>
      <c r="M401" s="81"/>
      <c r="N401" s="34"/>
    </row>
    <row r="402" spans="1:14" s="35" customFormat="1" x14ac:dyDescent="0.25">
      <c r="A402" s="79">
        <f t="shared" si="36"/>
        <v>4</v>
      </c>
      <c r="B402" s="80"/>
      <c r="C402" s="40" t="s">
        <v>185</v>
      </c>
      <c r="D402" s="48">
        <f>(53.67)*10.764</f>
        <v>577.70388000000003</v>
      </c>
      <c r="E402" s="40">
        <v>0</v>
      </c>
      <c r="F402" s="40">
        <f>D402*(($F$220)+1)+(IF(E402&lt;101,E402,IF(E402&lt;201,E402/2,IF(E402&lt;=301,E402/3,E402/4))))</f>
        <v>895.44101400000011</v>
      </c>
      <c r="G402" s="89"/>
      <c r="H402" s="85"/>
      <c r="I402" s="34"/>
      <c r="L402" s="81"/>
      <c r="M402" s="81"/>
      <c r="N402" s="34"/>
    </row>
    <row r="403" spans="1:14" s="35" customFormat="1" x14ac:dyDescent="0.25">
      <c r="A403" s="79" t="s">
        <v>259</v>
      </c>
      <c r="B403" s="80"/>
      <c r="C403" s="79" t="s">
        <v>194</v>
      </c>
      <c r="D403" s="91"/>
      <c r="E403" s="91"/>
      <c r="F403" s="80"/>
      <c r="G403" s="90"/>
      <c r="H403" s="87"/>
      <c r="I403" s="34"/>
      <c r="L403" s="81"/>
      <c r="M403" s="81"/>
      <c r="N403" s="34"/>
    </row>
    <row r="404" spans="1:14" s="35" customFormat="1" x14ac:dyDescent="0.25">
      <c r="A404" s="92" t="s">
        <v>237</v>
      </c>
      <c r="B404" s="93"/>
      <c r="C404" s="93"/>
      <c r="D404" s="93"/>
      <c r="E404" s="93"/>
      <c r="F404" s="93"/>
      <c r="G404" s="93"/>
      <c r="H404" s="94"/>
      <c r="I404" s="34"/>
      <c r="L404" s="81"/>
      <c r="M404" s="81"/>
      <c r="N404" s="34"/>
    </row>
    <row r="405" spans="1:14" s="35" customFormat="1" ht="15.75" customHeight="1" x14ac:dyDescent="0.25">
      <c r="A405" s="79">
        <v>1</v>
      </c>
      <c r="B405" s="80"/>
      <c r="C405" s="40" t="s">
        <v>190</v>
      </c>
      <c r="D405" s="48">
        <f>(48.42)*10.764</f>
        <v>521.19287999999995</v>
      </c>
      <c r="E405" s="40">
        <v>0</v>
      </c>
      <c r="F405" s="40">
        <f>D405*(($F$220)+1)+(IF(E405&lt;101,E405,IF(E405&lt;201,E405/2,IF(E405&lt;=301,E405/3,E405/4))))</f>
        <v>807.84896399999991</v>
      </c>
      <c r="G405" s="82" t="str">
        <f>A404</f>
        <v>5th to 7th, 9th to 10th &amp; 12th to 14th, 16th to 19th, 21st to 22nd Floor</v>
      </c>
      <c r="H405" s="83"/>
      <c r="J405" s="34"/>
    </row>
    <row r="406" spans="1:14" s="35" customFormat="1" ht="15.75" customHeight="1" x14ac:dyDescent="0.25">
      <c r="A406" s="79">
        <f t="shared" ref="A406:A409" si="37">A405+1</f>
        <v>2</v>
      </c>
      <c r="B406" s="80"/>
      <c r="C406" s="40" t="s">
        <v>191</v>
      </c>
      <c r="D406" s="48">
        <f>(37.48)*10.764</f>
        <v>403.43471999999997</v>
      </c>
      <c r="E406" s="40">
        <v>0</v>
      </c>
      <c r="F406" s="40">
        <f>D406*(($F$220)+1)+(IF(E406&lt;101,E406,IF(E406&lt;201,E406/2,IF(E406&lt;=301,E406/3,E406/4))))</f>
        <v>625.32381599999997</v>
      </c>
      <c r="G406" s="84"/>
      <c r="H406" s="85"/>
      <c r="I406" s="34"/>
      <c r="L406" s="81"/>
      <c r="M406" s="81"/>
      <c r="N406" s="34"/>
    </row>
    <row r="407" spans="1:14" s="35" customFormat="1" x14ac:dyDescent="0.25">
      <c r="A407" s="79">
        <f t="shared" si="37"/>
        <v>3</v>
      </c>
      <c r="B407" s="80"/>
      <c r="C407" s="40" t="s">
        <v>184</v>
      </c>
      <c r="D407" s="48">
        <f>(30.33)*10.764</f>
        <v>326.47211999999996</v>
      </c>
      <c r="E407" s="40">
        <v>0</v>
      </c>
      <c r="F407" s="40">
        <f>D407*(($F$220)+1)+(IF(E407&lt;101,E407,IF(E407&lt;201,E407/2,IF(E407&lt;=301,E407/3,E407/4))))</f>
        <v>506.03178599999995</v>
      </c>
      <c r="G407" s="84"/>
      <c r="H407" s="85"/>
      <c r="I407" s="34"/>
      <c r="L407" s="81"/>
      <c r="M407" s="81"/>
      <c r="N407" s="34"/>
    </row>
    <row r="408" spans="1:14" s="35" customFormat="1" x14ac:dyDescent="0.25">
      <c r="A408" s="79">
        <f t="shared" si="37"/>
        <v>4</v>
      </c>
      <c r="B408" s="80"/>
      <c r="C408" s="40" t="s">
        <v>185</v>
      </c>
      <c r="D408" s="48">
        <f>(53.67)*10.764</f>
        <v>577.70388000000003</v>
      </c>
      <c r="E408" s="40">
        <v>0</v>
      </c>
      <c r="F408" s="40">
        <f>D408*(($F$220)+1)+(IF(E408&lt;101,E408,IF(E408&lt;201,E408/2,IF(E408&lt;=301,E408/3,E408/4))))</f>
        <v>895.44101400000011</v>
      </c>
      <c r="G408" s="84"/>
      <c r="H408" s="85"/>
      <c r="I408" s="34"/>
      <c r="L408" s="81"/>
      <c r="M408" s="81"/>
      <c r="N408" s="34"/>
    </row>
    <row r="409" spans="1:14" s="35" customFormat="1" x14ac:dyDescent="0.25">
      <c r="A409" s="79">
        <f t="shared" si="37"/>
        <v>5</v>
      </c>
      <c r="B409" s="80"/>
      <c r="C409" s="40" t="s">
        <v>190</v>
      </c>
      <c r="D409" s="48">
        <f>(49.16)*10.764</f>
        <v>529.15823999999998</v>
      </c>
      <c r="E409" s="40">
        <v>0</v>
      </c>
      <c r="F409" s="40">
        <f>D409*(($F$220)+1)+(IF(E409&lt;101,E409,IF(E409&lt;201,E409/2,IF(E409&lt;=301,E409/3,E409/4))))</f>
        <v>820.19527200000005</v>
      </c>
      <c r="G409" s="86"/>
      <c r="H409" s="87"/>
      <c r="I409" s="34"/>
      <c r="L409" s="81"/>
      <c r="M409" s="81"/>
      <c r="N409" s="34"/>
    </row>
    <row r="410" spans="1:14" s="35" customFormat="1" x14ac:dyDescent="0.25">
      <c r="A410" s="92" t="s">
        <v>238</v>
      </c>
      <c r="B410" s="93"/>
      <c r="C410" s="93"/>
      <c r="D410" s="93"/>
      <c r="E410" s="93"/>
      <c r="F410" s="93"/>
      <c r="G410" s="93"/>
      <c r="H410" s="94"/>
      <c r="I410" s="34"/>
      <c r="L410" s="81"/>
      <c r="M410" s="81"/>
      <c r="N410" s="34"/>
    </row>
    <row r="411" spans="1:14" s="35" customFormat="1" ht="15.75" customHeight="1" x14ac:dyDescent="0.25">
      <c r="A411" s="79">
        <v>1</v>
      </c>
      <c r="B411" s="80"/>
      <c r="C411" s="40" t="s">
        <v>190</v>
      </c>
      <c r="D411" s="48">
        <f>(48.42)*10.764</f>
        <v>521.19287999999995</v>
      </c>
      <c r="E411" s="40">
        <v>0</v>
      </c>
      <c r="F411" s="40">
        <f>D411*(($F$220)+1)+(IF(E411&lt;101,E411,IF(E411&lt;201,E411/2,IF(E411&lt;=301,E411/3,E411/4))))</f>
        <v>807.84896399999991</v>
      </c>
      <c r="G411" s="82" t="str">
        <f>A410</f>
        <v>11th Floor</v>
      </c>
      <c r="H411" s="83"/>
      <c r="J411" s="34"/>
    </row>
    <row r="412" spans="1:14" s="35" customFormat="1" ht="15.75" customHeight="1" x14ac:dyDescent="0.25">
      <c r="A412" s="79">
        <v>2</v>
      </c>
      <c r="B412" s="80"/>
      <c r="C412" s="40" t="s">
        <v>191</v>
      </c>
      <c r="D412" s="48">
        <f>(37.48)*10.764</f>
        <v>403.43471999999997</v>
      </c>
      <c r="E412" s="40">
        <v>0</v>
      </c>
      <c r="F412" s="40">
        <f>D412*(($F$220)+1)+(IF(E412&lt;101,E412,IF(E412&lt;201,E412/2,IF(E412&lt;=301,E412/3,E412/4))))</f>
        <v>625.32381599999997</v>
      </c>
      <c r="G412" s="84"/>
      <c r="H412" s="85"/>
      <c r="I412" s="34"/>
      <c r="L412" s="81"/>
      <c r="M412" s="81"/>
      <c r="N412" s="34"/>
    </row>
    <row r="413" spans="1:14" s="35" customFormat="1" x14ac:dyDescent="0.25">
      <c r="A413" s="79">
        <v>3</v>
      </c>
      <c r="B413" s="80"/>
      <c r="C413" s="40" t="s">
        <v>184</v>
      </c>
      <c r="D413" s="48">
        <f>(30.33)*10.764</f>
        <v>326.47211999999996</v>
      </c>
      <c r="E413" s="40">
        <v>0</v>
      </c>
      <c r="F413" s="40">
        <f>D413*(($F$220)+1)+(IF(E413&lt;101,E413,IF(E413&lt;201,E413/2,IF(E413&lt;=301,E413/3,E413/4))))</f>
        <v>506.03178599999995</v>
      </c>
      <c r="G413" s="84"/>
      <c r="H413" s="85"/>
      <c r="I413" s="34"/>
      <c r="L413" s="81"/>
      <c r="M413" s="81"/>
      <c r="N413" s="34"/>
    </row>
    <row r="414" spans="1:14" s="35" customFormat="1" x14ac:dyDescent="0.25">
      <c r="A414" s="79">
        <v>4</v>
      </c>
      <c r="B414" s="80"/>
      <c r="C414" s="40" t="s">
        <v>185</v>
      </c>
      <c r="D414" s="48">
        <f>(53.67)*10.764</f>
        <v>577.70388000000003</v>
      </c>
      <c r="E414" s="40">
        <v>0</v>
      </c>
      <c r="F414" s="40">
        <f>D414*(($F$220)+1)+(IF(E414&lt;101,E414,IF(E414&lt;201,E414/2,IF(E414&lt;=301,E414/3,E414/4))))</f>
        <v>895.44101400000011</v>
      </c>
      <c r="G414" s="84"/>
      <c r="H414" s="85"/>
      <c r="I414" s="34"/>
      <c r="L414" s="81"/>
      <c r="M414" s="81"/>
      <c r="N414" s="34"/>
    </row>
    <row r="415" spans="1:14" s="35" customFormat="1" x14ac:dyDescent="0.25">
      <c r="A415" s="79">
        <v>5</v>
      </c>
      <c r="B415" s="80"/>
      <c r="C415" s="40" t="s">
        <v>190</v>
      </c>
      <c r="D415" s="48">
        <f>(49.16)*10.764</f>
        <v>529.15823999999998</v>
      </c>
      <c r="E415" s="40">
        <v>0</v>
      </c>
      <c r="F415" s="40">
        <f>D415*(($F$220)+1)+(IF(E415&lt;101,E415,IF(E415&lt;201,E415/2,IF(E415&lt;=301,E415/3,E415/4))))</f>
        <v>820.19527200000005</v>
      </c>
      <c r="G415" s="84"/>
      <c r="H415" s="85"/>
      <c r="I415" s="34"/>
      <c r="L415" s="81"/>
      <c r="M415" s="81"/>
      <c r="N415" s="34"/>
    </row>
    <row r="416" spans="1:14" s="35" customFormat="1" ht="15.75" customHeight="1" x14ac:dyDescent="0.25">
      <c r="A416" s="92" t="s">
        <v>239</v>
      </c>
      <c r="B416" s="93"/>
      <c r="C416" s="93"/>
      <c r="D416" s="93"/>
      <c r="E416" s="93"/>
      <c r="F416" s="93"/>
      <c r="G416" s="93"/>
      <c r="H416" s="94"/>
      <c r="J416" s="34"/>
    </row>
    <row r="417" spans="1:14" s="35" customFormat="1" ht="15.75" customHeight="1" x14ac:dyDescent="0.25">
      <c r="A417" s="79">
        <v>1</v>
      </c>
      <c r="B417" s="80"/>
      <c r="C417" s="40" t="s">
        <v>190</v>
      </c>
      <c r="D417" s="48">
        <f>(48.42)*10.764</f>
        <v>521.19287999999995</v>
      </c>
      <c r="E417" s="40">
        <v>0</v>
      </c>
      <c r="F417" s="40">
        <f>D417*(($F$220)+1)+(IF(E417&lt;101,E417,IF(E417&lt;201,E417/2,IF(E417&lt;=301,E417/3,E417/4))))</f>
        <v>807.84896399999991</v>
      </c>
      <c r="G417" s="82" t="str">
        <f>A416</f>
        <v>20th Floor</v>
      </c>
      <c r="H417" s="83"/>
      <c r="I417" s="34"/>
      <c r="L417" s="81"/>
      <c r="M417" s="81"/>
      <c r="N417" s="34"/>
    </row>
    <row r="418" spans="1:14" s="35" customFormat="1" x14ac:dyDescent="0.25">
      <c r="A418" s="79">
        <v>2</v>
      </c>
      <c r="B418" s="80"/>
      <c r="C418" s="40" t="s">
        <v>191</v>
      </c>
      <c r="D418" s="48">
        <f>(37.48)*10.764</f>
        <v>403.43471999999997</v>
      </c>
      <c r="E418" s="40">
        <v>0</v>
      </c>
      <c r="F418" s="40">
        <f>D418*(($F$220)+1)+(IF(E418&lt;101,E418,IF(E418&lt;201,E418/2,IF(E418&lt;=301,E418/3,E418/4))))</f>
        <v>625.32381599999997</v>
      </c>
      <c r="G418" s="84"/>
      <c r="H418" s="85"/>
      <c r="I418" s="34"/>
      <c r="L418" s="81"/>
      <c r="M418" s="81"/>
      <c r="N418" s="34"/>
    </row>
    <row r="419" spans="1:14" s="35" customFormat="1" x14ac:dyDescent="0.25">
      <c r="A419" s="79" t="s">
        <v>242</v>
      </c>
      <c r="B419" s="80"/>
      <c r="C419" s="40" t="s">
        <v>241</v>
      </c>
      <c r="D419" s="48">
        <f>(84.53)*10.764</f>
        <v>909.88091999999995</v>
      </c>
      <c r="E419" s="40">
        <v>0</v>
      </c>
      <c r="F419" s="40">
        <f>D419*(($F$220)+1)+(IF(E419&lt;101,E419,IF(E419&lt;201,E419/2,IF(E419&lt;=301,E419/3,E419/4))))</f>
        <v>1410.3154259999999</v>
      </c>
      <c r="G419" s="84"/>
      <c r="H419" s="85"/>
      <c r="I419" s="34"/>
      <c r="L419" s="81"/>
      <c r="M419" s="81"/>
      <c r="N419" s="34"/>
    </row>
    <row r="420" spans="1:14" s="35" customFormat="1" x14ac:dyDescent="0.25">
      <c r="A420" s="79">
        <v>5</v>
      </c>
      <c r="B420" s="80"/>
      <c r="C420" s="40" t="s">
        <v>191</v>
      </c>
      <c r="D420" s="48">
        <f>(49.16)*10.764</f>
        <v>529.15823999999998</v>
      </c>
      <c r="E420" s="40">
        <v>0</v>
      </c>
      <c r="F420" s="40">
        <f>D420*(($F$220)+1)+(IF(E420&lt;101,E420,IF(E420&lt;201,E420/2,IF(E420&lt;=301,E420/3,E420/4))))</f>
        <v>820.19527200000005</v>
      </c>
      <c r="G420" s="84"/>
      <c r="H420" s="85"/>
      <c r="I420" s="34"/>
      <c r="L420" s="81"/>
      <c r="M420" s="81"/>
      <c r="N420" s="34"/>
    </row>
    <row r="421" spans="1:14" s="35" customFormat="1" x14ac:dyDescent="0.25">
      <c r="A421" s="92" t="s">
        <v>195</v>
      </c>
      <c r="B421" s="93"/>
      <c r="C421" s="93"/>
      <c r="D421" s="93"/>
      <c r="E421" s="93"/>
      <c r="F421" s="93"/>
      <c r="G421" s="93"/>
      <c r="H421" s="94"/>
      <c r="I421" s="34"/>
      <c r="L421" s="81"/>
      <c r="M421" s="81"/>
      <c r="N421" s="34"/>
    </row>
    <row r="422" spans="1:14" s="35" customFormat="1" ht="15.75" customHeight="1" x14ac:dyDescent="0.25">
      <c r="A422" s="79">
        <v>1</v>
      </c>
      <c r="B422" s="80"/>
      <c r="C422" s="40" t="s">
        <v>190</v>
      </c>
      <c r="D422" s="48">
        <f>(48.42)*10.764</f>
        <v>521.19287999999995</v>
      </c>
      <c r="E422" s="40">
        <v>0</v>
      </c>
      <c r="F422" s="40">
        <f>D422*(($F$220)+1)+(IF(E422&lt;101,E422,IF(E422&lt;201,E422/2,IF(E422&lt;=301,E422/3,E422/4))))</f>
        <v>807.84896399999991</v>
      </c>
      <c r="G422" s="82" t="str">
        <f>A421</f>
        <v>8th Floor (Part Refuge Area)</v>
      </c>
      <c r="H422" s="83"/>
      <c r="J422" s="34"/>
    </row>
    <row r="423" spans="1:14" s="35" customFormat="1" ht="15.75" customHeight="1" x14ac:dyDescent="0.25">
      <c r="A423" s="79">
        <f t="shared" ref="A423:A426" si="38">A422+1</f>
        <v>2</v>
      </c>
      <c r="B423" s="80"/>
      <c r="C423" s="40" t="s">
        <v>191</v>
      </c>
      <c r="D423" s="48">
        <f>(37.48)*10.764</f>
        <v>403.43471999999997</v>
      </c>
      <c r="E423" s="40">
        <v>0</v>
      </c>
      <c r="F423" s="40">
        <f>D423*(($F$220)+1)+(IF(E423&lt;101,E423,IF(E423&lt;201,E423/2,IF(E423&lt;=301,E423/3,E423/4))))</f>
        <v>625.32381599999997</v>
      </c>
      <c r="G423" s="84"/>
      <c r="H423" s="85"/>
      <c r="I423" s="34"/>
      <c r="L423" s="81"/>
      <c r="M423" s="81"/>
      <c r="N423" s="34"/>
    </row>
    <row r="424" spans="1:14" s="35" customFormat="1" x14ac:dyDescent="0.25">
      <c r="A424" s="79">
        <f t="shared" si="38"/>
        <v>3</v>
      </c>
      <c r="B424" s="80"/>
      <c r="C424" s="40" t="s">
        <v>184</v>
      </c>
      <c r="D424" s="48">
        <f>(30.33)*10.764</f>
        <v>326.47211999999996</v>
      </c>
      <c r="E424" s="40">
        <v>0</v>
      </c>
      <c r="F424" s="40">
        <f>D424*(($F$220)+1)+(IF(E424&lt;101,E424,IF(E424&lt;201,E424/2,IF(E424&lt;=301,E424/3,E424/4))))</f>
        <v>506.03178599999995</v>
      </c>
      <c r="G424" s="84"/>
      <c r="H424" s="85"/>
      <c r="I424" s="34"/>
      <c r="L424" s="81"/>
      <c r="M424" s="81"/>
      <c r="N424" s="34"/>
    </row>
    <row r="425" spans="1:14" s="35" customFormat="1" x14ac:dyDescent="0.25">
      <c r="A425" s="79">
        <f t="shared" si="38"/>
        <v>4</v>
      </c>
      <c r="B425" s="80"/>
      <c r="C425" s="79" t="s">
        <v>196</v>
      </c>
      <c r="D425" s="91"/>
      <c r="E425" s="91"/>
      <c r="F425" s="80"/>
      <c r="G425" s="84"/>
      <c r="H425" s="85"/>
      <c r="I425" s="34"/>
      <c r="L425" s="81"/>
      <c r="M425" s="81"/>
      <c r="N425" s="34"/>
    </row>
    <row r="426" spans="1:14" s="35" customFormat="1" x14ac:dyDescent="0.25">
      <c r="A426" s="79">
        <f t="shared" si="38"/>
        <v>5</v>
      </c>
      <c r="B426" s="80"/>
      <c r="C426" s="40" t="s">
        <v>190</v>
      </c>
      <c r="D426" s="48">
        <f>(49.16)*10.764</f>
        <v>529.15823999999998</v>
      </c>
      <c r="E426" s="40">
        <v>0</v>
      </c>
      <c r="F426" s="40">
        <f>D426*(($F$220)+1)+(IF(E426&lt;101,E426,IF(E426&lt;201,E426/2,IF(E426&lt;=301,E426/3,E426/4))))</f>
        <v>820.19527200000005</v>
      </c>
      <c r="G426" s="86"/>
      <c r="H426" s="87"/>
      <c r="I426" s="34"/>
      <c r="L426" s="81"/>
      <c r="M426" s="81"/>
      <c r="N426" s="34"/>
    </row>
    <row r="427" spans="1:14" s="35" customFormat="1" x14ac:dyDescent="0.25">
      <c r="A427" s="92" t="s">
        <v>197</v>
      </c>
      <c r="B427" s="93"/>
      <c r="C427" s="93"/>
      <c r="D427" s="93"/>
      <c r="E427" s="93"/>
      <c r="F427" s="93"/>
      <c r="G427" s="93"/>
      <c r="H427" s="94"/>
      <c r="I427" s="34"/>
      <c r="L427" s="81"/>
      <c r="M427" s="81"/>
      <c r="N427" s="34"/>
    </row>
    <row r="428" spans="1:14" s="33" customFormat="1" x14ac:dyDescent="0.25">
      <c r="A428" s="79">
        <v>1</v>
      </c>
      <c r="B428" s="80"/>
      <c r="C428" s="40" t="s">
        <v>190</v>
      </c>
      <c r="D428" s="48">
        <f>(48.42)*10.764</f>
        <v>521.19287999999995</v>
      </c>
      <c r="E428" s="40">
        <v>0</v>
      </c>
      <c r="F428" s="40">
        <f>D428*(($F$220)+1)+(IF(E428&lt;101,E428,IF(E428&lt;201,E428/2,IF(E428&lt;=301,E428/3,E428/4))))</f>
        <v>807.84896399999991</v>
      </c>
      <c r="G428" s="82" t="str">
        <f>A427</f>
        <v>15th Floor (Part Refuge Area)</v>
      </c>
      <c r="H428" s="83"/>
    </row>
    <row r="429" spans="1:14" s="54" customFormat="1" x14ac:dyDescent="0.25">
      <c r="A429" s="79">
        <f t="shared" ref="A429:A432" si="39">A428+1</f>
        <v>2</v>
      </c>
      <c r="B429" s="80"/>
      <c r="C429" s="40" t="s">
        <v>191</v>
      </c>
      <c r="D429" s="48">
        <f>(37.48)*10.764</f>
        <v>403.43471999999997</v>
      </c>
      <c r="E429" s="40">
        <v>0</v>
      </c>
      <c r="F429" s="40">
        <f>D429*(($F$220)+1)+(IF(E429&lt;101,E429,IF(E429&lt;201,E429/2,IF(E429&lt;=301,E429/3,E429/4))))</f>
        <v>625.32381599999997</v>
      </c>
      <c r="G429" s="84"/>
      <c r="H429" s="85"/>
    </row>
    <row r="430" spans="1:14" s="33" customFormat="1" ht="15.75" customHeight="1" x14ac:dyDescent="0.25">
      <c r="A430" s="79">
        <f t="shared" si="39"/>
        <v>3</v>
      </c>
      <c r="B430" s="80"/>
      <c r="C430" s="40" t="s">
        <v>191</v>
      </c>
      <c r="D430" s="69">
        <f>(38.82)*10.764</f>
        <v>417.85847999999999</v>
      </c>
      <c r="E430" s="68">
        <v>0</v>
      </c>
      <c r="F430" s="68">
        <f>D430*(($F$220)+1)+(IF(E430&lt;101,E430,IF(E430&lt;201,E430/2,IF(E430&lt;=301,E430/3,E430/4))))</f>
        <v>647.68064400000003</v>
      </c>
      <c r="G430" s="84"/>
      <c r="H430" s="85"/>
    </row>
    <row r="431" spans="1:14" s="33" customFormat="1" ht="15.75" customHeight="1" x14ac:dyDescent="0.25">
      <c r="A431" s="79">
        <f t="shared" si="39"/>
        <v>4</v>
      </c>
      <c r="B431" s="80"/>
      <c r="C431" s="79" t="s">
        <v>196</v>
      </c>
      <c r="D431" s="91"/>
      <c r="E431" s="91"/>
      <c r="F431" s="80"/>
      <c r="G431" s="84"/>
      <c r="H431" s="85"/>
    </row>
    <row r="432" spans="1:14" s="33" customFormat="1" ht="15.75" customHeight="1" x14ac:dyDescent="0.25">
      <c r="A432" s="79">
        <f t="shared" si="39"/>
        <v>5</v>
      </c>
      <c r="B432" s="80"/>
      <c r="C432" s="40" t="s">
        <v>190</v>
      </c>
      <c r="D432" s="48">
        <f>(49.16)*10.764</f>
        <v>529.15823999999998</v>
      </c>
      <c r="E432" s="40">
        <v>0</v>
      </c>
      <c r="F432" s="40">
        <f>D432*(($F$220)+1)+(IF(E432&lt;101,E432,IF(E432&lt;201,E432/2,IF(E432&lt;=301,E432/3,E432/4))))</f>
        <v>820.19527200000005</v>
      </c>
      <c r="G432" s="86"/>
      <c r="H432" s="87"/>
    </row>
    <row r="433" spans="1:8" s="33" customFormat="1" ht="15.75" customHeight="1" x14ac:dyDescent="0.25">
      <c r="A433" s="204" t="s">
        <v>65</v>
      </c>
      <c r="B433" s="205"/>
      <c r="C433" s="205"/>
      <c r="D433" s="205"/>
      <c r="E433" s="205"/>
      <c r="F433" s="205"/>
      <c r="G433" s="205"/>
      <c r="H433" s="206"/>
    </row>
    <row r="434" spans="1:8" s="33" customFormat="1" ht="64.5" customHeight="1" x14ac:dyDescent="0.25">
      <c r="A434" s="53" t="s">
        <v>153</v>
      </c>
      <c r="B434" s="207" t="s">
        <v>274</v>
      </c>
      <c r="C434" s="208"/>
      <c r="D434" s="208"/>
      <c r="E434" s="208"/>
      <c r="F434" s="208"/>
      <c r="G434" s="208"/>
      <c r="H434" s="209"/>
    </row>
    <row r="435" spans="1:8" s="33" customFormat="1" ht="15.75" customHeight="1" x14ac:dyDescent="0.25">
      <c r="A435" s="42" t="s">
        <v>153</v>
      </c>
      <c r="B435" s="207" t="str">
        <f>(IF(F219="Saleable area Loading :","We have considered Saleable area of Flats as per our Calculation.","We considered Saleable area of Flat as per Builder area Sheet."))</f>
        <v>We have considered Saleable area of Flats as per our Calculation.</v>
      </c>
      <c r="C435" s="208"/>
      <c r="D435" s="208"/>
      <c r="E435" s="208"/>
      <c r="F435" s="208"/>
      <c r="G435" s="208"/>
      <c r="H435" s="209"/>
    </row>
    <row r="436" spans="1:8" s="33" customFormat="1" x14ac:dyDescent="0.25">
      <c r="A436" s="42" t="s">
        <v>153</v>
      </c>
      <c r="B436" s="207" t="str">
        <f>(IF(F155="Saleable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36" s="208"/>
      <c r="D436" s="208"/>
      <c r="E436" s="208"/>
      <c r="F436" s="208"/>
      <c r="G436" s="208"/>
      <c r="H436" s="209"/>
    </row>
    <row r="437" spans="1:8" s="33" customFormat="1" ht="15.75" customHeight="1" x14ac:dyDescent="0.25">
      <c r="A437" s="42" t="s">
        <v>153</v>
      </c>
      <c r="B437" s="201" t="s">
        <v>123</v>
      </c>
      <c r="C437" s="202"/>
      <c r="D437" s="202"/>
      <c r="E437" s="202"/>
      <c r="F437" s="202"/>
      <c r="G437" s="202"/>
      <c r="H437" s="203"/>
    </row>
    <row r="438" spans="1:8" s="33" customFormat="1" ht="15.75" customHeight="1" x14ac:dyDescent="0.25">
      <c r="A438" s="42" t="s">
        <v>153</v>
      </c>
      <c r="B438" s="201" t="s">
        <v>198</v>
      </c>
      <c r="C438" s="202"/>
      <c r="D438" s="202"/>
      <c r="E438" s="202"/>
      <c r="F438" s="202"/>
      <c r="G438" s="202"/>
      <c r="H438" s="203"/>
    </row>
    <row r="439" spans="1:8" s="33" customFormat="1" ht="15.75" hidden="1" customHeight="1" x14ac:dyDescent="0.25">
      <c r="A439" s="42" t="s">
        <v>153</v>
      </c>
      <c r="B439" s="201" t="s">
        <v>152</v>
      </c>
      <c r="C439" s="202"/>
      <c r="D439" s="202"/>
      <c r="E439" s="202"/>
      <c r="F439" s="202"/>
      <c r="G439" s="202"/>
      <c r="H439" s="203"/>
    </row>
    <row r="440" spans="1:8" s="33" customFormat="1" ht="15.75" customHeight="1" x14ac:dyDescent="0.25">
      <c r="A440" s="42" t="s">
        <v>153</v>
      </c>
      <c r="B440" s="201" t="s">
        <v>124</v>
      </c>
      <c r="C440" s="202"/>
      <c r="D440" s="202"/>
      <c r="E440" s="202"/>
      <c r="F440" s="202"/>
      <c r="G440" s="202"/>
      <c r="H440" s="203"/>
    </row>
    <row r="441" spans="1:8" s="33" customFormat="1" ht="15.75" customHeight="1" x14ac:dyDescent="0.25">
      <c r="A441" s="42" t="s">
        <v>153</v>
      </c>
      <c r="B441" s="201" t="s">
        <v>154</v>
      </c>
      <c r="C441" s="202"/>
      <c r="D441" s="202"/>
      <c r="E441" s="202"/>
      <c r="F441" s="202"/>
      <c r="G441" s="202"/>
      <c r="H441" s="203"/>
    </row>
    <row r="442" spans="1:8" s="55" customFormat="1" ht="15.75" customHeight="1" x14ac:dyDescent="0.25">
      <c r="A442" s="42" t="s">
        <v>153</v>
      </c>
      <c r="B442" s="201" t="s">
        <v>125</v>
      </c>
      <c r="C442" s="202"/>
      <c r="D442" s="202"/>
      <c r="E442" s="202"/>
      <c r="F442" s="202"/>
      <c r="G442" s="202"/>
      <c r="H442" s="203"/>
    </row>
    <row r="443" spans="1:8" x14ac:dyDescent="0.25">
      <c r="A443" s="42" t="s">
        <v>153</v>
      </c>
      <c r="B443" s="201" t="s">
        <v>215</v>
      </c>
      <c r="C443" s="202"/>
      <c r="D443" s="202"/>
      <c r="E443" s="202"/>
      <c r="F443" s="202"/>
      <c r="G443" s="202"/>
      <c r="H443" s="203"/>
    </row>
    <row r="444" spans="1:8" hidden="1" x14ac:dyDescent="0.25">
      <c r="A444" s="42" t="s">
        <v>153</v>
      </c>
      <c r="B444" s="207" t="s">
        <v>216</v>
      </c>
      <c r="C444" s="208"/>
      <c r="D444" s="208"/>
      <c r="E444" s="208"/>
      <c r="F444" s="208"/>
      <c r="G444" s="208"/>
      <c r="H444" s="209"/>
    </row>
    <row r="445" spans="1:8" ht="15.75" customHeight="1" x14ac:dyDescent="0.25">
      <c r="A445" s="42" t="s">
        <v>153</v>
      </c>
      <c r="B445" s="201" t="s">
        <v>227</v>
      </c>
      <c r="C445" s="202"/>
      <c r="D445" s="202"/>
      <c r="E445" s="202"/>
      <c r="F445" s="202"/>
      <c r="G445" s="202"/>
      <c r="H445" s="203"/>
    </row>
    <row r="446" spans="1:8" x14ac:dyDescent="0.25">
      <c r="A446" s="42" t="s">
        <v>153</v>
      </c>
      <c r="B446" s="201" t="s">
        <v>229</v>
      </c>
      <c r="C446" s="202"/>
      <c r="D446" s="202"/>
      <c r="E446" s="202"/>
      <c r="F446" s="202"/>
      <c r="G446" s="202"/>
      <c r="H446" s="203"/>
    </row>
    <row r="447" spans="1:8" ht="34.5" customHeight="1" x14ac:dyDescent="0.25">
      <c r="A447" s="42" t="s">
        <v>153</v>
      </c>
      <c r="B447" s="207" t="s">
        <v>267</v>
      </c>
      <c r="C447" s="208"/>
      <c r="D447" s="208"/>
      <c r="E447" s="208"/>
      <c r="F447" s="208"/>
      <c r="G447" s="208"/>
      <c r="H447" s="209"/>
    </row>
    <row r="448" spans="1:8" x14ac:dyDescent="0.25">
      <c r="A448" s="53" t="s">
        <v>153</v>
      </c>
      <c r="B448" s="207" t="s">
        <v>263</v>
      </c>
      <c r="C448" s="208"/>
      <c r="D448" s="208"/>
      <c r="E448" s="208"/>
      <c r="F448" s="208"/>
      <c r="G448" s="208"/>
      <c r="H448" s="209"/>
    </row>
    <row r="449" spans="1:8" x14ac:dyDescent="0.25">
      <c r="A449" s="53" t="s">
        <v>153</v>
      </c>
      <c r="B449" s="207" t="s">
        <v>272</v>
      </c>
      <c r="C449" s="208"/>
      <c r="D449" s="208"/>
      <c r="E449" s="208"/>
      <c r="F449" s="208"/>
      <c r="G449" s="208"/>
      <c r="H449" s="209"/>
    </row>
    <row r="450" spans="1:8" x14ac:dyDescent="0.25">
      <c r="A450" s="224" t="s">
        <v>58</v>
      </c>
      <c r="B450" s="225"/>
      <c r="C450" s="225"/>
      <c r="D450" s="225"/>
      <c r="E450" s="225"/>
      <c r="F450" s="225"/>
      <c r="G450" s="225"/>
      <c r="H450" s="226"/>
    </row>
    <row r="451" spans="1:8" ht="15.75" customHeight="1" x14ac:dyDescent="0.25">
      <c r="A451" s="158" t="s">
        <v>59</v>
      </c>
      <c r="B451" s="159"/>
      <c r="C451" s="159"/>
      <c r="D451" s="159"/>
      <c r="E451" s="159"/>
      <c r="F451" s="159"/>
      <c r="G451" s="159"/>
      <c r="H451" s="219"/>
    </row>
    <row r="452" spans="1:8" x14ac:dyDescent="0.25">
      <c r="A452" s="220" t="s">
        <v>60</v>
      </c>
      <c r="B452" s="221"/>
      <c r="C452" s="221"/>
      <c r="D452" s="221"/>
      <c r="E452" s="221"/>
      <c r="F452" s="221"/>
      <c r="G452" s="221"/>
      <c r="H452" s="222"/>
    </row>
    <row r="453" spans="1:8" ht="15.75" customHeight="1" x14ac:dyDescent="0.25">
      <c r="A453" s="158" t="s">
        <v>61</v>
      </c>
      <c r="B453" s="159"/>
      <c r="C453" s="159"/>
      <c r="D453" s="159"/>
      <c r="E453" s="159"/>
      <c r="F453" s="159"/>
      <c r="G453" s="159"/>
      <c r="H453" s="219"/>
    </row>
    <row r="454" spans="1:8" x14ac:dyDescent="0.25">
      <c r="A454" s="158" t="s">
        <v>62</v>
      </c>
      <c r="B454" s="159"/>
      <c r="C454" s="159"/>
      <c r="D454" s="159"/>
      <c r="E454" s="159"/>
      <c r="F454" s="159"/>
      <c r="G454" s="159"/>
      <c r="H454" s="219"/>
    </row>
    <row r="455" spans="1:8" x14ac:dyDescent="0.25">
      <c r="A455" s="158" t="s">
        <v>126</v>
      </c>
      <c r="B455" s="159"/>
      <c r="C455" s="159"/>
      <c r="D455" s="159"/>
      <c r="E455" s="159"/>
      <c r="F455" s="159"/>
      <c r="G455" s="159"/>
      <c r="H455" s="219"/>
    </row>
    <row r="456" spans="1:8" x14ac:dyDescent="0.25">
      <c r="A456" s="139" t="s">
        <v>127</v>
      </c>
      <c r="B456" s="200"/>
      <c r="C456" s="200"/>
      <c r="D456" s="200"/>
      <c r="E456" s="200"/>
      <c r="F456" s="200"/>
      <c r="G456" s="200"/>
      <c r="H456" s="140"/>
    </row>
    <row r="457" spans="1:8" x14ac:dyDescent="0.25">
      <c r="A457" s="223" t="s">
        <v>74</v>
      </c>
      <c r="B457" s="223"/>
      <c r="C457" s="223" t="s">
        <v>277</v>
      </c>
      <c r="D457" s="223"/>
      <c r="E457" s="223" t="s">
        <v>103</v>
      </c>
      <c r="F457" s="223"/>
      <c r="G457" s="223" t="s">
        <v>276</v>
      </c>
      <c r="H457" s="223"/>
    </row>
    <row r="458" spans="1:8" x14ac:dyDescent="0.25">
      <c r="A458" s="210" t="s">
        <v>76</v>
      </c>
      <c r="B458" s="211"/>
      <c r="C458" s="211"/>
      <c r="D458" s="211"/>
      <c r="E458" s="211"/>
      <c r="F458" s="211"/>
      <c r="G458" s="211"/>
      <c r="H458" s="212"/>
    </row>
    <row r="459" spans="1:8" x14ac:dyDescent="0.25">
      <c r="A459" s="213"/>
      <c r="B459" s="214"/>
      <c r="C459" s="214"/>
      <c r="D459" s="214"/>
      <c r="E459" s="214"/>
      <c r="F459" s="214"/>
      <c r="G459" s="214"/>
      <c r="H459" s="215"/>
    </row>
    <row r="460" spans="1:8" ht="15" customHeight="1" x14ac:dyDescent="0.25">
      <c r="A460" s="213"/>
      <c r="B460" s="214"/>
      <c r="C460" s="214"/>
      <c r="D460" s="214"/>
      <c r="E460" s="214"/>
      <c r="F460" s="214"/>
      <c r="G460" s="214"/>
      <c r="H460" s="215"/>
    </row>
    <row r="461" spans="1:8" x14ac:dyDescent="0.25">
      <c r="A461" s="216"/>
      <c r="B461" s="217"/>
      <c r="C461" s="217"/>
      <c r="D461" s="217"/>
      <c r="E461" s="217"/>
      <c r="F461" s="217"/>
      <c r="G461" s="217"/>
      <c r="H461" s="218"/>
    </row>
    <row r="462" spans="1:8" x14ac:dyDescent="0.25">
      <c r="A462" s="36" t="s">
        <v>63</v>
      </c>
      <c r="B462" s="37"/>
      <c r="C462" s="37"/>
      <c r="D462" s="36" t="str">
        <f>E8</f>
        <v>Bella</v>
      </c>
      <c r="F462" s="37"/>
      <c r="G462" s="37"/>
      <c r="H462" s="37"/>
    </row>
    <row r="463" spans="1:8" x14ac:dyDescent="0.25">
      <c r="A463" s="37"/>
      <c r="B463" s="37"/>
      <c r="C463" s="37"/>
      <c r="D463" s="37"/>
      <c r="E463" s="37"/>
      <c r="F463" s="37"/>
      <c r="G463" s="37"/>
      <c r="H463" s="37"/>
    </row>
    <row r="464" spans="1:8" x14ac:dyDescent="0.25">
      <c r="A464" s="37"/>
      <c r="B464" s="37"/>
      <c r="C464" s="37"/>
      <c r="D464" s="37"/>
      <c r="E464" s="37"/>
      <c r="F464" s="37"/>
      <c r="G464" s="37"/>
      <c r="H464" s="37"/>
    </row>
    <row r="506" spans="1:1" s="19" customFormat="1" x14ac:dyDescent="0.25">
      <c r="A506" s="39" t="s">
        <v>166</v>
      </c>
    </row>
    <row r="548" spans="1:1" s="19" customFormat="1" x14ac:dyDescent="0.25">
      <c r="A548" s="39" t="s">
        <v>64</v>
      </c>
    </row>
  </sheetData>
  <mergeCells count="906">
    <mergeCell ref="A104:B104"/>
    <mergeCell ref="E104:F104"/>
    <mergeCell ref="G104:H104"/>
    <mergeCell ref="C104:D104"/>
    <mergeCell ref="L310:M310"/>
    <mergeCell ref="L302:M302"/>
    <mergeCell ref="L304:M304"/>
    <mergeCell ref="L300:M300"/>
    <mergeCell ref="A51:B53"/>
    <mergeCell ref="C51:E52"/>
    <mergeCell ref="C53:H53"/>
    <mergeCell ref="A54:B56"/>
    <mergeCell ref="C54:E55"/>
    <mergeCell ref="C56:H56"/>
    <mergeCell ref="A57:B59"/>
    <mergeCell ref="C59:H59"/>
    <mergeCell ref="L222:M222"/>
    <mergeCell ref="L249:M249"/>
    <mergeCell ref="L252:M252"/>
    <mergeCell ref="A144:B144"/>
    <mergeCell ref="C144:D144"/>
    <mergeCell ref="E144:F144"/>
    <mergeCell ref="G144:H144"/>
    <mergeCell ref="A145:B145"/>
    <mergeCell ref="C145:D145"/>
    <mergeCell ref="A247:B247"/>
    <mergeCell ref="A245:B245"/>
    <mergeCell ref="G224:H227"/>
    <mergeCell ref="A458:H461"/>
    <mergeCell ref="A455:H455"/>
    <mergeCell ref="A452:H452"/>
    <mergeCell ref="A451:H451"/>
    <mergeCell ref="B445:H445"/>
    <mergeCell ref="B443:H443"/>
    <mergeCell ref="B442:H442"/>
    <mergeCell ref="B440:H440"/>
    <mergeCell ref="B436:H436"/>
    <mergeCell ref="A457:B457"/>
    <mergeCell ref="E457:F457"/>
    <mergeCell ref="C457:D457"/>
    <mergeCell ref="G457:H457"/>
    <mergeCell ref="A453:H453"/>
    <mergeCell ref="A456:H456"/>
    <mergeCell ref="A454:H454"/>
    <mergeCell ref="A450:H450"/>
    <mergeCell ref="B448:H448"/>
    <mergeCell ref="B441:H441"/>
    <mergeCell ref="B439:H439"/>
    <mergeCell ref="B446:H446"/>
    <mergeCell ref="B447:H447"/>
    <mergeCell ref="B449:H449"/>
    <mergeCell ref="B444:H444"/>
    <mergeCell ref="A393:H393"/>
    <mergeCell ref="A346:H346"/>
    <mergeCell ref="A341:H341"/>
    <mergeCell ref="A331:H331"/>
    <mergeCell ref="A254:B254"/>
    <mergeCell ref="A256:H256"/>
    <mergeCell ref="A257:B257"/>
    <mergeCell ref="A293:H293"/>
    <mergeCell ref="A294:B294"/>
    <mergeCell ref="G294:H297"/>
    <mergeCell ref="C294:F294"/>
    <mergeCell ref="A274:H274"/>
    <mergeCell ref="A275:H275"/>
    <mergeCell ref="A276:H276"/>
    <mergeCell ref="A287:H287"/>
    <mergeCell ref="A288:B288"/>
    <mergeCell ref="A390:B390"/>
    <mergeCell ref="A315:B315"/>
    <mergeCell ref="A302:B302"/>
    <mergeCell ref="A385:B385"/>
    <mergeCell ref="A332:B332"/>
    <mergeCell ref="A344:B344"/>
    <mergeCell ref="A264:B264"/>
    <mergeCell ref="A290:B290"/>
    <mergeCell ref="A221:H221"/>
    <mergeCell ref="A222:H222"/>
    <mergeCell ref="A197:H197"/>
    <mergeCell ref="A174:H174"/>
    <mergeCell ref="A175:B175"/>
    <mergeCell ref="G175:H180"/>
    <mergeCell ref="A180:B180"/>
    <mergeCell ref="A218:H218"/>
    <mergeCell ref="G198:H203"/>
    <mergeCell ref="A203:B203"/>
    <mergeCell ref="A193:B193"/>
    <mergeCell ref="A182:B182"/>
    <mergeCell ref="G182:H187"/>
    <mergeCell ref="A187:B187"/>
    <mergeCell ref="E145:F145"/>
    <mergeCell ref="G145:H145"/>
    <mergeCell ref="A363:H363"/>
    <mergeCell ref="A364:B364"/>
    <mergeCell ref="G364:H368"/>
    <mergeCell ref="A322:H322"/>
    <mergeCell ref="C224:F225"/>
    <mergeCell ref="A323:B323"/>
    <mergeCell ref="G358:H362"/>
    <mergeCell ref="A352:B352"/>
    <mergeCell ref="A307:B307"/>
    <mergeCell ref="A309:B309"/>
    <mergeCell ref="A360:B360"/>
    <mergeCell ref="A366:B366"/>
    <mergeCell ref="C234:F235"/>
    <mergeCell ref="A330:H330"/>
    <mergeCell ref="A329:H329"/>
    <mergeCell ref="A328:H328"/>
    <mergeCell ref="A238:H238"/>
    <mergeCell ref="A258:B258"/>
    <mergeCell ref="A359:B359"/>
    <mergeCell ref="A300:B300"/>
    <mergeCell ref="A244:H244"/>
    <mergeCell ref="A172:B172"/>
    <mergeCell ref="L394:M394"/>
    <mergeCell ref="A404:H404"/>
    <mergeCell ref="A405:B405"/>
    <mergeCell ref="G405:H409"/>
    <mergeCell ref="A421:H421"/>
    <mergeCell ref="A396:B396"/>
    <mergeCell ref="A285:B285"/>
    <mergeCell ref="C383:F384"/>
    <mergeCell ref="A303:B303"/>
    <mergeCell ref="L298:M298"/>
    <mergeCell ref="A308:B308"/>
    <mergeCell ref="L303:M303"/>
    <mergeCell ref="A310:H310"/>
    <mergeCell ref="A311:B311"/>
    <mergeCell ref="G311:H315"/>
    <mergeCell ref="L306:M306"/>
    <mergeCell ref="A312:B312"/>
    <mergeCell ref="L307:M307"/>
    <mergeCell ref="A313:B313"/>
    <mergeCell ref="L308:M308"/>
    <mergeCell ref="A314:B314"/>
    <mergeCell ref="L309:M309"/>
    <mergeCell ref="L353:M353"/>
    <mergeCell ref="A398:H398"/>
    <mergeCell ref="L403:M403"/>
    <mergeCell ref="A417:B417"/>
    <mergeCell ref="G417:H420"/>
    <mergeCell ref="L412:M412"/>
    <mergeCell ref="A418:B418"/>
    <mergeCell ref="L413:M413"/>
    <mergeCell ref="A419:B419"/>
    <mergeCell ref="L414:M414"/>
    <mergeCell ref="A420:B420"/>
    <mergeCell ref="L415:M415"/>
    <mergeCell ref="L404:M404"/>
    <mergeCell ref="A409:B409"/>
    <mergeCell ref="L418:M418"/>
    <mergeCell ref="L406:M406"/>
    <mergeCell ref="L407:M407"/>
    <mergeCell ref="L419:M419"/>
    <mergeCell ref="A425:B425"/>
    <mergeCell ref="L420:M420"/>
    <mergeCell ref="A426:B426"/>
    <mergeCell ref="L421:M421"/>
    <mergeCell ref="C425:F425"/>
    <mergeCell ref="A408:B408"/>
    <mergeCell ref="A423:B423"/>
    <mergeCell ref="A416:H416"/>
    <mergeCell ref="A410:H410"/>
    <mergeCell ref="A411:B411"/>
    <mergeCell ref="G411:H415"/>
    <mergeCell ref="A412:B412"/>
    <mergeCell ref="A413:B413"/>
    <mergeCell ref="L408:M408"/>
    <mergeCell ref="A414:B414"/>
    <mergeCell ref="L409:M409"/>
    <mergeCell ref="A415:B415"/>
    <mergeCell ref="L410:M410"/>
    <mergeCell ref="G428:H432"/>
    <mergeCell ref="B437:H437"/>
    <mergeCell ref="B438:H438"/>
    <mergeCell ref="A433:H433"/>
    <mergeCell ref="L423:M423"/>
    <mergeCell ref="A429:B429"/>
    <mergeCell ref="L424:M424"/>
    <mergeCell ref="A428:B428"/>
    <mergeCell ref="A432:B432"/>
    <mergeCell ref="L427:M427"/>
    <mergeCell ref="A430:B430"/>
    <mergeCell ref="L425:M425"/>
    <mergeCell ref="A431:B431"/>
    <mergeCell ref="C431:F431"/>
    <mergeCell ref="L426:M426"/>
    <mergeCell ref="B435:H435"/>
    <mergeCell ref="B434:H434"/>
    <mergeCell ref="A427:H427"/>
    <mergeCell ref="A424:B424"/>
    <mergeCell ref="L297:M297"/>
    <mergeCell ref="A422:B422"/>
    <mergeCell ref="G422:H426"/>
    <mergeCell ref="A357:H357"/>
    <mergeCell ref="A400:B400"/>
    <mergeCell ref="A335:B335"/>
    <mergeCell ref="L318:M318"/>
    <mergeCell ref="A326:B326"/>
    <mergeCell ref="L321:M321"/>
    <mergeCell ref="A327:B327"/>
    <mergeCell ref="L322:M322"/>
    <mergeCell ref="C325:F326"/>
    <mergeCell ref="G323:H327"/>
    <mergeCell ref="A397:B397"/>
    <mergeCell ref="L400:M400"/>
    <mergeCell ref="A406:B406"/>
    <mergeCell ref="L401:M401"/>
    <mergeCell ref="A407:B407"/>
    <mergeCell ref="L402:M402"/>
    <mergeCell ref="L356:M356"/>
    <mergeCell ref="L354:M354"/>
    <mergeCell ref="A399:B399"/>
    <mergeCell ref="L417:M417"/>
    <mergeCell ref="L395:M395"/>
    <mergeCell ref="L289:M289"/>
    <mergeCell ref="A295:B295"/>
    <mergeCell ref="L268:M268"/>
    <mergeCell ref="A279:B279"/>
    <mergeCell ref="L274:M274"/>
    <mergeCell ref="A281:B281"/>
    <mergeCell ref="L276:M276"/>
    <mergeCell ref="L319:M319"/>
    <mergeCell ref="A325:B325"/>
    <mergeCell ref="L320:M320"/>
    <mergeCell ref="A280:B280"/>
    <mergeCell ref="L275:M275"/>
    <mergeCell ref="C281:F281"/>
    <mergeCell ref="G278:H281"/>
    <mergeCell ref="A298:H298"/>
    <mergeCell ref="A299:B299"/>
    <mergeCell ref="G299:H303"/>
    <mergeCell ref="L294:M294"/>
    <mergeCell ref="A306:B306"/>
    <mergeCell ref="L301:M301"/>
    <mergeCell ref="A324:B324"/>
    <mergeCell ref="L295:M295"/>
    <mergeCell ref="A301:B301"/>
    <mergeCell ref="L296:M296"/>
    <mergeCell ref="A401:B401"/>
    <mergeCell ref="L396:M396"/>
    <mergeCell ref="A402:B402"/>
    <mergeCell ref="L397:M397"/>
    <mergeCell ref="A347:B347"/>
    <mergeCell ref="C347:F347"/>
    <mergeCell ref="G347:H350"/>
    <mergeCell ref="L342:M342"/>
    <mergeCell ref="A348:B348"/>
    <mergeCell ref="L343:M343"/>
    <mergeCell ref="A349:B349"/>
    <mergeCell ref="L344:M344"/>
    <mergeCell ref="A350:B350"/>
    <mergeCell ref="L345:M345"/>
    <mergeCell ref="A394:B394"/>
    <mergeCell ref="C394:F395"/>
    <mergeCell ref="G394:H397"/>
    <mergeCell ref="L389:M389"/>
    <mergeCell ref="A395:B395"/>
    <mergeCell ref="L390:M390"/>
    <mergeCell ref="L355:M355"/>
    <mergeCell ref="A361:B361"/>
    <mergeCell ref="L391:M391"/>
    <mergeCell ref="A383:B383"/>
    <mergeCell ref="L333:M333"/>
    <mergeCell ref="A339:B339"/>
    <mergeCell ref="L334:M334"/>
    <mergeCell ref="A340:B340"/>
    <mergeCell ref="L335:M335"/>
    <mergeCell ref="A381:H381"/>
    <mergeCell ref="A375:H375"/>
    <mergeCell ref="G376:H380"/>
    <mergeCell ref="C378:F379"/>
    <mergeCell ref="A380:B380"/>
    <mergeCell ref="L375:M375"/>
    <mergeCell ref="L368:M368"/>
    <mergeCell ref="A376:B376"/>
    <mergeCell ref="L371:M371"/>
    <mergeCell ref="L360:M360"/>
    <mergeCell ref="A336:H336"/>
    <mergeCell ref="A337:B337"/>
    <mergeCell ref="A362:B362"/>
    <mergeCell ref="L357:M357"/>
    <mergeCell ref="L359:M359"/>
    <mergeCell ref="A365:B365"/>
    <mergeCell ref="L379:M379"/>
    <mergeCell ref="L350:M350"/>
    <mergeCell ref="A356:B356"/>
    <mergeCell ref="L351:M351"/>
    <mergeCell ref="L380:M380"/>
    <mergeCell ref="L372:M372"/>
    <mergeCell ref="A378:B378"/>
    <mergeCell ref="L373:M373"/>
    <mergeCell ref="A379:B379"/>
    <mergeCell ref="L374:M374"/>
    <mergeCell ref="A369:H369"/>
    <mergeCell ref="A370:B370"/>
    <mergeCell ref="G370:H374"/>
    <mergeCell ref="L365:M365"/>
    <mergeCell ref="A371:B371"/>
    <mergeCell ref="L366:M366"/>
    <mergeCell ref="C373:F373"/>
    <mergeCell ref="A374:B374"/>
    <mergeCell ref="L369:M369"/>
    <mergeCell ref="A354:B354"/>
    <mergeCell ref="L327:M327"/>
    <mergeCell ref="A333:B333"/>
    <mergeCell ref="L328:M328"/>
    <mergeCell ref="A368:B368"/>
    <mergeCell ref="L363:M363"/>
    <mergeCell ref="L362:M362"/>
    <mergeCell ref="L378:M378"/>
    <mergeCell ref="A355:B355"/>
    <mergeCell ref="A351:H351"/>
    <mergeCell ref="A334:B334"/>
    <mergeCell ref="L329:M329"/>
    <mergeCell ref="G332:H335"/>
    <mergeCell ref="C335:F335"/>
    <mergeCell ref="A372:B372"/>
    <mergeCell ref="L367:M367"/>
    <mergeCell ref="A373:B373"/>
    <mergeCell ref="L361:M361"/>
    <mergeCell ref="A367:B367"/>
    <mergeCell ref="A377:B377"/>
    <mergeCell ref="G337:H340"/>
    <mergeCell ref="L332:M332"/>
    <mergeCell ref="A338:B338"/>
    <mergeCell ref="A343:B343"/>
    <mergeCell ref="L338:M338"/>
    <mergeCell ref="L290:M290"/>
    <mergeCell ref="A296:B296"/>
    <mergeCell ref="L291:M291"/>
    <mergeCell ref="A297:B297"/>
    <mergeCell ref="L292:M292"/>
    <mergeCell ref="A358:B358"/>
    <mergeCell ref="G352:H356"/>
    <mergeCell ref="A316:H316"/>
    <mergeCell ref="A317:B317"/>
    <mergeCell ref="G317:H321"/>
    <mergeCell ref="L312:M312"/>
    <mergeCell ref="A318:B318"/>
    <mergeCell ref="L313:M313"/>
    <mergeCell ref="A319:B319"/>
    <mergeCell ref="L314:M314"/>
    <mergeCell ref="A320:B320"/>
    <mergeCell ref="L315:M315"/>
    <mergeCell ref="A321:B321"/>
    <mergeCell ref="L316:M316"/>
    <mergeCell ref="C320:F320"/>
    <mergeCell ref="A304:H304"/>
    <mergeCell ref="A305:B305"/>
    <mergeCell ref="L330:M330"/>
    <mergeCell ref="G305:H309"/>
    <mergeCell ref="L339:M339"/>
    <mergeCell ref="A345:B345"/>
    <mergeCell ref="L340:M340"/>
    <mergeCell ref="A388:H388"/>
    <mergeCell ref="A389:B389"/>
    <mergeCell ref="C389:F390"/>
    <mergeCell ref="G389:H392"/>
    <mergeCell ref="L384:M384"/>
    <mergeCell ref="L347:M347"/>
    <mergeCell ref="A353:B353"/>
    <mergeCell ref="L348:M348"/>
    <mergeCell ref="L385:M385"/>
    <mergeCell ref="A391:B391"/>
    <mergeCell ref="L386:M386"/>
    <mergeCell ref="A392:B392"/>
    <mergeCell ref="L387:M387"/>
    <mergeCell ref="L349:M349"/>
    <mergeCell ref="A387:B387"/>
    <mergeCell ref="L382:M382"/>
    <mergeCell ref="A384:B384"/>
    <mergeCell ref="A382:H382"/>
    <mergeCell ref="A386:B386"/>
    <mergeCell ref="L381:M381"/>
    <mergeCell ref="G383:H387"/>
    <mergeCell ref="L229:M229"/>
    <mergeCell ref="A235:B235"/>
    <mergeCell ref="L230:M230"/>
    <mergeCell ref="A236:B236"/>
    <mergeCell ref="L231:M231"/>
    <mergeCell ref="L232:M232"/>
    <mergeCell ref="L234:M234"/>
    <mergeCell ref="L237:M237"/>
    <mergeCell ref="L240:M240"/>
    <mergeCell ref="G239:H243"/>
    <mergeCell ref="C243:F243"/>
    <mergeCell ref="A234:B234"/>
    <mergeCell ref="G234:H237"/>
    <mergeCell ref="L241:M241"/>
    <mergeCell ref="L253:M253"/>
    <mergeCell ref="A259:B259"/>
    <mergeCell ref="L235:M235"/>
    <mergeCell ref="A241:B241"/>
    <mergeCell ref="L236:M236"/>
    <mergeCell ref="A243:B243"/>
    <mergeCell ref="L238:M238"/>
    <mergeCell ref="A240:B240"/>
    <mergeCell ref="A239:B239"/>
    <mergeCell ref="L258:M258"/>
    <mergeCell ref="L259:M259"/>
    <mergeCell ref="A248:B248"/>
    <mergeCell ref="L243:M243"/>
    <mergeCell ref="A250:H250"/>
    <mergeCell ref="A251:B251"/>
    <mergeCell ref="L246:M246"/>
    <mergeCell ref="A252:B252"/>
    <mergeCell ref="L247:M247"/>
    <mergeCell ref="A253:B253"/>
    <mergeCell ref="L248:M248"/>
    <mergeCell ref="L254:M254"/>
    <mergeCell ref="L255:M255"/>
    <mergeCell ref="A242:B242"/>
    <mergeCell ref="L265:M265"/>
    <mergeCell ref="A271:B271"/>
    <mergeCell ref="L266:M266"/>
    <mergeCell ref="A272:B272"/>
    <mergeCell ref="C272:F272"/>
    <mergeCell ref="A262:H262"/>
    <mergeCell ref="A263:B263"/>
    <mergeCell ref="G263:H267"/>
    <mergeCell ref="A260:B260"/>
    <mergeCell ref="L242:M242"/>
    <mergeCell ref="L244:M244"/>
    <mergeCell ref="G245:H249"/>
    <mergeCell ref="L280:M280"/>
    <mergeCell ref="A286:B286"/>
    <mergeCell ref="L281:M281"/>
    <mergeCell ref="A283:B283"/>
    <mergeCell ref="L278:M278"/>
    <mergeCell ref="G283:H286"/>
    <mergeCell ref="A282:H282"/>
    <mergeCell ref="A284:B284"/>
    <mergeCell ref="L279:M279"/>
    <mergeCell ref="L285:M285"/>
    <mergeCell ref="L283:M283"/>
    <mergeCell ref="L284:M284"/>
    <mergeCell ref="L262:M262"/>
    <mergeCell ref="C266:F266"/>
    <mergeCell ref="A277:H277"/>
    <mergeCell ref="A278:B278"/>
    <mergeCell ref="A265:B265"/>
    <mergeCell ref="L260:M260"/>
    <mergeCell ref="A266:B266"/>
    <mergeCell ref="L261:M261"/>
    <mergeCell ref="L267:M267"/>
    <mergeCell ref="A230:B230"/>
    <mergeCell ref="A231:B231"/>
    <mergeCell ref="A232:B232"/>
    <mergeCell ref="A233:H233"/>
    <mergeCell ref="A249:B249"/>
    <mergeCell ref="A223:H223"/>
    <mergeCell ref="A237:B237"/>
    <mergeCell ref="A267:B267"/>
    <mergeCell ref="A273:B273"/>
    <mergeCell ref="A228:H228"/>
    <mergeCell ref="A229:B229"/>
    <mergeCell ref="C229:F230"/>
    <mergeCell ref="G229:H232"/>
    <mergeCell ref="A270:B270"/>
    <mergeCell ref="A246:B246"/>
    <mergeCell ref="A227:B227"/>
    <mergeCell ref="A226:B226"/>
    <mergeCell ref="L208:M208"/>
    <mergeCell ref="A214:B214"/>
    <mergeCell ref="L209:M209"/>
    <mergeCell ref="A215:B215"/>
    <mergeCell ref="L210:M210"/>
    <mergeCell ref="A216:B216"/>
    <mergeCell ref="L211:M211"/>
    <mergeCell ref="A217:B217"/>
    <mergeCell ref="L212:M212"/>
    <mergeCell ref="A202:B202"/>
    <mergeCell ref="L197:M197"/>
    <mergeCell ref="L224:M224"/>
    <mergeCell ref="L225:M225"/>
    <mergeCell ref="L226:M226"/>
    <mergeCell ref="L227:M227"/>
    <mergeCell ref="A204:H204"/>
    <mergeCell ref="A205:B205"/>
    <mergeCell ref="G205:H210"/>
    <mergeCell ref="L200:M200"/>
    <mergeCell ref="A206:B206"/>
    <mergeCell ref="L201:M201"/>
    <mergeCell ref="A207:B207"/>
    <mergeCell ref="L202:M202"/>
    <mergeCell ref="A208:B208"/>
    <mergeCell ref="L203:M203"/>
    <mergeCell ref="A209:B209"/>
    <mergeCell ref="L204:M204"/>
    <mergeCell ref="A210:B210"/>
    <mergeCell ref="L205:M205"/>
    <mergeCell ref="A211:H211"/>
    <mergeCell ref="A212:B212"/>
    <mergeCell ref="G212:H217"/>
    <mergeCell ref="L207:M207"/>
    <mergeCell ref="A186:B186"/>
    <mergeCell ref="L181:M181"/>
    <mergeCell ref="L182:M182"/>
    <mergeCell ref="L193:M193"/>
    <mergeCell ref="A199:B199"/>
    <mergeCell ref="L194:M194"/>
    <mergeCell ref="A200:B200"/>
    <mergeCell ref="L195:M195"/>
    <mergeCell ref="A201:B201"/>
    <mergeCell ref="L196:M196"/>
    <mergeCell ref="C60:E60"/>
    <mergeCell ref="L175:M175"/>
    <mergeCell ref="L167:M167"/>
    <mergeCell ref="L186:M186"/>
    <mergeCell ref="A192:B192"/>
    <mergeCell ref="L187:M187"/>
    <mergeCell ref="A194:B194"/>
    <mergeCell ref="L189:M189"/>
    <mergeCell ref="A196:B196"/>
    <mergeCell ref="L191:M191"/>
    <mergeCell ref="A188:H188"/>
    <mergeCell ref="A189:H189"/>
    <mergeCell ref="A190:H190"/>
    <mergeCell ref="A191:B191"/>
    <mergeCell ref="G191:H196"/>
    <mergeCell ref="L168:M168"/>
    <mergeCell ref="G168:H173"/>
    <mergeCell ref="L163:M163"/>
    <mergeCell ref="A169:B169"/>
    <mergeCell ref="L164:M164"/>
    <mergeCell ref="A170:B170"/>
    <mergeCell ref="L165:M165"/>
    <mergeCell ref="A171:B171"/>
    <mergeCell ref="L166:M166"/>
    <mergeCell ref="A50:B50"/>
    <mergeCell ref="C50:E50"/>
    <mergeCell ref="E41:H41"/>
    <mergeCell ref="A41:D41"/>
    <mergeCell ref="A141:B141"/>
    <mergeCell ref="D219:D220"/>
    <mergeCell ref="E219:E220"/>
    <mergeCell ref="G219:H220"/>
    <mergeCell ref="A98:B98"/>
    <mergeCell ref="A99:B99"/>
    <mergeCell ref="A100:B100"/>
    <mergeCell ref="A90:B90"/>
    <mergeCell ref="C90:H90"/>
    <mergeCell ref="A115:B115"/>
    <mergeCell ref="A85:B85"/>
    <mergeCell ref="F120:H120"/>
    <mergeCell ref="G135:H135"/>
    <mergeCell ref="A118:B118"/>
    <mergeCell ref="A48:B48"/>
    <mergeCell ref="C48:E48"/>
    <mergeCell ref="A158:H158"/>
    <mergeCell ref="G52:H52"/>
    <mergeCell ref="G48:H48"/>
    <mergeCell ref="C49:E49"/>
    <mergeCell ref="F127:H127"/>
    <mergeCell ref="C134:D134"/>
    <mergeCell ref="F130:H130"/>
    <mergeCell ref="F128:H128"/>
    <mergeCell ref="F129:H129"/>
    <mergeCell ref="E134:F134"/>
    <mergeCell ref="A134:B134"/>
    <mergeCell ref="A129:E129"/>
    <mergeCell ref="C135:D135"/>
    <mergeCell ref="C155:C156"/>
    <mergeCell ref="B219:B220"/>
    <mergeCell ref="A224:B224"/>
    <mergeCell ref="A166:B166"/>
    <mergeCell ref="A66:C68"/>
    <mergeCell ref="D66:H66"/>
    <mergeCell ref="D67:H67"/>
    <mergeCell ref="D68:H68"/>
    <mergeCell ref="C92:H92"/>
    <mergeCell ref="A93:B93"/>
    <mergeCell ref="E93:F93"/>
    <mergeCell ref="G93:H93"/>
    <mergeCell ref="A114:B114"/>
    <mergeCell ref="D73:H73"/>
    <mergeCell ref="A74:C74"/>
    <mergeCell ref="D74:H74"/>
    <mergeCell ref="A80:B80"/>
    <mergeCell ref="G79:H79"/>
    <mergeCell ref="A103:B103"/>
    <mergeCell ref="A109:B109"/>
    <mergeCell ref="A92:B92"/>
    <mergeCell ref="E137:F137"/>
    <mergeCell ref="G137:H137"/>
    <mergeCell ref="A219:A220"/>
    <mergeCell ref="G138:H138"/>
    <mergeCell ref="A135:A136"/>
    <mergeCell ref="A137:A138"/>
    <mergeCell ref="A133:H133"/>
    <mergeCell ref="A131:E131"/>
    <mergeCell ref="F131:H131"/>
    <mergeCell ref="A132:E132"/>
    <mergeCell ref="F132:H132"/>
    <mergeCell ref="A142:B142"/>
    <mergeCell ref="A140:H140"/>
    <mergeCell ref="C141:D141"/>
    <mergeCell ref="G141:H14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11:D11"/>
    <mergeCell ref="E11:H11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69:C69"/>
    <mergeCell ref="A70:C70"/>
    <mergeCell ref="D69:H69"/>
    <mergeCell ref="E80:F89"/>
    <mergeCell ref="G80:H89"/>
    <mergeCell ref="A88:B88"/>
    <mergeCell ref="A89:B89"/>
    <mergeCell ref="D70:H70"/>
    <mergeCell ref="A42:D42"/>
    <mergeCell ref="E42:H42"/>
    <mergeCell ref="E43:H43"/>
    <mergeCell ref="E44:H44"/>
    <mergeCell ref="E45:H45"/>
    <mergeCell ref="A71:C71"/>
    <mergeCell ref="D71:H71"/>
    <mergeCell ref="C78:H78"/>
    <mergeCell ref="A81:B81"/>
    <mergeCell ref="A83:B83"/>
    <mergeCell ref="E79:F79"/>
    <mergeCell ref="A72:C72"/>
    <mergeCell ref="D72:H72"/>
    <mergeCell ref="A107:B107"/>
    <mergeCell ref="A75:C75"/>
    <mergeCell ref="D75:H75"/>
    <mergeCell ref="A37:B37"/>
    <mergeCell ref="C37:H37"/>
    <mergeCell ref="A43:D43"/>
    <mergeCell ref="F35:H35"/>
    <mergeCell ref="A45:D45"/>
    <mergeCell ref="A46:H46"/>
    <mergeCell ref="D65:H65"/>
    <mergeCell ref="A65:C65"/>
    <mergeCell ref="C61:H61"/>
    <mergeCell ref="A49:B49"/>
    <mergeCell ref="A62:H62"/>
    <mergeCell ref="A63:C63"/>
    <mergeCell ref="A64:C64"/>
    <mergeCell ref="D64:H64"/>
    <mergeCell ref="G60:H60"/>
    <mergeCell ref="G54:H54"/>
    <mergeCell ref="G55:H55"/>
    <mergeCell ref="G51:H51"/>
    <mergeCell ref="D63:H63"/>
    <mergeCell ref="G57:H57"/>
    <mergeCell ref="G58:H58"/>
    <mergeCell ref="C47:H47"/>
    <mergeCell ref="F119:H119"/>
    <mergeCell ref="A36:H36"/>
    <mergeCell ref="A35:B35"/>
    <mergeCell ref="C35:E35"/>
    <mergeCell ref="G109:H118"/>
    <mergeCell ref="A40:D40"/>
    <mergeCell ref="E40:H40"/>
    <mergeCell ref="G49:H49"/>
    <mergeCell ref="A86:B86"/>
    <mergeCell ref="A79:B79"/>
    <mergeCell ref="A82:B82"/>
    <mergeCell ref="A78:B78"/>
    <mergeCell ref="A76:B76"/>
    <mergeCell ref="C76:H76"/>
    <mergeCell ref="A84:B84"/>
    <mergeCell ref="A38:B38"/>
    <mergeCell ref="C38:H38"/>
    <mergeCell ref="A111:B111"/>
    <mergeCell ref="G94:H103"/>
    <mergeCell ref="A95:B95"/>
    <mergeCell ref="A96:B96"/>
    <mergeCell ref="A97:B97"/>
    <mergeCell ref="G108:H108"/>
    <mergeCell ref="A110:B110"/>
    <mergeCell ref="L219:M219"/>
    <mergeCell ref="A225:B225"/>
    <mergeCell ref="L220:M220"/>
    <mergeCell ref="A213:B213"/>
    <mergeCell ref="A163:B163"/>
    <mergeCell ref="A195:B195"/>
    <mergeCell ref="A44:D44"/>
    <mergeCell ref="L161:M161"/>
    <mergeCell ref="L159:M159"/>
    <mergeCell ref="L157:M157"/>
    <mergeCell ref="L156:M156"/>
    <mergeCell ref="A87:B87"/>
    <mergeCell ref="C142:D142"/>
    <mergeCell ref="E142:F142"/>
    <mergeCell ref="G142:H142"/>
    <mergeCell ref="F126:H126"/>
    <mergeCell ref="A120:E120"/>
    <mergeCell ref="A105:B105"/>
    <mergeCell ref="C105:H105"/>
    <mergeCell ref="A160:H160"/>
    <mergeCell ref="E155:E156"/>
    <mergeCell ref="G155:H156"/>
    <mergeCell ref="A47:B47"/>
    <mergeCell ref="A113:B113"/>
    <mergeCell ref="A154:H154"/>
    <mergeCell ref="G134:H134"/>
    <mergeCell ref="A164:B164"/>
    <mergeCell ref="B155:B156"/>
    <mergeCell ref="A155:A156"/>
    <mergeCell ref="C219:C220"/>
    <mergeCell ref="A159:H159"/>
    <mergeCell ref="A157:H157"/>
    <mergeCell ref="G161:H166"/>
    <mergeCell ref="A167:H167"/>
    <mergeCell ref="A168:B168"/>
    <mergeCell ref="A173:B173"/>
    <mergeCell ref="A198:B198"/>
    <mergeCell ref="G152:H152"/>
    <mergeCell ref="C136:D136"/>
    <mergeCell ref="E136:F136"/>
    <mergeCell ref="G136:H136"/>
    <mergeCell ref="E141:F141"/>
    <mergeCell ref="A153:H153"/>
    <mergeCell ref="C139:D139"/>
    <mergeCell ref="E139:F139"/>
    <mergeCell ref="G139:H139"/>
    <mergeCell ref="A143:B143"/>
    <mergeCell ref="D155:D156"/>
    <mergeCell ref="A123:E123"/>
    <mergeCell ref="A161:B161"/>
    <mergeCell ref="A162:B162"/>
    <mergeCell ref="A122:E122"/>
    <mergeCell ref="A119:E119"/>
    <mergeCell ref="F123:H123"/>
    <mergeCell ref="A146:B146"/>
    <mergeCell ref="C146:D146"/>
    <mergeCell ref="E146:F146"/>
    <mergeCell ref="G146:H146"/>
    <mergeCell ref="A125:E125"/>
    <mergeCell ref="F125:H125"/>
    <mergeCell ref="A126:E126"/>
    <mergeCell ref="A128:E128"/>
    <mergeCell ref="F122:H122"/>
    <mergeCell ref="A127:E127"/>
    <mergeCell ref="C143:D143"/>
    <mergeCell ref="E143:F143"/>
    <mergeCell ref="G143:H143"/>
    <mergeCell ref="E135:F135"/>
    <mergeCell ref="A130:E130"/>
    <mergeCell ref="C138:D138"/>
    <mergeCell ref="E138:F138"/>
    <mergeCell ref="G50:H50"/>
    <mergeCell ref="C152:D152"/>
    <mergeCell ref="C137:D137"/>
    <mergeCell ref="C107:H107"/>
    <mergeCell ref="A108:B108"/>
    <mergeCell ref="A124:E124"/>
    <mergeCell ref="A152:B152"/>
    <mergeCell ref="E152:F152"/>
    <mergeCell ref="A94:B94"/>
    <mergeCell ref="E94:F103"/>
    <mergeCell ref="A101:B101"/>
    <mergeCell ref="A102:B102"/>
    <mergeCell ref="E109:F118"/>
    <mergeCell ref="A73:C73"/>
    <mergeCell ref="F124:H124"/>
    <mergeCell ref="A116:B116"/>
    <mergeCell ref="A117:B117"/>
    <mergeCell ref="A139:B139"/>
    <mergeCell ref="C57:E58"/>
    <mergeCell ref="A60:B61"/>
    <mergeCell ref="F121:H121"/>
    <mergeCell ref="A121:E121"/>
    <mergeCell ref="E108:F108"/>
    <mergeCell ref="A112:B112"/>
    <mergeCell ref="L188:M188"/>
    <mergeCell ref="L158:M158"/>
    <mergeCell ref="A165:B165"/>
    <mergeCell ref="L160:M160"/>
    <mergeCell ref="L221:M221"/>
    <mergeCell ref="L190:M190"/>
    <mergeCell ref="L170:M170"/>
    <mergeCell ref="A176:B176"/>
    <mergeCell ref="L171:M171"/>
    <mergeCell ref="A177:B177"/>
    <mergeCell ref="L172:M172"/>
    <mergeCell ref="A178:B178"/>
    <mergeCell ref="L173:M173"/>
    <mergeCell ref="A179:B179"/>
    <mergeCell ref="L174:M174"/>
    <mergeCell ref="L198:M198"/>
    <mergeCell ref="A181:H181"/>
    <mergeCell ref="L177:M177"/>
    <mergeCell ref="A183:B183"/>
    <mergeCell ref="L178:M178"/>
    <mergeCell ref="A184:B184"/>
    <mergeCell ref="L179:M179"/>
    <mergeCell ref="A185:B185"/>
    <mergeCell ref="L180:M180"/>
    <mergeCell ref="A289:B289"/>
    <mergeCell ref="L392:M392"/>
    <mergeCell ref="A342:B342"/>
    <mergeCell ref="G342:H345"/>
    <mergeCell ref="L337:M337"/>
    <mergeCell ref="G399:H403"/>
    <mergeCell ref="A403:B403"/>
    <mergeCell ref="C403:F403"/>
    <mergeCell ref="G251:H255"/>
    <mergeCell ref="A255:B255"/>
    <mergeCell ref="A261:B261"/>
    <mergeCell ref="G257:H261"/>
    <mergeCell ref="C387:F387"/>
    <mergeCell ref="A291:B291"/>
    <mergeCell ref="L286:M286"/>
    <mergeCell ref="C292:F292"/>
    <mergeCell ref="G288:H292"/>
    <mergeCell ref="A292:B292"/>
    <mergeCell ref="L287:M287"/>
    <mergeCell ref="A268:H268"/>
    <mergeCell ref="A269:B269"/>
    <mergeCell ref="G269:H273"/>
    <mergeCell ref="L273:M273"/>
    <mergeCell ref="L264:M264"/>
    <mergeCell ref="A150:B150"/>
    <mergeCell ref="C150:D150"/>
    <mergeCell ref="E150:F150"/>
    <mergeCell ref="G150:H150"/>
    <mergeCell ref="A151:B151"/>
    <mergeCell ref="C151:D151"/>
    <mergeCell ref="E151:F151"/>
    <mergeCell ref="G151:H151"/>
    <mergeCell ref="A147:H147"/>
    <mergeCell ref="A148:B148"/>
    <mergeCell ref="C148:D148"/>
    <mergeCell ref="E148:F148"/>
    <mergeCell ref="G148:H148"/>
    <mergeCell ref="A149:B149"/>
    <mergeCell ref="C149:D149"/>
    <mergeCell ref="E149:F149"/>
    <mergeCell ref="G149:H149"/>
  </mergeCells>
  <hyperlinks>
    <hyperlink ref="C38" r:id="rId1"/>
    <hyperlink ref="I72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9" scale="97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59" max="16383" man="1"/>
    <brk id="89" max="16383" man="1"/>
    <brk id="461" max="7" man="1"/>
    <brk id="505" max="7" man="1"/>
    <brk id="547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9" t="s">
        <v>104</v>
      </c>
      <c r="C3" s="229"/>
      <c r="D3" s="229"/>
      <c r="E3" s="229"/>
      <c r="F3" s="229"/>
      <c r="G3" s="229"/>
      <c r="H3" s="229"/>
    </row>
    <row r="4" spans="1:9" x14ac:dyDescent="0.25">
      <c r="A4" s="2"/>
      <c r="B4" s="3" t="s">
        <v>105</v>
      </c>
      <c r="C4" s="3" t="s">
        <v>106</v>
      </c>
      <c r="D4" s="3" t="s">
        <v>66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25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2025-08-19T11:23:20Z</cp:lastPrinted>
  <dcterms:created xsi:type="dcterms:W3CDTF">2019-07-16T09:29:46Z</dcterms:created>
  <dcterms:modified xsi:type="dcterms:W3CDTF">2025-08-19T11:27:38Z</dcterms:modified>
</cp:coreProperties>
</file>