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Research" sheetId="4" r:id="rId3"/>
    <sheet name="Remarks" sheetId="6" r:id="rId4"/>
  </sheets>
  <definedNames>
    <definedName name="_xlnm.Print_Area" localSheetId="0">Report!$A$1:$H$352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5" i="1" l="1"/>
  <c r="E164" i="1"/>
  <c r="E160" i="1"/>
  <c r="K170" i="1" l="1"/>
  <c r="L170" i="1" s="1"/>
  <c r="K169" i="1"/>
  <c r="L169" i="1" s="1"/>
  <c r="L164" i="1" l="1"/>
  <c r="C136" i="1"/>
  <c r="E178" i="1"/>
  <c r="E177" i="1"/>
  <c r="E174" i="1"/>
  <c r="E170" i="1"/>
  <c r="K157" i="1"/>
  <c r="K158" i="1"/>
  <c r="L155" i="1"/>
  <c r="J155" i="1"/>
  <c r="E155" i="1" l="1"/>
  <c r="E182" i="1"/>
  <c r="E190" i="1"/>
  <c r="E189" i="1"/>
  <c r="E186" i="1"/>
  <c r="D191" i="1"/>
  <c r="F191" i="1" s="1"/>
  <c r="H191" i="1" s="1"/>
  <c r="D190" i="1"/>
  <c r="F190" i="1" s="1"/>
  <c r="H190" i="1" s="1"/>
  <c r="D189" i="1"/>
  <c r="D188" i="1"/>
  <c r="F188" i="1" s="1"/>
  <c r="H188" i="1" s="1"/>
  <c r="D186" i="1"/>
  <c r="D185" i="1"/>
  <c r="D184" i="1"/>
  <c r="D183" i="1"/>
  <c r="D182" i="1"/>
  <c r="D181" i="1"/>
  <c r="D179" i="1"/>
  <c r="F179" i="1" s="1"/>
  <c r="H179" i="1" s="1"/>
  <c r="J179" i="1" s="1"/>
  <c r="D178" i="1"/>
  <c r="F178" i="1" s="1"/>
  <c r="H178" i="1" s="1"/>
  <c r="J178" i="1" s="1"/>
  <c r="D177" i="1"/>
  <c r="F177" i="1" s="1"/>
  <c r="H177" i="1" s="1"/>
  <c r="J177" i="1" s="1"/>
  <c r="D176" i="1"/>
  <c r="F176" i="1" s="1"/>
  <c r="H176" i="1" s="1"/>
  <c r="J176" i="1" s="1"/>
  <c r="D175" i="1"/>
  <c r="D174" i="1"/>
  <c r="F174" i="1" s="1"/>
  <c r="H174" i="1" s="1"/>
  <c r="J174" i="1" s="1"/>
  <c r="D173" i="1"/>
  <c r="D172" i="1"/>
  <c r="D171" i="1"/>
  <c r="D170" i="1"/>
  <c r="D169" i="1"/>
  <c r="D167" i="1"/>
  <c r="F167" i="1" s="1"/>
  <c r="H167" i="1" s="1"/>
  <c r="D166" i="1"/>
  <c r="F166" i="1" s="1"/>
  <c r="H166" i="1" s="1"/>
  <c r="D165" i="1"/>
  <c r="F165" i="1" s="1"/>
  <c r="H165" i="1" s="1"/>
  <c r="D164" i="1"/>
  <c r="F164" i="1" s="1"/>
  <c r="H164" i="1" s="1"/>
  <c r="D163" i="1"/>
  <c r="F163" i="1" s="1"/>
  <c r="H163" i="1" s="1"/>
  <c r="D162" i="1"/>
  <c r="D161" i="1"/>
  <c r="D160" i="1"/>
  <c r="F160" i="1" s="1"/>
  <c r="D159" i="1"/>
  <c r="I175" i="1"/>
  <c r="I177" i="1"/>
  <c r="I174" i="1"/>
  <c r="I169" i="1"/>
  <c r="F175" i="1"/>
  <c r="H175" i="1" s="1"/>
  <c r="J175" i="1" s="1"/>
  <c r="J166" i="1"/>
  <c r="J167" i="1"/>
  <c r="J165" i="1"/>
  <c r="J163" i="1"/>
  <c r="J161" i="1"/>
  <c r="J159" i="1"/>
  <c r="J162" i="1"/>
  <c r="J164" i="1"/>
  <c r="I160" i="1"/>
  <c r="I164" i="1"/>
  <c r="I162" i="1"/>
  <c r="J160" i="1"/>
  <c r="I159" i="1"/>
  <c r="E43" i="1"/>
  <c r="F186" i="1" l="1"/>
  <c r="H186" i="1" s="1"/>
  <c r="F159" i="1"/>
  <c r="H159" i="1" s="1"/>
  <c r="C137" i="1"/>
  <c r="C138" i="1" s="1"/>
  <c r="F189" i="1"/>
  <c r="H189" i="1" s="1"/>
  <c r="I45" i="1"/>
  <c r="B206" i="1" l="1"/>
  <c r="F146" i="1" l="1"/>
  <c r="H146" i="1" s="1"/>
  <c r="F147" i="1"/>
  <c r="H147" i="1" s="1"/>
  <c r="F148" i="1"/>
  <c r="H148" i="1" s="1"/>
  <c r="F145" i="1"/>
  <c r="H145" i="1" s="1"/>
  <c r="G58" i="1" l="1"/>
  <c r="C58" i="1"/>
  <c r="G56" i="1"/>
  <c r="C56" i="1"/>
  <c r="C54" i="1"/>
  <c r="S33" i="1" l="1"/>
  <c r="F11" i="5" l="1"/>
  <c r="G11" i="5" s="1"/>
  <c r="F10" i="5"/>
  <c r="G10" i="5" s="1"/>
  <c r="F9" i="5"/>
  <c r="G9" i="5" s="1"/>
  <c r="F8" i="5"/>
  <c r="G8" i="5" s="1"/>
  <c r="F7" i="5"/>
  <c r="G7" i="5" s="1"/>
  <c r="G6" i="5"/>
  <c r="F6" i="5"/>
  <c r="F5" i="5"/>
  <c r="G5" i="5" s="1"/>
  <c r="G12" i="5" s="1"/>
  <c r="D229" i="1"/>
  <c r="B207" i="1"/>
  <c r="F203" i="1"/>
  <c r="H203" i="1" s="1"/>
  <c r="F202" i="1"/>
  <c r="H202" i="1" s="1"/>
  <c r="F201" i="1"/>
  <c r="H201" i="1" s="1"/>
  <c r="F200" i="1"/>
  <c r="H200" i="1" s="1"/>
  <c r="F199" i="1"/>
  <c r="H199" i="1" s="1"/>
  <c r="F197" i="1"/>
  <c r="H197" i="1" s="1"/>
  <c r="F196" i="1"/>
  <c r="H196" i="1" s="1"/>
  <c r="F195" i="1"/>
  <c r="H195" i="1" s="1"/>
  <c r="F194" i="1"/>
  <c r="H194" i="1" s="1"/>
  <c r="F193" i="1"/>
  <c r="H193" i="1" s="1"/>
  <c r="F185" i="1"/>
  <c r="H185" i="1" s="1"/>
  <c r="F184" i="1"/>
  <c r="H184" i="1" s="1"/>
  <c r="F183" i="1"/>
  <c r="H183" i="1" s="1"/>
  <c r="F182" i="1"/>
  <c r="H182" i="1" s="1"/>
  <c r="F181" i="1"/>
  <c r="H181" i="1" s="1"/>
  <c r="F173" i="1"/>
  <c r="H173" i="1" s="1"/>
  <c r="J173" i="1" s="1"/>
  <c r="F172" i="1"/>
  <c r="H172" i="1" s="1"/>
  <c r="J172" i="1" s="1"/>
  <c r="F171" i="1"/>
  <c r="H171" i="1" s="1"/>
  <c r="J171" i="1" s="1"/>
  <c r="F170" i="1"/>
  <c r="H170" i="1" s="1"/>
  <c r="F169" i="1"/>
  <c r="H169" i="1" s="1"/>
  <c r="F162" i="1"/>
  <c r="H162" i="1" s="1"/>
  <c r="F161" i="1"/>
  <c r="H160" i="1"/>
  <c r="A160" i="1"/>
  <c r="A161" i="1" s="1"/>
  <c r="A162" i="1" s="1"/>
  <c r="A163" i="1" s="1"/>
  <c r="A164" i="1" s="1"/>
  <c r="A165" i="1" s="1"/>
  <c r="A166" i="1" s="1"/>
  <c r="A167" i="1" s="1"/>
  <c r="F155" i="1"/>
  <c r="E136" i="1" s="1"/>
  <c r="A146" i="1"/>
  <c r="A147" i="1" s="1"/>
  <c r="A148" i="1" s="1"/>
  <c r="C139" i="1"/>
  <c r="F128" i="1"/>
  <c r="C102" i="1"/>
  <c r="C88" i="1"/>
  <c r="C74" i="1"/>
  <c r="D68" i="1"/>
  <c r="D62" i="1"/>
  <c r="C51" i="1"/>
  <c r="C52" i="1" s="1"/>
  <c r="E44" i="1"/>
  <c r="E45" i="1" s="1"/>
  <c r="E31" i="1"/>
  <c r="E28" i="1"/>
  <c r="E26" i="1"/>
  <c r="C16" i="1"/>
  <c r="I15" i="1"/>
  <c r="Z13" i="1"/>
  <c r="E8" i="1"/>
  <c r="E3" i="1"/>
  <c r="H75" i="1"/>
  <c r="H103" i="1"/>
  <c r="H89" i="1"/>
  <c r="A193" i="1"/>
  <c r="A199" i="1"/>
  <c r="M170" i="1" l="1"/>
  <c r="J170" i="1"/>
  <c r="M169" i="1"/>
  <c r="J169" i="1"/>
  <c r="H161" i="1"/>
  <c r="G137" i="1" s="1"/>
  <c r="E137" i="1"/>
  <c r="E138" i="1" s="1"/>
  <c r="E139" i="1" s="1"/>
  <c r="H155" i="1"/>
  <c r="G136" i="1" s="1"/>
  <c r="J74" i="1"/>
  <c r="J76" i="1" s="1"/>
  <c r="J77" i="1"/>
  <c r="J78" i="1"/>
  <c r="J79" i="1"/>
  <c r="J93" i="1"/>
  <c r="C92" i="1" s="1"/>
  <c r="D97" i="1"/>
  <c r="D99" i="1"/>
  <c r="J92" i="1"/>
  <c r="D98" i="1"/>
  <c r="J88" i="1"/>
  <c r="J90" i="1" s="1"/>
  <c r="D96" i="1"/>
  <c r="J91" i="1"/>
  <c r="D95" i="1"/>
  <c r="D101" i="1"/>
  <c r="D100" i="1"/>
  <c r="D94" i="1"/>
  <c r="D82" i="1"/>
  <c r="D84" i="1"/>
  <c r="D83" i="1"/>
  <c r="D87" i="1"/>
  <c r="D81" i="1"/>
  <c r="D86" i="1"/>
  <c r="D80" i="1"/>
  <c r="D85" i="1"/>
  <c r="C108" i="1"/>
  <c r="J102" i="1" s="1"/>
  <c r="J104" i="1" s="1"/>
  <c r="D111" i="1"/>
  <c r="D113" i="1"/>
  <c r="J107" i="1"/>
  <c r="C106" i="1" s="1"/>
  <c r="D106" i="1" s="1"/>
  <c r="D112" i="1"/>
  <c r="J106" i="1"/>
  <c r="D110" i="1"/>
  <c r="J105" i="1"/>
  <c r="D109" i="1"/>
  <c r="D115" i="1"/>
  <c r="D114" i="1"/>
  <c r="B103" i="1"/>
  <c r="B89" i="1"/>
  <c r="B75" i="1"/>
  <c r="J80" i="1" s="1"/>
  <c r="A194" i="1"/>
  <c r="A200" i="1"/>
  <c r="G138" i="1" l="1"/>
  <c r="G139" i="1" s="1"/>
  <c r="D92" i="1"/>
  <c r="D78" i="1"/>
  <c r="D108" i="1"/>
  <c r="J113" i="1"/>
  <c r="J110" i="1"/>
  <c r="J112" i="1"/>
  <c r="J111" i="1"/>
  <c r="J108" i="1"/>
  <c r="J109" i="1" s="1"/>
  <c r="J114" i="1" s="1"/>
  <c r="J115" i="1" s="1"/>
  <c r="C107" i="1" s="1"/>
  <c r="E106" i="1" s="1"/>
  <c r="J99" i="1"/>
  <c r="J96" i="1"/>
  <c r="J98" i="1"/>
  <c r="J97" i="1"/>
  <c r="J94" i="1"/>
  <c r="J95" i="1" s="1"/>
  <c r="J84" i="1"/>
  <c r="J82" i="1"/>
  <c r="J83" i="1"/>
  <c r="J81" i="1"/>
  <c r="J86" i="1" s="1"/>
  <c r="J87" i="1" s="1"/>
  <c r="J85" i="1"/>
  <c r="A195" i="1"/>
  <c r="A201" i="1"/>
  <c r="J75" i="1" l="1"/>
  <c r="J100" i="1"/>
  <c r="J101" i="1" s="1"/>
  <c r="D107" i="1"/>
  <c r="I103" i="1" s="1"/>
  <c r="J103" i="1"/>
  <c r="G106" i="1"/>
  <c r="E78" i="1"/>
  <c r="D79" i="1"/>
  <c r="I75" i="1" s="1"/>
  <c r="G78" i="1"/>
  <c r="A196" i="1"/>
  <c r="A202" i="1"/>
  <c r="C93" i="1" l="1"/>
  <c r="I104" i="1"/>
  <c r="I102" i="1" s="1"/>
  <c r="C104" i="1" s="1"/>
  <c r="I76" i="1"/>
  <c r="I74" i="1" s="1"/>
  <c r="C76" i="1" s="1"/>
  <c r="A203" i="1"/>
  <c r="A197" i="1"/>
  <c r="E92" i="1" l="1"/>
  <c r="D93" i="1"/>
  <c r="I89" i="1" s="1"/>
  <c r="I90" i="1" s="1"/>
  <c r="G92" i="1"/>
  <c r="D72" i="1" s="1"/>
  <c r="J89" i="1"/>
  <c r="F73" i="1" l="1"/>
  <c r="D73" i="1"/>
  <c r="I88" i="1"/>
  <c r="C90" i="1" s="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1"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<sst xmlns="http://schemas.openxmlformats.org/spreadsheetml/2006/main" count="645" uniqueCount="361">
  <si>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</si>
  <si>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</si>
  <si>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</si>
  <si>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</si>
  <si>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</si>
  <si>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</si>
  <si>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</si>
  <si>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</si>
  <si>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</si>
  <si>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</si>
  <si>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</si>
  <si>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</si>
  <si>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</si>
  <si>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</si>
  <si>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</si>
  <si>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</si>
  <si>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</si>
  <si>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</si>
  <si>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</si>
  <si>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</si>
  <si>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</si>
  <si>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</si>
  <si>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</si>
  <si>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</si>
  <si>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</si>
  <si>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</si>
  <si>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</si>
  <si>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</si>
  <si>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</si>
  <si>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</si>
  <si>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</si>
  <si>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</si>
  <si>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</si>
  <si>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</si>
  <si>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</si>
  <si>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</si>
  <si>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</si>
  <si>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</si>
  <si>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</si>
  <si>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</si>
  <si>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</si>
  <si>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</si>
  <si>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</si>
  <si>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</si>
  <si>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</si>
  <si>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</si>
  <si>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</si>
  <si>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</si>
  <si>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</si>
  <si>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</si>
  <si>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</si>
  <si>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</si>
  <si>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</si>
  <si>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</si>
  <si>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</si>
  <si>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</si>
  <si>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</si>
  <si>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</si>
  <si>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</si>
  <si>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</si>
  <si>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</si>
  <si>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</si>
  <si>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</si>
  <si>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</si>
  <si>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</si>
  <si>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</si>
  <si>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</si>
  <si>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</si>
  <si>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</si>
  <si>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</si>
  <si>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</si>
  <si>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</si>
  <si>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</si>
  <si>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</si>
  <si>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</si>
  <si>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</si>
  <si>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</si>
  <si>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</si>
  <si>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</si>
  <si>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</si>
  <si>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</si>
  <si>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</si>
  <si>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</si>
  <si>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</si>
  <si>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</si>
  <si>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</si>
  <si>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</si>
  <si>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</si>
  <si>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</si>
  <si>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</si>
  <si>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</si>
  <si>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</si>
  <si>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</si>
  <si>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</si>
  <si>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</si>
  <si>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</si>
  <si>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</si>
  <si>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</si>
  <si>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</si>
  <si>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</si>
  <si>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</si>
  <si>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</si>
  <si>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</si>
  <si>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</si>
  <si>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</si>
  <si>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</si>
  <si>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</si>
  <si>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</si>
  <si>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</si>
  <si>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</si>
  <si>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</si>
  <si>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</si>
  <si>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</si>
  <si>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</si>
  <si>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</si>
  <si>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</si>
  <si>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</si>
  <si>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</si>
  <si>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</si>
  <si>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</si>
  <si>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</si>
  <si>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</si>
  <si>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</si>
  <si>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</si>
  <si>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</si>
  <si>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</si>
  <si>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</si>
  <si>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</si>
  <si>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</si>
  <si>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</si>
  <si>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</si>
  <si>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</si>
  <si>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</si>
  <si>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</si>
  <si>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</si>
  <si>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</si>
  <si>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</si>
  <si>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</si>
  <si>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</si>
  <si>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</si>
  <si>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</si>
  <si>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</si>
  <si>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</si>
  <si>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</si>
  <si>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</si>
  <si>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</si>
  <si>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</si>
  <si>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</si>
  <si>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</si>
  <si>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</si>
  <si>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</si>
  <si>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</si>
  <si>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</si>
  <si>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</si>
  <si>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</si>
  <si>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</si>
  <si>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</si>
  <si>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</si>
  <si>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</si>
  <si>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</si>
  <si>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</si>
  <si>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</si>
  <si>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</si>
  <si>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</si>
  <si>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</si>
  <si>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</si>
  <si>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</si>
  <si>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</si>
  <si>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</si>
  <si>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</si>
  <si>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</si>
  <si>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</si>
  <si>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</si>
  <si>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</si>
  <si>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</si>
  <si>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</si>
  <si>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</si>
  <si>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</si>
  <si>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</si>
  <si>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</si>
  <si>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</si>
  <si>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</si>
  <si>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</si>
  <si>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</si>
  <si>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</si>
  <si>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</si>
  <si>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</si>
  <si>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</si>
  <si>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</si>
  <si>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</si>
  <si>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</si>
  <si>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</si>
  <si>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</si>
  <si>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</si>
  <si>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</si>
  <si>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</si>
  <si>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</si>
  <si>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</si>
  <si>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</si>
  <si>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</si>
  <si>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</si>
  <si>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</si>
  <si>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</si>
  <si>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</si>
  <si>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</si>
  <si>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</si>
  <si>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</si>
  <si>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</si>
  <si>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</si>
  <si>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</si>
  <si>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</si>
  <si>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</si>
  <si>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</si>
  <si>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</si>
  <si>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</si>
  <si>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</si>
  <si>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</si>
  <si>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</si>
  <si>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</si>
  <si>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</si>
  <si>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</si>
  <si>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</si>
  <si>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</si>
  <si>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</si>
  <si>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</si>
  <si>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</si>
  <si>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</si>
  <si>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</si>
  <si>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</si>
  <si>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</si>
  <si>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</si>
  <si>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</si>
  <si>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</si>
  <si>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</si>
  <si>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</si>
  <si>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</si>
  <si>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</si>
  <si>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</si>
  <si>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</si>
  <si>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</si>
  <si>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</si>
  <si>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</si>
  <si>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</si>
  <si>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</si>
  <si>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</si>
  <si>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</si>
  <si>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</si>
  <si>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</si>
  <si>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</si>
  <si>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</si>
  <si>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</si>
  <si>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</si>
  <si>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</si>
  <si>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</si>
  <si>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</si>
  <si>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</si>
  <si>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</si>
  <si>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</si>
  <si>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</si>
  <si>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</si>
  <si>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</si>
  <si>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</si>
  <si>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</si>
  <si>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</si>
  <si>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</si>
  <si>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</si>
  <si>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</si>
  <si>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</si>
  <si>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</si>
  <si>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</si>
  <si>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</si>
  <si>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</si>
  <si>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</si>
  <si>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</si>
  <si>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</si>
  <si>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</si>
  <si>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</si>
  <si>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</si>
  <si>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</si>
  <si>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</si>
  <si>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</si>
  <si>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</si>
  <si>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</si>
  <si>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</si>
  <si>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</si>
  <si>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</si>
  <si>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</si>
  <si>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</si>
  <si>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</si>
  <si>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</si>
  <si>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</si>
  <si>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</si>
  <si>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</si>
  <si>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</si>
  <si>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</si>
  <si>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</si>
  <si>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</si>
  <si>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</si>
  <si>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</si>
  <si>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</si>
  <si>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</si>
  <si>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</si>
  <si>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</si>
  <si>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P51700056036</t>
  </si>
  <si>
    <t>Ekveera Enterprises</t>
  </si>
  <si>
    <t>Abdul Shaikh 9920155998</t>
  </si>
  <si>
    <t>Diva</t>
  </si>
  <si>
    <t>TMCB/RB/2024/APL/00153</t>
  </si>
  <si>
    <t>Bunglow = Stilt/ Gr. + 1st to 2nd Floor
Building A = Stilt + 1st to 21st Floor</t>
  </si>
  <si>
    <t>Bunglow = Stilt/ Gr. + 1st to 2nd Floor</t>
  </si>
  <si>
    <t>Building A = Stilt + 1st to 21st Floor</t>
  </si>
  <si>
    <t>As per RERA -  31/12/2026</t>
  </si>
  <si>
    <t>Survey No</t>
  </si>
  <si>
    <t>67/2, 67/4</t>
  </si>
  <si>
    <t>Bunglow</t>
  </si>
  <si>
    <t>Ground Floor For Entrance Lobby, Parking</t>
  </si>
  <si>
    <t>2BHK</t>
  </si>
  <si>
    <t>Building A</t>
  </si>
  <si>
    <t>Ground Floor For Entrance Lobby, Meter Room &amp; Parking</t>
  </si>
  <si>
    <t>1BHK</t>
  </si>
  <si>
    <t>2nd to 7th, 9th to 12th, 14th to 17th &amp; 19th to 21st Floor</t>
  </si>
  <si>
    <t>8th, 13th, 18th Floor For Part Refuge</t>
  </si>
  <si>
    <t>Refuge Area</t>
  </si>
  <si>
    <t>We considered Gross carpet area = Net carpet + Balcony.</t>
  </si>
  <si>
    <t>19.184285,73.040839</t>
  </si>
  <si>
    <t>https://maps.app.goo.gl/L32eQdian7aVTGaf7</t>
  </si>
  <si>
    <t>Internal Road</t>
  </si>
  <si>
    <t>Sabe Gaon</t>
  </si>
  <si>
    <t>Shiv Kutir Building</t>
  </si>
  <si>
    <t>650Mtr from  Diva Junction Railway Station</t>
  </si>
  <si>
    <t>S No.74</t>
  </si>
  <si>
    <t>S No. 67 H No.5</t>
  </si>
  <si>
    <t>Other Plot</t>
  </si>
  <si>
    <t>S No 69 H No.6</t>
  </si>
  <si>
    <t>Construction work is in process at the time of Visit (labour found)</t>
  </si>
  <si>
    <t xml:space="preserve">Shiv Kutir </t>
  </si>
  <si>
    <t>Residential Building</t>
  </si>
  <si>
    <t>from builder web site</t>
  </si>
  <si>
    <t>Balcony Area</t>
  </si>
  <si>
    <t>Building A &amp; Bunglow</t>
  </si>
  <si>
    <t>Chandrangan Residency Phase 2</t>
  </si>
  <si>
    <t>Open Plot</t>
  </si>
  <si>
    <t>02 Buildings</t>
  </si>
  <si>
    <r>
      <t xml:space="preserve">Proposed Amenities :                                                                                                                                                                                                                         </t>
    </r>
    <r>
      <rPr>
        <b/>
        <sz val="12"/>
        <color theme="1"/>
        <rFont val="Times New Roman"/>
        <family val="1"/>
      </rPr>
      <t xml:space="preserve">                                               </t>
    </r>
  </si>
  <si>
    <r>
      <t xml:space="preserve">Flat No.
</t>
    </r>
    <r>
      <rPr>
        <b/>
        <sz val="11"/>
        <color theme="1"/>
        <rFont val="Times New Roman"/>
        <family val="1"/>
      </rPr>
      <t>(Approved Plan)</t>
    </r>
  </si>
  <si>
    <t>3BHK</t>
  </si>
  <si>
    <t>1st + 2nd Floor For Residential</t>
  </si>
  <si>
    <t>1st Floor For Residential, Society Office, Driver Room, Fitness Centre &amp; Creche</t>
  </si>
  <si>
    <t>Flats = 226, Bunglow = 1</t>
  </si>
  <si>
    <t>Chajja is not taken because its 0.45 to 0.60</t>
  </si>
  <si>
    <t>Chandrangan Residency Phase IV</t>
  </si>
  <si>
    <t>Children Play Area, Gymnasium, Driver Room, Fitness Centre &amp; etc</t>
  </si>
  <si>
    <t>7000 to 7500</t>
  </si>
  <si>
    <t xml:space="preserve">Recommended Rates/Other Charges of the Property have been revised on 24/09/2024.
</t>
  </si>
  <si>
    <t>rate of the project is matched with other Phase</t>
  </si>
  <si>
    <t>sanjay</t>
  </si>
  <si>
    <t>27/03/2024.</t>
  </si>
  <si>
    <t>Mangesh Laxman Bapardekar</t>
  </si>
  <si>
    <t>09/08/2025.</t>
  </si>
  <si>
    <t>Shruti Tathare</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</si>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</sst>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4" xfId="0" applyBorder="1"/>
    <xf numFmtId="0" fontId="0" fillId="0" borderId="7" xfId="0" applyBorder="1"/>
    <xf numFmtId="0" fontId="0" fillId="0" borderId="1" xfId="0" applyBorder="1" applyAlignment="1">
      <alignment vertical="top" wrapText="1"/>
    </xf>
    <xf numFmtId="1" fontId="17" fillId="0" borderId="2" xfId="1" applyNumberFormat="1" applyFont="1" applyBorder="1" applyAlignment="1" applyProtection="1">
      <alignment horizontal="center" vertical="top" wrapText="1"/>
      <protection locked="0"/>
    </xf>
    <xf numFmtId="164" fontId="7" fillId="0" borderId="0" xfId="1" applyNumberFormat="1" applyFont="1"/>
    <xf numFmtId="0" fontId="7" fillId="2" borderId="0" xfId="1" applyFont="1" applyFill="1"/>
    <xf numFmtId="1" fontId="10" fillId="0" borderId="2" xfId="1" applyNumberFormat="1" applyFont="1" applyBorder="1" applyAlignment="1" applyProtection="1">
      <alignment horizontal="center" vertical="top" wrapText="1"/>
      <protection locked="0"/>
    </xf>
    <xf numFmtId="9" fontId="10" fillId="0" borderId="15" xfId="8" applyFont="1" applyFill="1" applyBorder="1" applyAlignment="1" applyProtection="1">
      <alignment horizontal="center" vertical="top" wrapText="1"/>
      <protection locked="0"/>
    </xf>
    <xf numFmtId="164" fontId="7" fillId="0" borderId="0" xfId="1" applyNumberFormat="1" applyFont="1" applyAlignment="1">
      <alignment horizontal="center" vertical="center"/>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0" fontId="25" fillId="2" borderId="14" xfId="0" applyFont="1" applyFill="1" applyBorder="1"/>
    <xf numFmtId="0" fontId="26" fillId="0" borderId="8" xfId="0" applyFont="1" applyBorder="1"/>
    <xf numFmtId="0" fontId="6" fillId="0" borderId="0" xfId="1" applyFont="1" applyAlignment="1" applyProtection="1">
      <alignment vertical="top" wrapText="1"/>
      <protection locked="0"/>
    </xf>
    <xf numFmtId="1" fontId="8" fillId="0" borderId="1" xfId="0" applyNumberFormat="1" applyFont="1" applyBorder="1" applyAlignment="1" applyProtection="1">
      <alignment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vertical="top"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7" fillId="3" borderId="0" xfId="1" applyFont="1" applyFill="1" applyAlignment="1">
      <alignment horizontal="center" vertical="center"/>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7" fillId="0" borderId="0" xfId="1" applyFont="1" applyAlignment="1">
      <alignment horizontal="center" vertical="center"/>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8" fillId="0" borderId="15" xfId="1" applyFont="1" applyBorder="1" applyAlignment="1" applyProtection="1">
      <alignment horizontal="center" vertical="top"/>
      <protection locked="0"/>
    </xf>
    <xf numFmtId="1" fontId="10" fillId="0" borderId="32" xfId="0" applyNumberFormat="1" applyFont="1" applyBorder="1" applyAlignment="1" applyProtection="1">
      <alignment horizontal="center" vertical="top"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1" fontId="17" fillId="0" borderId="2" xfId="1" applyNumberFormat="1" applyFont="1" applyBorder="1" applyAlignment="1" applyProtection="1">
      <alignment horizontal="center" vertical="top" wrapText="1"/>
      <protection locked="0"/>
    </xf>
    <xf numFmtId="1" fontId="17"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10" fillId="0" borderId="7" xfId="1" applyFont="1" applyBorder="1" applyAlignment="1" applyProtection="1">
      <alignment horizontal="left" vertical="top"/>
      <protection locked="0"/>
    </xf>
    <xf numFmtId="0" fontId="10" fillId="0" borderId="20"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1" fontId="10" fillId="0" borderId="2" xfId="1" applyNumberFormat="1" applyFont="1" applyBorder="1" applyAlignment="1" applyProtection="1">
      <alignment horizontal="center" vertical="top" wrapText="1"/>
      <protection locked="0"/>
    </xf>
    <xf numFmtId="1" fontId="10" fillId="0" borderId="15"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31" fillId="0" borderId="2" xfId="1" applyNumberFormat="1" applyFont="1" applyBorder="1" applyAlignment="1" applyProtection="1">
      <alignment horizontal="center" vertical="top" wrapText="1"/>
      <protection locked="0"/>
    </xf>
    <xf numFmtId="1" fontId="31" fillId="0" borderId="15" xfId="1" applyNumberFormat="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4"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1" fontId="17" fillId="0" borderId="1" xfId="0" applyNumberFormat="1" applyFont="1" applyBorder="1" applyAlignment="1" applyProtection="1">
      <alignment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10" fillId="0" borderId="18"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10"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7" fillId="0" borderId="24" xfId="1" applyFont="1" applyBorder="1" applyAlignment="1">
      <alignment horizontal="center"/>
    </xf>
    <xf numFmtId="0" fontId="7" fillId="0" borderId="0" xfId="1" applyFont="1" applyAlignment="1">
      <alignment horizontal="center"/>
    </xf>
    <xf numFmtId="0" fontId="17" fillId="0" borderId="1" xfId="1" applyFont="1" applyBorder="1" applyAlignment="1" applyProtection="1">
      <alignment horizontal="center"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3" fillId="0" borderId="34"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35" xfId="1" applyFont="1" applyBorder="1" applyAlignment="1" applyProtection="1">
      <alignment horizontal="left" vertical="top" wrapText="1"/>
      <protection locked="0"/>
    </xf>
    <xf numFmtId="0" fontId="13" fillId="0" borderId="36" xfId="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1</xdr:col>
      <xdr:colOff>485775</xdr:colOff>
      <xdr:row>332</xdr:row>
      <xdr:rowOff>85725</xdr:rowOff>
    </xdr:from>
    <xdr:to>
      <xdr:col>6</xdr:col>
      <xdr:colOff>0</xdr:colOff>
      <xdr:row>343</xdr:row>
      <xdr:rowOff>38100</xdr:rowOff>
    </xdr:to>
    <xdr:grpSp>
      <xdr:nvGrpSpPr>
        <xdr:cNvPr id="2" name="Group 1">
          <a:extLst>
            <a:ext uri="{FF2B5EF4-FFF2-40B4-BE49-F238E27FC236}">
              <a16:creationId xmlns="" xmlns:a16="http://schemas.microsoft.com/office/drawing/2014/main" id="{00000000-0008-0000-0000-000002000000}"/>
            </a:ext>
          </a:extLst>
        </xdr:cNvPr>
        <xdr:cNvGrpSpPr/>
      </xdr:nvGrpSpPr>
      <xdr:grpSpPr>
        <a:xfrm>
          <a:off x="1339596" y="55851552"/>
          <a:ext cx="3870960" cy="2083308"/>
          <a:chOff x="1400175" y="2743200"/>
          <a:chExt cx="3600450" cy="2152650"/>
        </a:xfrm>
      </xdr:grpSpPr>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400175" y="2743200"/>
            <a:ext cx="3600450" cy="2143125"/>
          </a:xfrm>
          <a:prstGeom prst="rect">
            <a:avLst/>
          </a:prstGeom>
          <a:ln>
            <a:solidFill>
              <a:schemeClr val="tx1"/>
            </a:solidFill>
          </a:ln>
        </xdr:spPr>
      </xdr:pic>
      <xdr:sp macro="" textlink="">
        <xdr:nvSpPr>
          <xdr:cNvPr id="5" name="Freeform 4">
            <a:extLst>
              <a:ext uri="{FF2B5EF4-FFF2-40B4-BE49-F238E27FC236}">
                <a16:creationId xmlns="" xmlns:a16="http://schemas.microsoft.com/office/drawing/2014/main" id="{00000000-0008-0000-0000-000005000000}"/>
              </a:ext>
            </a:extLst>
          </xdr:cNvPr>
          <xdr:cNvSpPr/>
        </xdr:nvSpPr>
        <xdr:spPr>
          <a:xfrm>
            <a:off x="2355850" y="3302000"/>
            <a:ext cx="1485900" cy="1593850"/>
          </a:xfrm>
          <a:custGeom>
            <a:avLst/>
            <a:gdLst>
              <a:gd name="connsiteX0" fmla="*/ 654050 w 1485900"/>
              <a:gd name="connsiteY0" fmla="*/ 0 h 1593850"/>
              <a:gd name="connsiteX1" fmla="*/ 1250950 w 1485900"/>
              <a:gd name="connsiteY1" fmla="*/ 25400 h 1593850"/>
              <a:gd name="connsiteX2" fmla="*/ 1289050 w 1485900"/>
              <a:gd name="connsiteY2" fmla="*/ 520700 h 1593850"/>
              <a:gd name="connsiteX3" fmla="*/ 1485900 w 1485900"/>
              <a:gd name="connsiteY3" fmla="*/ 1320800 h 1593850"/>
              <a:gd name="connsiteX4" fmla="*/ 457200 w 1485900"/>
              <a:gd name="connsiteY4" fmla="*/ 1593850 h 1593850"/>
              <a:gd name="connsiteX5" fmla="*/ 0 w 1485900"/>
              <a:gd name="connsiteY5" fmla="*/ 495300 h 1593850"/>
              <a:gd name="connsiteX6" fmla="*/ 641350 w 1485900"/>
              <a:gd name="connsiteY6" fmla="*/ 349250 h 1593850"/>
              <a:gd name="connsiteX7" fmla="*/ 654050 w 1485900"/>
              <a:gd name="connsiteY7" fmla="*/ 0 h 1593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485900" h="1593850">
                <a:moveTo>
                  <a:pt x="654050" y="0"/>
                </a:moveTo>
                <a:lnTo>
                  <a:pt x="1250950" y="25400"/>
                </a:lnTo>
                <a:lnTo>
                  <a:pt x="1289050" y="520700"/>
                </a:lnTo>
                <a:lnTo>
                  <a:pt x="1485900" y="1320800"/>
                </a:lnTo>
                <a:lnTo>
                  <a:pt x="457200" y="1593850"/>
                </a:lnTo>
                <a:lnTo>
                  <a:pt x="0" y="495300"/>
                </a:lnTo>
                <a:lnTo>
                  <a:pt x="641350" y="349250"/>
                </a:lnTo>
                <a:lnTo>
                  <a:pt x="65405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xdr:col>
      <xdr:colOff>742950</xdr:colOff>
      <xdr:row>315</xdr:row>
      <xdr:rowOff>28575</xdr:rowOff>
    </xdr:from>
    <xdr:to>
      <xdr:col>5</xdr:col>
      <xdr:colOff>276225</xdr:colOff>
      <xdr:row>330</xdr:row>
      <xdr:rowOff>114300</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04950" y="57340500"/>
          <a:ext cx="2876550" cy="3086100"/>
        </a:xfrm>
        <a:prstGeom prst="rect">
          <a:avLst/>
        </a:prstGeom>
        <a:ln>
          <a:solidFill>
            <a:schemeClr val="tx1"/>
          </a:solidFill>
        </a:ln>
      </xdr:spPr>
    </xdr:pic>
    <xdr:clientData/>
  </xdr:twoCellAnchor>
  <xdr:twoCellAnchor editAs="oneCell">
    <xdr:from>
      <xdr:col>1</xdr:col>
      <xdr:colOff>9525</xdr:colOff>
      <xdr:row>292</xdr:row>
      <xdr:rowOff>142875</xdr:rowOff>
    </xdr:from>
    <xdr:to>
      <xdr:col>6</xdr:col>
      <xdr:colOff>66675</xdr:colOff>
      <xdr:row>310</xdr:row>
      <xdr:rowOff>95250</xdr:rowOff>
    </xdr:to>
    <xdr:pic>
      <xdr:nvPicPr>
        <xdr:cNvPr id="12" name="Picture 11">
          <a:extLst>
            <a:ext uri="{FF2B5EF4-FFF2-40B4-BE49-F238E27FC236}">
              <a16:creationId xmlns="" xmlns:a16="http://schemas.microsoft.com/office/drawing/2014/main" id="{00000000-0008-0000-0000-00000C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771525" y="52016025"/>
          <a:ext cx="4143375" cy="3552825"/>
        </a:xfrm>
        <a:prstGeom prst="rect">
          <a:avLst/>
        </a:prstGeom>
        <a:ln>
          <a:solidFill>
            <a:schemeClr val="tx1"/>
          </a:solidFill>
        </a:ln>
      </xdr:spPr>
    </xdr:pic>
    <xdr:clientData/>
  </xdr:twoCellAnchor>
  <xdr:twoCellAnchor>
    <xdr:from>
      <xdr:col>1</xdr:col>
      <xdr:colOff>13929</xdr:colOff>
      <xdr:row>272</xdr:row>
      <xdr:rowOff>197438</xdr:rowOff>
    </xdr:from>
    <xdr:to>
      <xdr:col>6</xdr:col>
      <xdr:colOff>57150</xdr:colOff>
      <xdr:row>291</xdr:row>
      <xdr:rowOff>121866</xdr:rowOff>
    </xdr:to>
    <xdr:grpSp>
      <xdr:nvGrpSpPr>
        <xdr:cNvPr id="13" name="Group 12">
          <a:extLst>
            <a:ext uri="{FF2B5EF4-FFF2-40B4-BE49-F238E27FC236}">
              <a16:creationId xmlns="" xmlns:a16="http://schemas.microsoft.com/office/drawing/2014/main" id="{00000000-0008-0000-0000-00000D000000}"/>
            </a:ext>
          </a:extLst>
        </xdr:cNvPr>
        <xdr:cNvGrpSpPr/>
      </xdr:nvGrpSpPr>
      <xdr:grpSpPr>
        <a:xfrm>
          <a:off x="833460" y="44347337"/>
          <a:ext cx="4438056" cy="3604888"/>
          <a:chOff x="900113" y="4774919"/>
          <a:chExt cx="4129446" cy="3724903"/>
        </a:xfrm>
      </xdr:grpSpPr>
      <xdr:pic>
        <xdr:nvPicPr>
          <xdr:cNvPr id="14" name="Picture 13">
            <a:extLst>
              <a:ext uri="{FF2B5EF4-FFF2-40B4-BE49-F238E27FC236}">
                <a16:creationId xmlns=""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4717" t="4385"/>
          <a:stretch/>
        </xdr:blipFill>
        <xdr:spPr>
          <a:xfrm>
            <a:off x="900113" y="4774919"/>
            <a:ext cx="4129446" cy="3724903"/>
          </a:xfrm>
          <a:prstGeom prst="rect">
            <a:avLst/>
          </a:prstGeom>
          <a:ln>
            <a:solidFill>
              <a:schemeClr val="tx1"/>
            </a:solidFill>
          </a:ln>
        </xdr:spPr>
      </xdr:pic>
      <xdr:sp macro="" textlink="">
        <xdr:nvSpPr>
          <xdr:cNvPr id="15" name="TextBox 37">
            <a:extLst>
              <a:ext uri="{FF2B5EF4-FFF2-40B4-BE49-F238E27FC236}">
                <a16:creationId xmlns="" xmlns:a16="http://schemas.microsoft.com/office/drawing/2014/main" id="{00000000-0008-0000-0000-00000F000000}"/>
              </a:ext>
            </a:extLst>
          </xdr:cNvPr>
          <xdr:cNvSpPr txBox="1"/>
        </xdr:nvSpPr>
        <xdr:spPr>
          <a:xfrm>
            <a:off x="2822500" y="5989727"/>
            <a:ext cx="115448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A</a:t>
            </a:r>
            <a:endParaRPr lang="en-IN" b="1">
              <a:solidFill>
                <a:srgbClr val="FF0000"/>
              </a:solidFill>
            </a:endParaRPr>
          </a:p>
        </xdr:txBody>
      </xdr:sp>
      <xdr:sp macro="" textlink="">
        <xdr:nvSpPr>
          <xdr:cNvPr id="16" name="Rectangle 15">
            <a:extLst>
              <a:ext uri="{FF2B5EF4-FFF2-40B4-BE49-F238E27FC236}">
                <a16:creationId xmlns="" xmlns:a16="http://schemas.microsoft.com/office/drawing/2014/main" id="{00000000-0008-0000-0000-000010000000}"/>
              </a:ext>
            </a:extLst>
          </xdr:cNvPr>
          <xdr:cNvSpPr/>
        </xdr:nvSpPr>
        <xdr:spPr>
          <a:xfrm rot="20762405">
            <a:off x="3731653" y="5266168"/>
            <a:ext cx="1020985"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Bunglow</a:t>
            </a:r>
          </a:p>
        </xdr:txBody>
      </xdr:sp>
      <xdr:sp macro="" textlink="">
        <xdr:nvSpPr>
          <xdr:cNvPr id="17" name="Rectangle 16">
            <a:extLst>
              <a:ext uri="{FF2B5EF4-FFF2-40B4-BE49-F238E27FC236}">
                <a16:creationId xmlns="" xmlns:a16="http://schemas.microsoft.com/office/drawing/2014/main" id="{00000000-0008-0000-0000-000011000000}"/>
              </a:ext>
            </a:extLst>
          </xdr:cNvPr>
          <xdr:cNvSpPr/>
        </xdr:nvSpPr>
        <xdr:spPr>
          <a:xfrm rot="20623964">
            <a:off x="3624681" y="4892382"/>
            <a:ext cx="899376" cy="42479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8" name="Freeform 17">
            <a:extLst>
              <a:ext uri="{FF2B5EF4-FFF2-40B4-BE49-F238E27FC236}">
                <a16:creationId xmlns="" xmlns:a16="http://schemas.microsoft.com/office/drawing/2014/main" id="{00000000-0008-0000-0000-000012000000}"/>
              </a:ext>
            </a:extLst>
          </xdr:cNvPr>
          <xdr:cNvSpPr/>
        </xdr:nvSpPr>
        <xdr:spPr>
          <a:xfrm>
            <a:off x="2063750" y="6299200"/>
            <a:ext cx="2228850" cy="1866900"/>
          </a:xfrm>
          <a:custGeom>
            <a:avLst/>
            <a:gdLst>
              <a:gd name="connsiteX0" fmla="*/ 57150 w 2228850"/>
              <a:gd name="connsiteY0" fmla="*/ 0 h 1866900"/>
              <a:gd name="connsiteX1" fmla="*/ 2216150 w 2228850"/>
              <a:gd name="connsiteY1" fmla="*/ 0 h 1866900"/>
              <a:gd name="connsiteX2" fmla="*/ 2228850 w 2228850"/>
              <a:gd name="connsiteY2" fmla="*/ 304800 h 1866900"/>
              <a:gd name="connsiteX3" fmla="*/ 2038350 w 2228850"/>
              <a:gd name="connsiteY3" fmla="*/ 298450 h 1866900"/>
              <a:gd name="connsiteX4" fmla="*/ 2032000 w 2228850"/>
              <a:gd name="connsiteY4" fmla="*/ 774700 h 1866900"/>
              <a:gd name="connsiteX5" fmla="*/ 1606550 w 2228850"/>
              <a:gd name="connsiteY5" fmla="*/ 774700 h 1866900"/>
              <a:gd name="connsiteX6" fmla="*/ 1574800 w 2228850"/>
              <a:gd name="connsiteY6" fmla="*/ 1841500 h 1866900"/>
              <a:gd name="connsiteX7" fmla="*/ 863600 w 2228850"/>
              <a:gd name="connsiteY7" fmla="*/ 1866900 h 1866900"/>
              <a:gd name="connsiteX8" fmla="*/ 812800 w 2228850"/>
              <a:gd name="connsiteY8" fmla="*/ 730250 h 1866900"/>
              <a:gd name="connsiteX9" fmla="*/ 374650 w 2228850"/>
              <a:gd name="connsiteY9" fmla="*/ 730250 h 1866900"/>
              <a:gd name="connsiteX10" fmla="*/ 400050 w 2228850"/>
              <a:gd name="connsiteY10" fmla="*/ 457200 h 1866900"/>
              <a:gd name="connsiteX11" fmla="*/ 241300 w 2228850"/>
              <a:gd name="connsiteY11" fmla="*/ 488950 h 1866900"/>
              <a:gd name="connsiteX12" fmla="*/ 222250 w 2228850"/>
              <a:gd name="connsiteY12" fmla="*/ 298450 h 1866900"/>
              <a:gd name="connsiteX13" fmla="*/ 0 w 2228850"/>
              <a:gd name="connsiteY13" fmla="*/ 298450 h 1866900"/>
              <a:gd name="connsiteX14" fmla="*/ 57150 w 2228850"/>
              <a:gd name="connsiteY14" fmla="*/ 0 h 186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228850" h="1866900">
                <a:moveTo>
                  <a:pt x="57150" y="0"/>
                </a:moveTo>
                <a:lnTo>
                  <a:pt x="2216150" y="0"/>
                </a:lnTo>
                <a:lnTo>
                  <a:pt x="2228850" y="304800"/>
                </a:lnTo>
                <a:lnTo>
                  <a:pt x="2038350" y="298450"/>
                </a:lnTo>
                <a:cubicBezTo>
                  <a:pt x="2036233" y="457200"/>
                  <a:pt x="2034117" y="615950"/>
                  <a:pt x="2032000" y="774700"/>
                </a:cubicBezTo>
                <a:lnTo>
                  <a:pt x="1606550" y="774700"/>
                </a:lnTo>
                <a:lnTo>
                  <a:pt x="1574800" y="1841500"/>
                </a:lnTo>
                <a:lnTo>
                  <a:pt x="863600" y="1866900"/>
                </a:lnTo>
                <a:lnTo>
                  <a:pt x="812800" y="730250"/>
                </a:lnTo>
                <a:lnTo>
                  <a:pt x="374650" y="730250"/>
                </a:lnTo>
                <a:lnTo>
                  <a:pt x="400050" y="457200"/>
                </a:lnTo>
                <a:lnTo>
                  <a:pt x="241300" y="488950"/>
                </a:lnTo>
                <a:lnTo>
                  <a:pt x="222250" y="298450"/>
                </a:lnTo>
                <a:lnTo>
                  <a:pt x="0" y="298450"/>
                </a:lnTo>
                <a:lnTo>
                  <a:pt x="5715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428625</xdr:colOff>
      <xdr:row>16</xdr:row>
      <xdr:rowOff>28575</xdr:rowOff>
    </xdr:from>
    <xdr:to>
      <xdr:col>11</xdr:col>
      <xdr:colOff>314005</xdr:colOff>
      <xdr:row>18</xdr:row>
      <xdr:rowOff>104715</xdr:rowOff>
    </xdr:to>
    <xdr:pic>
      <xdr:nvPicPr>
        <xdr:cNvPr id="19" name="Picture 18">
          <a:extLst>
            <a:ext uri="{FF2B5EF4-FFF2-40B4-BE49-F238E27FC236}">
              <a16:creationId xmlns="" xmlns:a16="http://schemas.microsoft.com/office/drawing/2014/main" id="{00000000-0008-0000-0000-000013000000}"/>
            </a:ext>
          </a:extLst>
        </xdr:cNvPr>
        <xdr:cNvPicPr>
          <a:picLocks noChangeAspect="1"/>
        </xdr:cNvPicPr>
      </xdr:nvPicPr>
      <xdr:blipFill>
        <a:blip xmlns:r="http://schemas.openxmlformats.org/officeDocument/2006/relationships" r:embed="rId5"/>
        <a:stretch>
          <a:fillRect/>
        </a:stretch>
      </xdr:blipFill>
      <xdr:spPr>
        <a:xfrm>
          <a:off x="6743700" y="4057650"/>
          <a:ext cx="2561905" cy="476190"/>
        </a:xfrm>
        <a:prstGeom prst="rect">
          <a:avLst/>
        </a:prstGeom>
        <a:ln>
          <a:solidFill>
            <a:schemeClr val="tx1"/>
          </a:solidFill>
        </a:ln>
      </xdr:spPr>
    </xdr:pic>
    <xdr:clientData/>
  </xdr:twoCellAnchor>
  <xdr:twoCellAnchor editAs="oneCell">
    <xdr:from>
      <xdr:col>8</xdr:col>
      <xdr:colOff>466725</xdr:colOff>
      <xdr:row>45</xdr:row>
      <xdr:rowOff>57151</xdr:rowOff>
    </xdr:from>
    <xdr:to>
      <xdr:col>11</xdr:col>
      <xdr:colOff>104775</xdr:colOff>
      <xdr:row>49</xdr:row>
      <xdr:rowOff>139905</xdr:rowOff>
    </xdr:to>
    <xdr:pic>
      <xdr:nvPicPr>
        <xdr:cNvPr id="20" name="Picture 19">
          <a:extLst>
            <a:ext uri="{FF2B5EF4-FFF2-40B4-BE49-F238E27FC236}">
              <a16:creationId xmlns="" xmlns:a16="http://schemas.microsoft.com/office/drawing/2014/main" id="{00000000-0008-0000-0000-000014000000}"/>
            </a:ext>
          </a:extLst>
        </xdr:cNvPr>
        <xdr:cNvPicPr>
          <a:picLocks noChangeAspect="1"/>
        </xdr:cNvPicPr>
      </xdr:nvPicPr>
      <xdr:blipFill>
        <a:blip xmlns:r="http://schemas.openxmlformats.org/officeDocument/2006/relationships" r:embed="rId6"/>
        <a:stretch>
          <a:fillRect/>
        </a:stretch>
      </xdr:blipFill>
      <xdr:spPr>
        <a:xfrm>
          <a:off x="6781800" y="10096501"/>
          <a:ext cx="2314575" cy="1111454"/>
        </a:xfrm>
        <a:prstGeom prst="rect">
          <a:avLst/>
        </a:prstGeom>
        <a:ln>
          <a:solidFill>
            <a:schemeClr val="tx1"/>
          </a:solidFill>
        </a:ln>
      </xdr:spPr>
    </xdr:pic>
    <xdr:clientData/>
  </xdr:twoCellAnchor>
  <xdr:twoCellAnchor editAs="oneCell">
    <xdr:from>
      <xdr:col>8</xdr:col>
      <xdr:colOff>200025</xdr:colOff>
      <xdr:row>51</xdr:row>
      <xdr:rowOff>171450</xdr:rowOff>
    </xdr:from>
    <xdr:to>
      <xdr:col>14</xdr:col>
      <xdr:colOff>723181</xdr:colOff>
      <xdr:row>52</xdr:row>
      <xdr:rowOff>371425</xdr:rowOff>
    </xdr:to>
    <xdr:pic>
      <xdr:nvPicPr>
        <xdr:cNvPr id="21" name="Picture 20">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7"/>
        <a:stretch>
          <a:fillRect/>
        </a:stretch>
      </xdr:blipFill>
      <xdr:spPr>
        <a:xfrm>
          <a:off x="6515100" y="11639550"/>
          <a:ext cx="5752381" cy="400000"/>
        </a:xfrm>
        <a:prstGeom prst="rect">
          <a:avLst/>
        </a:prstGeom>
        <a:ln>
          <a:solidFill>
            <a:schemeClr val="tx1"/>
          </a:solidFill>
        </a:ln>
      </xdr:spPr>
    </xdr:pic>
    <xdr:clientData/>
  </xdr:twoCellAnchor>
  <xdr:twoCellAnchor>
    <xdr:from>
      <xdr:col>8</xdr:col>
      <xdr:colOff>503583</xdr:colOff>
      <xdr:row>229</xdr:row>
      <xdr:rowOff>130865</xdr:rowOff>
    </xdr:from>
    <xdr:to>
      <xdr:col>15</xdr:col>
      <xdr:colOff>596557</xdr:colOff>
      <xdr:row>260</xdr:row>
      <xdr:rowOff>123911</xdr:rowOff>
    </xdr:to>
    <xdr:grpSp>
      <xdr:nvGrpSpPr>
        <xdr:cNvPr id="6" name="Group 5"/>
        <xdr:cNvGrpSpPr/>
      </xdr:nvGrpSpPr>
      <xdr:grpSpPr>
        <a:xfrm>
          <a:off x="7327674" y="35970011"/>
          <a:ext cx="6585976" cy="5984271"/>
          <a:chOff x="114300" y="36658550"/>
          <a:chExt cx="6403218" cy="6089046"/>
        </a:xfrm>
      </xdr:grpSpPr>
      <xdr:pic>
        <xdr:nvPicPr>
          <xdr:cNvPr id="22" name="Picture 2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5007093" y="40731596"/>
            <a:ext cx="1510425" cy="2016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63782" y="36658550"/>
            <a:ext cx="2966907" cy="396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745231" y="40731596"/>
            <a:ext cx="1510425" cy="2016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376162" y="40731596"/>
            <a:ext cx="1510425" cy="2016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14300" y="40731596"/>
            <a:ext cx="1510425" cy="2016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88734" y="36658550"/>
            <a:ext cx="2966907" cy="3960000"/>
          </a:xfrm>
          <a:prstGeom prst="rect">
            <a:avLst/>
          </a:prstGeom>
          <a:ln>
            <a:solidFill>
              <a:schemeClr val="tx1"/>
            </a:solidFill>
          </a:ln>
        </xdr:spPr>
      </xdr:pic>
    </xdr:grpSp>
    <xdr:clientData/>
  </xdr:twoCellAnchor>
  <xdr:twoCellAnchor>
    <xdr:from>
      <xdr:col>0</xdr:col>
      <xdr:colOff>420756</xdr:colOff>
      <xdr:row>229</xdr:row>
      <xdr:rowOff>130866</xdr:rowOff>
    </xdr:from>
    <xdr:to>
      <xdr:col>7</xdr:col>
      <xdr:colOff>350840</xdr:colOff>
      <xdr:row>270</xdr:row>
      <xdr:rowOff>81066</xdr:rowOff>
    </xdr:to>
    <xdr:grpSp>
      <xdr:nvGrpSpPr>
        <xdr:cNvPr id="7" name="Group 6"/>
        <xdr:cNvGrpSpPr/>
      </xdr:nvGrpSpPr>
      <xdr:grpSpPr>
        <a:xfrm>
          <a:off x="451236" y="35970012"/>
          <a:ext cx="5923595" cy="7876905"/>
          <a:chOff x="279952" y="36889083"/>
          <a:chExt cx="5512562" cy="8092004"/>
        </a:xfrm>
      </xdr:grpSpPr>
      <xdr:pic>
        <xdr:nvPicPr>
          <xdr:cNvPr id="28" name="Picture 27" descr="https://vsjcllp.vsjadon.com/upload/insp-243237-152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934239" y="42821087"/>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3237-843.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525118" y="40579813"/>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3237-84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2219739" y="42812805"/>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3237-844.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3079475" y="36897367"/>
            <a:ext cx="2713039" cy="36211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3237-86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3939210" y="4059803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3237-862.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505239" y="42821087"/>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3237-860.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2236305" y="4058809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237-883.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279952" y="36889083"/>
            <a:ext cx="2713039" cy="36211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L32eQdian7aVTGaf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5"/>
  <sheetViews>
    <sheetView tabSelected="1" view="pageBreakPreview" zoomScale="115" zoomScaleNormal="100" zoomScaleSheetLayoutView="115" zoomScalePageLayoutView="85" workbookViewId="0">
      <selection activeCell="J11" sqref="J11"/>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9" t="s">
        <v>164</v>
      </c>
      <c r="B1" s="199"/>
      <c r="C1" s="199"/>
      <c r="D1" s="199"/>
      <c r="E1" s="199"/>
      <c r="F1" s="199"/>
      <c r="G1" s="199"/>
      <c r="H1" s="199"/>
    </row>
    <row r="2" spans="1:26" ht="16.5" customHeight="1" x14ac:dyDescent="0.25">
      <c r="A2" s="200" t="s">
        <v>0</v>
      </c>
      <c r="B2" s="200"/>
      <c r="C2" s="200"/>
      <c r="D2" s="200"/>
      <c r="E2" s="200"/>
      <c r="F2" s="200"/>
      <c r="G2" s="200"/>
      <c r="H2" s="200"/>
    </row>
    <row r="3" spans="1:26" x14ac:dyDescent="0.25">
      <c r="A3" s="161" t="s">
        <v>1</v>
      </c>
      <c r="B3" s="161"/>
      <c r="C3" s="161"/>
      <c r="D3" s="161"/>
      <c r="E3" s="161" t="str">
        <f ca="1">TEXT(TODAY(),"DD/MM/YYYY")</f>
        <v>09/08/2025</v>
      </c>
      <c r="F3" s="161"/>
      <c r="G3" s="161"/>
      <c r="H3" s="161"/>
      <c r="K3" s="55" t="s">
        <v>237</v>
      </c>
      <c r="L3" s="53" t="s">
        <v>235</v>
      </c>
      <c r="M3" s="53" t="s">
        <v>240</v>
      </c>
      <c r="N3" s="53" t="s">
        <v>238</v>
      </c>
      <c r="O3" s="53" t="s">
        <v>239</v>
      </c>
      <c r="P3" s="53" t="s">
        <v>241</v>
      </c>
    </row>
    <row r="4" spans="1:26" ht="15" customHeight="1" x14ac:dyDescent="0.25">
      <c r="A4" s="161" t="s">
        <v>234</v>
      </c>
      <c r="B4" s="161"/>
      <c r="C4" s="161"/>
      <c r="D4" s="161"/>
      <c r="E4" s="147" t="s">
        <v>235</v>
      </c>
      <c r="F4" s="147"/>
      <c r="G4" s="147"/>
      <c r="H4" s="147"/>
      <c r="K4" s="52" t="s">
        <v>236</v>
      </c>
      <c r="L4" s="53" t="s">
        <v>170</v>
      </c>
      <c r="M4" s="53" t="s">
        <v>245</v>
      </c>
      <c r="N4" s="53" t="s">
        <v>247</v>
      </c>
      <c r="O4" s="53" t="s">
        <v>249</v>
      </c>
      <c r="P4" s="53"/>
    </row>
    <row r="5" spans="1:26" ht="15" customHeight="1" x14ac:dyDescent="0.25">
      <c r="A5" s="161" t="s">
        <v>2</v>
      </c>
      <c r="B5" s="161"/>
      <c r="C5" s="161"/>
      <c r="D5" s="161"/>
      <c r="E5" s="147" t="s">
        <v>244</v>
      </c>
      <c r="F5" s="147"/>
      <c r="G5" s="147"/>
      <c r="H5" s="147"/>
      <c r="K5" s="52"/>
      <c r="L5" s="53" t="s">
        <v>242</v>
      </c>
      <c r="M5" s="53" t="s">
        <v>246</v>
      </c>
      <c r="N5" s="53" t="s">
        <v>248</v>
      </c>
      <c r="O5" s="53" t="s">
        <v>250</v>
      </c>
      <c r="P5" s="53"/>
    </row>
    <row r="6" spans="1:26" x14ac:dyDescent="0.25">
      <c r="A6" s="161" t="s">
        <v>3</v>
      </c>
      <c r="B6" s="161"/>
      <c r="C6" s="161"/>
      <c r="D6" s="161"/>
      <c r="E6" s="201" t="s">
        <v>358</v>
      </c>
      <c r="F6" s="161"/>
      <c r="G6" s="161"/>
      <c r="H6" s="161"/>
      <c r="K6" s="52"/>
      <c r="L6" s="53" t="s">
        <v>243</v>
      </c>
      <c r="M6" s="53"/>
      <c r="N6" s="53"/>
      <c r="O6" s="53" t="s">
        <v>251</v>
      </c>
      <c r="P6" s="53"/>
    </row>
    <row r="7" spans="1:26" ht="16.5" customHeight="1" x14ac:dyDescent="0.25">
      <c r="A7" s="161" t="s">
        <v>4</v>
      </c>
      <c r="B7" s="161"/>
      <c r="C7" s="161"/>
      <c r="D7" s="161"/>
      <c r="E7" s="161" t="s">
        <v>304</v>
      </c>
      <c r="F7" s="161"/>
      <c r="G7" s="161"/>
      <c r="H7" s="161"/>
      <c r="K7" s="52"/>
      <c r="L7" s="53" t="s">
        <v>244</v>
      </c>
      <c r="M7" s="53"/>
      <c r="N7" s="53"/>
      <c r="O7" s="53" t="s">
        <v>251</v>
      </c>
      <c r="P7" s="53"/>
    </row>
    <row r="8" spans="1:26" ht="15" customHeight="1" x14ac:dyDescent="0.25">
      <c r="A8" s="161" t="s">
        <v>5</v>
      </c>
      <c r="B8" s="161"/>
      <c r="C8" s="161"/>
      <c r="D8" s="161"/>
      <c r="E8" s="161" t="str">
        <f>E7</f>
        <v>Ekveera Enterprises</v>
      </c>
      <c r="F8" s="161"/>
      <c r="G8" s="161"/>
      <c r="H8" s="161"/>
      <c r="K8" s="52"/>
      <c r="L8" s="53"/>
      <c r="M8" s="53"/>
      <c r="N8" s="53"/>
      <c r="O8" s="53" t="s">
        <v>252</v>
      </c>
      <c r="P8" s="53"/>
    </row>
    <row r="9" spans="1:26" x14ac:dyDescent="0.25">
      <c r="A9" s="161" t="s">
        <v>6</v>
      </c>
      <c r="B9" s="161"/>
      <c r="C9" s="161"/>
      <c r="D9" s="161"/>
      <c r="E9" s="109" t="s">
        <v>350</v>
      </c>
      <c r="F9" s="109"/>
      <c r="G9" s="109"/>
      <c r="H9" s="109"/>
      <c r="K9" s="52"/>
      <c r="L9" s="53"/>
      <c r="M9" s="53"/>
      <c r="N9" s="53"/>
      <c r="O9" s="53" t="s">
        <v>253</v>
      </c>
      <c r="P9" s="53"/>
    </row>
    <row r="10" spans="1:26" x14ac:dyDescent="0.25">
      <c r="A10" s="161" t="s">
        <v>167</v>
      </c>
      <c r="B10" s="161"/>
      <c r="C10" s="161"/>
      <c r="D10" s="161"/>
      <c r="E10" s="161" t="s">
        <v>305</v>
      </c>
      <c r="F10" s="161"/>
      <c r="G10" s="161"/>
      <c r="H10" s="161"/>
      <c r="K10" s="52"/>
      <c r="L10" s="53"/>
      <c r="M10" s="53"/>
      <c r="N10" s="53"/>
      <c r="O10" s="53"/>
      <c r="P10" s="53"/>
    </row>
    <row r="11" spans="1:26" x14ac:dyDescent="0.25">
      <c r="A11" s="161" t="s">
        <v>168</v>
      </c>
      <c r="B11" s="161"/>
      <c r="C11" s="161"/>
      <c r="D11" s="161"/>
      <c r="E11" s="161" t="s">
        <v>305</v>
      </c>
      <c r="F11" s="161"/>
      <c r="G11" s="161"/>
      <c r="H11" s="161"/>
    </row>
    <row r="12" spans="1:26" x14ac:dyDescent="0.25">
      <c r="A12" s="161" t="s">
        <v>7</v>
      </c>
      <c r="B12" s="161"/>
      <c r="C12" s="161"/>
      <c r="D12" s="161"/>
      <c r="E12" s="161" t="s">
        <v>339</v>
      </c>
      <c r="F12" s="161"/>
      <c r="G12" s="161"/>
      <c r="H12" s="161"/>
    </row>
    <row r="13" spans="1:26" x14ac:dyDescent="0.25">
      <c r="A13" s="161" t="s">
        <v>171</v>
      </c>
      <c r="B13" s="161"/>
      <c r="C13" s="161"/>
      <c r="D13" s="161"/>
      <c r="E13" s="161" t="s">
        <v>28</v>
      </c>
      <c r="F13" s="161"/>
      <c r="G13" s="161"/>
      <c r="H13" s="161"/>
      <c r="S13" s="53" t="s">
        <v>179</v>
      </c>
      <c r="T13" s="53" t="s">
        <v>189</v>
      </c>
      <c r="U13" s="53" t="s">
        <v>172</v>
      </c>
      <c r="V13" s="53" t="s">
        <v>194</v>
      </c>
      <c r="W13" s="53" t="s">
        <v>212</v>
      </c>
      <c r="X13"/>
      <c r="Y13" t="s">
        <v>194</v>
      </c>
      <c r="Z13" t="e">
        <f ca="1">OFFSET($S$13,1,MATCH($G20,$S$13:$W$13,0)-1,15,1)</f>
        <v>#VALUE!</v>
      </c>
    </row>
    <row r="14" spans="1:26" ht="18" customHeight="1" x14ac:dyDescent="0.25">
      <c r="A14" s="114" t="s">
        <v>280</v>
      </c>
      <c r="B14" s="114"/>
      <c r="C14" s="114"/>
      <c r="D14" s="114"/>
      <c r="E14" s="197" t="s">
        <v>227</v>
      </c>
      <c r="F14" s="197"/>
      <c r="G14" s="197"/>
      <c r="H14" s="197"/>
      <c r="S14" s="53" t="s">
        <v>180</v>
      </c>
      <c r="T14" s="53" t="s">
        <v>187</v>
      </c>
      <c r="U14" s="53" t="s">
        <v>209</v>
      </c>
      <c r="V14" s="53" t="s">
        <v>195</v>
      </c>
      <c r="W14" s="53" t="s">
        <v>213</v>
      </c>
      <c r="X14"/>
      <c r="Y14"/>
      <c r="Z14"/>
    </row>
    <row r="15" spans="1:26" x14ac:dyDescent="0.25">
      <c r="A15" s="114" t="s">
        <v>8</v>
      </c>
      <c r="B15" s="114"/>
      <c r="C15" s="114"/>
      <c r="D15" s="114"/>
      <c r="E15" s="197" t="s">
        <v>303</v>
      </c>
      <c r="F15" s="147"/>
      <c r="G15" s="147"/>
      <c r="H15" s="147"/>
      <c r="I15" s="225" t="e">
        <f ca="1">OFFSET($D$5,1,MATCH($J13,$D$5:$H$5,0)-1,15,1)</f>
        <v>#N/A</v>
      </c>
      <c r="J15" s="226"/>
      <c r="K15" s="226"/>
      <c r="L15" s="226"/>
      <c r="M15" s="226"/>
      <c r="N15" s="226"/>
      <c r="O15" s="226"/>
      <c r="P15" s="226"/>
      <c r="S15" s="53" t="s">
        <v>181</v>
      </c>
      <c r="T15" s="53" t="s">
        <v>188</v>
      </c>
      <c r="U15" s="53" t="s">
        <v>210</v>
      </c>
      <c r="V15" s="53" t="s">
        <v>196</v>
      </c>
      <c r="W15" s="53" t="s">
        <v>226</v>
      </c>
      <c r="X15"/>
      <c r="Y15"/>
      <c r="Z15"/>
    </row>
    <row r="16" spans="1:26" ht="33.75" customHeight="1" x14ac:dyDescent="0.25">
      <c r="A16" s="160" t="s">
        <v>9</v>
      </c>
      <c r="B16" s="160"/>
      <c r="C16" s="160" t="str">
        <f>CONCATENATE((IF(OR(E9="",E9="NA"),"",E9)),", ",(IF(OR(A17="",A17="NA"),"",A17)),".",(IF(OR(C17="",C17="NA"),"",C17)),", near ",(IF(OR(C22="",C22="NA"),"",C22)),", ",(IF(OR(C19="",C19="NA"),"",C19)),", ",(IF(OR(C18="",C18="NA"),"",C18)),", ",(IF(OR(G19="",G19="NA"),"",G19)),", ",(IF(OR(C20="",C20="NA"),"",C20)),", ",(IF(OR(C21="",C21="NA"),"",C21)),", ",(IF(OR(G20="",G20="NA"),"",G20))," - ",(IF(OR(G21="",G21="NA"),"",G21)),".")</f>
        <v>Chandrangan Residency Phase IV, Survey No.67/2, 67/4, near Shiv Kutir Building, Internal Road, Sabe Gaon, Diva, Diva, Thane, Thane  - 400612.</v>
      </c>
      <c r="D16" s="160"/>
      <c r="E16" s="160"/>
      <c r="F16" s="160"/>
      <c r="G16" s="160"/>
      <c r="H16" s="160"/>
      <c r="S16" s="53" t="s">
        <v>182</v>
      </c>
      <c r="T16" s="53" t="s">
        <v>190</v>
      </c>
      <c r="U16" s="53" t="s">
        <v>211</v>
      </c>
      <c r="V16" s="53" t="s">
        <v>197</v>
      </c>
      <c r="W16" s="53" t="s">
        <v>214</v>
      </c>
      <c r="X16"/>
      <c r="Y16"/>
      <c r="Z16"/>
    </row>
    <row r="17" spans="1:26" x14ac:dyDescent="0.25">
      <c r="A17" s="197" t="s">
        <v>312</v>
      </c>
      <c r="B17" s="197"/>
      <c r="C17" s="197" t="s">
        <v>313</v>
      </c>
      <c r="D17" s="197"/>
      <c r="E17" s="197"/>
      <c r="F17" s="197"/>
      <c r="G17" s="197"/>
      <c r="H17" s="197"/>
      <c r="S17" s="53" t="s">
        <v>183</v>
      </c>
      <c r="T17" s="53" t="s">
        <v>191</v>
      </c>
      <c r="U17" s="53" t="s">
        <v>172</v>
      </c>
      <c r="V17" s="53" t="s">
        <v>198</v>
      </c>
      <c r="W17" s="53" t="s">
        <v>215</v>
      </c>
      <c r="X17"/>
      <c r="Y17"/>
      <c r="Z17"/>
    </row>
    <row r="18" spans="1:26" ht="15.75" customHeight="1" x14ac:dyDescent="0.25">
      <c r="A18" s="197" t="s">
        <v>162</v>
      </c>
      <c r="B18" s="197"/>
      <c r="C18" s="197" t="s">
        <v>327</v>
      </c>
      <c r="D18" s="197"/>
      <c r="E18" s="197"/>
      <c r="F18" s="197"/>
      <c r="G18" s="197"/>
      <c r="H18" s="197"/>
      <c r="S18" s="53" t="s">
        <v>184</v>
      </c>
      <c r="T18" s="53" t="s">
        <v>189</v>
      </c>
      <c r="U18" s="53"/>
      <c r="V18" s="53" t="s">
        <v>199</v>
      </c>
      <c r="W18" s="53" t="s">
        <v>216</v>
      </c>
      <c r="X18"/>
      <c r="Y18"/>
      <c r="Z18"/>
    </row>
    <row r="19" spans="1:26" ht="15.75" customHeight="1" x14ac:dyDescent="0.25">
      <c r="A19" s="197" t="s">
        <v>10</v>
      </c>
      <c r="B19" s="197"/>
      <c r="C19" s="147" t="s">
        <v>326</v>
      </c>
      <c r="D19" s="147"/>
      <c r="E19" s="197" t="s">
        <v>70</v>
      </c>
      <c r="F19" s="197"/>
      <c r="G19" s="197" t="s">
        <v>306</v>
      </c>
      <c r="H19" s="197"/>
      <c r="S19" s="53" t="s">
        <v>185</v>
      </c>
      <c r="T19" s="53" t="s">
        <v>192</v>
      </c>
      <c r="U19" s="53"/>
      <c r="V19" s="53" t="s">
        <v>200</v>
      </c>
      <c r="W19" s="53" t="s">
        <v>217</v>
      </c>
      <c r="X19"/>
      <c r="Y19"/>
      <c r="Z19"/>
    </row>
    <row r="20" spans="1:26" x14ac:dyDescent="0.25">
      <c r="A20" s="147" t="s">
        <v>12</v>
      </c>
      <c r="B20" s="147"/>
      <c r="C20" s="197" t="s">
        <v>306</v>
      </c>
      <c r="D20" s="197"/>
      <c r="E20" s="197" t="s">
        <v>11</v>
      </c>
      <c r="F20" s="197"/>
      <c r="G20" s="198" t="s">
        <v>179</v>
      </c>
      <c r="H20" s="198"/>
      <c r="S20" s="53" t="s">
        <v>186</v>
      </c>
      <c r="T20" s="53" t="s">
        <v>193</v>
      </c>
      <c r="U20" s="53"/>
      <c r="V20" s="53" t="s">
        <v>201</v>
      </c>
      <c r="W20" s="53" t="s">
        <v>218</v>
      </c>
      <c r="X20"/>
      <c r="Y20"/>
      <c r="Z20"/>
    </row>
    <row r="21" spans="1:26" x14ac:dyDescent="0.25">
      <c r="A21" s="147" t="s">
        <v>71</v>
      </c>
      <c r="B21" s="147"/>
      <c r="C21" s="197" t="s">
        <v>180</v>
      </c>
      <c r="D21" s="197"/>
      <c r="E21" s="197" t="s">
        <v>13</v>
      </c>
      <c r="F21" s="197"/>
      <c r="G21" s="197">
        <v>400612</v>
      </c>
      <c r="H21" s="197"/>
      <c r="S21" s="53"/>
      <c r="T21" s="53"/>
      <c r="U21" s="53"/>
      <c r="V21" s="53" t="s">
        <v>202</v>
      </c>
      <c r="W21" s="53" t="s">
        <v>219</v>
      </c>
      <c r="X21"/>
      <c r="Y21"/>
      <c r="Z21"/>
    </row>
    <row r="22" spans="1:26" ht="32.25" customHeight="1" x14ac:dyDescent="0.25">
      <c r="A22" s="147" t="s">
        <v>119</v>
      </c>
      <c r="B22" s="147"/>
      <c r="C22" s="197" t="s">
        <v>328</v>
      </c>
      <c r="D22" s="197"/>
      <c r="E22" s="197" t="s">
        <v>14</v>
      </c>
      <c r="F22" s="197"/>
      <c r="G22" s="197" t="s">
        <v>329</v>
      </c>
      <c r="H22" s="197"/>
      <c r="S22" s="53"/>
      <c r="T22" s="53"/>
      <c r="U22" s="53"/>
      <c r="V22" s="53" t="s">
        <v>203</v>
      </c>
      <c r="W22" s="53" t="s">
        <v>220</v>
      </c>
      <c r="X22"/>
      <c r="Y22"/>
      <c r="Z22"/>
    </row>
    <row r="23" spans="1:26" ht="15" customHeight="1" x14ac:dyDescent="0.25">
      <c r="A23" s="160" t="s">
        <v>73</v>
      </c>
      <c r="B23" s="160"/>
      <c r="C23" s="160"/>
      <c r="D23" s="160"/>
      <c r="E23" s="161" t="s">
        <v>15</v>
      </c>
      <c r="F23" s="161"/>
      <c r="G23" s="161"/>
      <c r="H23" s="161"/>
      <c r="S23" s="53"/>
      <c r="T23" s="53"/>
      <c r="U23" s="53"/>
      <c r="V23" s="53" t="s">
        <v>204</v>
      </c>
      <c r="W23" s="53" t="s">
        <v>221</v>
      </c>
      <c r="X23"/>
      <c r="Y23"/>
      <c r="Z23"/>
    </row>
    <row r="24" spans="1:26" ht="18.75" customHeight="1" x14ac:dyDescent="0.25">
      <c r="A24" s="160"/>
      <c r="B24" s="160"/>
      <c r="C24" s="160"/>
      <c r="D24" s="160"/>
      <c r="E24" s="161"/>
      <c r="F24" s="161"/>
      <c r="G24" s="161"/>
      <c r="H24" s="161"/>
      <c r="S24" s="53"/>
      <c r="T24" s="53"/>
      <c r="U24" s="53"/>
      <c r="V24" s="53" t="s">
        <v>205</v>
      </c>
      <c r="W24" s="53" t="s">
        <v>222</v>
      </c>
      <c r="X24"/>
      <c r="Y24"/>
      <c r="Z24"/>
    </row>
    <row r="25" spans="1:26" ht="15" customHeight="1" x14ac:dyDescent="0.25">
      <c r="A25" s="160" t="s">
        <v>16</v>
      </c>
      <c r="B25" s="160"/>
      <c r="C25" s="160"/>
      <c r="D25" s="160"/>
      <c r="E25" s="149" t="s">
        <v>17</v>
      </c>
      <c r="F25" s="149"/>
      <c r="G25" s="149"/>
      <c r="H25" s="149"/>
      <c r="S25" s="53"/>
      <c r="T25" s="53"/>
      <c r="U25" s="53"/>
      <c r="V25" s="53" t="s">
        <v>206</v>
      </c>
      <c r="W25" s="53" t="s">
        <v>223</v>
      </c>
      <c r="X25"/>
      <c r="Y25"/>
      <c r="Z25"/>
    </row>
    <row r="26" spans="1:26" ht="15" customHeight="1" x14ac:dyDescent="0.25">
      <c r="A26" s="114" t="s">
        <v>18</v>
      </c>
      <c r="B26" s="114"/>
      <c r="C26" s="114"/>
      <c r="D26" s="114"/>
      <c r="E26" s="149" t="str">
        <f>IF(AND(G20="Mumbai"),"Upper Class","Middle Class")</f>
        <v>Middle Class</v>
      </c>
      <c r="F26" s="149"/>
      <c r="G26" s="149"/>
      <c r="H26" s="149"/>
      <c r="S26" s="53"/>
      <c r="T26" s="53"/>
      <c r="U26" s="53"/>
      <c r="V26" s="53" t="s">
        <v>207</v>
      </c>
      <c r="W26" s="53" t="s">
        <v>224</v>
      </c>
      <c r="X26"/>
      <c r="Y26"/>
      <c r="Z26"/>
    </row>
    <row r="27" spans="1:26" x14ac:dyDescent="0.25">
      <c r="A27" s="114" t="s">
        <v>19</v>
      </c>
      <c r="B27" s="114"/>
      <c r="C27" s="114"/>
      <c r="D27" s="114"/>
      <c r="E27" s="149" t="s">
        <v>20</v>
      </c>
      <c r="F27" s="149"/>
      <c r="G27" s="149"/>
      <c r="H27" s="149"/>
      <c r="S27" s="53"/>
      <c r="T27" s="53"/>
      <c r="U27" s="53"/>
      <c r="V27" s="53" t="s">
        <v>208</v>
      </c>
      <c r="W27" s="53" t="s">
        <v>225</v>
      </c>
      <c r="X27"/>
      <c r="Y27"/>
      <c r="Z27"/>
    </row>
    <row r="28" spans="1:26" ht="15.75" customHeight="1" x14ac:dyDescent="0.25">
      <c r="A28" s="114" t="s">
        <v>21</v>
      </c>
      <c r="B28" s="114"/>
      <c r="C28" s="114"/>
      <c r="D28" s="114"/>
      <c r="E28" s="149" t="str">
        <f>IF(AND(G20="Mumbai"),"Developed","Developing")</f>
        <v>Developing</v>
      </c>
      <c r="F28" s="149"/>
      <c r="G28" s="149"/>
      <c r="H28" s="149"/>
    </row>
    <row r="29" spans="1:26" x14ac:dyDescent="0.25">
      <c r="A29" s="114" t="s">
        <v>22</v>
      </c>
      <c r="B29" s="114"/>
      <c r="C29" s="114"/>
      <c r="D29" s="114"/>
      <c r="E29" s="149" t="s">
        <v>23</v>
      </c>
      <c r="F29" s="149"/>
      <c r="G29" s="149"/>
      <c r="H29" s="149"/>
    </row>
    <row r="30" spans="1:26" ht="15.75" customHeight="1" x14ac:dyDescent="0.25">
      <c r="A30" s="114" t="s">
        <v>78</v>
      </c>
      <c r="B30" s="114"/>
      <c r="C30" s="114"/>
      <c r="D30" s="114"/>
      <c r="E30" s="149" t="s">
        <v>79</v>
      </c>
      <c r="F30" s="149"/>
      <c r="G30" s="149"/>
      <c r="H30" s="149"/>
    </row>
    <row r="31" spans="1:26" ht="15" customHeight="1" x14ac:dyDescent="0.25">
      <c r="A31" s="114" t="s">
        <v>30</v>
      </c>
      <c r="B31" s="114"/>
      <c r="C31" s="114"/>
      <c r="D31" s="114"/>
      <c r="E31" s="14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9"/>
      <c r="G31" s="149"/>
      <c r="H31" s="149"/>
    </row>
    <row r="32" spans="1:26" ht="15.75" customHeight="1" x14ac:dyDescent="0.25">
      <c r="A32" s="114" t="s">
        <v>90</v>
      </c>
      <c r="B32" s="114"/>
      <c r="C32" s="114"/>
      <c r="D32" s="114"/>
      <c r="E32" s="149" t="s">
        <v>31</v>
      </c>
      <c r="F32" s="149"/>
      <c r="G32" s="149"/>
      <c r="H32" s="149"/>
    </row>
    <row r="33" spans="1:19" s="22" customFormat="1" x14ac:dyDescent="0.25">
      <c r="A33" s="196" t="s">
        <v>91</v>
      </c>
      <c r="B33" s="196"/>
      <c r="C33" s="195" t="s">
        <v>173</v>
      </c>
      <c r="D33" s="195"/>
      <c r="E33" s="195"/>
      <c r="F33" s="195" t="s">
        <v>29</v>
      </c>
      <c r="G33" s="195"/>
      <c r="H33" s="195"/>
      <c r="S33" s="22" t="e">
        <f ca="1">OFFSET($S$13,1,MATCH($G20,$S$13:$W$13,0)-1,15,1)</f>
        <v>#VALUE!</v>
      </c>
    </row>
    <row r="34" spans="1:19" s="22" customFormat="1" x14ac:dyDescent="0.25">
      <c r="A34" s="185" t="s">
        <v>24</v>
      </c>
      <c r="B34" s="185" t="s">
        <v>28</v>
      </c>
      <c r="C34" s="186" t="s">
        <v>333</v>
      </c>
      <c r="D34" s="186"/>
      <c r="E34" s="186"/>
      <c r="F34" s="186" t="s">
        <v>340</v>
      </c>
      <c r="G34" s="186"/>
      <c r="H34" s="186"/>
    </row>
    <row r="35" spans="1:19" x14ac:dyDescent="0.25">
      <c r="A35" s="185" t="s">
        <v>25</v>
      </c>
      <c r="B35" s="185" t="s">
        <v>28</v>
      </c>
      <c r="C35" s="186" t="s">
        <v>332</v>
      </c>
      <c r="D35" s="186"/>
      <c r="E35" s="186"/>
      <c r="F35" s="186" t="s">
        <v>336</v>
      </c>
      <c r="G35" s="186"/>
      <c r="H35" s="186"/>
    </row>
    <row r="36" spans="1:19" s="22" customFormat="1" x14ac:dyDescent="0.25">
      <c r="A36" s="185" t="s">
        <v>27</v>
      </c>
      <c r="B36" s="185" t="s">
        <v>28</v>
      </c>
      <c r="C36" s="186" t="s">
        <v>331</v>
      </c>
      <c r="D36" s="186"/>
      <c r="E36" s="186"/>
      <c r="F36" s="186" t="s">
        <v>335</v>
      </c>
      <c r="G36" s="186"/>
      <c r="H36" s="186"/>
    </row>
    <row r="37" spans="1:19" x14ac:dyDescent="0.25">
      <c r="A37" s="185" t="s">
        <v>26</v>
      </c>
      <c r="B37" s="185" t="s">
        <v>28</v>
      </c>
      <c r="C37" s="186" t="s">
        <v>330</v>
      </c>
      <c r="D37" s="186"/>
      <c r="E37" s="186"/>
      <c r="F37" s="186" t="s">
        <v>341</v>
      </c>
      <c r="G37" s="186"/>
      <c r="H37" s="186"/>
    </row>
    <row r="38" spans="1:19" x14ac:dyDescent="0.25">
      <c r="A38" s="114" t="s">
        <v>281</v>
      </c>
      <c r="B38" s="114"/>
      <c r="C38" s="114"/>
      <c r="D38" s="114"/>
      <c r="E38" s="114"/>
      <c r="F38" s="114"/>
      <c r="G38" s="114"/>
      <c r="H38" s="114"/>
    </row>
    <row r="39" spans="1:19" ht="15.75" customHeight="1" x14ac:dyDescent="0.25">
      <c r="A39" s="114" t="s">
        <v>165</v>
      </c>
      <c r="B39" s="114"/>
      <c r="C39" s="175" t="s">
        <v>324</v>
      </c>
      <c r="D39" s="175"/>
      <c r="E39" s="175"/>
      <c r="F39" s="175"/>
      <c r="G39" s="175"/>
      <c r="H39" s="175"/>
    </row>
    <row r="40" spans="1:19" x14ac:dyDescent="0.25">
      <c r="A40" s="114" t="s">
        <v>161</v>
      </c>
      <c r="B40" s="114"/>
      <c r="C40" s="148" t="s">
        <v>325</v>
      </c>
      <c r="D40" s="149"/>
      <c r="E40" s="149"/>
      <c r="F40" s="149"/>
      <c r="G40" s="149"/>
      <c r="H40" s="149"/>
    </row>
    <row r="41" spans="1:19" x14ac:dyDescent="0.25">
      <c r="A41" s="175" t="s">
        <v>32</v>
      </c>
      <c r="B41" s="175"/>
      <c r="C41" s="175"/>
      <c r="D41" s="175"/>
      <c r="E41" s="175"/>
      <c r="F41" s="175"/>
      <c r="G41" s="175"/>
      <c r="H41" s="175"/>
    </row>
    <row r="42" spans="1:19" x14ac:dyDescent="0.25">
      <c r="A42" s="114" t="s">
        <v>33</v>
      </c>
      <c r="B42" s="114"/>
      <c r="C42" s="114"/>
      <c r="D42" s="114"/>
      <c r="E42" s="190">
        <v>3283.83</v>
      </c>
      <c r="F42" s="190"/>
      <c r="G42" s="190"/>
      <c r="H42" s="190"/>
    </row>
    <row r="43" spans="1:19" x14ac:dyDescent="0.25">
      <c r="A43" s="147" t="s">
        <v>34</v>
      </c>
      <c r="B43" s="147"/>
      <c r="C43" s="147"/>
      <c r="D43" s="147"/>
      <c r="E43" s="193">
        <f>3612.21/E42</f>
        <v>1.0999990864326108</v>
      </c>
      <c r="F43" s="193"/>
      <c r="G43" s="193"/>
      <c r="H43" s="193"/>
    </row>
    <row r="44" spans="1:19" x14ac:dyDescent="0.25">
      <c r="A44" s="147" t="s">
        <v>35</v>
      </c>
      <c r="B44" s="147"/>
      <c r="C44" s="147"/>
      <c r="D44" s="147"/>
      <c r="E44" s="193">
        <f>E46/E42-E43</f>
        <v>2.8685650597016288</v>
      </c>
      <c r="F44" s="193"/>
      <c r="G44" s="193"/>
      <c r="H44" s="193"/>
    </row>
    <row r="45" spans="1:19" x14ac:dyDescent="0.25">
      <c r="A45" s="147" t="s">
        <v>36</v>
      </c>
      <c r="B45" s="147"/>
      <c r="C45" s="147"/>
      <c r="D45" s="147"/>
      <c r="E45" s="193">
        <f>E43+E44</f>
        <v>3.9685641461342396</v>
      </c>
      <c r="F45" s="193"/>
      <c r="G45" s="193"/>
      <c r="H45" s="193"/>
      <c r="I45" s="63">
        <f>E46/E42</f>
        <v>3.9685641461342396</v>
      </c>
    </row>
    <row r="46" spans="1:19" x14ac:dyDescent="0.25">
      <c r="A46" s="147" t="s">
        <v>89</v>
      </c>
      <c r="B46" s="147"/>
      <c r="C46" s="147"/>
      <c r="D46" s="147"/>
      <c r="E46" s="194">
        <v>13032.09</v>
      </c>
      <c r="F46" s="194"/>
      <c r="G46" s="194"/>
      <c r="H46" s="194"/>
    </row>
    <row r="47" spans="1:19" x14ac:dyDescent="0.25">
      <c r="A47" s="147" t="s">
        <v>37</v>
      </c>
      <c r="B47" s="147"/>
      <c r="C47" s="147"/>
      <c r="D47" s="147"/>
      <c r="E47" s="147" t="s">
        <v>342</v>
      </c>
      <c r="F47" s="147"/>
      <c r="G47" s="147"/>
      <c r="H47" s="147"/>
    </row>
    <row r="48" spans="1:19" x14ac:dyDescent="0.25">
      <c r="A48" s="181" t="s">
        <v>38</v>
      </c>
      <c r="B48" s="181"/>
      <c r="C48" s="181"/>
      <c r="D48" s="181"/>
      <c r="E48" s="181"/>
      <c r="F48" s="181"/>
      <c r="G48" s="181"/>
      <c r="H48" s="181"/>
    </row>
    <row r="49" spans="1:24" ht="33.75" customHeight="1" x14ac:dyDescent="0.25">
      <c r="A49" s="150" t="s">
        <v>150</v>
      </c>
      <c r="B49" s="151"/>
      <c r="C49" s="152" t="s">
        <v>261</v>
      </c>
      <c r="D49" s="153"/>
      <c r="E49" s="153"/>
      <c r="F49" s="153"/>
      <c r="G49" s="153"/>
      <c r="H49" s="154"/>
      <c r="R49" t="s">
        <v>254</v>
      </c>
      <c r="S49" t="s">
        <v>172</v>
      </c>
      <c r="T49" t="s">
        <v>179</v>
      </c>
      <c r="U49" t="s">
        <v>194</v>
      </c>
      <c r="V49" t="s">
        <v>189</v>
      </c>
    </row>
    <row r="50" spans="1:24" ht="15.75" customHeight="1" x14ac:dyDescent="0.25">
      <c r="A50" s="155" t="s">
        <v>39</v>
      </c>
      <c r="B50" s="157"/>
      <c r="C50" s="155" t="s">
        <v>307</v>
      </c>
      <c r="D50" s="156"/>
      <c r="E50" s="157"/>
      <c r="F50" s="18" t="s">
        <v>40</v>
      </c>
      <c r="G50" s="158" t="s">
        <v>356</v>
      </c>
      <c r="H50" s="157"/>
      <c r="R50"/>
      <c r="S50" t="s">
        <v>255</v>
      </c>
      <c r="T50" t="s">
        <v>260</v>
      </c>
      <c r="U50" t="s">
        <v>271</v>
      </c>
      <c r="V50" t="s">
        <v>276</v>
      </c>
    </row>
    <row r="51" spans="1:24" x14ac:dyDescent="0.25">
      <c r="A51" s="155" t="s">
        <v>41</v>
      </c>
      <c r="B51" s="157"/>
      <c r="C51" s="155" t="str">
        <f>C50</f>
        <v>TMCB/RB/2024/APL/00153</v>
      </c>
      <c r="D51" s="156"/>
      <c r="E51" s="157"/>
      <c r="F51" s="18" t="s">
        <v>40</v>
      </c>
      <c r="G51" s="158" t="s">
        <v>356</v>
      </c>
      <c r="H51" s="157"/>
      <c r="R51"/>
      <c r="S51" t="s">
        <v>256</v>
      </c>
      <c r="T51" t="s">
        <v>261</v>
      </c>
      <c r="U51" t="s">
        <v>269</v>
      </c>
      <c r="V51" t="s">
        <v>277</v>
      </c>
    </row>
    <row r="52" spans="1:24" s="23" customFormat="1" ht="15.75" customHeight="1" x14ac:dyDescent="0.25">
      <c r="A52" s="218" t="s">
        <v>154</v>
      </c>
      <c r="B52" s="219"/>
      <c r="C52" s="155" t="str">
        <f>C51</f>
        <v>TMCB/RB/2024/APL/00153</v>
      </c>
      <c r="D52" s="156"/>
      <c r="E52" s="157"/>
      <c r="F52" s="18" t="s">
        <v>40</v>
      </c>
      <c r="G52" s="158" t="s">
        <v>356</v>
      </c>
      <c r="H52" s="157"/>
      <c r="R52"/>
      <c r="S52" t="s">
        <v>257</v>
      </c>
      <c r="T52" t="s">
        <v>262</v>
      </c>
      <c r="U52" t="s">
        <v>259</v>
      </c>
      <c r="V52" t="s">
        <v>278</v>
      </c>
    </row>
    <row r="53" spans="1:24" s="23" customFormat="1" ht="33.75" customHeight="1" x14ac:dyDescent="0.25">
      <c r="A53" s="220"/>
      <c r="B53" s="221"/>
      <c r="C53" s="155" t="s">
        <v>308</v>
      </c>
      <c r="D53" s="156"/>
      <c r="E53" s="156"/>
      <c r="F53" s="156"/>
      <c r="G53" s="156"/>
      <c r="H53" s="157"/>
      <c r="R53"/>
      <c r="S53" t="s">
        <v>258</v>
      </c>
      <c r="T53" t="s">
        <v>265</v>
      </c>
      <c r="U53" t="s">
        <v>272</v>
      </c>
    </row>
    <row r="54" spans="1:24" s="23" customFormat="1" hidden="1" x14ac:dyDescent="0.25">
      <c r="A54" s="164" t="s">
        <v>282</v>
      </c>
      <c r="B54" s="165"/>
      <c r="C54" s="155" t="str">
        <f>C53</f>
        <v>Bunglow = Stilt/ Gr. + 1st to 2nd Floor
Building A = Stilt + 1st to 21st Floor</v>
      </c>
      <c r="D54" s="156"/>
      <c r="E54" s="157"/>
      <c r="F54" s="18" t="s">
        <v>40</v>
      </c>
      <c r="G54" s="155"/>
      <c r="H54" s="157"/>
      <c r="R54"/>
      <c r="S54" t="s">
        <v>257</v>
      </c>
      <c r="T54" t="s">
        <v>262</v>
      </c>
      <c r="U54" t="s">
        <v>259</v>
      </c>
      <c r="V54" t="s">
        <v>278</v>
      </c>
    </row>
    <row r="55" spans="1:24" s="23" customFormat="1" ht="32.25" hidden="1" customHeight="1" x14ac:dyDescent="0.25">
      <c r="A55" s="166"/>
      <c r="B55" s="167"/>
      <c r="C55" s="222"/>
      <c r="D55" s="223"/>
      <c r="E55" s="223"/>
      <c r="F55" s="223"/>
      <c r="G55" s="223"/>
      <c r="H55" s="224"/>
      <c r="R55"/>
      <c r="S55" t="s">
        <v>259</v>
      </c>
      <c r="T55" t="s">
        <v>263</v>
      </c>
      <c r="U55" t="s">
        <v>273</v>
      </c>
      <c r="V55" s="21"/>
      <c r="W55" s="21"/>
      <c r="X55" s="21"/>
    </row>
    <row r="56" spans="1:24" s="23" customFormat="1" ht="34.5" hidden="1" customHeight="1" x14ac:dyDescent="0.25">
      <c r="A56" s="164" t="s">
        <v>283</v>
      </c>
      <c r="B56" s="165"/>
      <c r="C56" s="155">
        <f>C55</f>
        <v>0</v>
      </c>
      <c r="D56" s="156"/>
      <c r="E56" s="157"/>
      <c r="F56" s="18" t="s">
        <v>40</v>
      </c>
      <c r="G56" s="155">
        <f>G55</f>
        <v>0</v>
      </c>
      <c r="H56" s="157"/>
      <c r="R56"/>
      <c r="S56" s="21"/>
      <c r="T56" t="s">
        <v>264</v>
      </c>
      <c r="U56" t="s">
        <v>274</v>
      </c>
      <c r="V56" s="21"/>
      <c r="W56" s="21"/>
      <c r="X56" s="21"/>
    </row>
    <row r="57" spans="1:24" s="23" customFormat="1" ht="41.25" hidden="1" customHeight="1" x14ac:dyDescent="0.25">
      <c r="A57" s="166"/>
      <c r="B57" s="167"/>
      <c r="C57" s="155"/>
      <c r="D57" s="156"/>
      <c r="E57" s="156"/>
      <c r="F57" s="156"/>
      <c r="G57" s="156"/>
      <c r="H57" s="157"/>
      <c r="R57"/>
      <c r="S57" s="21"/>
      <c r="T57" t="s">
        <v>266</v>
      </c>
      <c r="U57" t="s">
        <v>275</v>
      </c>
      <c r="V57" s="21"/>
      <c r="W57" s="21"/>
      <c r="X57" s="21"/>
    </row>
    <row r="58" spans="1:24" s="23" customFormat="1" ht="15.75" hidden="1" customHeight="1" x14ac:dyDescent="0.25">
      <c r="A58" s="164" t="s">
        <v>284</v>
      </c>
      <c r="B58" s="165"/>
      <c r="C58" s="155">
        <f>C57</f>
        <v>0</v>
      </c>
      <c r="D58" s="156"/>
      <c r="E58" s="157"/>
      <c r="F58" s="18" t="s">
        <v>40</v>
      </c>
      <c r="G58" s="155">
        <f>G57</f>
        <v>0</v>
      </c>
      <c r="H58" s="157"/>
      <c r="R58"/>
      <c r="S58" s="21"/>
      <c r="T58" t="s">
        <v>267</v>
      </c>
      <c r="U58" s="21" t="s">
        <v>298</v>
      </c>
      <c r="V58" s="21"/>
      <c r="W58" s="21"/>
      <c r="X58" s="21"/>
    </row>
    <row r="59" spans="1:24" s="23" customFormat="1" ht="33.75" hidden="1" customHeight="1" x14ac:dyDescent="0.25">
      <c r="A59" s="166"/>
      <c r="B59" s="167"/>
      <c r="C59" s="155"/>
      <c r="D59" s="156"/>
      <c r="E59" s="156"/>
      <c r="F59" s="156"/>
      <c r="G59" s="156"/>
      <c r="H59" s="157"/>
      <c r="R59"/>
      <c r="S59" s="21"/>
      <c r="T59" t="s">
        <v>268</v>
      </c>
      <c r="U59" s="21"/>
      <c r="V59" s="21"/>
      <c r="W59" s="21"/>
      <c r="X59" s="21"/>
    </row>
    <row r="60" spans="1:24" hidden="1" x14ac:dyDescent="0.25">
      <c r="A60" s="228" t="s">
        <v>42</v>
      </c>
      <c r="B60" s="229"/>
      <c r="C60" s="228" t="s">
        <v>103</v>
      </c>
      <c r="D60" s="230"/>
      <c r="E60" s="229"/>
      <c r="F60" s="45" t="s">
        <v>40</v>
      </c>
      <c r="G60" s="162" t="s">
        <v>28</v>
      </c>
      <c r="H60" s="163"/>
      <c r="R60"/>
      <c r="T60" t="s">
        <v>270</v>
      </c>
    </row>
    <row r="61" spans="1:24" x14ac:dyDescent="0.25">
      <c r="A61" s="159" t="s">
        <v>44</v>
      </c>
      <c r="B61" s="159"/>
      <c r="C61" s="159"/>
      <c r="D61" s="159"/>
      <c r="E61" s="159"/>
      <c r="F61" s="159"/>
      <c r="G61" s="159"/>
      <c r="H61" s="159"/>
      <c r="T61" t="s">
        <v>279</v>
      </c>
    </row>
    <row r="62" spans="1:24" x14ac:dyDescent="0.25">
      <c r="A62" s="160" t="s">
        <v>88</v>
      </c>
      <c r="B62" s="160"/>
      <c r="C62" s="160"/>
      <c r="D62" s="114">
        <f>E46</f>
        <v>13032.09</v>
      </c>
      <c r="E62" s="114"/>
      <c r="F62" s="114"/>
      <c r="G62" s="114"/>
      <c r="H62" s="114"/>
      <c r="R62"/>
    </row>
    <row r="63" spans="1:24" x14ac:dyDescent="0.25">
      <c r="A63" s="149" t="s">
        <v>45</v>
      </c>
      <c r="B63" s="161"/>
      <c r="C63" s="161"/>
      <c r="D63" s="161" t="s">
        <v>348</v>
      </c>
      <c r="E63" s="161"/>
      <c r="F63" s="161"/>
      <c r="G63" s="161"/>
      <c r="H63" s="161"/>
      <c r="I63" s="24"/>
      <c r="R63"/>
    </row>
    <row r="64" spans="1:24" ht="32.25" customHeight="1" x14ac:dyDescent="0.25">
      <c r="A64" s="143" t="s">
        <v>46</v>
      </c>
      <c r="B64" s="144"/>
      <c r="C64" s="184"/>
      <c r="D64" s="182" t="s">
        <v>308</v>
      </c>
      <c r="E64" s="183"/>
      <c r="F64" s="183"/>
      <c r="G64" s="183"/>
      <c r="H64" s="183"/>
      <c r="R64"/>
    </row>
    <row r="65" spans="1:19" ht="15.75" customHeight="1" x14ac:dyDescent="0.25">
      <c r="A65" s="143" t="s">
        <v>86</v>
      </c>
      <c r="B65" s="144"/>
      <c r="C65" s="144"/>
      <c r="D65" s="147" t="s">
        <v>309</v>
      </c>
      <c r="E65" s="147"/>
      <c r="F65" s="147"/>
      <c r="G65" s="147"/>
      <c r="H65" s="147"/>
      <c r="R65"/>
    </row>
    <row r="66" spans="1:19" ht="15.75" customHeight="1" x14ac:dyDescent="0.25">
      <c r="A66" s="145"/>
      <c r="B66" s="146"/>
      <c r="C66" s="146"/>
      <c r="D66" s="147" t="s">
        <v>310</v>
      </c>
      <c r="E66" s="147"/>
      <c r="F66" s="147"/>
      <c r="G66" s="147"/>
      <c r="H66" s="147"/>
      <c r="R66"/>
    </row>
    <row r="67" spans="1:19" ht="15.75" customHeight="1" x14ac:dyDescent="0.25">
      <c r="A67" s="114" t="s">
        <v>43</v>
      </c>
      <c r="B67" s="114"/>
      <c r="C67" s="114"/>
      <c r="D67" s="160" t="s">
        <v>311</v>
      </c>
      <c r="E67" s="160"/>
      <c r="F67" s="160"/>
      <c r="G67" s="160"/>
      <c r="H67" s="160"/>
      <c r="J67" s="25"/>
      <c r="K67" s="24"/>
      <c r="N67" s="24"/>
      <c r="S67"/>
    </row>
    <row r="68" spans="1:19" ht="15.75" customHeight="1" x14ac:dyDescent="0.25">
      <c r="A68" s="114" t="s">
        <v>84</v>
      </c>
      <c r="B68" s="114"/>
      <c r="C68" s="114"/>
      <c r="D68" s="192" t="str">
        <f>(IF(G60="NA","60 Years After Completion",IF(G60&lt;&gt;"NA",""&amp;60-ROUNDDOWN((E3-G60)/360,0)&amp;" Years"," ")))</f>
        <v>60 Years After Completion</v>
      </c>
      <c r="E68" s="192"/>
      <c r="F68" s="192"/>
      <c r="G68" s="192"/>
      <c r="H68" s="192"/>
      <c r="N68" s="24"/>
      <c r="S68"/>
    </row>
    <row r="69" spans="1:19" ht="15.75" customHeight="1" x14ac:dyDescent="0.25">
      <c r="A69" s="114" t="s">
        <v>85</v>
      </c>
      <c r="B69" s="114"/>
      <c r="C69" s="114"/>
      <c r="D69" s="160" t="s">
        <v>23</v>
      </c>
      <c r="E69" s="160"/>
      <c r="F69" s="160"/>
      <c r="G69" s="160"/>
      <c r="H69" s="160"/>
      <c r="J69" s="26"/>
      <c r="K69" s="26"/>
      <c r="S69"/>
    </row>
    <row r="70" spans="1:19" ht="15" customHeight="1" x14ac:dyDescent="0.25">
      <c r="A70" s="147" t="s">
        <v>343</v>
      </c>
      <c r="B70" s="147"/>
      <c r="C70" s="147"/>
      <c r="D70" s="197" t="s">
        <v>351</v>
      </c>
      <c r="E70" s="197"/>
      <c r="F70" s="197"/>
      <c r="G70" s="197"/>
      <c r="H70" s="197"/>
      <c r="J70" s="64" t="s">
        <v>337</v>
      </c>
      <c r="K70" s="64"/>
      <c r="S70"/>
    </row>
    <row r="71" spans="1:19" x14ac:dyDescent="0.25">
      <c r="A71" s="197" t="s">
        <v>147</v>
      </c>
      <c r="B71" s="197"/>
      <c r="C71" s="197"/>
      <c r="D71" s="197" t="s">
        <v>28</v>
      </c>
      <c r="E71" s="197"/>
      <c r="F71" s="197"/>
      <c r="G71" s="197"/>
      <c r="H71" s="197"/>
      <c r="I71" s="27"/>
      <c r="J71" s="27"/>
      <c r="K71" s="27"/>
      <c r="L71" s="27"/>
      <c r="M71" s="27"/>
      <c r="N71" s="27"/>
    </row>
    <row r="72" spans="1:19" ht="15.75" customHeight="1" x14ac:dyDescent="0.25">
      <c r="A72" s="231" t="s">
        <v>83</v>
      </c>
      <c r="B72" s="231"/>
      <c r="C72" s="231"/>
      <c r="D72" s="203" t="str">
        <f ca="1">(IF(G92&gt;95%,"Nothing",IF(G92&gt;0%,"Cement, Aggregate, Steel, etc",IF(G92=0%,"Work not yet Started"))))</f>
        <v>Cement, Aggregate, Steel, etc</v>
      </c>
      <c r="E72" s="203"/>
      <c r="F72" s="203"/>
      <c r="G72" s="203"/>
      <c r="H72" s="203"/>
      <c r="J72" s="26"/>
      <c r="S72"/>
    </row>
    <row r="73" spans="1:19" ht="33.75" customHeight="1" thickBot="1" x14ac:dyDescent="0.3">
      <c r="A73" s="160" t="s">
        <v>116</v>
      </c>
      <c r="B73" s="160"/>
      <c r="C73" s="160"/>
      <c r="D73" s="149" t="str">
        <f ca="1">(IF(D72="Nothing","Yes",IF(D72="Cement, Aggregate, Steel, etc","Under Construction",IF(D72="Work not yet Started","Work not yet Started"))))</f>
        <v>Under Construction</v>
      </c>
      <c r="E73" s="149"/>
      <c r="F73" s="149" t="str">
        <f ca="1">(IF(D72="Nothing","Yes",IF(D72="Cement, Aggregate, Steel, etc","Under Construction",IF(D72="Work not yet Started","Work not yet Started"))))</f>
        <v>Under Construction</v>
      </c>
      <c r="G73" s="149"/>
      <c r="H73" s="149"/>
      <c r="S73"/>
    </row>
    <row r="74" spans="1:19" ht="15.75" customHeight="1" x14ac:dyDescent="0.25">
      <c r="A74" s="202" t="s">
        <v>137</v>
      </c>
      <c r="B74" s="202"/>
      <c r="C74" s="202" t="str">
        <f>D65</f>
        <v>Bunglow = Stilt/ Gr. + 1st to 2nd Floor</v>
      </c>
      <c r="D74" s="202"/>
      <c r="E74" s="202"/>
      <c r="F74" s="202"/>
      <c r="G74" s="202"/>
      <c r="H74" s="202"/>
      <c r="I74" s="79" t="str">
        <f ca="1">IF(D87=100%,"All work Completed. Possession granted to the Building.",IF(D86=100%,"All work Completed, Waiting for OC",I75&amp;""&amp;I76&amp;""&amp;J75&amp;""&amp;J74&amp;" "&amp;J76))</f>
        <v xml:space="preserve">Work not yet Started. </v>
      </c>
      <c r="J74" s="49"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25">
      <c r="A75" s="68" t="s">
        <v>139</v>
      </c>
      <c r="B75" s="68">
        <f>IF(AND(ISNUMBER(SEARCH("1B",C74))),1,IF(AND(ISNUMBER(SEARCH("2B",C74))),2,IF(AND(ISNUMBER(SEARCH("3B",C74))),3,IF(AND(ISNUMBER(SEARCH("4B",C74))),4,IF(ISNUMBER(SEARCH("5B",C74)),5,0)))))</f>
        <v>0</v>
      </c>
      <c r="C75" s="68" t="s">
        <v>69</v>
      </c>
      <c r="D75" s="68">
        <v>1</v>
      </c>
      <c r="E75" s="68" t="s">
        <v>68</v>
      </c>
      <c r="F75" s="68">
        <v>0</v>
      </c>
      <c r="G75" s="68" t="s">
        <v>77</v>
      </c>
      <c r="H75" s="68">
        <f ca="1">--TRIM(RIGHT(SUBSTITUTE(LEFT(C74,_xlfn.AGGREGATE(16,6,FIND({0,1,2,3,4,5,6,7,8,9},C74,ROW(INDIRECT("1:"&amp;LEN(C74)))),1))," ",REPT(" ",LEN(C74))),LEN(C74)))</f>
        <v>2</v>
      </c>
      <c r="I75" s="80" t="str">
        <f ca="1">IF(D78=100%,"Excavation","")&amp;IF(D79=100%,", Plinth","")&amp;IF(D80=100%,", RCC Slab","")&amp;IF(D81=100%,", Brickwork","")&amp;IF(D82=100%,", Internal Plaster","")&amp;IF(D83=100%,", External Plaster","")&amp;IF(D84=100%,", Flooring","")&amp;IF(D85=100%,", Painting","")&amp;IF(D86=100%,", Building common Amenities","")</f>
        <v/>
      </c>
      <c r="J75" s="51" t="str">
        <f>(IF(C78=0,"Work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Work not yet Started.</v>
      </c>
      <c r="S75"/>
    </row>
    <row r="76" spans="1:19" x14ac:dyDescent="0.25">
      <c r="A76" s="181" t="s">
        <v>87</v>
      </c>
      <c r="B76" s="181"/>
      <c r="C76" s="202" t="str">
        <f ca="1">I74</f>
        <v xml:space="preserve">Work not yet Started. </v>
      </c>
      <c r="D76" s="202"/>
      <c r="E76" s="202"/>
      <c r="F76" s="202"/>
      <c r="G76" s="202"/>
      <c r="H76" s="202"/>
      <c r="I76" s="80" t="str">
        <f ca="1">IF(I75&lt;&gt;""," Completed","")</f>
        <v/>
      </c>
      <c r="J76" s="51" t="str">
        <f ca="1">IF(J74&lt;&gt;"","Completed","")</f>
        <v/>
      </c>
      <c r="S76"/>
    </row>
    <row r="77" spans="1:19" ht="15.75" customHeight="1" x14ac:dyDescent="0.25">
      <c r="A77" s="104" t="s">
        <v>47</v>
      </c>
      <c r="B77" s="104"/>
      <c r="C77" s="77" t="s">
        <v>136</v>
      </c>
      <c r="D77" s="77" t="s">
        <v>80</v>
      </c>
      <c r="E77" s="104" t="s">
        <v>82</v>
      </c>
      <c r="F77" s="104"/>
      <c r="G77" s="104" t="s">
        <v>81</v>
      </c>
      <c r="H77" s="104"/>
      <c r="I77" s="13" t="s">
        <v>138</v>
      </c>
      <c r="J77" s="28">
        <f ca="1">H75*25%</f>
        <v>0.5</v>
      </c>
      <c r="S77"/>
    </row>
    <row r="78" spans="1:19" x14ac:dyDescent="0.25">
      <c r="A78" s="104" t="s">
        <v>125</v>
      </c>
      <c r="B78" s="104"/>
      <c r="C78" s="77">
        <v>0</v>
      </c>
      <c r="D78" s="19">
        <f ca="1">((100/H75)*C78)/100</f>
        <v>0</v>
      </c>
      <c r="E78" s="191">
        <f ca="1">(((C79/H75*10)+(40/(D75+F75+H75)*C80)+(7.5/(H75)*C81)+(7.5/(H75)*C82)+(10/H75*C83)+(10/H75*C84)+(5/H75*C85)+(5/H75*C86)+(5/H75*C87))/100)</f>
        <v>0</v>
      </c>
      <c r="F78" s="191"/>
      <c r="G78" s="191">
        <f ca="1">((((C78/H75)*20)+((C79/H75)*25)+(30/(H75+F75+D75)*C80)+(5/H75*C81)+(5/H75*C82)+(5/H75*C83)+(5/H75*C84)+(0/H75*C85)+(0/H75*C86)+(5/H75*C87))/100)</f>
        <v>0</v>
      </c>
      <c r="H78" s="191"/>
      <c r="I78" s="13" t="s">
        <v>98</v>
      </c>
      <c r="J78" s="29">
        <f ca="1">H75*50%</f>
        <v>1</v>
      </c>
    </row>
    <row r="79" spans="1:19" x14ac:dyDescent="0.25">
      <c r="A79" s="104" t="s">
        <v>48</v>
      </c>
      <c r="B79" s="104"/>
      <c r="C79" s="78">
        <v>0</v>
      </c>
      <c r="D79" s="19">
        <f ca="1">((100/H75)*C79)/100</f>
        <v>0</v>
      </c>
      <c r="E79" s="191"/>
      <c r="F79" s="191"/>
      <c r="G79" s="191"/>
      <c r="H79" s="191"/>
      <c r="I79" s="13" t="s">
        <v>99</v>
      </c>
      <c r="J79" s="29">
        <f ca="1">H75</f>
        <v>2</v>
      </c>
      <c r="S79"/>
    </row>
    <row r="80" spans="1:19" ht="15.75" customHeight="1" x14ac:dyDescent="0.25">
      <c r="A80" s="104" t="s">
        <v>126</v>
      </c>
      <c r="B80" s="104"/>
      <c r="C80" s="77">
        <v>0</v>
      </c>
      <c r="D80" s="19">
        <f ca="1">((100/(D75+F75+H75))*C80)/100</f>
        <v>0</v>
      </c>
      <c r="E80" s="191"/>
      <c r="F80" s="191"/>
      <c r="G80" s="191"/>
      <c r="H80" s="191"/>
      <c r="I80" s="13" t="s">
        <v>100</v>
      </c>
      <c r="J80" s="30">
        <f ca="1">(IF(B75&gt;1,(H75/(B75+2)),H75/4))</f>
        <v>0.5</v>
      </c>
      <c r="S80"/>
    </row>
    <row r="81" spans="1:10" ht="15.75" customHeight="1" x14ac:dyDescent="0.25">
      <c r="A81" s="104" t="s">
        <v>133</v>
      </c>
      <c r="B81" s="104" t="s">
        <v>127</v>
      </c>
      <c r="C81" s="77">
        <v>0</v>
      </c>
      <c r="D81" s="19">
        <f ca="1">((100/H75)*C81)/100</f>
        <v>0</v>
      </c>
      <c r="E81" s="191"/>
      <c r="F81" s="191"/>
      <c r="G81" s="191"/>
      <c r="H81" s="191"/>
      <c r="I81" s="13" t="s">
        <v>101</v>
      </c>
      <c r="J81" s="30">
        <f ca="1">(IF(B75&gt;1,(H75/(B75+2)+J80),H75/4+J80))</f>
        <v>1</v>
      </c>
    </row>
    <row r="82" spans="1:10" ht="15.75" customHeight="1" x14ac:dyDescent="0.25">
      <c r="A82" s="104" t="s">
        <v>134</v>
      </c>
      <c r="B82" s="104" t="s">
        <v>127</v>
      </c>
      <c r="C82" s="77">
        <v>0</v>
      </c>
      <c r="D82" s="19">
        <f ca="1">((100/H75)*C82)/100</f>
        <v>0</v>
      </c>
      <c r="E82" s="191"/>
      <c r="F82" s="191"/>
      <c r="G82" s="191"/>
      <c r="H82" s="191"/>
      <c r="I82" s="13" t="s">
        <v>145</v>
      </c>
      <c r="J82" s="30">
        <f>(IF(B75&gt;1,(H75/(B75+2)+J81),0))</f>
        <v>0</v>
      </c>
    </row>
    <row r="83" spans="1:10" ht="15" customHeight="1" x14ac:dyDescent="0.25">
      <c r="A83" s="104" t="s">
        <v>132</v>
      </c>
      <c r="B83" s="104" t="s">
        <v>129</v>
      </c>
      <c r="C83" s="77">
        <v>0</v>
      </c>
      <c r="D83" s="19">
        <f ca="1">((100/(H75))*C83)/100</f>
        <v>0</v>
      </c>
      <c r="E83" s="191"/>
      <c r="F83" s="191"/>
      <c r="G83" s="191"/>
      <c r="H83" s="191"/>
      <c r="I83" s="13" t="s">
        <v>140</v>
      </c>
      <c r="J83" s="30">
        <f>(IF(B75&gt;2,(H75/(B75+2)+J82),0))</f>
        <v>0</v>
      </c>
    </row>
    <row r="84" spans="1:10" ht="15.75" customHeight="1" x14ac:dyDescent="0.25">
      <c r="A84" s="104" t="s">
        <v>128</v>
      </c>
      <c r="B84" s="104" t="s">
        <v>128</v>
      </c>
      <c r="C84" s="77">
        <v>0</v>
      </c>
      <c r="D84" s="19">
        <f ca="1">((100/H75)*C84)/100</f>
        <v>0</v>
      </c>
      <c r="E84" s="191"/>
      <c r="F84" s="191"/>
      <c r="G84" s="191"/>
      <c r="H84" s="191"/>
      <c r="I84" s="13" t="s">
        <v>141</v>
      </c>
      <c r="J84" s="31">
        <f>(IF(B75&gt;3,(H75/(B75+2)+J83),0))</f>
        <v>0</v>
      </c>
    </row>
    <row r="85" spans="1:10" ht="15.75" customHeight="1" x14ac:dyDescent="0.25">
      <c r="A85" s="104" t="s">
        <v>135</v>
      </c>
      <c r="B85" s="104"/>
      <c r="C85" s="77">
        <v>0</v>
      </c>
      <c r="D85" s="19">
        <f ca="1">((100/H75)*C85)/100</f>
        <v>0</v>
      </c>
      <c r="E85" s="191"/>
      <c r="F85" s="191"/>
      <c r="G85" s="191"/>
      <c r="H85" s="191"/>
      <c r="I85" s="13" t="s">
        <v>142</v>
      </c>
      <c r="J85" s="30">
        <f>(IF(B75&gt;4,(H75/(B75+2)+J84),0))</f>
        <v>0</v>
      </c>
    </row>
    <row r="86" spans="1:10" ht="15.75" customHeight="1" x14ac:dyDescent="0.25">
      <c r="A86" s="104" t="s">
        <v>130</v>
      </c>
      <c r="B86" s="104" t="s">
        <v>130</v>
      </c>
      <c r="C86" s="77">
        <v>0</v>
      </c>
      <c r="D86" s="19">
        <f ca="1">((100/(H75))*C86)/100</f>
        <v>0</v>
      </c>
      <c r="E86" s="191"/>
      <c r="F86" s="191"/>
      <c r="G86" s="191"/>
      <c r="H86" s="191"/>
      <c r="I86" s="13" t="s">
        <v>146</v>
      </c>
      <c r="J86" s="30">
        <f ca="1">(IF(B75=1,(H75/(B75+3)+J81),IF(B75=0,(H75/4+J81),IF(B75&gt;1,0))))</f>
        <v>1.5</v>
      </c>
    </row>
    <row r="87" spans="1:10" ht="16.5" thickBot="1" x14ac:dyDescent="0.3">
      <c r="A87" s="104" t="s">
        <v>131</v>
      </c>
      <c r="B87" s="104"/>
      <c r="C87" s="77">
        <v>0</v>
      </c>
      <c r="D87" s="19">
        <f ca="1">((100/(H75))*C87)/100</f>
        <v>0</v>
      </c>
      <c r="E87" s="191"/>
      <c r="F87" s="191"/>
      <c r="G87" s="191"/>
      <c r="H87" s="191"/>
      <c r="I87" s="15" t="s">
        <v>102</v>
      </c>
      <c r="J87" s="32">
        <f ca="1">(IF(B75&gt;1.5,(H75/(B75+2)+J81+MAX(0,J82-J81)+MAX(0,J83-J82)+MAX(0,J84-J83)+MAX(0,J85-J84)+MAX(0,J86-J85)),IF(B75=1,(H75/(B75+3)+J86),IF(B75=0,H75/4+J86))))</f>
        <v>2</v>
      </c>
    </row>
    <row r="88" spans="1:10" ht="15.75" customHeight="1" x14ac:dyDescent="0.25">
      <c r="A88" s="232" t="s">
        <v>137</v>
      </c>
      <c r="B88" s="233"/>
      <c r="C88" s="234" t="str">
        <f>D66</f>
        <v>Building A = Stilt + 1st to 21st Floor</v>
      </c>
      <c r="D88" s="235"/>
      <c r="E88" s="235"/>
      <c r="F88" s="235"/>
      <c r="G88" s="235"/>
      <c r="H88" s="236"/>
      <c r="I88" s="48" t="str">
        <f ca="1">IF(D101=100%,"All work Completed. Possession granted to the Building.",IF(D100=100%,"All work Completed, Waiting for OC",I89&amp;""&amp;I90&amp;""&amp;J89&amp;""&amp;J88&amp;" "&amp;J90))</f>
        <v>Excavation, Plinth Completed, RCC upto 21 Slab, Brickwork upto 17 Floor, Internal Plaster upto 10 Floor, External Plaster upto 6 Floor Completed</v>
      </c>
      <c r="J88" s="49"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21 Slab, Brickwork upto 17 Floor, Internal Plaster upto 10 Floor, External Plaster upto 6 Floor</v>
      </c>
    </row>
    <row r="89" spans="1:10" x14ac:dyDescent="0.25">
      <c r="A89" s="16" t="s">
        <v>139</v>
      </c>
      <c r="B89" s="46">
        <f>IF(AND(ISNUMBER(SEARCH("1B",C88))),1,IF(AND(ISNUMBER(SEARCH("2B",C88))),2,IF(AND(ISNUMBER(SEARCH("3B",C88))),3,IF(AND(ISNUMBER(SEARCH("4B",C88))),4,IF(ISNUMBER(SEARCH("5B",C88)),5,0)))))</f>
        <v>0</v>
      </c>
      <c r="C89" s="46" t="s">
        <v>69</v>
      </c>
      <c r="D89" s="46">
        <v>1</v>
      </c>
      <c r="E89" s="46" t="s">
        <v>68</v>
      </c>
      <c r="F89" s="46">
        <v>0</v>
      </c>
      <c r="G89" s="46" t="s">
        <v>77</v>
      </c>
      <c r="H89" s="17">
        <f ca="1">--TRIM(RIGHT(SUBSTITUTE(LEFT(C88,_xlfn.AGGREGATE(16,6,FIND({0,1,2,3,4,5,6,7,8,9},C88,ROW(INDIRECT("1:"&amp;LEN(C88)))),1))," ",REPT(" ",LEN(C88))),LEN(C88)))</f>
        <v>21</v>
      </c>
      <c r="I89" s="50" t="str">
        <f ca="1">IF(D92=100%,"Excavation","")&amp;IF(D93=100%,", Plinth","")&amp;IF(D94=100%,", RCC Slab","")&amp;IF(D95=100%,", Brickwork","")&amp;IF(D96=100%,", Internal Plaster","")&amp;IF(D97=100%,", External Plaster","")&amp;IF(D98=100%,", Flooring","")&amp;IF(D99=100%,", Painting","")&amp;IF(D100=100%,", Building common Amenities","")</f>
        <v>Excavation, Plinth</v>
      </c>
      <c r="J89" s="51"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t="33" customHeight="1" x14ac:dyDescent="0.25">
      <c r="A90" s="108" t="s">
        <v>87</v>
      </c>
      <c r="B90" s="109"/>
      <c r="C90" s="112" t="str">
        <f ca="1">(IF($G$60="NA",I88,"All work Completed. OC Received."))</f>
        <v>Excavation, Plinth Completed, RCC upto 21 Slab, Brickwork upto 17 Floor, Internal Plaster upto 10 Floor, External Plaster upto 6 Floor Completed</v>
      </c>
      <c r="D90" s="112"/>
      <c r="E90" s="112"/>
      <c r="F90" s="112"/>
      <c r="G90" s="112"/>
      <c r="H90" s="113"/>
      <c r="I90" s="50" t="str">
        <f ca="1">IF(I89&lt;&gt;""," Completed","")</f>
        <v xml:space="preserve"> Completed</v>
      </c>
      <c r="J90" s="51" t="str">
        <f ca="1">IF(J88&lt;&gt;"","Completed","")</f>
        <v>Completed</v>
      </c>
    </row>
    <row r="91" spans="1:10" ht="15.75" customHeight="1" x14ac:dyDescent="0.25">
      <c r="A91" s="125" t="s">
        <v>47</v>
      </c>
      <c r="B91" s="126"/>
      <c r="C91" s="69" t="s">
        <v>136</v>
      </c>
      <c r="D91" s="69" t="s">
        <v>80</v>
      </c>
      <c r="E91" s="126" t="s">
        <v>82</v>
      </c>
      <c r="F91" s="126"/>
      <c r="G91" s="126" t="s">
        <v>81</v>
      </c>
      <c r="H91" s="170"/>
      <c r="I91" s="13" t="s">
        <v>138</v>
      </c>
      <c r="J91" s="28">
        <f ca="1">H89*25%</f>
        <v>5.25</v>
      </c>
    </row>
    <row r="92" spans="1:10" x14ac:dyDescent="0.25">
      <c r="A92" s="125" t="s">
        <v>125</v>
      </c>
      <c r="B92" s="126"/>
      <c r="C92" s="69">
        <f ca="1">J93</f>
        <v>21</v>
      </c>
      <c r="D92" s="70">
        <f ca="1">((100/H89)*C92)/100</f>
        <v>1</v>
      </c>
      <c r="E92" s="119">
        <f ca="1">(((C93/H89*10)+(40/(D89+F89+H89)*C94)+(7.5/(H89)*C95)+(7.5/(H89)*C96)+(10/H89*C97)+(10/H89*C98)+(5/H89*C99)+(5/H89*C100)+(5/H89*C101))/100)</f>
        <v>0.6068181818181817</v>
      </c>
      <c r="F92" s="120"/>
      <c r="G92" s="119">
        <f ca="1">((((C92/H89)*20)+((C93/H89)*25)+(30/(H89+F89+D89)*C94)+(5/H89*C95)+(5/H89*C96)+(5/H89*C97)+(5/H89*C98)+(0/H89*C99)+(0/H89*C100)+(5/H89*C101))/100)</f>
        <v>0.81493506493506485</v>
      </c>
      <c r="H92" s="136"/>
      <c r="I92" s="13" t="s">
        <v>98</v>
      </c>
      <c r="J92" s="29">
        <f ca="1">H89*50%</f>
        <v>10.5</v>
      </c>
    </row>
    <row r="93" spans="1:10" x14ac:dyDescent="0.25">
      <c r="A93" s="125" t="s">
        <v>48</v>
      </c>
      <c r="B93" s="126"/>
      <c r="C93" s="71">
        <f ca="1">J101</f>
        <v>21</v>
      </c>
      <c r="D93" s="70">
        <f ca="1">((100/H89)*C93)/100</f>
        <v>1</v>
      </c>
      <c r="E93" s="121"/>
      <c r="F93" s="122"/>
      <c r="G93" s="121"/>
      <c r="H93" s="137"/>
      <c r="I93" s="13" t="s">
        <v>99</v>
      </c>
      <c r="J93" s="29">
        <f ca="1">H89</f>
        <v>21</v>
      </c>
    </row>
    <row r="94" spans="1:10" ht="15.75" customHeight="1" x14ac:dyDescent="0.25">
      <c r="A94" s="125" t="s">
        <v>126</v>
      </c>
      <c r="B94" s="126"/>
      <c r="C94" s="69">
        <v>21</v>
      </c>
      <c r="D94" s="70">
        <f ca="1">((100/(D89+F89+H89))*C94)/100</f>
        <v>0.9545454545454547</v>
      </c>
      <c r="E94" s="121"/>
      <c r="F94" s="122"/>
      <c r="G94" s="121"/>
      <c r="H94" s="137"/>
      <c r="I94" s="13" t="s">
        <v>100</v>
      </c>
      <c r="J94" s="30">
        <f ca="1">(IF(B89&gt;1,(H89/(B89+2)),H89/4))</f>
        <v>5.25</v>
      </c>
    </row>
    <row r="95" spans="1:10" ht="15.75" customHeight="1" x14ac:dyDescent="0.25">
      <c r="A95" s="125" t="s">
        <v>133</v>
      </c>
      <c r="B95" s="126" t="s">
        <v>127</v>
      </c>
      <c r="C95" s="69">
        <v>17</v>
      </c>
      <c r="D95" s="70">
        <f ca="1">((100/H89)*C95)/100</f>
        <v>0.80952380952380953</v>
      </c>
      <c r="E95" s="121"/>
      <c r="F95" s="122"/>
      <c r="G95" s="121"/>
      <c r="H95" s="137"/>
      <c r="I95" s="13" t="s">
        <v>101</v>
      </c>
      <c r="J95" s="30">
        <f ca="1">(IF(B89&gt;1,(H89/(B89+2)+J94),H89/4+J94))</f>
        <v>10.5</v>
      </c>
    </row>
    <row r="96" spans="1:10" ht="15.75" customHeight="1" x14ac:dyDescent="0.25">
      <c r="A96" s="125" t="s">
        <v>134</v>
      </c>
      <c r="B96" s="126" t="s">
        <v>127</v>
      </c>
      <c r="C96" s="69">
        <v>10</v>
      </c>
      <c r="D96" s="70">
        <f ca="1">((100/H89)*C96)/100</f>
        <v>0.47619047619047622</v>
      </c>
      <c r="E96" s="121"/>
      <c r="F96" s="122"/>
      <c r="G96" s="121"/>
      <c r="H96" s="137"/>
      <c r="I96" s="13" t="s">
        <v>145</v>
      </c>
      <c r="J96" s="30">
        <f>(IF(B89&gt;1,(H89/(B89+2)+J95),0))</f>
        <v>0</v>
      </c>
    </row>
    <row r="97" spans="1:10" ht="15" customHeight="1" x14ac:dyDescent="0.25">
      <c r="A97" s="125" t="s">
        <v>132</v>
      </c>
      <c r="B97" s="126" t="s">
        <v>129</v>
      </c>
      <c r="C97" s="69">
        <v>6</v>
      </c>
      <c r="D97" s="70">
        <f ca="1">((100/(H89))*C97)/100</f>
        <v>0.2857142857142857</v>
      </c>
      <c r="E97" s="121"/>
      <c r="F97" s="122"/>
      <c r="G97" s="121"/>
      <c r="H97" s="137"/>
      <c r="I97" s="13" t="s">
        <v>140</v>
      </c>
      <c r="J97" s="30">
        <f>(IF(B89&gt;2,(H89/(B89+2)+J96),0))</f>
        <v>0</v>
      </c>
    </row>
    <row r="98" spans="1:10" ht="15.75" customHeight="1" x14ac:dyDescent="0.25">
      <c r="A98" s="125" t="s">
        <v>128</v>
      </c>
      <c r="B98" s="126" t="s">
        <v>128</v>
      </c>
      <c r="C98" s="69">
        <v>0</v>
      </c>
      <c r="D98" s="70">
        <f ca="1">((100/H89)*C98)/100</f>
        <v>0</v>
      </c>
      <c r="E98" s="121"/>
      <c r="F98" s="122"/>
      <c r="G98" s="121"/>
      <c r="H98" s="137"/>
      <c r="I98" s="13" t="s">
        <v>141</v>
      </c>
      <c r="J98" s="31">
        <f>(IF(B89&gt;3,(H89/(B89+2)+J97),0))</f>
        <v>0</v>
      </c>
    </row>
    <row r="99" spans="1:10" ht="15.75" customHeight="1" x14ac:dyDescent="0.25">
      <c r="A99" s="125" t="s">
        <v>135</v>
      </c>
      <c r="B99" s="126"/>
      <c r="C99" s="69">
        <v>0</v>
      </c>
      <c r="D99" s="70">
        <f ca="1">((100/H89)*C99)/100</f>
        <v>0</v>
      </c>
      <c r="E99" s="121"/>
      <c r="F99" s="122"/>
      <c r="G99" s="121"/>
      <c r="H99" s="137"/>
      <c r="I99" s="13" t="s">
        <v>142</v>
      </c>
      <c r="J99" s="30">
        <f>(IF(B89&gt;4,(H89/(B89+2)+J98),0))</f>
        <v>0</v>
      </c>
    </row>
    <row r="100" spans="1:10" ht="15.75" customHeight="1" x14ac:dyDescent="0.25">
      <c r="A100" s="125" t="s">
        <v>130</v>
      </c>
      <c r="B100" s="126" t="s">
        <v>130</v>
      </c>
      <c r="C100" s="69">
        <v>0</v>
      </c>
      <c r="D100" s="70">
        <f ca="1">((100/(H89))*C100)/100</f>
        <v>0</v>
      </c>
      <c r="E100" s="121"/>
      <c r="F100" s="122"/>
      <c r="G100" s="121"/>
      <c r="H100" s="137"/>
      <c r="I100" s="13" t="s">
        <v>146</v>
      </c>
      <c r="J100" s="30">
        <f ca="1">(IF(B89=1,(H89/(B89+3)+J95),IF(B89=0,(H89/4+J95),IF(B89&gt;1,0))))</f>
        <v>15.75</v>
      </c>
    </row>
    <row r="101" spans="1:10" ht="16.5" thickBot="1" x14ac:dyDescent="0.3">
      <c r="A101" s="205" t="s">
        <v>131</v>
      </c>
      <c r="B101" s="206"/>
      <c r="C101" s="72">
        <v>0</v>
      </c>
      <c r="D101" s="73">
        <f ca="1">((100/(H89))*C101)/100</f>
        <v>0</v>
      </c>
      <c r="E101" s="123"/>
      <c r="F101" s="124"/>
      <c r="G101" s="123"/>
      <c r="H101" s="138"/>
      <c r="I101" s="15" t="s">
        <v>102</v>
      </c>
      <c r="J101" s="32">
        <f ca="1">(IF(B89&gt;1.5,(H89/(B89+2)+J95+MAX(0,J96-J95)+MAX(0,J97-J96)+MAX(0,J98-J97)+MAX(0,J99-J98)+MAX(0,J100-J99)),IF(B89=1,(H89/(B89+3)+J100),IF(B89=0,H89/4+J100))))</f>
        <v>21</v>
      </c>
    </row>
    <row r="102" spans="1:10" ht="15.75" hidden="1" customHeight="1" x14ac:dyDescent="0.25">
      <c r="A102" s="176" t="s">
        <v>137</v>
      </c>
      <c r="B102" s="177"/>
      <c r="C102" s="178" t="e">
        <f>#REF!</f>
        <v>#REF!</v>
      </c>
      <c r="D102" s="179"/>
      <c r="E102" s="179"/>
      <c r="F102" s="179"/>
      <c r="G102" s="179"/>
      <c r="H102" s="180"/>
      <c r="I102" s="48" t="e">
        <f ca="1">IF(D115=100%,"All work Completed. Possession granted to the Building.",IF(D114=100%,"All work Completed, Waiting for OC",I103&amp;""&amp;I104&amp;""&amp;J103&amp;""&amp;J102&amp;" "&amp;J104))</f>
        <v>#REF!</v>
      </c>
      <c r="J102" s="49"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row>
    <row r="103" spans="1:10" hidden="1" x14ac:dyDescent="0.25">
      <c r="A103" s="16" t="s">
        <v>139</v>
      </c>
      <c r="B103" s="46">
        <f>IF(AND(ISNUMBER(SEARCH("1B",C102))),1,IF(AND(ISNUMBER(SEARCH("2B",C102))),2,IF(AND(ISNUMBER(SEARCH("3B",C102))),3,IF(AND(ISNUMBER(SEARCH("4B",C102))),4,IF(ISNUMBER(SEARCH("5B",C102)),5,0)))))</f>
        <v>0</v>
      </c>
      <c r="C103" s="46" t="s">
        <v>69</v>
      </c>
      <c r="D103" s="46">
        <v>1</v>
      </c>
      <c r="E103" s="46" t="s">
        <v>68</v>
      </c>
      <c r="F103" s="14">
        <v>0</v>
      </c>
      <c r="G103" s="47" t="s">
        <v>77</v>
      </c>
      <c r="H103" s="17" t="e">
        <f ca="1">--TRIM(RIGHT(SUBSTITUTE(LEFT(C102,_xlfn.AGGREGATE(16,6,FIND({0,1,2,3,4,5,6,7,8,9},C102,ROW(INDIRECT("1:"&amp;LEN(C102)))),1))," ",REPT(" ",LEN(C102))),LEN(C102)))</f>
        <v>#REF!</v>
      </c>
      <c r="I103" s="50" t="e">
        <f ca="1">IF(D106=100%,"Excavation","")&amp;IF(D107=100%,", Plinth","")&amp;IF(D108=100%,", RCC Slab","")&amp;IF(D109=100%,", Brickwork","")&amp;IF(D110=100%,", Internal Plaster","")&amp;IF(D111=100%,", External Plaster","")&amp;IF(D112=100%,", Flooring","")&amp;IF(D113=100%,", Painting","")&amp;IF(D114=100%,", Building common Amenities","")</f>
        <v>#REF!</v>
      </c>
      <c r="J103" s="51"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row>
    <row r="104" spans="1:10" hidden="1" x14ac:dyDescent="0.25">
      <c r="A104" s="108" t="s">
        <v>87</v>
      </c>
      <c r="B104" s="109"/>
      <c r="C104" s="112" t="e">
        <f ca="1">(IF($G$60="NA",I102,"All work Completed. OC Received."))</f>
        <v>#REF!</v>
      </c>
      <c r="D104" s="112"/>
      <c r="E104" s="112"/>
      <c r="F104" s="112"/>
      <c r="G104" s="112"/>
      <c r="H104" s="113"/>
      <c r="I104" s="50" t="e">
        <f ca="1">IF(I103&lt;&gt;""," Completed","")</f>
        <v>#REF!</v>
      </c>
      <c r="J104" s="51" t="e">
        <f ca="1">IF(J102&lt;&gt;"","Completed","")</f>
        <v>#REF!</v>
      </c>
    </row>
    <row r="105" spans="1:10" ht="15.75" hidden="1" customHeight="1" x14ac:dyDescent="0.25">
      <c r="A105" s="103" t="s">
        <v>47</v>
      </c>
      <c r="B105" s="104"/>
      <c r="C105" s="43" t="s">
        <v>136</v>
      </c>
      <c r="D105" s="43" t="s">
        <v>80</v>
      </c>
      <c r="E105" s="104" t="s">
        <v>82</v>
      </c>
      <c r="F105" s="104"/>
      <c r="G105" s="104" t="s">
        <v>81</v>
      </c>
      <c r="H105" s="142"/>
      <c r="I105" s="13" t="s">
        <v>138</v>
      </c>
      <c r="J105" s="28" t="e">
        <f ca="1">H103*25%</f>
        <v>#REF!</v>
      </c>
    </row>
    <row r="106" spans="1:10" hidden="1" x14ac:dyDescent="0.25">
      <c r="A106" s="103" t="s">
        <v>125</v>
      </c>
      <c r="B106" s="104"/>
      <c r="C106" s="43" t="e">
        <f ca="1">J107</f>
        <v>#REF!</v>
      </c>
      <c r="D106" s="19" t="e">
        <f ca="1">((100/H103)*C106)/100</f>
        <v>#REF!</v>
      </c>
      <c r="E106" s="127" t="e">
        <f ca="1">(((C107/H103*10)+(40/(D103+F103+H103)*C108)+(7.5/(H103)*C109)+(7.5/(H103)*C110)+(10/H103*C111)+(10/H103*C112)+(5/H103*C113)+(5/H103*C114)+(5/H103*C115))/100)</f>
        <v>#REF!</v>
      </c>
      <c r="F106" s="128"/>
      <c r="G106" s="127" t="e">
        <f ca="1">((((C106/H103)*20)+((C107/H103)*25)+(30/(H103+F103+D103)*C108)+(5/H103*C109)+(5/H103*C110)+(5/H103*C111)+(5/H103*C112)+(0/H103*C113)+(0/H103*C114)+(5/H103*C115))/100)</f>
        <v>#REF!</v>
      </c>
      <c r="H106" s="187"/>
      <c r="I106" s="13" t="s">
        <v>98</v>
      </c>
      <c r="J106" s="29" t="e">
        <f ca="1">H103*50%</f>
        <v>#REF!</v>
      </c>
    </row>
    <row r="107" spans="1:10" hidden="1" x14ac:dyDescent="0.25">
      <c r="A107" s="103" t="s">
        <v>48</v>
      </c>
      <c r="B107" s="104"/>
      <c r="C107" s="43" t="e">
        <f ca="1">J115</f>
        <v>#REF!</v>
      </c>
      <c r="D107" s="19" t="e">
        <f ca="1">((100/H103)*C107)/100</f>
        <v>#REF!</v>
      </c>
      <c r="E107" s="129"/>
      <c r="F107" s="130"/>
      <c r="G107" s="129"/>
      <c r="H107" s="188"/>
      <c r="I107" s="13" t="s">
        <v>99</v>
      </c>
      <c r="J107" s="29" t="e">
        <f ca="1">H103</f>
        <v>#REF!</v>
      </c>
    </row>
    <row r="108" spans="1:10" ht="15.75" hidden="1" customHeight="1" x14ac:dyDescent="0.25">
      <c r="A108" s="103" t="s">
        <v>126</v>
      </c>
      <c r="B108" s="104"/>
      <c r="C108" s="43" t="e">
        <f ca="1">D103+H103</f>
        <v>#REF!</v>
      </c>
      <c r="D108" s="19" t="e">
        <f ca="1">((100/(D103+F103+H103))*C108)/100</f>
        <v>#REF!</v>
      </c>
      <c r="E108" s="129"/>
      <c r="F108" s="130"/>
      <c r="G108" s="129"/>
      <c r="H108" s="188"/>
      <c r="I108" s="13" t="s">
        <v>100</v>
      </c>
      <c r="J108" s="30" t="e">
        <f ca="1">(IF(B103&gt;1,(H103/(B103+2)),H103/4))</f>
        <v>#REF!</v>
      </c>
    </row>
    <row r="109" spans="1:10" ht="15.75" hidden="1" customHeight="1" x14ac:dyDescent="0.25">
      <c r="A109" s="103" t="s">
        <v>133</v>
      </c>
      <c r="B109" s="104" t="s">
        <v>127</v>
      </c>
      <c r="C109" s="43">
        <v>0</v>
      </c>
      <c r="D109" s="19" t="e">
        <f ca="1">((100/H103)*C109)/100</f>
        <v>#REF!</v>
      </c>
      <c r="E109" s="129"/>
      <c r="F109" s="130"/>
      <c r="G109" s="129"/>
      <c r="H109" s="188"/>
      <c r="I109" s="13" t="s">
        <v>101</v>
      </c>
      <c r="J109" s="30" t="e">
        <f ca="1">(IF(B103&gt;1,(H103/(B103+2)+J108),H103/4+J108))</f>
        <v>#REF!</v>
      </c>
    </row>
    <row r="110" spans="1:10" ht="15.75" hidden="1" customHeight="1" x14ac:dyDescent="0.25">
      <c r="A110" s="103" t="s">
        <v>134</v>
      </c>
      <c r="B110" s="104" t="s">
        <v>127</v>
      </c>
      <c r="C110" s="43">
        <v>0</v>
      </c>
      <c r="D110" s="19" t="e">
        <f ca="1">((100/H103)*C110)/100</f>
        <v>#REF!</v>
      </c>
      <c r="E110" s="129"/>
      <c r="F110" s="130"/>
      <c r="G110" s="129"/>
      <c r="H110" s="188"/>
      <c r="I110" s="13" t="s">
        <v>145</v>
      </c>
      <c r="J110" s="30">
        <f>(IF(B103&gt;1,(H103/(B103+2)+J109),0))</f>
        <v>0</v>
      </c>
    </row>
    <row r="111" spans="1:10" ht="15" hidden="1" customHeight="1" x14ac:dyDescent="0.25">
      <c r="A111" s="103" t="s">
        <v>132</v>
      </c>
      <c r="B111" s="104" t="s">
        <v>129</v>
      </c>
      <c r="C111" s="43">
        <v>0</v>
      </c>
      <c r="D111" s="19" t="e">
        <f ca="1">((100/(H103))*C111)/100</f>
        <v>#REF!</v>
      </c>
      <c r="E111" s="129"/>
      <c r="F111" s="130"/>
      <c r="G111" s="129"/>
      <c r="H111" s="188"/>
      <c r="I111" s="13" t="s">
        <v>140</v>
      </c>
      <c r="J111" s="30">
        <f>(IF(B103&gt;2,(H103/(B103+2)+J110),0))</f>
        <v>0</v>
      </c>
    </row>
    <row r="112" spans="1:10" ht="15.75" hidden="1" customHeight="1" x14ac:dyDescent="0.25">
      <c r="A112" s="103" t="s">
        <v>128</v>
      </c>
      <c r="B112" s="104" t="s">
        <v>128</v>
      </c>
      <c r="C112" s="43">
        <v>0</v>
      </c>
      <c r="D112" s="19" t="e">
        <f ca="1">((100/H103)*C112)/100</f>
        <v>#REF!</v>
      </c>
      <c r="E112" s="129"/>
      <c r="F112" s="130"/>
      <c r="G112" s="129"/>
      <c r="H112" s="188"/>
      <c r="I112" s="13" t="s">
        <v>141</v>
      </c>
      <c r="J112" s="31">
        <f>(IF(B103&gt;3,(H103/(B103+2)+J111),0))</f>
        <v>0</v>
      </c>
    </row>
    <row r="113" spans="1:22" ht="15.75" hidden="1" customHeight="1" x14ac:dyDescent="0.25">
      <c r="A113" s="103" t="s">
        <v>135</v>
      </c>
      <c r="B113" s="104"/>
      <c r="C113" s="43">
        <v>0</v>
      </c>
      <c r="D113" s="19" t="e">
        <f ca="1">((100/H103)*C113)/100</f>
        <v>#REF!</v>
      </c>
      <c r="E113" s="129"/>
      <c r="F113" s="130"/>
      <c r="G113" s="129"/>
      <c r="H113" s="188"/>
      <c r="I113" s="13" t="s">
        <v>142</v>
      </c>
      <c r="J113" s="30">
        <f>(IF(B103&gt;4,(H103/(B103+2)+J112),0))</f>
        <v>0</v>
      </c>
    </row>
    <row r="114" spans="1:22" ht="15.75" hidden="1" customHeight="1" x14ac:dyDescent="0.25">
      <c r="A114" s="103" t="s">
        <v>130</v>
      </c>
      <c r="B114" s="104" t="s">
        <v>130</v>
      </c>
      <c r="C114" s="43">
        <v>0</v>
      </c>
      <c r="D114" s="19" t="e">
        <f ca="1">((100/(H103))*C114)/100</f>
        <v>#REF!</v>
      </c>
      <c r="E114" s="129"/>
      <c r="F114" s="130"/>
      <c r="G114" s="129"/>
      <c r="H114" s="188"/>
      <c r="I114" s="13" t="s">
        <v>146</v>
      </c>
      <c r="J114" s="30" t="e">
        <f ca="1">(IF(B103=1,(H103/(B103+3)+J109),IF(B103=0,(H103/4+J109),IF(B103&gt;1,0))))</f>
        <v>#REF!</v>
      </c>
    </row>
    <row r="115" spans="1:22" ht="16.5" hidden="1" thickBot="1" x14ac:dyDescent="0.3">
      <c r="A115" s="106" t="s">
        <v>131</v>
      </c>
      <c r="B115" s="107"/>
      <c r="C115" s="44">
        <v>0</v>
      </c>
      <c r="D115" s="20" t="e">
        <f ca="1">((100/(H103))*C115)/100</f>
        <v>#REF!</v>
      </c>
      <c r="E115" s="131"/>
      <c r="F115" s="132"/>
      <c r="G115" s="131"/>
      <c r="H115" s="189"/>
      <c r="I115" s="15" t="s">
        <v>102</v>
      </c>
      <c r="J115" s="32" t="e">
        <f ca="1">(IF(B103&gt;1.5,(H103/(B103+2)+J109+MAX(0,J110-J109)+MAX(0,J111-J110)+MAX(0,J112-J111)+MAX(0,J113-J112)+MAX(0,J114-J113)),IF(B103=1,(H103/(B103+3)+J114),IF(B103=0,H103/4+J114))))</f>
        <v>#REF!</v>
      </c>
    </row>
    <row r="116" spans="1:22" x14ac:dyDescent="0.25">
      <c r="A116" s="141" t="s">
        <v>156</v>
      </c>
      <c r="B116" s="141"/>
      <c r="C116" s="141"/>
      <c r="D116" s="141"/>
      <c r="E116" s="141"/>
      <c r="F116" s="134" t="s">
        <v>160</v>
      </c>
      <c r="G116" s="134"/>
      <c r="H116" s="134"/>
      <c r="R116" t="s">
        <v>254</v>
      </c>
      <c r="S116" t="s">
        <v>172</v>
      </c>
      <c r="T116" t="s">
        <v>179</v>
      </c>
      <c r="U116" t="s">
        <v>194</v>
      </c>
      <c r="V116" t="s">
        <v>189</v>
      </c>
    </row>
    <row r="117" spans="1:22" x14ac:dyDescent="0.25">
      <c r="A117" s="114" t="s">
        <v>158</v>
      </c>
      <c r="B117" s="114"/>
      <c r="C117" s="114"/>
      <c r="D117" s="114"/>
      <c r="E117" s="114"/>
      <c r="F117" s="105">
        <v>7500</v>
      </c>
      <c r="G117" s="105"/>
      <c r="H117" s="105"/>
      <c r="J117" s="21" t="s">
        <v>352</v>
      </c>
      <c r="K117" s="25">
        <v>45559</v>
      </c>
      <c r="L117" s="21" t="s">
        <v>354</v>
      </c>
      <c r="M117" s="21" t="s">
        <v>355</v>
      </c>
      <c r="R117"/>
      <c r="S117">
        <v>800000</v>
      </c>
      <c r="T117">
        <v>150000</v>
      </c>
      <c r="U117">
        <v>100000</v>
      </c>
      <c r="V117">
        <v>100000</v>
      </c>
    </row>
    <row r="118" spans="1:22" hidden="1" x14ac:dyDescent="0.25">
      <c r="A118" s="114" t="s">
        <v>157</v>
      </c>
      <c r="B118" s="114"/>
      <c r="C118" s="114"/>
      <c r="D118" s="114"/>
      <c r="E118" s="114"/>
      <c r="F118" s="105"/>
      <c r="G118" s="105"/>
      <c r="H118" s="105"/>
      <c r="R118"/>
      <c r="S118">
        <v>900000</v>
      </c>
      <c r="T118">
        <v>200000</v>
      </c>
      <c r="U118">
        <v>150000</v>
      </c>
      <c r="V118">
        <v>150000</v>
      </c>
    </row>
    <row r="119" spans="1:22" hidden="1" x14ac:dyDescent="0.25">
      <c r="A119" s="114" t="s">
        <v>159</v>
      </c>
      <c r="B119" s="114"/>
      <c r="C119" s="114"/>
      <c r="D119" s="114"/>
      <c r="E119" s="114"/>
      <c r="F119" s="105"/>
      <c r="G119" s="105"/>
      <c r="H119" s="105"/>
      <c r="R119"/>
      <c r="S119">
        <v>1000000</v>
      </c>
      <c r="T119">
        <v>250000</v>
      </c>
      <c r="U119">
        <v>200000</v>
      </c>
      <c r="V119">
        <v>200000</v>
      </c>
    </row>
    <row r="120" spans="1:22" s="33" customFormat="1" hidden="1" x14ac:dyDescent="0.25">
      <c r="A120" s="114" t="s">
        <v>175</v>
      </c>
      <c r="B120" s="114"/>
      <c r="C120" s="114"/>
      <c r="D120" s="114"/>
      <c r="E120" s="114"/>
      <c r="F120" s="105"/>
      <c r="G120" s="105"/>
      <c r="H120" s="105"/>
      <c r="R120"/>
      <c r="S120">
        <v>1100000</v>
      </c>
      <c r="T120">
        <v>300000</v>
      </c>
      <c r="U120">
        <v>250000</v>
      </c>
      <c r="V120" s="23">
        <v>250000</v>
      </c>
    </row>
    <row r="121" spans="1:22" s="33" customFormat="1" hidden="1" x14ac:dyDescent="0.25">
      <c r="A121" s="114" t="s">
        <v>92</v>
      </c>
      <c r="B121" s="114"/>
      <c r="C121" s="114"/>
      <c r="D121" s="114"/>
      <c r="E121" s="114"/>
      <c r="F121" s="105"/>
      <c r="G121" s="105"/>
      <c r="H121" s="105"/>
      <c r="R121"/>
      <c r="S121">
        <v>1200000</v>
      </c>
      <c r="T121">
        <v>350000</v>
      </c>
      <c r="U121">
        <v>300000</v>
      </c>
      <c r="V121">
        <v>300000</v>
      </c>
    </row>
    <row r="122" spans="1:22" s="33" customFormat="1" hidden="1" x14ac:dyDescent="0.25">
      <c r="A122" s="114" t="s">
        <v>93</v>
      </c>
      <c r="B122" s="114"/>
      <c r="C122" s="114"/>
      <c r="D122" s="114"/>
      <c r="E122" s="114"/>
      <c r="F122" s="105"/>
      <c r="G122" s="105"/>
      <c r="H122" s="105"/>
      <c r="R122"/>
      <c r="S122">
        <v>1300000</v>
      </c>
      <c r="T122">
        <v>400000</v>
      </c>
      <c r="U122">
        <v>350000</v>
      </c>
      <c r="V122" s="23">
        <v>400000</v>
      </c>
    </row>
    <row r="123" spans="1:22" s="33" customFormat="1" hidden="1" x14ac:dyDescent="0.25">
      <c r="A123" s="114" t="s">
        <v>94</v>
      </c>
      <c r="B123" s="114"/>
      <c r="C123" s="114"/>
      <c r="D123" s="114"/>
      <c r="E123" s="114"/>
      <c r="F123" s="105"/>
      <c r="G123" s="105"/>
      <c r="H123" s="105"/>
      <c r="R123"/>
      <c r="S123">
        <v>1400000</v>
      </c>
      <c r="T123">
        <v>500000</v>
      </c>
      <c r="U123">
        <v>400000</v>
      </c>
      <c r="V123"/>
    </row>
    <row r="124" spans="1:22" s="33" customFormat="1" hidden="1" x14ac:dyDescent="0.25">
      <c r="A124" s="114" t="s">
        <v>95</v>
      </c>
      <c r="B124" s="114"/>
      <c r="C124" s="114"/>
      <c r="D124" s="114"/>
      <c r="E124" s="114"/>
      <c r="F124" s="105"/>
      <c r="G124" s="105"/>
      <c r="H124" s="105"/>
      <c r="R124"/>
      <c r="S124">
        <v>1500000</v>
      </c>
      <c r="T124">
        <v>600000</v>
      </c>
      <c r="U124">
        <v>500000</v>
      </c>
      <c r="V124" s="23"/>
    </row>
    <row r="125" spans="1:22" s="33" customFormat="1" hidden="1" x14ac:dyDescent="0.25">
      <c r="A125" s="114" t="s">
        <v>96</v>
      </c>
      <c r="B125" s="114"/>
      <c r="C125" s="114"/>
      <c r="D125" s="114"/>
      <c r="E125" s="114"/>
      <c r="F125" s="105"/>
      <c r="G125" s="105"/>
      <c r="H125" s="105"/>
      <c r="R125"/>
      <c r="S125">
        <v>1600000</v>
      </c>
      <c r="T125">
        <v>700000</v>
      </c>
      <c r="U125">
        <v>600000</v>
      </c>
      <c r="V125"/>
    </row>
    <row r="126" spans="1:22" s="33" customFormat="1" hidden="1" x14ac:dyDescent="0.25">
      <c r="A126" s="114" t="s">
        <v>97</v>
      </c>
      <c r="B126" s="114"/>
      <c r="C126" s="114"/>
      <c r="D126" s="114"/>
      <c r="E126" s="114"/>
      <c r="F126" s="105"/>
      <c r="G126" s="105"/>
      <c r="H126" s="105"/>
      <c r="R126"/>
      <c r="S126">
        <v>1700000</v>
      </c>
      <c r="T126">
        <v>800000</v>
      </c>
      <c r="U126"/>
      <c r="V126" s="23"/>
    </row>
    <row r="127" spans="1:22" x14ac:dyDescent="0.25">
      <c r="A127" s="114" t="s">
        <v>49</v>
      </c>
      <c r="B127" s="114"/>
      <c r="C127" s="114"/>
      <c r="D127" s="114"/>
      <c r="E127" s="114"/>
      <c r="F127" s="105">
        <v>400000</v>
      </c>
      <c r="G127" s="105"/>
      <c r="H127" s="105"/>
      <c r="R127"/>
      <c r="S127">
        <v>1800000</v>
      </c>
      <c r="T127">
        <v>900000</v>
      </c>
      <c r="U127"/>
    </row>
    <row r="128" spans="1:22" s="34" customFormat="1" x14ac:dyDescent="0.25">
      <c r="A128" s="175" t="s">
        <v>50</v>
      </c>
      <c r="B128" s="175"/>
      <c r="C128" s="175"/>
      <c r="D128" s="175"/>
      <c r="E128" s="175"/>
      <c r="F128" s="105">
        <f>F117*0.8</f>
        <v>6000</v>
      </c>
      <c r="G128" s="105"/>
      <c r="H128" s="105"/>
      <c r="R128" s="21"/>
      <c r="S128" s="21"/>
      <c r="T128">
        <v>1000000</v>
      </c>
      <c r="U128"/>
      <c r="V128" s="21"/>
    </row>
    <row r="129" spans="1:22" s="35" customFormat="1" ht="15.75" hidden="1" customHeight="1" x14ac:dyDescent="0.25">
      <c r="A129" s="84" t="s">
        <v>72</v>
      </c>
      <c r="B129" s="84"/>
      <c r="C129" s="84"/>
      <c r="D129" s="84"/>
      <c r="E129" s="84"/>
      <c r="F129" s="84"/>
      <c r="G129" s="84"/>
      <c r="H129" s="84"/>
      <c r="R129"/>
      <c r="S129" s="21"/>
      <c r="T129"/>
      <c r="U129"/>
      <c r="V129" s="21"/>
    </row>
    <row r="130" spans="1:22" s="35" customFormat="1" ht="15.75" hidden="1" customHeight="1" x14ac:dyDescent="0.25">
      <c r="A130" s="87" t="s">
        <v>51</v>
      </c>
      <c r="B130" s="87"/>
      <c r="C130" s="85" t="s">
        <v>75</v>
      </c>
      <c r="D130" s="85"/>
      <c r="E130" s="86" t="s">
        <v>52</v>
      </c>
      <c r="F130" s="86"/>
      <c r="G130" s="87" t="s">
        <v>53</v>
      </c>
      <c r="H130" s="87"/>
      <c r="R130"/>
      <c r="S130" s="21"/>
      <c r="T130"/>
      <c r="U130" s="21"/>
      <c r="V130" s="21"/>
    </row>
    <row r="131" spans="1:22" s="35" customFormat="1" hidden="1" x14ac:dyDescent="0.25">
      <c r="A131" s="88"/>
      <c r="B131" s="88"/>
      <c r="C131" s="115"/>
      <c r="D131" s="115"/>
      <c r="E131" s="116"/>
      <c r="F131" s="116"/>
      <c r="G131" s="83"/>
      <c r="H131" s="83"/>
      <c r="R131"/>
      <c r="S131" s="21"/>
      <c r="T131"/>
      <c r="U131" s="21"/>
      <c r="V131" s="21"/>
    </row>
    <row r="132" spans="1:22" s="35" customFormat="1" hidden="1" x14ac:dyDescent="0.25">
      <c r="A132" s="88"/>
      <c r="B132" s="88"/>
      <c r="C132" s="115"/>
      <c r="D132" s="115"/>
      <c r="E132" s="116"/>
      <c r="F132" s="116"/>
      <c r="G132" s="83"/>
      <c r="H132" s="83"/>
      <c r="R132"/>
      <c r="S132" s="21"/>
      <c r="T132"/>
      <c r="U132" s="21"/>
      <c r="V132" s="21"/>
    </row>
    <row r="133" spans="1:22" s="35" customFormat="1" hidden="1" x14ac:dyDescent="0.25">
      <c r="A133" s="84" t="s">
        <v>149</v>
      </c>
      <c r="B133" s="84"/>
      <c r="C133" s="85"/>
      <c r="D133" s="85"/>
      <c r="E133" s="86"/>
      <c r="F133" s="86"/>
      <c r="G133" s="87"/>
      <c r="H133" s="87"/>
      <c r="R133"/>
      <c r="S133" s="21"/>
      <c r="T133"/>
      <c r="U133" s="21"/>
      <c r="V133" s="21"/>
    </row>
    <row r="134" spans="1:22" s="35" customFormat="1" x14ac:dyDescent="0.25">
      <c r="A134" s="84" t="s">
        <v>67</v>
      </c>
      <c r="B134" s="84"/>
      <c r="C134" s="84"/>
      <c r="D134" s="84"/>
      <c r="E134" s="84"/>
      <c r="F134" s="84"/>
      <c r="G134" s="84"/>
      <c r="H134" s="84"/>
      <c r="T134"/>
    </row>
    <row r="135" spans="1:22" s="35" customFormat="1" ht="15.75" customHeight="1" x14ac:dyDescent="0.25">
      <c r="A135" s="87" t="s">
        <v>51</v>
      </c>
      <c r="B135" s="87"/>
      <c r="C135" s="85" t="s">
        <v>75</v>
      </c>
      <c r="D135" s="85"/>
      <c r="E135" s="86" t="s">
        <v>52</v>
      </c>
      <c r="F135" s="86"/>
      <c r="G135" s="87" t="s">
        <v>53</v>
      </c>
      <c r="H135" s="87"/>
      <c r="T135"/>
    </row>
    <row r="136" spans="1:22" s="35" customFormat="1" x14ac:dyDescent="0.25">
      <c r="A136" s="88" t="s">
        <v>314</v>
      </c>
      <c r="B136" s="88"/>
      <c r="C136" s="89">
        <f>COUNT(D155)</f>
        <v>1</v>
      </c>
      <c r="D136" s="115"/>
      <c r="E136" s="89">
        <f t="shared" ref="E136" si="0">SUM(F155)</f>
        <v>2443.5894599999997</v>
      </c>
      <c r="F136" s="115"/>
      <c r="G136" s="89">
        <f t="shared" ref="G136" si="1">SUM(H155)</f>
        <v>3665.3841899999998</v>
      </c>
      <c r="H136" s="115"/>
      <c r="T136"/>
    </row>
    <row r="137" spans="1:22" s="35" customFormat="1" x14ac:dyDescent="0.25">
      <c r="A137" s="88" t="s">
        <v>317</v>
      </c>
      <c r="B137" s="88"/>
      <c r="C137" s="89">
        <f>COUNT(D159:D167)+COUNT(D169:D179)*17+COUNT(D181:D186,D188:D191)*3</f>
        <v>226</v>
      </c>
      <c r="D137" s="89"/>
      <c r="E137" s="89">
        <f t="shared" ref="E137" si="2">SUM(F159:F167)+SUM(F169:F179)*17+SUM(F181:F186,F188:F191)*3</f>
        <v>94187.906279999981</v>
      </c>
      <c r="F137" s="89"/>
      <c r="G137" s="89">
        <f>SUM(H159:H167)+SUM(H169:H179)*17+SUM(H181:H186,H188:H191)*3</f>
        <v>141281.85941999996</v>
      </c>
      <c r="H137" s="89"/>
      <c r="T137"/>
    </row>
    <row r="138" spans="1:22" s="35" customFormat="1" ht="16.5" thickBot="1" x14ac:dyDescent="0.3">
      <c r="A138" s="99" t="s">
        <v>149</v>
      </c>
      <c r="B138" s="99"/>
      <c r="C138" s="100">
        <f>SUM(C136:D137)</f>
        <v>227</v>
      </c>
      <c r="D138" s="101"/>
      <c r="E138" s="100">
        <f t="shared" ref="E138" si="3">SUM(E136:F137)</f>
        <v>96631.495739999984</v>
      </c>
      <c r="F138" s="101"/>
      <c r="G138" s="100">
        <f t="shared" ref="G138" si="4">SUM(G136:H137)</f>
        <v>144947.24360999998</v>
      </c>
      <c r="H138" s="101"/>
      <c r="T138"/>
    </row>
    <row r="139" spans="1:22" s="35" customFormat="1" ht="16.5" thickBot="1" x14ac:dyDescent="0.3">
      <c r="A139" s="215" t="s">
        <v>166</v>
      </c>
      <c r="B139" s="216"/>
      <c r="C139" s="217">
        <f>C133+C138</f>
        <v>227</v>
      </c>
      <c r="D139" s="217"/>
      <c r="E139" s="135">
        <f>E133+E138</f>
        <v>96631.495739999984</v>
      </c>
      <c r="F139" s="135"/>
      <c r="G139" s="117">
        <f>G133+G138</f>
        <v>144947.24360999998</v>
      </c>
      <c r="H139" s="118"/>
      <c r="T139"/>
    </row>
    <row r="140" spans="1:22" s="34" customFormat="1" x14ac:dyDescent="0.25">
      <c r="A140" s="134" t="s">
        <v>54</v>
      </c>
      <c r="B140" s="134"/>
      <c r="C140" s="134"/>
      <c r="D140" s="134"/>
      <c r="E140" s="134"/>
      <c r="F140" s="134"/>
      <c r="G140" s="134"/>
      <c r="H140" s="134"/>
      <c r="T140" s="35"/>
    </row>
    <row r="141" spans="1:22" hidden="1" x14ac:dyDescent="0.25">
      <c r="A141" s="227" t="s">
        <v>174</v>
      </c>
      <c r="B141" s="227"/>
      <c r="C141" s="227"/>
      <c r="D141" s="227"/>
      <c r="E141" s="227"/>
      <c r="F141" s="227"/>
      <c r="G141" s="227"/>
      <c r="H141" s="227"/>
      <c r="T141" s="35"/>
    </row>
    <row r="142" spans="1:22" ht="47.25" hidden="1" customHeight="1" x14ac:dyDescent="0.25">
      <c r="A142" s="171" t="s">
        <v>118</v>
      </c>
      <c r="B142" s="171" t="s">
        <v>176</v>
      </c>
      <c r="C142" s="171" t="s">
        <v>55</v>
      </c>
      <c r="D142" s="139" t="s">
        <v>232</v>
      </c>
      <c r="E142" s="110" t="s">
        <v>155</v>
      </c>
      <c r="F142" s="171" t="s">
        <v>56</v>
      </c>
      <c r="G142" s="110" t="s">
        <v>57</v>
      </c>
      <c r="H142" s="62" t="s">
        <v>148</v>
      </c>
      <c r="T142" s="35"/>
    </row>
    <row r="143" spans="1:22" s="37" customFormat="1" hidden="1" x14ac:dyDescent="0.25">
      <c r="A143" s="172"/>
      <c r="B143" s="172"/>
      <c r="C143" s="172"/>
      <c r="D143" s="140"/>
      <c r="E143" s="111"/>
      <c r="F143" s="172"/>
      <c r="G143" s="111"/>
      <c r="H143" s="54">
        <v>0.45</v>
      </c>
      <c r="T143" s="35"/>
    </row>
    <row r="144" spans="1:22" s="37" customFormat="1" hidden="1" x14ac:dyDescent="0.25">
      <c r="A144" s="95" t="s">
        <v>117</v>
      </c>
      <c r="B144" s="96"/>
      <c r="C144" s="96"/>
      <c r="D144" s="96"/>
      <c r="E144" s="96"/>
      <c r="F144" s="96"/>
      <c r="G144" s="96"/>
      <c r="H144" s="97"/>
      <c r="J144" s="36"/>
      <c r="T144" s="35"/>
    </row>
    <row r="145" spans="1:20" s="37" customFormat="1" ht="15.75" hidden="1" customHeight="1" x14ac:dyDescent="0.25">
      <c r="A145" s="90">
        <v>1</v>
      </c>
      <c r="B145" s="91"/>
      <c r="C145" s="42"/>
      <c r="D145" s="42">
        <v>0</v>
      </c>
      <c r="E145" s="42">
        <v>0</v>
      </c>
      <c r="F145" s="42">
        <f>D145+(IF(E145&lt;201,E145,IF(E145&lt;301,E145/2,E145/3)))</f>
        <v>0</v>
      </c>
      <c r="G145" s="42">
        <v>0</v>
      </c>
      <c r="H145" s="42">
        <f>(F145+(IF(G145&lt;101,G145,IF(G145&lt;201,G145/2,IF(G145&lt;=301,G145/3,G145/4)))))*(($H$143)+1)</f>
        <v>0</v>
      </c>
      <c r="I145" s="36"/>
      <c r="L145" s="102"/>
      <c r="M145" s="102"/>
      <c r="N145" s="36"/>
      <c r="T145" s="35"/>
    </row>
    <row r="146" spans="1:20" s="37" customFormat="1" ht="15.75" hidden="1" customHeight="1" x14ac:dyDescent="0.25">
      <c r="A146" s="90">
        <f>A145+1</f>
        <v>2</v>
      </c>
      <c r="B146" s="91"/>
      <c r="C146" s="42"/>
      <c r="D146" s="42"/>
      <c r="E146" s="42">
        <v>0</v>
      </c>
      <c r="F146" s="42">
        <f t="shared" ref="F146:F148" si="5">D146+(IF(E146&lt;201,E146,IF(E146&lt;301,E146/2,E146/3)))</f>
        <v>0</v>
      </c>
      <c r="G146" s="42">
        <v>0</v>
      </c>
      <c r="H146" s="42">
        <f t="shared" ref="H146:H148" si="6">(F146+(IF(G146&lt;101,G146,IF(G146&lt;201,G146/2,IF(G146&lt;=301,G146/3,G146/4)))))*(($H$143)+1)</f>
        <v>0</v>
      </c>
      <c r="I146" s="36"/>
      <c r="L146" s="102"/>
      <c r="M146" s="102"/>
      <c r="N146" s="36"/>
      <c r="T146" s="34"/>
    </row>
    <row r="147" spans="1:20" s="37" customFormat="1" ht="15.75" hidden="1" customHeight="1" x14ac:dyDescent="0.25">
      <c r="A147" s="90">
        <f>A146+1</f>
        <v>3</v>
      </c>
      <c r="B147" s="91"/>
      <c r="C147" s="42"/>
      <c r="D147" s="42"/>
      <c r="E147" s="42">
        <v>0</v>
      </c>
      <c r="F147" s="42">
        <f t="shared" si="5"/>
        <v>0</v>
      </c>
      <c r="G147" s="42">
        <v>0</v>
      </c>
      <c r="H147" s="42">
        <f t="shared" si="6"/>
        <v>0</v>
      </c>
      <c r="I147" s="36"/>
      <c r="L147" s="102"/>
      <c r="M147" s="102"/>
      <c r="N147" s="36"/>
      <c r="T147" s="21"/>
    </row>
    <row r="148" spans="1:20" s="37" customFormat="1" ht="15.75" hidden="1" customHeight="1" x14ac:dyDescent="0.25">
      <c r="A148" s="90">
        <f>A147+1</f>
        <v>4</v>
      </c>
      <c r="B148" s="91"/>
      <c r="C148" s="42"/>
      <c r="D148" s="42"/>
      <c r="E148" s="42">
        <v>0</v>
      </c>
      <c r="F148" s="42">
        <f t="shared" si="5"/>
        <v>0</v>
      </c>
      <c r="G148" s="42">
        <v>0</v>
      </c>
      <c r="H148" s="42">
        <f t="shared" si="6"/>
        <v>0</v>
      </c>
      <c r="I148" s="36"/>
      <c r="L148" s="102"/>
      <c r="M148" s="102"/>
      <c r="N148" s="36"/>
      <c r="T148" s="21"/>
    </row>
    <row r="149" spans="1:20" s="37" customFormat="1" x14ac:dyDescent="0.25">
      <c r="A149" s="90"/>
      <c r="B149" s="133"/>
      <c r="C149" s="133"/>
      <c r="D149" s="133"/>
      <c r="E149" s="133"/>
      <c r="F149" s="133"/>
      <c r="G149" s="133"/>
      <c r="H149" s="91"/>
      <c r="I149" s="36"/>
      <c r="N149" s="36"/>
    </row>
    <row r="150" spans="1:20" ht="47.25" customHeight="1" x14ac:dyDescent="0.25">
      <c r="A150" s="207" t="s">
        <v>344</v>
      </c>
      <c r="B150" s="168" t="s">
        <v>177</v>
      </c>
      <c r="C150" s="168" t="s">
        <v>55</v>
      </c>
      <c r="D150" s="168" t="s">
        <v>232</v>
      </c>
      <c r="E150" s="168" t="s">
        <v>338</v>
      </c>
      <c r="F150" s="168" t="s">
        <v>56</v>
      </c>
      <c r="G150" s="173" t="s">
        <v>57</v>
      </c>
      <c r="H150" s="65" t="s">
        <v>148</v>
      </c>
      <c r="I150" s="36"/>
      <c r="T150" s="37"/>
    </row>
    <row r="151" spans="1:20" s="37" customFormat="1" x14ac:dyDescent="0.25">
      <c r="A151" s="208"/>
      <c r="B151" s="169"/>
      <c r="C151" s="169"/>
      <c r="D151" s="169"/>
      <c r="E151" s="169"/>
      <c r="F151" s="169"/>
      <c r="G151" s="174"/>
      <c r="H151" s="66">
        <v>0.5</v>
      </c>
      <c r="I151" s="36"/>
    </row>
    <row r="152" spans="1:20" s="37" customFormat="1" x14ac:dyDescent="0.25">
      <c r="A152" s="92" t="s">
        <v>314</v>
      </c>
      <c r="B152" s="92"/>
      <c r="C152" s="92"/>
      <c r="D152" s="92"/>
      <c r="E152" s="92"/>
      <c r="F152" s="92"/>
      <c r="G152" s="92"/>
      <c r="H152" s="92"/>
      <c r="J152" s="36"/>
    </row>
    <row r="153" spans="1:20" s="37" customFormat="1" x14ac:dyDescent="0.25">
      <c r="A153" s="92" t="s">
        <v>315</v>
      </c>
      <c r="B153" s="92"/>
      <c r="C153" s="92"/>
      <c r="D153" s="92"/>
      <c r="E153" s="92"/>
      <c r="F153" s="92"/>
      <c r="G153" s="92"/>
      <c r="H153" s="92"/>
      <c r="J153" s="36"/>
    </row>
    <row r="154" spans="1:20" s="37" customFormat="1" x14ac:dyDescent="0.25">
      <c r="A154" s="92" t="s">
        <v>346</v>
      </c>
      <c r="B154" s="92"/>
      <c r="C154" s="92"/>
      <c r="D154" s="92"/>
      <c r="E154" s="92"/>
      <c r="F154" s="92"/>
      <c r="G154" s="92"/>
      <c r="H154" s="92"/>
      <c r="J154" s="36"/>
    </row>
    <row r="155" spans="1:20" s="37" customFormat="1" x14ac:dyDescent="0.25">
      <c r="A155" s="93">
        <v>1</v>
      </c>
      <c r="B155" s="93"/>
      <c r="C155" s="74" t="s">
        <v>345</v>
      </c>
      <c r="D155" s="74">
        <f>196.84*10.764</f>
        <v>2118.7857599999998</v>
      </c>
      <c r="E155" s="74">
        <f>((3.65*1+4.1*1+3.55*0.8+0.85*0.85)+(3.65*1+4.1*1+3.55*0.8+0.85*0.85+7.55*1))*10.764</f>
        <v>324.80369999999999</v>
      </c>
      <c r="F155" s="74">
        <f>D155+E155</f>
        <v>2443.5894599999997</v>
      </c>
      <c r="G155" s="74">
        <v>0</v>
      </c>
      <c r="H155" s="74">
        <f>F155*(($H$151)+1)+(IF(G155&lt;101,G155,IF(G155&lt;201,G155/2,IF(G155&lt;=301,G155/3,G155/4))))</f>
        <v>3665.3841899999998</v>
      </c>
      <c r="I155" s="42">
        <v>10.763999999999999</v>
      </c>
      <c r="J155" s="67">
        <f>(7.55*5.35+3.65*4.35+4.1*4+3.55*3.2+2.2*1.25+1.25*2.2+5*1.55)+(7.55*5.35+3.65*4.35+4.1*4+3.55*3.1+2.2*1.25+1.25*2.2+3.65*1.65+1.25*1.65)+1.5*1.7+1.5*1.6+4.25*2.3</f>
        <v>209.26499999999999</v>
      </c>
      <c r="L155" s="102">
        <f>(8.85+3.95)*10.764</f>
        <v>137.7792</v>
      </c>
      <c r="M155" s="102"/>
      <c r="N155" s="36"/>
    </row>
    <row r="156" spans="1:20" s="37" customFormat="1" x14ac:dyDescent="0.25">
      <c r="A156" s="92" t="s">
        <v>317</v>
      </c>
      <c r="B156" s="92"/>
      <c r="C156" s="92"/>
      <c r="D156" s="92"/>
      <c r="E156" s="92"/>
      <c r="F156" s="92"/>
      <c r="G156" s="92"/>
      <c r="H156" s="92"/>
      <c r="J156" s="36"/>
    </row>
    <row r="157" spans="1:20" s="37" customFormat="1" x14ac:dyDescent="0.25">
      <c r="A157" s="92" t="s">
        <v>318</v>
      </c>
      <c r="B157" s="92"/>
      <c r="C157" s="92"/>
      <c r="D157" s="92"/>
      <c r="E157" s="92"/>
      <c r="F157" s="92"/>
      <c r="G157" s="92"/>
      <c r="H157" s="92"/>
      <c r="J157" s="36"/>
      <c r="K157" s="37">
        <f>4.1+3.55*0.8+3.65+4.1+3.55*0.8+3.65</f>
        <v>21.18</v>
      </c>
    </row>
    <row r="158" spans="1:20" s="37" customFormat="1" x14ac:dyDescent="0.25">
      <c r="A158" s="92" t="s">
        <v>347</v>
      </c>
      <c r="B158" s="92"/>
      <c r="C158" s="92"/>
      <c r="D158" s="92"/>
      <c r="E158" s="92"/>
      <c r="F158" s="92"/>
      <c r="G158" s="92"/>
      <c r="H158" s="92"/>
      <c r="J158" s="36"/>
      <c r="K158" s="37">
        <f>7.55</f>
        <v>7.55</v>
      </c>
    </row>
    <row r="159" spans="1:20" s="37" customFormat="1" ht="15.75" customHeight="1" x14ac:dyDescent="0.25">
      <c r="A159" s="93">
        <v>1</v>
      </c>
      <c r="B159" s="93"/>
      <c r="C159" s="76" t="s">
        <v>319</v>
      </c>
      <c r="D159" s="76">
        <f>(29.88)*10.764</f>
        <v>321.62831999999997</v>
      </c>
      <c r="E159" s="76">
        <v>0</v>
      </c>
      <c r="F159" s="76">
        <f t="shared" ref="F159:F167" si="7">D159+E159</f>
        <v>321.62831999999997</v>
      </c>
      <c r="G159" s="76">
        <v>0</v>
      </c>
      <c r="H159" s="76">
        <f t="shared" ref="H159:H167" si="8">F159*(($H$151)+1)+(IF(G159&lt;101,G159,IF(G159&lt;201,G159/2,IF(G159&lt;=301,G159/3,G159/4))))</f>
        <v>482.44247999999993</v>
      </c>
      <c r="I159" s="36">
        <f>2.75*3.85+2.25*2.75+3.05*2.75+0.8*1.28+1.2*1.65</f>
        <v>28.166499999999999</v>
      </c>
      <c r="J159" s="36">
        <f>2.75*0.6+0.6*(3.05+2.25)</f>
        <v>4.83</v>
      </c>
      <c r="K159" s="98" t="s">
        <v>349</v>
      </c>
      <c r="L159" s="98"/>
      <c r="M159" s="98"/>
      <c r="N159" s="36"/>
    </row>
    <row r="160" spans="1:20" s="37" customFormat="1" ht="15.75" customHeight="1" x14ac:dyDescent="0.25">
      <c r="A160" s="93">
        <f>A155+1</f>
        <v>2</v>
      </c>
      <c r="B160" s="93"/>
      <c r="C160" s="76" t="s">
        <v>316</v>
      </c>
      <c r="D160" s="76">
        <f>(47.53)*10.764</f>
        <v>511.61291999999997</v>
      </c>
      <c r="E160" s="76">
        <f>(3*1)*10.764</f>
        <v>32.292000000000002</v>
      </c>
      <c r="F160" s="76">
        <f t="shared" si="7"/>
        <v>543.90491999999995</v>
      </c>
      <c r="G160" s="76">
        <v>0</v>
      </c>
      <c r="H160" s="76">
        <f t="shared" si="8"/>
        <v>815.85737999999992</v>
      </c>
      <c r="I160" s="36">
        <f>3.85*4.25+2.15*3.2+3.05*3.2+3.05*2.85+1.2*2.15+2.15*1.2+0.9*1.55</f>
        <v>48.249999999999993</v>
      </c>
      <c r="J160" s="36">
        <f>0.6*2.8+3*1+0.6*(3.05+2.15)</f>
        <v>7.7999999999999989</v>
      </c>
      <c r="L160" s="102"/>
      <c r="M160" s="102"/>
      <c r="N160" s="36"/>
    </row>
    <row r="161" spans="1:20" s="37" customFormat="1" ht="15.75" customHeight="1" x14ac:dyDescent="0.25">
      <c r="A161" s="93">
        <f>A160+1</f>
        <v>3</v>
      </c>
      <c r="B161" s="93"/>
      <c r="C161" s="76" t="s">
        <v>319</v>
      </c>
      <c r="D161" s="76">
        <f>(29.88)*10.764</f>
        <v>321.62831999999997</v>
      </c>
      <c r="E161" s="76">
        <v>0</v>
      </c>
      <c r="F161" s="76">
        <f t="shared" si="7"/>
        <v>321.62831999999997</v>
      </c>
      <c r="G161" s="76">
        <v>0</v>
      </c>
      <c r="H161" s="76">
        <f t="shared" si="8"/>
        <v>482.44247999999993</v>
      </c>
      <c r="I161" s="36"/>
      <c r="J161" s="36">
        <f>2.75*0.6+0.6*(2.25+3.05)</f>
        <v>4.83</v>
      </c>
      <c r="L161" s="102"/>
      <c r="M161" s="102"/>
      <c r="N161" s="36"/>
    </row>
    <row r="162" spans="1:20" s="37" customFormat="1" ht="15.75" customHeight="1" x14ac:dyDescent="0.25">
      <c r="A162" s="90">
        <f>A161+1</f>
        <v>4</v>
      </c>
      <c r="B162" s="91"/>
      <c r="C162" s="42" t="s">
        <v>319</v>
      </c>
      <c r="D162" s="42">
        <f>(29.88)*10.764</f>
        <v>321.62831999999997</v>
      </c>
      <c r="E162" s="42">
        <v>0</v>
      </c>
      <c r="F162" s="42">
        <f t="shared" si="7"/>
        <v>321.62831999999997</v>
      </c>
      <c r="G162" s="42">
        <v>0</v>
      </c>
      <c r="H162" s="42">
        <f t="shared" si="8"/>
        <v>482.44247999999993</v>
      </c>
      <c r="I162" s="36">
        <f>2.75*3.85+2.25*2.75+3.05*2.75+0.9*1.2+1.2*1.65</f>
        <v>28.2225</v>
      </c>
      <c r="J162" s="36">
        <f>0.6*2.75+0.6*(3.05+2.25)</f>
        <v>4.83</v>
      </c>
      <c r="L162" s="102"/>
      <c r="M162" s="102"/>
      <c r="N162" s="36"/>
      <c r="T162" s="21"/>
    </row>
    <row r="163" spans="1:20" s="37" customFormat="1" ht="15.75" customHeight="1" x14ac:dyDescent="0.25">
      <c r="A163" s="90">
        <f>A162+1</f>
        <v>5</v>
      </c>
      <c r="B163" s="91"/>
      <c r="C163" s="42" t="s">
        <v>319</v>
      </c>
      <c r="D163" s="42">
        <f>(29.88)*10.764</f>
        <v>321.62831999999997</v>
      </c>
      <c r="E163" s="42">
        <v>0</v>
      </c>
      <c r="F163" s="42">
        <f t="shared" si="7"/>
        <v>321.62831999999997</v>
      </c>
      <c r="G163" s="42">
        <v>0</v>
      </c>
      <c r="H163" s="42">
        <f t="shared" si="8"/>
        <v>482.44247999999993</v>
      </c>
      <c r="I163" s="36"/>
      <c r="J163" s="36">
        <f>0.6*2.75+0.6*(3.05+2.25)</f>
        <v>4.83</v>
      </c>
      <c r="L163" s="102"/>
      <c r="M163" s="102"/>
      <c r="N163" s="36"/>
      <c r="T163" s="21"/>
    </row>
    <row r="164" spans="1:20" s="37" customFormat="1" ht="15.75" customHeight="1" x14ac:dyDescent="0.25">
      <c r="A164" s="90">
        <f t="shared" ref="A164:A167" si="9">A163+1</f>
        <v>6</v>
      </c>
      <c r="B164" s="91"/>
      <c r="C164" s="42" t="s">
        <v>316</v>
      </c>
      <c r="D164" s="42">
        <f>(47.53)*10.764</f>
        <v>511.61291999999997</v>
      </c>
      <c r="E164" s="42">
        <f>(3*1)*10.764</f>
        <v>32.292000000000002</v>
      </c>
      <c r="F164" s="42">
        <f t="shared" si="7"/>
        <v>543.90491999999995</v>
      </c>
      <c r="G164" s="42">
        <v>0</v>
      </c>
      <c r="H164" s="42">
        <f t="shared" si="8"/>
        <v>815.85737999999992</v>
      </c>
      <c r="I164" s="36">
        <f>3.85*4.25+2.15*3.2+3.05*2.85+3.05*3.2+1.2*2.15+2.15*1.2+0.9*1.6</f>
        <v>48.294999999999995</v>
      </c>
      <c r="J164" s="36">
        <f>3*1+0.6*2.1+0.6*(3.05*2.15)</f>
        <v>8.1944999999999997</v>
      </c>
      <c r="L164" s="102">
        <f>3+17</f>
        <v>20</v>
      </c>
      <c r="M164" s="102"/>
      <c r="N164" s="36"/>
    </row>
    <row r="165" spans="1:20" s="37" customFormat="1" ht="15.75" customHeight="1" x14ac:dyDescent="0.25">
      <c r="A165" s="90">
        <f t="shared" si="9"/>
        <v>7</v>
      </c>
      <c r="B165" s="91"/>
      <c r="C165" s="42" t="s">
        <v>319</v>
      </c>
      <c r="D165" s="42">
        <f>(29.88)*10.764</f>
        <v>321.62831999999997</v>
      </c>
      <c r="E165" s="42">
        <v>0</v>
      </c>
      <c r="F165" s="42">
        <f t="shared" si="7"/>
        <v>321.62831999999997</v>
      </c>
      <c r="G165" s="42">
        <v>0</v>
      </c>
      <c r="H165" s="42">
        <f t="shared" si="8"/>
        <v>482.44247999999993</v>
      </c>
      <c r="I165" s="36"/>
      <c r="J165" s="36">
        <f>2.75*0.6+1.85*0.45</f>
        <v>2.4824999999999999</v>
      </c>
      <c r="L165" s="102"/>
      <c r="M165" s="102"/>
      <c r="N165" s="36"/>
    </row>
    <row r="166" spans="1:20" s="37" customFormat="1" ht="15.75" customHeight="1" x14ac:dyDescent="0.25">
      <c r="A166" s="90">
        <f t="shared" si="9"/>
        <v>8</v>
      </c>
      <c r="B166" s="91"/>
      <c r="C166" s="42" t="s">
        <v>319</v>
      </c>
      <c r="D166" s="42">
        <f>(29.88)*10.764</f>
        <v>321.62831999999997</v>
      </c>
      <c r="E166" s="42">
        <v>0</v>
      </c>
      <c r="F166" s="42">
        <f t="shared" si="7"/>
        <v>321.62831999999997</v>
      </c>
      <c r="G166" s="42">
        <v>0</v>
      </c>
      <c r="H166" s="42">
        <f t="shared" si="8"/>
        <v>482.44247999999993</v>
      </c>
      <c r="I166" s="36"/>
      <c r="J166" s="37">
        <f>0.6*(2.75+2.25)</f>
        <v>3</v>
      </c>
      <c r="L166" s="102"/>
      <c r="M166" s="102"/>
      <c r="N166" s="36"/>
    </row>
    <row r="167" spans="1:20" s="37" customFormat="1" ht="15.75" customHeight="1" x14ac:dyDescent="0.25">
      <c r="A167" s="90">
        <f t="shared" si="9"/>
        <v>9</v>
      </c>
      <c r="B167" s="91"/>
      <c r="C167" s="42" t="s">
        <v>319</v>
      </c>
      <c r="D167" s="42">
        <f>(29.88)*10.764</f>
        <v>321.62831999999997</v>
      </c>
      <c r="E167" s="42">
        <v>0</v>
      </c>
      <c r="F167" s="42">
        <f t="shared" si="7"/>
        <v>321.62831999999997</v>
      </c>
      <c r="G167" s="42">
        <v>0</v>
      </c>
      <c r="H167" s="42">
        <f t="shared" si="8"/>
        <v>482.44247999999993</v>
      </c>
      <c r="I167" s="36"/>
      <c r="J167" s="36">
        <f>0.6*2.75+0.6*(2.75+2.25)</f>
        <v>4.6500000000000004</v>
      </c>
      <c r="L167" s="102"/>
      <c r="M167" s="102"/>
      <c r="N167" s="36"/>
      <c r="T167" s="21"/>
    </row>
    <row r="168" spans="1:20" s="37" customFormat="1" x14ac:dyDescent="0.25">
      <c r="A168" s="92" t="s">
        <v>320</v>
      </c>
      <c r="B168" s="92"/>
      <c r="C168" s="92"/>
      <c r="D168" s="92"/>
      <c r="E168" s="92"/>
      <c r="F168" s="92"/>
      <c r="G168" s="92"/>
      <c r="H168" s="92"/>
      <c r="I168" s="36"/>
      <c r="J168" s="37">
        <v>6500</v>
      </c>
      <c r="L168" s="102"/>
      <c r="M168" s="102"/>
    </row>
    <row r="169" spans="1:20" s="37" customFormat="1" x14ac:dyDescent="0.25">
      <c r="A169" s="93">
        <v>1</v>
      </c>
      <c r="B169" s="93"/>
      <c r="C169" s="42" t="s">
        <v>319</v>
      </c>
      <c r="D169" s="42">
        <f>(29.88)*10.764</f>
        <v>321.62831999999997</v>
      </c>
      <c r="E169" s="42">
        <v>0</v>
      </c>
      <c r="F169" s="42">
        <f t="shared" ref="F169:F179" si="10">D169+E169</f>
        <v>321.62831999999997</v>
      </c>
      <c r="G169" s="42">
        <v>0</v>
      </c>
      <c r="H169" s="42">
        <f t="shared" ref="H169:H179" si="11">F169*(($H$151)+1)+(IF(G169&lt;101,G169,IF(G169&lt;201,G169/2,IF(G169&lt;=301,G169/3,G169/4))))</f>
        <v>482.44247999999993</v>
      </c>
      <c r="I169" s="36">
        <f>2.75*3.85+2.25*2.75+3.05*2.75+0.9*1.2+1.2*1.65</f>
        <v>28.2225</v>
      </c>
      <c r="J169" s="37">
        <f>J$168*H169</f>
        <v>3135876.1199999996</v>
      </c>
      <c r="K169" s="37">
        <f>4550000*0.12</f>
        <v>546000</v>
      </c>
      <c r="L169" s="37">
        <f>4550000-K169</f>
        <v>4004000</v>
      </c>
      <c r="M169" s="37">
        <f>L169/H169</f>
        <v>8299.434991711345</v>
      </c>
      <c r="N169" s="36"/>
    </row>
    <row r="170" spans="1:20" s="37" customFormat="1" x14ac:dyDescent="0.25">
      <c r="A170" s="93">
        <v>2</v>
      </c>
      <c r="B170" s="93"/>
      <c r="C170" s="42" t="s">
        <v>316</v>
      </c>
      <c r="D170" s="42">
        <f>(47.53)*10.764</f>
        <v>511.61291999999997</v>
      </c>
      <c r="E170" s="42">
        <f>(3*1)*10.764</f>
        <v>32.292000000000002</v>
      </c>
      <c r="F170" s="42">
        <f t="shared" si="10"/>
        <v>543.90491999999995</v>
      </c>
      <c r="G170" s="42">
        <v>0</v>
      </c>
      <c r="H170" s="42">
        <f t="shared" si="11"/>
        <v>815.85737999999992</v>
      </c>
      <c r="I170" s="36"/>
      <c r="J170" s="37">
        <f t="shared" ref="J170:J179" si="12">J$168*H170</f>
        <v>5303072.97</v>
      </c>
      <c r="K170" s="37">
        <f>6550000*0.12</f>
        <v>786000</v>
      </c>
      <c r="L170" s="37">
        <f>6550000-K170</f>
        <v>5764000</v>
      </c>
      <c r="M170" s="37">
        <f>L170/H170</f>
        <v>7064.9602998014198</v>
      </c>
      <c r="N170" s="36"/>
    </row>
    <row r="171" spans="1:20" s="37" customFormat="1" x14ac:dyDescent="0.25">
      <c r="A171" s="93">
        <v>3</v>
      </c>
      <c r="B171" s="93"/>
      <c r="C171" s="42" t="s">
        <v>319</v>
      </c>
      <c r="D171" s="42">
        <f>(29.88)*10.764</f>
        <v>321.62831999999997</v>
      </c>
      <c r="E171" s="42">
        <v>0</v>
      </c>
      <c r="F171" s="42">
        <f t="shared" si="10"/>
        <v>321.62831999999997</v>
      </c>
      <c r="G171" s="42">
        <v>0</v>
      </c>
      <c r="H171" s="42">
        <f t="shared" si="11"/>
        <v>482.44247999999993</v>
      </c>
      <c r="I171" s="36"/>
      <c r="J171" s="37">
        <f t="shared" si="12"/>
        <v>3135876.1199999996</v>
      </c>
      <c r="N171" s="36"/>
    </row>
    <row r="172" spans="1:20" s="37" customFormat="1" x14ac:dyDescent="0.25">
      <c r="A172" s="93">
        <v>4</v>
      </c>
      <c r="B172" s="93"/>
      <c r="C172" s="42" t="s">
        <v>319</v>
      </c>
      <c r="D172" s="42">
        <f>(29.88)*10.764</f>
        <v>321.62831999999997</v>
      </c>
      <c r="E172" s="42">
        <v>0</v>
      </c>
      <c r="F172" s="42">
        <f t="shared" si="10"/>
        <v>321.62831999999997</v>
      </c>
      <c r="G172" s="42">
        <v>0</v>
      </c>
      <c r="H172" s="42">
        <f t="shared" si="11"/>
        <v>482.44247999999993</v>
      </c>
      <c r="I172" s="36"/>
      <c r="J172" s="37">
        <f t="shared" si="12"/>
        <v>3135876.1199999996</v>
      </c>
      <c r="N172" s="36"/>
    </row>
    <row r="173" spans="1:20" s="37" customFormat="1" x14ac:dyDescent="0.25">
      <c r="A173" s="93">
        <v>5</v>
      </c>
      <c r="B173" s="93"/>
      <c r="C173" s="42" t="s">
        <v>319</v>
      </c>
      <c r="D173" s="42">
        <f>(29.88)*10.764</f>
        <v>321.62831999999997</v>
      </c>
      <c r="E173" s="42">
        <v>0</v>
      </c>
      <c r="F173" s="42">
        <f t="shared" si="10"/>
        <v>321.62831999999997</v>
      </c>
      <c r="G173" s="42">
        <v>0</v>
      </c>
      <c r="H173" s="42">
        <f t="shared" si="11"/>
        <v>482.44247999999993</v>
      </c>
      <c r="I173" s="36"/>
      <c r="J173" s="37">
        <f t="shared" si="12"/>
        <v>3135876.1199999996</v>
      </c>
      <c r="N173" s="36"/>
    </row>
    <row r="174" spans="1:20" s="37" customFormat="1" x14ac:dyDescent="0.25">
      <c r="A174" s="93">
        <v>6</v>
      </c>
      <c r="B174" s="93"/>
      <c r="C174" s="42" t="s">
        <v>316</v>
      </c>
      <c r="D174" s="42">
        <f>(47.53)*10.764</f>
        <v>511.61291999999997</v>
      </c>
      <c r="E174" s="42">
        <f>(3*1)*10.764</f>
        <v>32.292000000000002</v>
      </c>
      <c r="F174" s="42">
        <f t="shared" si="10"/>
        <v>543.90491999999995</v>
      </c>
      <c r="G174" s="42">
        <v>0</v>
      </c>
      <c r="H174" s="42">
        <f t="shared" si="11"/>
        <v>815.85737999999992</v>
      </c>
      <c r="I174" s="36">
        <f>3.85*3.2+3*1+2.15*3.2+3.05*3.2+3.05*3.2+1.2*2.15+2.15*1.2+0.9*1.5</f>
        <v>48.23</v>
      </c>
      <c r="J174" s="37">
        <f t="shared" si="12"/>
        <v>5303072.97</v>
      </c>
      <c r="N174" s="36"/>
    </row>
    <row r="175" spans="1:20" s="37" customFormat="1" x14ac:dyDescent="0.25">
      <c r="A175" s="93">
        <v>7</v>
      </c>
      <c r="B175" s="93"/>
      <c r="C175" s="42" t="s">
        <v>319</v>
      </c>
      <c r="D175" s="42">
        <f>(29.85)*10.764</f>
        <v>321.30540000000002</v>
      </c>
      <c r="E175" s="42">
        <v>0</v>
      </c>
      <c r="F175" s="42">
        <f t="shared" si="10"/>
        <v>321.30540000000002</v>
      </c>
      <c r="G175" s="42">
        <v>0</v>
      </c>
      <c r="H175" s="42">
        <f t="shared" si="11"/>
        <v>481.95810000000006</v>
      </c>
      <c r="I175" s="36">
        <f>3.85*2.75+1.95*2.25+2.75*3.05+0.95*1.2+1.65*1.25+0.95*1.25</f>
        <v>27.752500000000001</v>
      </c>
      <c r="J175" s="37">
        <f t="shared" si="12"/>
        <v>3132727.6500000004</v>
      </c>
      <c r="N175" s="36"/>
    </row>
    <row r="176" spans="1:20" s="37" customFormat="1" x14ac:dyDescent="0.25">
      <c r="A176" s="93">
        <v>8</v>
      </c>
      <c r="B176" s="93"/>
      <c r="C176" s="42" t="s">
        <v>319</v>
      </c>
      <c r="D176" s="42">
        <f>(29.88)*10.764</f>
        <v>321.62831999999997</v>
      </c>
      <c r="E176" s="42">
        <v>0</v>
      </c>
      <c r="F176" s="42">
        <f t="shared" si="10"/>
        <v>321.62831999999997</v>
      </c>
      <c r="G176" s="42">
        <v>0</v>
      </c>
      <c r="H176" s="42">
        <f t="shared" si="11"/>
        <v>482.44247999999993</v>
      </c>
      <c r="I176" s="36"/>
      <c r="J176" s="37">
        <f t="shared" si="12"/>
        <v>3135876.1199999996</v>
      </c>
      <c r="N176" s="36"/>
    </row>
    <row r="177" spans="1:14" s="37" customFormat="1" x14ac:dyDescent="0.25">
      <c r="A177" s="93">
        <v>9</v>
      </c>
      <c r="B177" s="93"/>
      <c r="C177" s="42" t="s">
        <v>316</v>
      </c>
      <c r="D177" s="42">
        <f>(55.39)*10.764</f>
        <v>596.21795999999995</v>
      </c>
      <c r="E177" s="42">
        <f>(0.95*2.9)*10.764</f>
        <v>29.654819999999997</v>
      </c>
      <c r="F177" s="42">
        <f t="shared" si="10"/>
        <v>625.87277999999992</v>
      </c>
      <c r="G177" s="42">
        <v>0</v>
      </c>
      <c r="H177" s="42">
        <f t="shared" si="11"/>
        <v>938.80916999999988</v>
      </c>
      <c r="I177" s="36">
        <f>4.55*4.9+2.75*2.15+2.75*3.05+3.05*3.05+2.1*1.25+1.25*2.1+0.9*3.65</f>
        <v>54.43249999999999</v>
      </c>
      <c r="J177" s="37">
        <f t="shared" si="12"/>
        <v>6102259.6049999995</v>
      </c>
      <c r="N177" s="36"/>
    </row>
    <row r="178" spans="1:14" s="37" customFormat="1" x14ac:dyDescent="0.25">
      <c r="A178" s="93">
        <v>10</v>
      </c>
      <c r="B178" s="93"/>
      <c r="C178" s="42" t="s">
        <v>316</v>
      </c>
      <c r="D178" s="42">
        <f>(55.39)*10.764</f>
        <v>596.21795999999995</v>
      </c>
      <c r="E178" s="42">
        <f>(0.95*2.9)*10.764</f>
        <v>29.654819999999997</v>
      </c>
      <c r="F178" s="42">
        <f t="shared" si="10"/>
        <v>625.87277999999992</v>
      </c>
      <c r="G178" s="42">
        <v>0</v>
      </c>
      <c r="H178" s="42">
        <f t="shared" si="11"/>
        <v>938.80916999999988</v>
      </c>
      <c r="I178" s="36"/>
      <c r="J178" s="37">
        <f t="shared" si="12"/>
        <v>6102259.6049999995</v>
      </c>
      <c r="N178" s="36"/>
    </row>
    <row r="179" spans="1:14" s="37" customFormat="1" x14ac:dyDescent="0.25">
      <c r="A179" s="93">
        <v>11</v>
      </c>
      <c r="B179" s="93"/>
      <c r="C179" s="42" t="s">
        <v>319</v>
      </c>
      <c r="D179" s="42">
        <f>(29.88)*10.764</f>
        <v>321.62831999999997</v>
      </c>
      <c r="E179" s="42">
        <v>0</v>
      </c>
      <c r="F179" s="42">
        <f t="shared" si="10"/>
        <v>321.62831999999997</v>
      </c>
      <c r="G179" s="42">
        <v>0</v>
      </c>
      <c r="H179" s="42">
        <f t="shared" si="11"/>
        <v>482.44247999999993</v>
      </c>
      <c r="I179" s="36"/>
      <c r="J179" s="37">
        <f t="shared" si="12"/>
        <v>3135876.1199999996</v>
      </c>
      <c r="N179" s="36"/>
    </row>
    <row r="180" spans="1:14" s="37" customFormat="1" ht="15.75" customHeight="1" x14ac:dyDescent="0.25">
      <c r="A180" s="95" t="s">
        <v>321</v>
      </c>
      <c r="B180" s="96"/>
      <c r="C180" s="96"/>
      <c r="D180" s="96"/>
      <c r="E180" s="96"/>
      <c r="F180" s="96"/>
      <c r="G180" s="96"/>
      <c r="H180" s="97"/>
      <c r="I180" s="36"/>
    </row>
    <row r="181" spans="1:14" s="37" customFormat="1" ht="15.75" customHeight="1" x14ac:dyDescent="0.25">
      <c r="A181" s="90">
        <v>1</v>
      </c>
      <c r="B181" s="91"/>
      <c r="C181" s="42" t="s">
        <v>319</v>
      </c>
      <c r="D181" s="42">
        <f>(29.88)*10.764</f>
        <v>321.62831999999997</v>
      </c>
      <c r="E181" s="42">
        <v>0</v>
      </c>
      <c r="F181" s="42">
        <f t="shared" ref="F181:F186" si="13">D181+E181</f>
        <v>321.62831999999997</v>
      </c>
      <c r="G181" s="42">
        <v>0</v>
      </c>
      <c r="H181" s="42">
        <f t="shared" ref="H181:H186" si="14">F181*(($H$151)+1)+(IF(G181&lt;101,G181,IF(G181&lt;201,G181/2,IF(G181&lt;=301,G181/3,G181/4))))</f>
        <v>482.44247999999993</v>
      </c>
      <c r="I181" s="36"/>
    </row>
    <row r="182" spans="1:14" s="37" customFormat="1" ht="15.75" customHeight="1" x14ac:dyDescent="0.25">
      <c r="A182" s="90">
        <v>2</v>
      </c>
      <c r="B182" s="91"/>
      <c r="C182" s="42" t="s">
        <v>316</v>
      </c>
      <c r="D182" s="42">
        <f>(47.53)*10.764</f>
        <v>511.61291999999997</v>
      </c>
      <c r="E182" s="42">
        <f>(3*1)*10.764</f>
        <v>32.292000000000002</v>
      </c>
      <c r="F182" s="42">
        <f t="shared" si="13"/>
        <v>543.90491999999995</v>
      </c>
      <c r="G182" s="42">
        <v>0</v>
      </c>
      <c r="H182" s="42">
        <f t="shared" si="14"/>
        <v>815.85737999999992</v>
      </c>
      <c r="I182" s="36"/>
    </row>
    <row r="183" spans="1:14" s="37" customFormat="1" ht="15.75" customHeight="1" x14ac:dyDescent="0.25">
      <c r="A183" s="90">
        <v>3</v>
      </c>
      <c r="B183" s="91"/>
      <c r="C183" s="42" t="s">
        <v>319</v>
      </c>
      <c r="D183" s="42">
        <f>(29.88)*10.764</f>
        <v>321.62831999999997</v>
      </c>
      <c r="E183" s="42">
        <v>0</v>
      </c>
      <c r="F183" s="42">
        <f t="shared" si="13"/>
        <v>321.62831999999997</v>
      </c>
      <c r="G183" s="42">
        <v>0</v>
      </c>
      <c r="H183" s="42">
        <f t="shared" si="14"/>
        <v>482.44247999999993</v>
      </c>
      <c r="I183" s="36"/>
    </row>
    <row r="184" spans="1:14" s="37" customFormat="1" ht="15.75" customHeight="1" x14ac:dyDescent="0.25">
      <c r="A184" s="90">
        <v>4</v>
      </c>
      <c r="B184" s="91"/>
      <c r="C184" s="42" t="s">
        <v>319</v>
      </c>
      <c r="D184" s="42">
        <f>(29.88)*10.764</f>
        <v>321.62831999999997</v>
      </c>
      <c r="E184" s="42">
        <v>0</v>
      </c>
      <c r="F184" s="42">
        <f t="shared" si="13"/>
        <v>321.62831999999997</v>
      </c>
      <c r="G184" s="42">
        <v>0</v>
      </c>
      <c r="H184" s="42">
        <f t="shared" si="14"/>
        <v>482.44247999999993</v>
      </c>
      <c r="I184" s="36"/>
    </row>
    <row r="185" spans="1:14" s="37" customFormat="1" ht="15.75" customHeight="1" x14ac:dyDescent="0.25">
      <c r="A185" s="90">
        <v>5</v>
      </c>
      <c r="B185" s="91"/>
      <c r="C185" s="42" t="s">
        <v>319</v>
      </c>
      <c r="D185" s="42">
        <f>(29.88)*10.764</f>
        <v>321.62831999999997</v>
      </c>
      <c r="E185" s="42">
        <v>0</v>
      </c>
      <c r="F185" s="42">
        <f t="shared" si="13"/>
        <v>321.62831999999997</v>
      </c>
      <c r="G185" s="42">
        <v>0</v>
      </c>
      <c r="H185" s="42">
        <f t="shared" si="14"/>
        <v>482.44247999999993</v>
      </c>
      <c r="I185" s="36"/>
    </row>
    <row r="186" spans="1:14" s="37" customFormat="1" ht="15.75" customHeight="1" x14ac:dyDescent="0.25">
      <c r="A186" s="90">
        <v>6</v>
      </c>
      <c r="B186" s="91"/>
      <c r="C186" s="42" t="s">
        <v>316</v>
      </c>
      <c r="D186" s="42">
        <f>(47.53)*10.764</f>
        <v>511.61291999999997</v>
      </c>
      <c r="E186" s="42">
        <f>(3*1)*10.764</f>
        <v>32.292000000000002</v>
      </c>
      <c r="F186" s="42">
        <f t="shared" si="13"/>
        <v>543.90491999999995</v>
      </c>
      <c r="G186" s="42">
        <v>0</v>
      </c>
      <c r="H186" s="42">
        <f t="shared" si="14"/>
        <v>815.85737999999992</v>
      </c>
      <c r="I186" s="36"/>
    </row>
    <row r="187" spans="1:14" s="37" customFormat="1" ht="15.75" customHeight="1" x14ac:dyDescent="0.25">
      <c r="A187" s="90">
        <v>7</v>
      </c>
      <c r="B187" s="91"/>
      <c r="C187" s="90" t="s">
        <v>322</v>
      </c>
      <c r="D187" s="133"/>
      <c r="E187" s="133"/>
      <c r="F187" s="133"/>
      <c r="G187" s="133"/>
      <c r="H187" s="91"/>
      <c r="I187" s="36"/>
    </row>
    <row r="188" spans="1:14" s="37" customFormat="1" ht="15.75" customHeight="1" x14ac:dyDescent="0.25">
      <c r="A188" s="90">
        <v>8</v>
      </c>
      <c r="B188" s="91"/>
      <c r="C188" s="42" t="s">
        <v>319</v>
      </c>
      <c r="D188" s="42">
        <f>(29.88)*10.764</f>
        <v>321.62831999999997</v>
      </c>
      <c r="E188" s="42">
        <v>0</v>
      </c>
      <c r="F188" s="42">
        <f>D188+E188</f>
        <v>321.62831999999997</v>
      </c>
      <c r="G188" s="42">
        <v>0</v>
      </c>
      <c r="H188" s="42">
        <f>F188*(($H$151)+1)+(IF(G188&lt;101,G188,IF(G188&lt;201,G188/2,IF(G188&lt;=301,G188/3,G188/4))))</f>
        <v>482.44247999999993</v>
      </c>
      <c r="I188" s="36"/>
    </row>
    <row r="189" spans="1:14" s="37" customFormat="1" ht="15.75" customHeight="1" x14ac:dyDescent="0.25">
      <c r="A189" s="90">
        <v>9</v>
      </c>
      <c r="B189" s="91"/>
      <c r="C189" s="42" t="s">
        <v>316</v>
      </c>
      <c r="D189" s="42">
        <f>(55.39)*10.764</f>
        <v>596.21795999999995</v>
      </c>
      <c r="E189" s="42">
        <f>(0.95*2.9)*10.764</f>
        <v>29.654819999999997</v>
      </c>
      <c r="F189" s="42">
        <f>D189+E189</f>
        <v>625.87277999999992</v>
      </c>
      <c r="G189" s="42">
        <v>0</v>
      </c>
      <c r="H189" s="42">
        <f>F189*(($H$151)+1)+(IF(G189&lt;101,G189,IF(G189&lt;201,G189/2,IF(G189&lt;=301,G189/3,G189/4))))</f>
        <v>938.80916999999988</v>
      </c>
      <c r="I189" s="36"/>
    </row>
    <row r="190" spans="1:14" s="37" customFormat="1" ht="15.75" customHeight="1" x14ac:dyDescent="0.25">
      <c r="A190" s="90">
        <v>10</v>
      </c>
      <c r="B190" s="91"/>
      <c r="C190" s="42" t="s">
        <v>316</v>
      </c>
      <c r="D190" s="42">
        <f>(55.39)*10.764</f>
        <v>596.21795999999995</v>
      </c>
      <c r="E190" s="42">
        <f>(0.95*2.9)*10.764</f>
        <v>29.654819999999997</v>
      </c>
      <c r="F190" s="42">
        <f>D190+E190</f>
        <v>625.87277999999992</v>
      </c>
      <c r="G190" s="42">
        <v>0</v>
      </c>
      <c r="H190" s="42">
        <f>F190*(($H$151)+1)+(IF(G190&lt;101,G190,IF(G190&lt;201,G190/2,IF(G190&lt;=301,G190/3,G190/4))))</f>
        <v>938.80916999999988</v>
      </c>
      <c r="I190" s="36"/>
    </row>
    <row r="191" spans="1:14" s="37" customFormat="1" ht="15.75" customHeight="1" x14ac:dyDescent="0.25">
      <c r="A191" s="90">
        <v>11</v>
      </c>
      <c r="B191" s="91"/>
      <c r="C191" s="42" t="s">
        <v>319</v>
      </c>
      <c r="D191" s="42">
        <f>(29.88)*10.764</f>
        <v>321.62831999999997</v>
      </c>
      <c r="E191" s="42">
        <v>0</v>
      </c>
      <c r="F191" s="42">
        <f>D191+E191</f>
        <v>321.62831999999997</v>
      </c>
      <c r="G191" s="42">
        <v>0</v>
      </c>
      <c r="H191" s="42">
        <f>F191*(($H$151)+1)+(IF(G191&lt;101,G191,IF(G191&lt;201,G191/2,IF(G191&lt;=301,G191/3,G191/4))))</f>
        <v>482.44247999999993</v>
      </c>
      <c r="I191" s="36"/>
    </row>
    <row r="192" spans="1:14" s="37" customFormat="1" hidden="1" x14ac:dyDescent="0.25">
      <c r="A192" s="95" t="s">
        <v>143</v>
      </c>
      <c r="B192" s="96"/>
      <c r="C192" s="96"/>
      <c r="D192" s="96"/>
      <c r="E192" s="96"/>
      <c r="F192" s="96"/>
      <c r="G192" s="96"/>
      <c r="H192" s="97"/>
      <c r="I192" s="36"/>
    </row>
    <row r="193" spans="1:20" s="37" customFormat="1" ht="15.75" hidden="1" customHeight="1" x14ac:dyDescent="0.25">
      <c r="A193" s="90"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10^ROW(INDIRECT("1:"&amp;LEN((LEFT(A192,SUM(LEN(A192)-LEN(SUBSTITUTE(A192,{"0","1","2"},""))))))))/10))*100+1&amp;""&amp;" to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",LEN(A192))),LEN(A192)))))))/10))*100+1</f>
        <v>201 to 501</v>
      </c>
      <c r="B193" s="91"/>
      <c r="C193" s="42"/>
      <c r="D193" s="42"/>
      <c r="E193" s="42">
        <v>0</v>
      </c>
      <c r="F193" s="42">
        <f>D193+E193</f>
        <v>0</v>
      </c>
      <c r="G193" s="42">
        <v>0</v>
      </c>
      <c r="H193" s="42">
        <f>F193*(($H$151)+1)+(IF(G193&lt;101,G193,IF(G193&lt;201,G193/2,IF(G193&lt;=301,G193/3,G193/4))))</f>
        <v>0</v>
      </c>
      <c r="I193" s="36"/>
    </row>
    <row r="194" spans="1:20" s="37" customFormat="1" ht="15.75" hidden="1" customHeight="1" x14ac:dyDescent="0.25">
      <c r="A194" s="90"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202 to 502</v>
      </c>
      <c r="B194" s="91"/>
      <c r="C194" s="42"/>
      <c r="D194" s="42"/>
      <c r="E194" s="42">
        <v>0</v>
      </c>
      <c r="F194" s="42">
        <f>D194+E194</f>
        <v>0</v>
      </c>
      <c r="G194" s="42">
        <v>0</v>
      </c>
      <c r="H194" s="42">
        <f>F194*(($H$151)+1)+(IF(G194&lt;101,G194,IF(G194&lt;201,G194/2,IF(G194&lt;=301,G194/3,G194/4))))</f>
        <v>0</v>
      </c>
      <c r="I194" s="36"/>
    </row>
    <row r="195" spans="1:20" s="37" customFormat="1" ht="15.75" hidden="1" customHeight="1" x14ac:dyDescent="0.25">
      <c r="A195" s="90"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203 to 503</v>
      </c>
      <c r="B195" s="91"/>
      <c r="C195" s="42"/>
      <c r="D195" s="42"/>
      <c r="E195" s="42">
        <v>0</v>
      </c>
      <c r="F195" s="42">
        <f>D195+E195</f>
        <v>0</v>
      </c>
      <c r="G195" s="42">
        <v>0</v>
      </c>
      <c r="H195" s="42">
        <f>F195*(($H$151)+1)+(IF(G195&lt;101,G195,IF(G195&lt;201,G195/2,IF(G195&lt;=301,G195/3,G195/4))))</f>
        <v>0</v>
      </c>
      <c r="I195" s="36"/>
    </row>
    <row r="196" spans="1:20" s="37" customFormat="1" ht="15.75" hidden="1" customHeight="1" x14ac:dyDescent="0.25">
      <c r="A196" s="90"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to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204 to 504</v>
      </c>
      <c r="B196" s="91"/>
      <c r="C196" s="42"/>
      <c r="D196" s="42"/>
      <c r="E196" s="42">
        <v>0</v>
      </c>
      <c r="F196" s="42">
        <f>D196+E196</f>
        <v>0</v>
      </c>
      <c r="G196" s="42">
        <v>0</v>
      </c>
      <c r="H196" s="42">
        <f>F196*(($H$151)+1)+(IF(G196&lt;101,G196,IF(G196&lt;201,G196/2,IF(G196&lt;=301,G196/3,G196/4))))</f>
        <v>0</v>
      </c>
      <c r="I196" s="36"/>
    </row>
    <row r="197" spans="1:20" s="37" customFormat="1" ht="15.75" hidden="1" customHeight="1" x14ac:dyDescent="0.25">
      <c r="A197" s="90"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205 to 505</v>
      </c>
      <c r="B197" s="91"/>
      <c r="C197" s="42"/>
      <c r="D197" s="42"/>
      <c r="E197" s="42">
        <v>0</v>
      </c>
      <c r="F197" s="42">
        <f>D197+E197</f>
        <v>0</v>
      </c>
      <c r="G197" s="42">
        <v>0</v>
      </c>
      <c r="H197" s="42">
        <f>F197*(($H$151)+1)+(IF(G197&lt;101,G197,IF(G197&lt;201,G197/2,IF(G197&lt;=301,G197/3,G197/4))))</f>
        <v>0</v>
      </c>
      <c r="I197" s="36"/>
    </row>
    <row r="198" spans="1:20" s="37" customFormat="1" hidden="1" x14ac:dyDescent="0.25">
      <c r="A198" s="95" t="s">
        <v>144</v>
      </c>
      <c r="B198" s="96"/>
      <c r="C198" s="96"/>
      <c r="D198" s="96"/>
      <c r="E198" s="96"/>
      <c r="F198" s="96"/>
      <c r="G198" s="96"/>
      <c r="H198" s="97"/>
      <c r="I198" s="36"/>
    </row>
    <row r="199" spans="1:20" s="37" customFormat="1" ht="15.75" hidden="1" customHeight="1" x14ac:dyDescent="0.25">
      <c r="A199" s="90"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10^ROW(INDIRECT("1:"&amp;LEN((LEFT(A198,SUM(LEN(A198)-LEN(SUBSTITUTE(A198,{"0","1","2"},""))))))))/10))*100+1&amp;""&amp;" &amp;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",LEN(A198))),LEN(A198)))))))/10))*100+1</f>
        <v>201 &amp; 501</v>
      </c>
      <c r="B199" s="91"/>
      <c r="C199" s="42"/>
      <c r="D199" s="42"/>
      <c r="E199" s="42">
        <v>0</v>
      </c>
      <c r="F199" s="42">
        <f>D199+E199</f>
        <v>0</v>
      </c>
      <c r="G199" s="42">
        <v>0</v>
      </c>
      <c r="H199" s="42">
        <f>F199*(($H$151)+1)+(IF(G199&lt;101,G199,IF(G199&lt;201,G199/2,IF(G199&lt;=301,G199/3,G199/4))))</f>
        <v>0</v>
      </c>
      <c r="I199" s="36"/>
    </row>
    <row r="200" spans="1:20" s="37" customFormat="1" ht="15.75" hidden="1" customHeight="1" x14ac:dyDescent="0.25">
      <c r="A200" s="90"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&amp;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202 &amp; 502</v>
      </c>
      <c r="B200" s="91"/>
      <c r="C200" s="42"/>
      <c r="D200" s="42"/>
      <c r="E200" s="42">
        <v>0</v>
      </c>
      <c r="F200" s="42">
        <f>D200+E200</f>
        <v>0</v>
      </c>
      <c r="G200" s="42">
        <v>0</v>
      </c>
      <c r="H200" s="42">
        <f>F200*(($H$151)+1)+(IF(G200&lt;101,G200,IF(G200&lt;201,G200/2,IF(G200&lt;=301,G200/3,G200/4))))</f>
        <v>0</v>
      </c>
      <c r="I200" s="36"/>
    </row>
    <row r="201" spans="1:20" s="37" customFormat="1" ht="15.75" hidden="1" customHeight="1" x14ac:dyDescent="0.25">
      <c r="A201" s="90"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&amp;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203 &amp; 503</v>
      </c>
      <c r="B201" s="91"/>
      <c r="C201" s="42"/>
      <c r="D201" s="42"/>
      <c r="E201" s="42">
        <v>0</v>
      </c>
      <c r="F201" s="42">
        <f>D201+E201</f>
        <v>0</v>
      </c>
      <c r="G201" s="42">
        <v>0</v>
      </c>
      <c r="H201" s="42">
        <f>F201*(($H$151)+1)+(IF(G201&lt;101,G201,IF(G201&lt;201,G201/2,IF(G201&lt;=301,G201/3,G201/4))))</f>
        <v>0</v>
      </c>
      <c r="I201" s="36"/>
    </row>
    <row r="202" spans="1:20" s="37" customFormat="1" ht="15.75" hidden="1" customHeight="1" x14ac:dyDescent="0.25">
      <c r="A202" s="90"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&amp;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204 &amp; 504</v>
      </c>
      <c r="B202" s="91"/>
      <c r="C202" s="42"/>
      <c r="D202" s="42"/>
      <c r="E202" s="42">
        <v>0</v>
      </c>
      <c r="F202" s="42">
        <f>D202+E202</f>
        <v>0</v>
      </c>
      <c r="G202" s="42">
        <v>0</v>
      </c>
      <c r="H202" s="42">
        <f>F202*(($H$151)+1)+(IF(G202&lt;101,G202,IF(G202&lt;201,G202/2,IF(G202&lt;=301,G202/3,G202/4))))</f>
        <v>0</v>
      </c>
      <c r="I202" s="36"/>
    </row>
    <row r="203" spans="1:20" s="37" customFormat="1" ht="15.75" hidden="1" customHeight="1" x14ac:dyDescent="0.25">
      <c r="A203" s="90"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&amp;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205 &amp; 505</v>
      </c>
      <c r="B203" s="91"/>
      <c r="C203" s="42"/>
      <c r="D203" s="42"/>
      <c r="E203" s="42">
        <v>0</v>
      </c>
      <c r="F203" s="42">
        <f>D203+E203</f>
        <v>0</v>
      </c>
      <c r="G203" s="42">
        <v>0</v>
      </c>
      <c r="H203" s="42">
        <f>F203*(($H$151)+1)+(IF(G203&lt;101,G203,IF(G203&lt;201,G203/2,IF(G203&lt;=301,G203/3,G203/4))))</f>
        <v>0</v>
      </c>
      <c r="I203" s="36"/>
    </row>
    <row r="204" spans="1:20" s="35" customFormat="1" x14ac:dyDescent="0.25">
      <c r="A204" s="213" t="s">
        <v>65</v>
      </c>
      <c r="B204" s="213"/>
      <c r="C204" s="213"/>
      <c r="D204" s="213"/>
      <c r="E204" s="213"/>
      <c r="F204" s="213"/>
      <c r="G204" s="213"/>
      <c r="H204" s="213"/>
      <c r="T204" s="37"/>
    </row>
    <row r="205" spans="1:20" s="35" customFormat="1" ht="15.75" customHeight="1" x14ac:dyDescent="0.25">
      <c r="A205" s="75" t="s">
        <v>152</v>
      </c>
      <c r="B205" s="212" t="s">
        <v>334</v>
      </c>
      <c r="C205" s="212"/>
      <c r="D205" s="212"/>
      <c r="E205" s="212"/>
      <c r="F205" s="212"/>
      <c r="G205" s="212"/>
      <c r="H205" s="212"/>
      <c r="T205" s="37"/>
    </row>
    <row r="206" spans="1:20" s="35" customFormat="1" x14ac:dyDescent="0.25">
      <c r="A206" s="75" t="s">
        <v>152</v>
      </c>
      <c r="B206" s="94" t="str">
        <f>(IF(H150="Saleable area Loading :","We have considered Saleable area of Flats as per our Calculation.","We considered Saleable area of Flat as per Builder area Sheet."))</f>
        <v>We have considered Saleable area of Flats as per our Calculation.</v>
      </c>
      <c r="C206" s="94"/>
      <c r="D206" s="94"/>
      <c r="E206" s="94"/>
      <c r="F206" s="94"/>
      <c r="G206" s="94"/>
      <c r="H206" s="94"/>
      <c r="T206" s="37"/>
    </row>
    <row r="207" spans="1:20" s="35" customFormat="1" hidden="1" x14ac:dyDescent="0.25">
      <c r="A207" s="75" t="s">
        <v>152</v>
      </c>
      <c r="B207" s="94" t="str">
        <f>(IF(H142="Saleable area Loading :","We have considered Saleable area of Commercial as per our Calculation.","We considered Saleable area of Commercial as per Builder area Sheet."))</f>
        <v>We have considered Saleable area of Commercial as per our Calculation.</v>
      </c>
      <c r="C207" s="94"/>
      <c r="D207" s="94"/>
      <c r="E207" s="94"/>
      <c r="F207" s="94"/>
      <c r="G207" s="94"/>
      <c r="H207" s="94"/>
      <c r="T207" s="37"/>
    </row>
    <row r="208" spans="1:20" s="35" customFormat="1" x14ac:dyDescent="0.25">
      <c r="A208" s="75" t="s">
        <v>152</v>
      </c>
      <c r="B208" s="82" t="s">
        <v>120</v>
      </c>
      <c r="C208" s="82"/>
      <c r="D208" s="82"/>
      <c r="E208" s="82"/>
      <c r="F208" s="82"/>
      <c r="G208" s="82"/>
      <c r="H208" s="82"/>
      <c r="T208" s="37"/>
    </row>
    <row r="209" spans="1:20" s="35" customFormat="1" ht="15.75" customHeight="1" x14ac:dyDescent="0.25">
      <c r="A209" s="75" t="s">
        <v>152</v>
      </c>
      <c r="B209" s="82" t="s">
        <v>323</v>
      </c>
      <c r="C209" s="82"/>
      <c r="D209" s="82"/>
      <c r="E209" s="82"/>
      <c r="F209" s="82"/>
      <c r="G209" s="82"/>
      <c r="H209" s="82"/>
      <c r="T209" s="37"/>
    </row>
    <row r="210" spans="1:20" s="35" customFormat="1" x14ac:dyDescent="0.25">
      <c r="A210" s="75" t="s">
        <v>152</v>
      </c>
      <c r="B210" s="82" t="s">
        <v>151</v>
      </c>
      <c r="C210" s="82"/>
      <c r="D210" s="82"/>
      <c r="E210" s="82"/>
      <c r="F210" s="82"/>
      <c r="G210" s="82"/>
      <c r="H210" s="82"/>
    </row>
    <row r="211" spans="1:20" s="35" customFormat="1" x14ac:dyDescent="0.25">
      <c r="A211" s="75" t="s">
        <v>152</v>
      </c>
      <c r="B211" s="82" t="s">
        <v>121</v>
      </c>
      <c r="C211" s="82"/>
      <c r="D211" s="82"/>
      <c r="E211" s="82"/>
      <c r="F211" s="82"/>
      <c r="G211" s="82"/>
      <c r="H211" s="82"/>
    </row>
    <row r="212" spans="1:20" s="35" customFormat="1" ht="34.5" customHeight="1" x14ac:dyDescent="0.25">
      <c r="A212" s="75" t="s">
        <v>152</v>
      </c>
      <c r="B212" s="82" t="s">
        <v>153</v>
      </c>
      <c r="C212" s="82"/>
      <c r="D212" s="82"/>
      <c r="E212" s="82"/>
      <c r="F212" s="82"/>
      <c r="G212" s="82"/>
      <c r="H212" s="82"/>
    </row>
    <row r="213" spans="1:20" s="35" customFormat="1" x14ac:dyDescent="0.25">
      <c r="A213" s="75" t="s">
        <v>152</v>
      </c>
      <c r="B213" s="82" t="s">
        <v>122</v>
      </c>
      <c r="C213" s="82"/>
      <c r="D213" s="82"/>
      <c r="E213" s="82"/>
      <c r="F213" s="82"/>
      <c r="G213" s="82"/>
      <c r="H213" s="82"/>
    </row>
    <row r="214" spans="1:20" s="35" customFormat="1" ht="32.25" hidden="1" customHeight="1" x14ac:dyDescent="0.25">
      <c r="A214" s="75" t="s">
        <v>152</v>
      </c>
      <c r="B214" s="204" t="s">
        <v>178</v>
      </c>
      <c r="C214" s="204"/>
      <c r="D214" s="204"/>
      <c r="E214" s="204"/>
      <c r="F214" s="204"/>
      <c r="G214" s="204"/>
      <c r="H214" s="204"/>
    </row>
    <row r="215" spans="1:20" s="35" customFormat="1" hidden="1" x14ac:dyDescent="0.25">
      <c r="A215" s="75" t="s">
        <v>152</v>
      </c>
      <c r="B215" s="204" t="s">
        <v>233</v>
      </c>
      <c r="C215" s="204"/>
      <c r="D215" s="204"/>
      <c r="E215" s="204"/>
      <c r="F215" s="204"/>
      <c r="G215" s="204"/>
      <c r="H215" s="204"/>
    </row>
    <row r="216" spans="1:20" s="35" customFormat="1" x14ac:dyDescent="0.25">
      <c r="A216" s="75" t="s">
        <v>152</v>
      </c>
      <c r="B216" s="82" t="s">
        <v>353</v>
      </c>
      <c r="C216" s="82"/>
      <c r="D216" s="82"/>
      <c r="E216" s="82"/>
      <c r="F216" s="82"/>
      <c r="G216" s="82"/>
      <c r="H216" s="82"/>
    </row>
    <row r="217" spans="1:20" x14ac:dyDescent="0.25">
      <c r="A217" s="159" t="s">
        <v>58</v>
      </c>
      <c r="B217" s="159"/>
      <c r="C217" s="159"/>
      <c r="D217" s="159"/>
      <c r="E217" s="159"/>
      <c r="F217" s="159"/>
      <c r="G217" s="159"/>
      <c r="H217" s="159"/>
      <c r="T217" s="35"/>
    </row>
    <row r="218" spans="1:20" x14ac:dyDescent="0.25">
      <c r="A218" s="114" t="s">
        <v>59</v>
      </c>
      <c r="B218" s="114"/>
      <c r="C218" s="114"/>
      <c r="D218" s="114"/>
      <c r="E218" s="114"/>
      <c r="F218" s="114"/>
      <c r="G218" s="114"/>
      <c r="H218" s="114"/>
      <c r="T218" s="35"/>
    </row>
    <row r="219" spans="1:20" ht="15.75" customHeight="1" x14ac:dyDescent="0.25">
      <c r="A219" s="214" t="s">
        <v>60</v>
      </c>
      <c r="B219" s="214"/>
      <c r="C219" s="214"/>
      <c r="D219" s="214"/>
      <c r="E219" s="214"/>
      <c r="F219" s="214"/>
      <c r="G219" s="214"/>
      <c r="H219" s="214"/>
      <c r="T219" s="35"/>
    </row>
    <row r="220" spans="1:20" x14ac:dyDescent="0.25">
      <c r="A220" s="114" t="s">
        <v>61</v>
      </c>
      <c r="B220" s="114"/>
      <c r="C220" s="114"/>
      <c r="D220" s="114"/>
      <c r="E220" s="114"/>
      <c r="F220" s="114"/>
      <c r="G220" s="114"/>
      <c r="H220" s="114"/>
      <c r="T220" s="35"/>
    </row>
    <row r="221" spans="1:20" x14ac:dyDescent="0.25">
      <c r="A221" s="114" t="s">
        <v>62</v>
      </c>
      <c r="B221" s="114"/>
      <c r="C221" s="114"/>
      <c r="D221" s="114"/>
      <c r="E221" s="114"/>
      <c r="F221" s="114"/>
      <c r="G221" s="114"/>
      <c r="H221" s="114"/>
      <c r="T221" s="35"/>
    </row>
    <row r="222" spans="1:20" x14ac:dyDescent="0.25">
      <c r="A222" s="114" t="s">
        <v>123</v>
      </c>
      <c r="B222" s="114"/>
      <c r="C222" s="114"/>
      <c r="D222" s="114"/>
      <c r="E222" s="114"/>
      <c r="F222" s="114"/>
      <c r="G222" s="114"/>
      <c r="H222" s="114"/>
      <c r="T222" s="35"/>
    </row>
    <row r="223" spans="1:20" ht="33.950000000000003" customHeight="1" x14ac:dyDescent="0.25">
      <c r="A223" s="160" t="s">
        <v>124</v>
      </c>
      <c r="B223" s="160"/>
      <c r="C223" s="160"/>
      <c r="D223" s="160"/>
      <c r="E223" s="160"/>
      <c r="F223" s="160"/>
      <c r="G223" s="160"/>
      <c r="H223" s="160"/>
    </row>
    <row r="224" spans="1:20" x14ac:dyDescent="0.25">
      <c r="A224" s="210" t="s">
        <v>74</v>
      </c>
      <c r="B224" s="210"/>
      <c r="C224" s="210" t="s">
        <v>357</v>
      </c>
      <c r="D224" s="210"/>
      <c r="E224" s="210" t="s">
        <v>104</v>
      </c>
      <c r="F224" s="210"/>
      <c r="G224" s="211" t="s">
        <v>359</v>
      </c>
      <c r="H224" s="211"/>
    </row>
    <row r="225" spans="1:8" x14ac:dyDescent="0.25">
      <c r="A225" s="209" t="s">
        <v>76</v>
      </c>
      <c r="B225" s="209"/>
      <c r="C225" s="209"/>
      <c r="D225" s="209"/>
      <c r="E225" s="209"/>
      <c r="F225" s="209"/>
      <c r="G225" s="209"/>
      <c r="H225" s="209"/>
    </row>
    <row r="226" spans="1:8" x14ac:dyDescent="0.25">
      <c r="A226" s="209"/>
      <c r="B226" s="209"/>
      <c r="C226" s="209"/>
      <c r="D226" s="209"/>
      <c r="E226" s="209"/>
      <c r="F226" s="209"/>
      <c r="G226" s="209"/>
      <c r="H226" s="209"/>
    </row>
    <row r="227" spans="1:8" x14ac:dyDescent="0.25">
      <c r="A227" s="209"/>
      <c r="B227" s="209"/>
      <c r="C227" s="209"/>
      <c r="D227" s="209"/>
      <c r="E227" s="209"/>
      <c r="F227" s="209"/>
      <c r="G227" s="209"/>
      <c r="H227" s="209"/>
    </row>
    <row r="228" spans="1:8" x14ac:dyDescent="0.25">
      <c r="A228" s="209"/>
      <c r="B228" s="209"/>
      <c r="C228" s="209"/>
      <c r="D228" s="209"/>
      <c r="E228" s="209"/>
      <c r="F228" s="209"/>
      <c r="G228" s="209"/>
      <c r="H228" s="209"/>
    </row>
    <row r="229" spans="1:8" x14ac:dyDescent="0.25">
      <c r="A229" s="38" t="s">
        <v>63</v>
      </c>
      <c r="B229" s="39"/>
      <c r="C229" s="39"/>
      <c r="D229" s="38" t="str">
        <f>E9</f>
        <v>Chandrangan Residency Phase IV</v>
      </c>
      <c r="F229" s="39"/>
      <c r="G229" s="39"/>
      <c r="H229" s="39"/>
    </row>
    <row r="230" spans="1:8" x14ac:dyDescent="0.25">
      <c r="A230" s="39"/>
      <c r="B230" s="39"/>
      <c r="C230" s="39"/>
      <c r="D230" s="39"/>
      <c r="E230" s="39"/>
      <c r="F230" s="39"/>
      <c r="G230" s="39"/>
      <c r="H230" s="39"/>
    </row>
    <row r="231" spans="1:8" x14ac:dyDescent="0.25">
      <c r="A231" s="39"/>
      <c r="B231" s="81"/>
      <c r="C231" s="39"/>
      <c r="D231" s="39"/>
      <c r="E231" s="39"/>
      <c r="F231" s="39"/>
      <c r="G231" s="39"/>
      <c r="H231" s="39"/>
    </row>
    <row r="232" spans="1:8" ht="15" customHeight="1" x14ac:dyDescent="0.25"/>
    <row r="262" spans="1:10" x14ac:dyDescent="0.25">
      <c r="J262" s="21" t="s">
        <v>360</v>
      </c>
    </row>
    <row r="272" spans="1:10" x14ac:dyDescent="0.25">
      <c r="A272" s="41" t="s">
        <v>163</v>
      </c>
    </row>
    <row r="315" spans="1:1" x14ac:dyDescent="0.25">
      <c r="A315" s="41" t="s">
        <v>64</v>
      </c>
    </row>
  </sheetData>
  <mergeCells count="390">
    <mergeCell ref="L167:M167"/>
    <mergeCell ref="I15:P15"/>
    <mergeCell ref="F126:H126"/>
    <mergeCell ref="F124:H124"/>
    <mergeCell ref="A141:H141"/>
    <mergeCell ref="G130:H130"/>
    <mergeCell ref="A125:E125"/>
    <mergeCell ref="A146:B146"/>
    <mergeCell ref="A60:B60"/>
    <mergeCell ref="C60:E60"/>
    <mergeCell ref="D62:H62"/>
    <mergeCell ref="F125:H125"/>
    <mergeCell ref="E130:F130"/>
    <mergeCell ref="A130:B130"/>
    <mergeCell ref="A132:B132"/>
    <mergeCell ref="C135:D135"/>
    <mergeCell ref="D71:H71"/>
    <mergeCell ref="A72:C72"/>
    <mergeCell ref="E43:H43"/>
    <mergeCell ref="A43:D43"/>
    <mergeCell ref="A88:B88"/>
    <mergeCell ref="C88:H88"/>
    <mergeCell ref="A50:B50"/>
    <mergeCell ref="C50:E50"/>
    <mergeCell ref="A56:B57"/>
    <mergeCell ref="C56:E56"/>
    <mergeCell ref="G56:H56"/>
    <mergeCell ref="A58:B59"/>
    <mergeCell ref="C58:E58"/>
    <mergeCell ref="G58:H58"/>
    <mergeCell ref="G51:H51"/>
    <mergeCell ref="A52:B53"/>
    <mergeCell ref="C53:H53"/>
    <mergeCell ref="C52:E52"/>
    <mergeCell ref="C55:H55"/>
    <mergeCell ref="A186:B186"/>
    <mergeCell ref="A187:B187"/>
    <mergeCell ref="A188:B188"/>
    <mergeCell ref="A182:B182"/>
    <mergeCell ref="A222:H222"/>
    <mergeCell ref="A219:H219"/>
    <mergeCell ref="A169:B169"/>
    <mergeCell ref="A135:B135"/>
    <mergeCell ref="D150:D151"/>
    <mergeCell ref="E150:E151"/>
    <mergeCell ref="C138:D138"/>
    <mergeCell ref="A145:B145"/>
    <mergeCell ref="B214:H214"/>
    <mergeCell ref="A139:B139"/>
    <mergeCell ref="C139:D139"/>
    <mergeCell ref="A157:H157"/>
    <mergeCell ref="A158:H158"/>
    <mergeCell ref="A159:B159"/>
    <mergeCell ref="A163:B163"/>
    <mergeCell ref="A181:B181"/>
    <mergeCell ref="A164:B164"/>
    <mergeCell ref="A165:B165"/>
    <mergeCell ref="A166:B166"/>
    <mergeCell ref="A167:B167"/>
    <mergeCell ref="A203:B203"/>
    <mergeCell ref="A202:B202"/>
    <mergeCell ref="B205:H205"/>
    <mergeCell ref="B206:H206"/>
    <mergeCell ref="B208:H208"/>
    <mergeCell ref="B209:H209"/>
    <mergeCell ref="A204:H204"/>
    <mergeCell ref="B210:H210"/>
    <mergeCell ref="A153:H153"/>
    <mergeCell ref="A156:H156"/>
    <mergeCell ref="A171:B171"/>
    <mergeCell ref="A193:B193"/>
    <mergeCell ref="A154:H154"/>
    <mergeCell ref="A184:B184"/>
    <mergeCell ref="A189:B189"/>
    <mergeCell ref="A190:B190"/>
    <mergeCell ref="A191:B191"/>
    <mergeCell ref="C187:H187"/>
    <mergeCell ref="A174:B174"/>
    <mergeCell ref="A175:B175"/>
    <mergeCell ref="A176:B176"/>
    <mergeCell ref="A177:B177"/>
    <mergeCell ref="A178:B178"/>
    <mergeCell ref="A179:B179"/>
    <mergeCell ref="A225:H228"/>
    <mergeCell ref="A224:B224"/>
    <mergeCell ref="E224:F224"/>
    <mergeCell ref="C224:D224"/>
    <mergeCell ref="G224:H224"/>
    <mergeCell ref="A129:H129"/>
    <mergeCell ref="A127:E127"/>
    <mergeCell ref="F127:H127"/>
    <mergeCell ref="A128:E128"/>
    <mergeCell ref="F128:H128"/>
    <mergeCell ref="A168:H168"/>
    <mergeCell ref="A136:B136"/>
    <mergeCell ref="A183:B183"/>
    <mergeCell ref="A131:B131"/>
    <mergeCell ref="A220:H220"/>
    <mergeCell ref="A134:H134"/>
    <mergeCell ref="A223:H223"/>
    <mergeCell ref="A221:H221"/>
    <mergeCell ref="A217:H217"/>
    <mergeCell ref="G135:H135"/>
    <mergeCell ref="A185:B185"/>
    <mergeCell ref="C142:C143"/>
    <mergeCell ref="A192:H192"/>
    <mergeCell ref="A180:H180"/>
    <mergeCell ref="A218:H218"/>
    <mergeCell ref="A76:B76"/>
    <mergeCell ref="A74:B74"/>
    <mergeCell ref="C74:H74"/>
    <mergeCell ref="A82:B82"/>
    <mergeCell ref="A69:C69"/>
    <mergeCell ref="D69:H69"/>
    <mergeCell ref="C76:H76"/>
    <mergeCell ref="A79:B79"/>
    <mergeCell ref="A81:B81"/>
    <mergeCell ref="E77:F77"/>
    <mergeCell ref="A70:C70"/>
    <mergeCell ref="D70:H70"/>
    <mergeCell ref="A73:C73"/>
    <mergeCell ref="D73:H73"/>
    <mergeCell ref="A71:C71"/>
    <mergeCell ref="D72:H72"/>
    <mergeCell ref="A78:B78"/>
    <mergeCell ref="G77:H77"/>
    <mergeCell ref="B215:H215"/>
    <mergeCell ref="A121:E121"/>
    <mergeCell ref="A101:B101"/>
    <mergeCell ref="A106:B106"/>
    <mergeCell ref="A150:A15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6:H115"/>
    <mergeCell ref="A42:D42"/>
    <mergeCell ref="E42:H42"/>
    <mergeCell ref="A41:H41"/>
    <mergeCell ref="A67:C67"/>
    <mergeCell ref="A68:C68"/>
    <mergeCell ref="D67:H67"/>
    <mergeCell ref="E78:F87"/>
    <mergeCell ref="G78:H87"/>
    <mergeCell ref="A86:B86"/>
    <mergeCell ref="A87:B87"/>
    <mergeCell ref="D68:H68"/>
    <mergeCell ref="A44:D44"/>
    <mergeCell ref="E44:H44"/>
    <mergeCell ref="E45:H45"/>
    <mergeCell ref="E46:H46"/>
    <mergeCell ref="A91:B91"/>
    <mergeCell ref="E47:H47"/>
    <mergeCell ref="C57:H57"/>
    <mergeCell ref="C59:H59"/>
    <mergeCell ref="A90:B90"/>
    <mergeCell ref="A39:B39"/>
    <mergeCell ref="C39:H39"/>
    <mergeCell ref="A46:D46"/>
    <mergeCell ref="L148:M148"/>
    <mergeCell ref="L147:M147"/>
    <mergeCell ref="L146:M146"/>
    <mergeCell ref="L145:M145"/>
    <mergeCell ref="A85:B85"/>
    <mergeCell ref="C136:D136"/>
    <mergeCell ref="E136:F136"/>
    <mergeCell ref="G136:H136"/>
    <mergeCell ref="A117:E117"/>
    <mergeCell ref="A102:B102"/>
    <mergeCell ref="C102:H102"/>
    <mergeCell ref="A144:H144"/>
    <mergeCell ref="E142:E143"/>
    <mergeCell ref="A92:B92"/>
    <mergeCell ref="A47:D47"/>
    <mergeCell ref="A48:H48"/>
    <mergeCell ref="D64:H64"/>
    <mergeCell ref="A64:C64"/>
    <mergeCell ref="A84:B84"/>
    <mergeCell ref="C90:H90"/>
    <mergeCell ref="A45:D45"/>
    <mergeCell ref="A162:B162"/>
    <mergeCell ref="A77:B77"/>
    <mergeCell ref="B150:B151"/>
    <mergeCell ref="F150:F151"/>
    <mergeCell ref="F116:H116"/>
    <mergeCell ref="F121:H121"/>
    <mergeCell ref="A155:B155"/>
    <mergeCell ref="A148:B148"/>
    <mergeCell ref="A147:B147"/>
    <mergeCell ref="E91:F91"/>
    <mergeCell ref="G91:H91"/>
    <mergeCell ref="A122:E122"/>
    <mergeCell ref="F122:H122"/>
    <mergeCell ref="A124:E124"/>
    <mergeCell ref="F119:H119"/>
    <mergeCell ref="A123:E123"/>
    <mergeCell ref="F142:F143"/>
    <mergeCell ref="C131:D131"/>
    <mergeCell ref="E131:F131"/>
    <mergeCell ref="B142:B143"/>
    <mergeCell ref="A142:A143"/>
    <mergeCell ref="C150:C151"/>
    <mergeCell ref="G150:G151"/>
    <mergeCell ref="A109:B109"/>
    <mergeCell ref="A65:C66"/>
    <mergeCell ref="D65:H65"/>
    <mergeCell ref="D66:H66"/>
    <mergeCell ref="A83:B83"/>
    <mergeCell ref="A96:B96"/>
    <mergeCell ref="A97:B97"/>
    <mergeCell ref="A98:B98"/>
    <mergeCell ref="A40:B40"/>
    <mergeCell ref="C40:H40"/>
    <mergeCell ref="A49:B49"/>
    <mergeCell ref="C49:H49"/>
    <mergeCell ref="A80:B80"/>
    <mergeCell ref="C51:E51"/>
    <mergeCell ref="G50:H50"/>
    <mergeCell ref="G52:H52"/>
    <mergeCell ref="A51:B51"/>
    <mergeCell ref="A61:H61"/>
    <mergeCell ref="A62:C62"/>
    <mergeCell ref="A63:C63"/>
    <mergeCell ref="D63:H63"/>
    <mergeCell ref="G60:H60"/>
    <mergeCell ref="A54:B55"/>
    <mergeCell ref="C54:E54"/>
    <mergeCell ref="G54:H54"/>
    <mergeCell ref="E92:F101"/>
    <mergeCell ref="A99:B99"/>
    <mergeCell ref="A100:B100"/>
    <mergeCell ref="E105:F105"/>
    <mergeCell ref="E106:F115"/>
    <mergeCell ref="A149:H149"/>
    <mergeCell ref="E135:F135"/>
    <mergeCell ref="A140:H140"/>
    <mergeCell ref="E139:F139"/>
    <mergeCell ref="G92:H101"/>
    <mergeCell ref="A93:B93"/>
    <mergeCell ref="A94:B94"/>
    <mergeCell ref="A95:B95"/>
    <mergeCell ref="F118:H118"/>
    <mergeCell ref="A118:E118"/>
    <mergeCell ref="D142:D143"/>
    <mergeCell ref="A120:E120"/>
    <mergeCell ref="A111:B111"/>
    <mergeCell ref="A113:B113"/>
    <mergeCell ref="A114:B114"/>
    <mergeCell ref="A119:E119"/>
    <mergeCell ref="A116:E116"/>
    <mergeCell ref="F120:H120"/>
    <mergeCell ref="G105:H105"/>
    <mergeCell ref="A104:B104"/>
    <mergeCell ref="G142:G143"/>
    <mergeCell ref="C104:H104"/>
    <mergeCell ref="A105:B105"/>
    <mergeCell ref="A126:E126"/>
    <mergeCell ref="C132:D132"/>
    <mergeCell ref="E132:F132"/>
    <mergeCell ref="G139:H139"/>
    <mergeCell ref="A112:B112"/>
    <mergeCell ref="A110:B110"/>
    <mergeCell ref="K159:M159"/>
    <mergeCell ref="A138:B138"/>
    <mergeCell ref="E138:F138"/>
    <mergeCell ref="G138:H138"/>
    <mergeCell ref="L168:M168"/>
    <mergeCell ref="A173:B173"/>
    <mergeCell ref="A170:B170"/>
    <mergeCell ref="A107:B107"/>
    <mergeCell ref="A108:B108"/>
    <mergeCell ref="L162:M162"/>
    <mergeCell ref="L155:M155"/>
    <mergeCell ref="A160:B160"/>
    <mergeCell ref="L160:M160"/>
    <mergeCell ref="A161:B161"/>
    <mergeCell ref="L161:M161"/>
    <mergeCell ref="F117:H117"/>
    <mergeCell ref="G131:H131"/>
    <mergeCell ref="A115:B115"/>
    <mergeCell ref="F123:H123"/>
    <mergeCell ref="C130:D130"/>
    <mergeCell ref="L163:M163"/>
    <mergeCell ref="L164:M164"/>
    <mergeCell ref="L165:M165"/>
    <mergeCell ref="L166:M166"/>
    <mergeCell ref="B216:H216"/>
    <mergeCell ref="G132:H132"/>
    <mergeCell ref="A133:B133"/>
    <mergeCell ref="C133:D133"/>
    <mergeCell ref="E133:F133"/>
    <mergeCell ref="G133:H133"/>
    <mergeCell ref="A137:B137"/>
    <mergeCell ref="C137:D137"/>
    <mergeCell ref="E137:F137"/>
    <mergeCell ref="G137:H137"/>
    <mergeCell ref="A194:B194"/>
    <mergeCell ref="A196:B196"/>
    <mergeCell ref="A197:B197"/>
    <mergeCell ref="A152:H152"/>
    <mergeCell ref="B212:H212"/>
    <mergeCell ref="A195:B195"/>
    <mergeCell ref="A172:B172"/>
    <mergeCell ref="B213:H213"/>
    <mergeCell ref="B211:H211"/>
    <mergeCell ref="B207:H207"/>
    <mergeCell ref="A201:B201"/>
    <mergeCell ref="A198:H198"/>
    <mergeCell ref="A199:B199"/>
    <mergeCell ref="A200:B20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2:E143">
      <formula1>"Attached Loft area,Attached Otla area,Attached Mezzanine area"</formula1>
    </dataValidation>
    <dataValidation type="list" allowBlank="1" showInputMessage="1" showErrorMessage="1" sqref="G224:H224">
      <formula1>"Kunal Kadam,Gaurav Panchal,Pranita Mhatre,Shruti Fule,Pooja Kawale,Neha Dhokale,Shruti Tathare, Hitakshi Mhatre,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2:B143">
      <formula1>"Shop No. (Sale Plan),Sale / Rehab,Sale / Mhada"</formula1>
    </dataValidation>
    <dataValidation type="list" allowBlank="1" showInputMessage="1" showErrorMessage="1" sqref="B150:B15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0:E151">
      <formula1>"Fungible area,Balcony Area,Chajja Area,Cornice Area,AP Area,WS Area"</formula1>
    </dataValidation>
    <dataValidation type="list" allowBlank="1" showInputMessage="1" showErrorMessage="1" sqref="H143 H15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 type="list" allowBlank="1" showInputMessage="1" showErrorMessage="1" sqref="H142 H150">
      <formula1>"Saleable area Loading :,Builder Saleable Area"</formula1>
    </dataValidation>
    <dataValidation type="list" allowBlank="1" showInputMessage="1" showErrorMessage="1" sqref="D142:D143 D150:D151">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28" max="16383" man="1"/>
    <brk id="271" max="16383" man="1"/>
    <brk id="31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7" t="s">
        <v>105</v>
      </c>
      <c r="C3" s="237"/>
      <c r="D3" s="237"/>
      <c r="E3" s="237"/>
      <c r="F3" s="237"/>
      <c r="G3" s="237"/>
      <c r="H3" s="237"/>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179</v>
      </c>
      <c r="E4" s="53" t="s">
        <v>189</v>
      </c>
      <c r="F4" s="53" t="s">
        <v>172</v>
      </c>
      <c r="G4" s="53" t="s">
        <v>194</v>
      </c>
      <c r="H4" s="53" t="s">
        <v>212</v>
      </c>
      <c r="J4" t="s">
        <v>194</v>
      </c>
      <c r="K4" t="s">
        <v>210</v>
      </c>
    </row>
    <row r="5" spans="2:11" x14ac:dyDescent="0.25">
      <c r="B5" s="52"/>
      <c r="C5" s="52"/>
      <c r="D5" s="53" t="s">
        <v>180</v>
      </c>
      <c r="E5" s="53" t="s">
        <v>187</v>
      </c>
      <c r="F5" s="53" t="s">
        <v>209</v>
      </c>
      <c r="G5" s="53" t="s">
        <v>195</v>
      </c>
      <c r="H5" s="53" t="s">
        <v>213</v>
      </c>
    </row>
    <row r="6" spans="2:11" x14ac:dyDescent="0.25">
      <c r="B6" s="52"/>
      <c r="C6" s="52"/>
      <c r="D6" s="53" t="s">
        <v>181</v>
      </c>
      <c r="E6" s="53" t="s">
        <v>188</v>
      </c>
      <c r="F6" s="53" t="s">
        <v>210</v>
      </c>
      <c r="G6" s="53" t="s">
        <v>196</v>
      </c>
      <c r="H6" s="53" t="s">
        <v>226</v>
      </c>
    </row>
    <row r="7" spans="2:11" x14ac:dyDescent="0.25">
      <c r="B7" s="52"/>
      <c r="C7" s="52"/>
      <c r="D7" s="53" t="s">
        <v>182</v>
      </c>
      <c r="E7" s="53" t="s">
        <v>190</v>
      </c>
      <c r="F7" s="53" t="s">
        <v>211</v>
      </c>
      <c r="G7" s="53" t="s">
        <v>197</v>
      </c>
      <c r="H7" s="53" t="s">
        <v>214</v>
      </c>
    </row>
    <row r="8" spans="2:11" x14ac:dyDescent="0.25">
      <c r="B8" s="52"/>
      <c r="C8" s="52"/>
      <c r="D8" s="53" t="s">
        <v>183</v>
      </c>
      <c r="E8" s="53" t="s">
        <v>191</v>
      </c>
      <c r="F8" s="53"/>
      <c r="G8" s="53" t="s">
        <v>198</v>
      </c>
      <c r="H8" s="53" t="s">
        <v>215</v>
      </c>
    </row>
    <row r="9" spans="2:11" x14ac:dyDescent="0.25">
      <c r="B9" s="52"/>
      <c r="C9" s="52"/>
      <c r="D9" s="53" t="s">
        <v>184</v>
      </c>
      <c r="E9" s="53" t="s">
        <v>189</v>
      </c>
      <c r="F9" s="53"/>
      <c r="G9" s="53" t="s">
        <v>199</v>
      </c>
      <c r="H9" s="53" t="s">
        <v>216</v>
      </c>
    </row>
    <row r="10" spans="2:11" x14ac:dyDescent="0.25">
      <c r="B10" s="52"/>
      <c r="C10" s="52"/>
      <c r="D10" s="53" t="s">
        <v>185</v>
      </c>
      <c r="E10" s="53" t="s">
        <v>192</v>
      </c>
      <c r="F10" s="53"/>
      <c r="G10" s="53" t="s">
        <v>200</v>
      </c>
      <c r="H10" s="53" t="s">
        <v>217</v>
      </c>
    </row>
    <row r="11" spans="2:11" x14ac:dyDescent="0.25">
      <c r="B11" s="52"/>
      <c r="C11" s="52"/>
      <c r="D11" s="53" t="s">
        <v>186</v>
      </c>
      <c r="E11" s="53" t="s">
        <v>193</v>
      </c>
      <c r="F11" s="53"/>
      <c r="G11" s="53" t="s">
        <v>201</v>
      </c>
      <c r="H11" s="53" t="s">
        <v>218</v>
      </c>
    </row>
    <row r="12" spans="2:11" x14ac:dyDescent="0.25">
      <c r="B12" s="52"/>
      <c r="C12" s="52"/>
      <c r="D12" s="53"/>
      <c r="E12" s="53"/>
      <c r="F12" s="53"/>
      <c r="G12" s="53" t="s">
        <v>202</v>
      </c>
      <c r="H12" s="53" t="s">
        <v>219</v>
      </c>
    </row>
    <row r="13" spans="2:11" x14ac:dyDescent="0.25">
      <c r="B13" s="52"/>
      <c r="C13" s="52"/>
      <c r="D13" s="53"/>
      <c r="E13" s="53"/>
      <c r="F13" s="53"/>
      <c r="G13" s="53" t="s">
        <v>203</v>
      </c>
      <c r="H13" s="53" t="s">
        <v>220</v>
      </c>
    </row>
    <row r="14" spans="2:11" x14ac:dyDescent="0.25">
      <c r="B14" s="52"/>
      <c r="C14" s="52"/>
      <c r="D14" s="53"/>
      <c r="E14" s="53"/>
      <c r="F14" s="53"/>
      <c r="G14" s="53" t="s">
        <v>204</v>
      </c>
      <c r="H14" s="53" t="s">
        <v>221</v>
      </c>
    </row>
    <row r="15" spans="2:11" x14ac:dyDescent="0.25">
      <c r="B15" s="52"/>
      <c r="C15" s="52"/>
      <c r="D15" s="53"/>
      <c r="E15" s="53"/>
      <c r="F15" s="53"/>
      <c r="G15" s="53" t="s">
        <v>205</v>
      </c>
      <c r="H15" s="53" t="s">
        <v>222</v>
      </c>
    </row>
    <row r="16" spans="2:11" x14ac:dyDescent="0.25">
      <c r="B16" s="52"/>
      <c r="C16" s="52"/>
      <c r="D16" s="53"/>
      <c r="E16" s="53"/>
      <c r="F16" s="53"/>
      <c r="G16" s="53" t="s">
        <v>206</v>
      </c>
      <c r="H16" s="53" t="s">
        <v>223</v>
      </c>
    </row>
    <row r="17" spans="2:8" x14ac:dyDescent="0.25">
      <c r="B17" s="52"/>
      <c r="C17" s="52"/>
      <c r="D17" s="53"/>
      <c r="E17" s="53"/>
      <c r="F17" s="53"/>
      <c r="G17" s="53" t="s">
        <v>207</v>
      </c>
      <c r="H17" s="53" t="s">
        <v>224</v>
      </c>
    </row>
    <row r="18" spans="2:8" x14ac:dyDescent="0.25">
      <c r="B18" s="52"/>
      <c r="C18" s="52"/>
      <c r="D18" s="53"/>
      <c r="E18" s="53"/>
      <c r="F18" s="53"/>
      <c r="G18" s="53" t="s">
        <v>208</v>
      </c>
      <c r="H18" s="53" t="s">
        <v>225</v>
      </c>
    </row>
    <row r="24" spans="2:8" x14ac:dyDescent="0.25">
      <c r="C24" t="s">
        <v>169</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169</v>
      </c>
    </row>
    <row r="33" spans="3:11" x14ac:dyDescent="0.25">
      <c r="J33">
        <v>1</v>
      </c>
      <c r="K33">
        <v>2</v>
      </c>
    </row>
    <row r="34" spans="3:11" x14ac:dyDescent="0.25">
      <c r="C34" s="55" t="s">
        <v>237</v>
      </c>
      <c r="D34" s="53" t="s">
        <v>235</v>
      </c>
      <c r="E34" s="53" t="s">
        <v>240</v>
      </c>
      <c r="F34" s="53" t="s">
        <v>238</v>
      </c>
      <c r="G34" s="53" t="s">
        <v>239</v>
      </c>
      <c r="H34" s="53" t="s">
        <v>241</v>
      </c>
      <c r="J34" t="s">
        <v>194</v>
      </c>
      <c r="K34" t="s">
        <v>210</v>
      </c>
    </row>
    <row r="35" spans="3:11" x14ac:dyDescent="0.25">
      <c r="C35" s="52" t="s">
        <v>236</v>
      </c>
      <c r="D35" s="53" t="s">
        <v>170</v>
      </c>
      <c r="E35" s="53" t="s">
        <v>245</v>
      </c>
      <c r="F35" s="53" t="s">
        <v>247</v>
      </c>
      <c r="G35" s="53" t="s">
        <v>249</v>
      </c>
      <c r="H35" s="53"/>
    </row>
    <row r="36" spans="3:11" x14ac:dyDescent="0.25">
      <c r="C36" s="52"/>
      <c r="D36" s="53" t="s">
        <v>242</v>
      </c>
      <c r="E36" s="53" t="s">
        <v>246</v>
      </c>
      <c r="F36" s="53" t="s">
        <v>248</v>
      </c>
      <c r="G36" s="53" t="s">
        <v>250</v>
      </c>
      <c r="H36" s="53"/>
    </row>
    <row r="37" spans="3:11" x14ac:dyDescent="0.25">
      <c r="C37" s="52"/>
      <c r="D37" s="53" t="s">
        <v>243</v>
      </c>
      <c r="E37" s="53"/>
      <c r="F37" s="53"/>
      <c r="G37" s="53" t="s">
        <v>251</v>
      </c>
      <c r="H37" s="53"/>
    </row>
    <row r="38" spans="3:11" x14ac:dyDescent="0.25">
      <c r="C38" s="52"/>
      <c r="D38" s="53" t="s">
        <v>244</v>
      </c>
      <c r="E38" s="53"/>
      <c r="F38" s="53"/>
      <c r="G38" s="53" t="s">
        <v>251</v>
      </c>
      <c r="H38" s="53"/>
    </row>
    <row r="39" spans="3:11" x14ac:dyDescent="0.25">
      <c r="C39" s="52"/>
      <c r="D39" s="53"/>
      <c r="E39" s="53"/>
      <c r="F39" s="53"/>
      <c r="G39" s="53" t="s">
        <v>252</v>
      </c>
      <c r="H39" s="53"/>
    </row>
    <row r="40" spans="3:11" x14ac:dyDescent="0.25">
      <c r="C40" s="52"/>
      <c r="D40" s="53"/>
      <c r="E40" s="53"/>
      <c r="F40" s="53"/>
      <c r="G40" s="53" t="s">
        <v>253</v>
      </c>
      <c r="H40" s="53"/>
    </row>
    <row r="41" spans="3:11" x14ac:dyDescent="0.25">
      <c r="C41" s="52"/>
      <c r="D41" s="53"/>
      <c r="E41" s="53"/>
      <c r="F41" s="53"/>
      <c r="G41" s="53"/>
      <c r="H41" s="53"/>
    </row>
    <row r="43" spans="3:11" x14ac:dyDescent="0.25">
      <c r="C43" t="s">
        <v>254</v>
      </c>
    </row>
    <row r="44" spans="3:11" x14ac:dyDescent="0.25">
      <c r="C44" t="s">
        <v>172</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179</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194</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189</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5" x14ac:dyDescent="0.25"/>
  <cols>
    <col min="2" max="2" width="3" bestFit="1" customWidth="1"/>
    <col min="3" max="3" width="130" customWidth="1"/>
  </cols>
  <sheetData>
    <row r="2" spans="2:3" ht="15" customHeight="1" x14ac:dyDescent="0.25">
      <c r="B2" s="56">
        <v>1</v>
      </c>
      <c r="C2" s="58" t="s">
        <v>285</v>
      </c>
    </row>
    <row r="3" spans="2:3" x14ac:dyDescent="0.25">
      <c r="B3" s="56">
        <v>2</v>
      </c>
      <c r="C3" s="57" t="s">
        <v>286</v>
      </c>
    </row>
    <row r="4" spans="2:3" x14ac:dyDescent="0.25">
      <c r="B4" s="56">
        <v>3</v>
      </c>
      <c r="C4" s="56" t="s">
        <v>287</v>
      </c>
    </row>
    <row r="5" spans="2:3" ht="30" x14ac:dyDescent="0.25">
      <c r="B5" s="56">
        <v>4</v>
      </c>
      <c r="C5" s="57" t="s">
        <v>288</v>
      </c>
    </row>
    <row r="6" spans="2:3" x14ac:dyDescent="0.25">
      <c r="B6" s="56">
        <v>5</v>
      </c>
      <c r="C6" s="56" t="s">
        <v>289</v>
      </c>
    </row>
    <row r="7" spans="2:3" ht="30" x14ac:dyDescent="0.25">
      <c r="B7" s="56">
        <v>6</v>
      </c>
      <c r="C7" s="57" t="s">
        <v>290</v>
      </c>
    </row>
    <row r="8" spans="2:3" ht="90" x14ac:dyDescent="0.25">
      <c r="B8" s="56">
        <v>7</v>
      </c>
      <c r="C8" s="57" t="s">
        <v>291</v>
      </c>
    </row>
    <row r="9" spans="2:3" x14ac:dyDescent="0.25">
      <c r="B9" s="56">
        <v>8</v>
      </c>
      <c r="C9" s="56" t="s">
        <v>292</v>
      </c>
    </row>
    <row r="10" spans="2:3" x14ac:dyDescent="0.25">
      <c r="B10" s="56">
        <v>9</v>
      </c>
      <c r="C10" s="56" t="s">
        <v>293</v>
      </c>
    </row>
    <row r="11" spans="2:3" x14ac:dyDescent="0.25">
      <c r="B11" s="56">
        <v>10</v>
      </c>
      <c r="C11" s="56" t="s">
        <v>294</v>
      </c>
    </row>
    <row r="12" spans="2:3" x14ac:dyDescent="0.25">
      <c r="B12" s="56">
        <v>11</v>
      </c>
      <c r="C12" s="56" t="s">
        <v>295</v>
      </c>
    </row>
    <row r="13" spans="2:3" x14ac:dyDescent="0.25">
      <c r="B13" s="56">
        <v>12</v>
      </c>
      <c r="C13" s="56" t="s">
        <v>296</v>
      </c>
    </row>
    <row r="14" spans="2:3" x14ac:dyDescent="0.25">
      <c r="B14" s="56">
        <v>13</v>
      </c>
      <c r="C14" s="56" t="s">
        <v>297</v>
      </c>
    </row>
    <row r="15" spans="2:3" x14ac:dyDescent="0.25">
      <c r="B15" s="56">
        <v>14</v>
      </c>
      <c r="C15" s="56" t="s">
        <v>287</v>
      </c>
    </row>
    <row r="16" spans="2:3" x14ac:dyDescent="0.25">
      <c r="B16" s="56">
        <v>15</v>
      </c>
      <c r="C16" s="56" t="s">
        <v>299</v>
      </c>
    </row>
    <row r="17" spans="2:3" ht="31.5" customHeight="1" x14ac:dyDescent="0.25">
      <c r="B17" s="59">
        <v>16</v>
      </c>
      <c r="C17" s="61" t="s">
        <v>300</v>
      </c>
    </row>
    <row r="18" spans="2:3" x14ac:dyDescent="0.25">
      <c r="B18" s="60">
        <v>17</v>
      </c>
      <c r="C18" s="61" t="s">
        <v>301</v>
      </c>
    </row>
    <row r="19" spans="2:3" x14ac:dyDescent="0.25">
      <c r="B19" s="59">
        <v>18</v>
      </c>
      <c r="C19" s="56" t="s">
        <v>302</v>
      </c>
    </row>
    <row r="20" spans="2:3" x14ac:dyDescent="0.25">
      <c r="B20" s="60">
        <v>19</v>
      </c>
      <c r="C20" s="56"/>
    </row>
    <row r="21" spans="2:3" x14ac:dyDescent="0.25">
      <c r="B21" s="56">
        <v>20</v>
      </c>
      <c r="C21" s="56"/>
    </row>
    <row r="22" spans="2:3" x14ac:dyDescent="0.25">
      <c r="B22" s="56"/>
      <c r="C22" s="56"/>
    </row>
    <row r="23" spans="2:3" x14ac:dyDescent="0.25">
      <c r="B23" s="56"/>
      <c r="C23" s="56"/>
    </row>
    <row r="24" spans="2:3" x14ac:dyDescent="0.25">
      <c r="B24" s="56"/>
      <c r="C24" s="56"/>
    </row>
    <row r="25" spans="2:3" x14ac:dyDescent="0.25">
      <c r="B25" s="56"/>
      <c r="C25" s="56"/>
    </row>
    <row r="26" spans="2:3" x14ac:dyDescent="0.25">
      <c r="B26" s="56"/>
      <c r="C26" s="5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2025-08-09T08:58:51Z</cp:lastPrinted>
  <dcterms:created xsi:type="dcterms:W3CDTF">2019-07-16T09:29:46Z</dcterms:created>
  <dcterms:modified xsi:type="dcterms:W3CDTF">2025-08-09T08:58:52Z</dcterms:modified>
</cp:coreProperties>
</file>