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ThisWorkbook"/>
  <bookViews>
    <workbookView xWindow="0" yWindow="0" windowWidth="19200" windowHeight="6645" tabRatio="725"/>
  </bookViews>
  <sheets>
    <sheet name="Report" sheetId="1" r:id="rId1"/>
    <sheet name="valuation" sheetId="5" r:id="rId2"/>
    <sheet name="Research" sheetId="4" r:id="rId3"/>
  </sheets>
  <definedNames>
    <definedName name="_xlnm.Print_Area" localSheetId="0">Report!$A$1:$H$356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0" i="1" l="1"/>
  <c r="I155" i="1" l="1"/>
  <c r="J155" i="1" s="1"/>
  <c r="E182" i="1"/>
  <c r="D182" i="1"/>
  <c r="E181" i="1"/>
  <c r="D181" i="1"/>
  <c r="J149" i="1"/>
  <c r="E148" i="1"/>
  <c r="E149" i="1"/>
  <c r="I148" i="1"/>
  <c r="D141" i="1"/>
  <c r="I141" i="1"/>
  <c r="J143" i="1"/>
  <c r="J132" i="1"/>
  <c r="J125" i="1"/>
  <c r="E42" i="1"/>
  <c r="C81" i="1" l="1"/>
  <c r="D187" i="1" l="1"/>
  <c r="D185" i="1"/>
  <c r="F185" i="1" s="1"/>
  <c r="D184" i="1"/>
  <c r="F184" i="1" s="1"/>
  <c r="D183" i="1"/>
  <c r="D211" i="1"/>
  <c r="F211" i="1" s="1"/>
  <c r="D210" i="1"/>
  <c r="F210" i="1" s="1"/>
  <c r="D209" i="1"/>
  <c r="F209" i="1" s="1"/>
  <c r="D205" i="1"/>
  <c r="F205" i="1" s="1"/>
  <c r="D203" i="1"/>
  <c r="F203" i="1" s="1"/>
  <c r="D202" i="1"/>
  <c r="F202" i="1" s="1"/>
  <c r="D200" i="1"/>
  <c r="F200" i="1" s="1"/>
  <c r="D199" i="1"/>
  <c r="F199" i="1" s="1"/>
  <c r="D198" i="1"/>
  <c r="F198" i="1" s="1"/>
  <c r="D197" i="1"/>
  <c r="F197" i="1" s="1"/>
  <c r="D195" i="1"/>
  <c r="D194" i="1"/>
  <c r="D193" i="1"/>
  <c r="F193" i="1" s="1"/>
  <c r="D192" i="1"/>
  <c r="F192" i="1" s="1"/>
  <c r="D191" i="1"/>
  <c r="D190" i="1"/>
  <c r="F190" i="1" s="1"/>
  <c r="D189" i="1"/>
  <c r="F189" i="1" s="1"/>
  <c r="E187" i="1"/>
  <c r="D178" i="1"/>
  <c r="F178" i="1" s="1"/>
  <c r="D177" i="1"/>
  <c r="F177" i="1" s="1"/>
  <c r="D176" i="1"/>
  <c r="F176" i="1" s="1"/>
  <c r="D172" i="1"/>
  <c r="F172" i="1" s="1"/>
  <c r="D170" i="1"/>
  <c r="F170" i="1" s="1"/>
  <c r="D169" i="1"/>
  <c r="F169" i="1" s="1"/>
  <c r="D167" i="1"/>
  <c r="D166" i="1"/>
  <c r="D165" i="1"/>
  <c r="D164" i="1"/>
  <c r="D162" i="1"/>
  <c r="F162" i="1" s="1"/>
  <c r="L162" i="1" s="1"/>
  <c r="D161" i="1"/>
  <c r="F161" i="1" s="1"/>
  <c r="L161" i="1" s="1"/>
  <c r="D160" i="1"/>
  <c r="D159" i="1"/>
  <c r="D158" i="1"/>
  <c r="D157" i="1"/>
  <c r="D156" i="1"/>
  <c r="E154" i="1"/>
  <c r="D154" i="1"/>
  <c r="D152" i="1"/>
  <c r="D151" i="1"/>
  <c r="D150" i="1"/>
  <c r="D149" i="1"/>
  <c r="D148" i="1"/>
  <c r="I178" i="1"/>
  <c r="I177" i="1"/>
  <c r="E143" i="1"/>
  <c r="D143" i="1"/>
  <c r="E142" i="1"/>
  <c r="D142" i="1"/>
  <c r="E141" i="1"/>
  <c r="E140" i="1"/>
  <c r="D140" i="1"/>
  <c r="E139" i="1"/>
  <c r="D139" i="1"/>
  <c r="E138" i="1"/>
  <c r="D138" i="1"/>
  <c r="E137" i="1"/>
  <c r="D137" i="1"/>
  <c r="E136" i="1"/>
  <c r="D136" i="1"/>
  <c r="E135" i="1"/>
  <c r="D135" i="1"/>
  <c r="E134" i="1"/>
  <c r="D134" i="1"/>
  <c r="E133" i="1"/>
  <c r="D133" i="1"/>
  <c r="E132" i="1"/>
  <c r="D132" i="1"/>
  <c r="E131" i="1"/>
  <c r="D131" i="1"/>
  <c r="E130" i="1"/>
  <c r="D130" i="1"/>
  <c r="E129" i="1"/>
  <c r="D129" i="1"/>
  <c r="E128" i="1"/>
  <c r="D128" i="1"/>
  <c r="E127" i="1"/>
  <c r="D127" i="1"/>
  <c r="E126" i="1"/>
  <c r="D126" i="1"/>
  <c r="E125" i="1"/>
  <c r="D125" i="1"/>
  <c r="I131" i="1"/>
  <c r="I134" i="1"/>
  <c r="I126" i="1"/>
  <c r="I125" i="1"/>
  <c r="K181" i="1"/>
  <c r="K180" i="1"/>
  <c r="K154" i="1"/>
  <c r="K149" i="1"/>
  <c r="J154" i="1"/>
  <c r="I154" i="1"/>
  <c r="J151" i="1"/>
  <c r="I151" i="1"/>
  <c r="K148" i="1"/>
  <c r="I149" i="1"/>
  <c r="A211" i="1"/>
  <c r="G205" i="1"/>
  <c r="G197" i="1"/>
  <c r="F195" i="1"/>
  <c r="F194" i="1"/>
  <c r="A190" i="1"/>
  <c r="A191" i="1" s="1"/>
  <c r="A192" i="1" s="1"/>
  <c r="A193" i="1" s="1"/>
  <c r="A194" i="1" s="1"/>
  <c r="A195" i="1" s="1"/>
  <c r="G189" i="1"/>
  <c r="F183" i="1"/>
  <c r="A182" i="1"/>
  <c r="A183" i="1" s="1"/>
  <c r="A184" i="1" s="1"/>
  <c r="A185" i="1" s="1"/>
  <c r="A187" i="1" s="1"/>
  <c r="G181" i="1"/>
  <c r="A178" i="1"/>
  <c r="G172" i="1"/>
  <c r="C116" i="1" l="1"/>
  <c r="E116" i="1"/>
  <c r="C115" i="1"/>
  <c r="C117" i="1" s="1"/>
  <c r="E115" i="1"/>
  <c r="E111" i="1"/>
  <c r="E112" i="1" s="1"/>
  <c r="C111" i="1"/>
  <c r="C112" i="1" s="1"/>
  <c r="F191" i="1"/>
  <c r="F187" i="1"/>
  <c r="F181" i="1"/>
  <c r="F182" i="1"/>
  <c r="F154" i="1"/>
  <c r="F152" i="1"/>
  <c r="L152" i="1" s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E117" i="1" l="1"/>
  <c r="G116" i="1"/>
  <c r="K129" i="1"/>
  <c r="L129" i="1"/>
  <c r="Z12" i="1"/>
  <c r="I14" i="1"/>
  <c r="F148" i="1" l="1"/>
  <c r="F125" i="1"/>
  <c r="L148" i="1" l="1"/>
  <c r="E118" i="1"/>
  <c r="C118" i="1"/>
  <c r="E43" i="1" l="1"/>
  <c r="E44" i="1" s="1"/>
  <c r="C15" i="1" l="1"/>
  <c r="E30" i="1" l="1"/>
  <c r="F149" i="1" l="1"/>
  <c r="F150" i="1"/>
  <c r="F151" i="1"/>
  <c r="A149" i="1"/>
  <c r="A150" i="1" s="1"/>
  <c r="A151" i="1" s="1"/>
  <c r="A152" i="1" s="1"/>
  <c r="A154" i="1" s="1"/>
  <c r="G148" i="1"/>
  <c r="L149" i="1" l="1"/>
  <c r="F108" i="1"/>
  <c r="F126" i="1" l="1"/>
  <c r="F127" i="1"/>
  <c r="F128" i="1"/>
  <c r="G111" i="1" l="1"/>
  <c r="G112" i="1" s="1"/>
  <c r="B214" i="1"/>
  <c r="F167" i="1" l="1"/>
  <c r="F166" i="1"/>
  <c r="F165" i="1"/>
  <c r="F164" i="1"/>
  <c r="F160" i="1"/>
  <c r="L160" i="1" s="1"/>
  <c r="F159" i="1"/>
  <c r="L159" i="1" s="1"/>
  <c r="F157" i="1"/>
  <c r="L157" i="1" s="1"/>
  <c r="F156" i="1"/>
  <c r="L156" i="1" s="1"/>
  <c r="F158" i="1"/>
  <c r="L158" i="1" s="1"/>
  <c r="G115" i="1" l="1"/>
  <c r="G117" i="1" s="1"/>
  <c r="G118" i="1" s="1"/>
  <c r="B215" i="1"/>
  <c r="F11" i="5" l="1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D235" i="1"/>
  <c r="G164" i="1"/>
  <c r="G156" i="1"/>
  <c r="A157" i="1"/>
  <c r="A158" i="1" s="1"/>
  <c r="A159" i="1" s="1"/>
  <c r="A160" i="1" s="1"/>
  <c r="A161" i="1" s="1"/>
  <c r="A162" i="1" s="1"/>
  <c r="A126" i="1"/>
  <c r="A127" i="1" s="1"/>
  <c r="A128" i="1" s="1"/>
  <c r="G125" i="1"/>
  <c r="B82" i="1"/>
  <c r="C67" i="1"/>
  <c r="B68" i="1" s="1"/>
  <c r="D55" i="1"/>
  <c r="C50" i="1"/>
  <c r="E27" i="1"/>
  <c r="E25" i="1"/>
  <c r="E7" i="1"/>
  <c r="E3" i="1"/>
  <c r="A129" i="1" l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D61" i="1"/>
  <c r="H68" i="1"/>
  <c r="H82" i="1"/>
  <c r="J86" i="1" l="1"/>
  <c r="J84" i="1"/>
  <c r="J87" i="1"/>
  <c r="J88" i="1" s="1"/>
  <c r="J93" i="1" s="1"/>
  <c r="J81" i="1"/>
  <c r="J83" i="1" s="1"/>
  <c r="D89" i="1"/>
  <c r="D91" i="1"/>
  <c r="D94" i="1"/>
  <c r="D88" i="1"/>
  <c r="D92" i="1"/>
  <c r="D93" i="1"/>
  <c r="D90" i="1"/>
  <c r="J85" i="1"/>
  <c r="D80" i="1"/>
  <c r="D78" i="1"/>
  <c r="D77" i="1"/>
  <c r="D74" i="1"/>
  <c r="D76" i="1"/>
  <c r="J73" i="1"/>
  <c r="J74" i="1" s="1"/>
  <c r="J79" i="1" s="1"/>
  <c r="D79" i="1"/>
  <c r="J67" i="1"/>
  <c r="J69" i="1" s="1"/>
  <c r="D75" i="1"/>
  <c r="J71" i="1"/>
  <c r="J72" i="1"/>
  <c r="J70" i="1"/>
  <c r="J89" i="1"/>
  <c r="J90" i="1" s="1"/>
  <c r="J91" i="1" s="1"/>
  <c r="J92" i="1" s="1"/>
  <c r="J75" i="1"/>
  <c r="J76" i="1" s="1"/>
  <c r="J77" i="1" s="1"/>
  <c r="J78" i="1" s="1"/>
  <c r="D87" i="1"/>
  <c r="D73" i="1"/>
  <c r="C85" i="1" l="1"/>
  <c r="D85" i="1" s="1"/>
  <c r="C71" i="1"/>
  <c r="D71" i="1" s="1"/>
  <c r="J80" i="1"/>
  <c r="J94" i="1"/>
  <c r="C86" i="1" s="1"/>
  <c r="J82" i="1" l="1"/>
  <c r="C72" i="1"/>
  <c r="G71" i="1" s="1"/>
  <c r="D65" i="1" s="1"/>
  <c r="E85" i="1"/>
  <c r="G85" i="1"/>
  <c r="D86" i="1"/>
  <c r="I82" i="1" s="1"/>
  <c r="I83" i="1" s="1"/>
  <c r="J68" i="1" l="1"/>
  <c r="E71" i="1"/>
  <c r="D66" i="1"/>
  <c r="F66" i="1"/>
  <c r="D72" i="1"/>
  <c r="I68" i="1" s="1"/>
  <c r="I69" i="1" s="1"/>
  <c r="I81" i="1"/>
  <c r="C83" i="1" s="1"/>
  <c r="I67" i="1" l="1"/>
  <c r="C69" i="1" s="1"/>
</calcChain>
</file>

<file path=xl/comments1.xml><?xml version="1.0" encoding="utf-8"?>
<comments xmlns="http://schemas.openxmlformats.org/spreadsheetml/2006/main">
  <authors>
    <author>Sachin</author>
  </authors>
  <commentList>
    <comment ref="E11" authorId="0">
      <text>
        <r>
          <rPr>
            <b/>
            <sz val="9"/>
            <color indexed="81"/>
            <rFont val="Tahoma"/>
            <family val="2"/>
          </rPr>
          <t>Sachin:</t>
        </r>
        <r>
          <rPr>
            <sz val="9"/>
            <color indexed="81"/>
            <rFont val="Tahoma"/>
            <family val="2"/>
          </rPr>
          <t xml:space="preserve">
Building No. 
Tower No.
Wing 
Bunglow No., etc</t>
        </r>
      </text>
    </comment>
    <comment ref="E12" authorId="0">
      <text>
        <r>
          <rPr>
            <b/>
            <sz val="9"/>
            <color indexed="81"/>
            <rFont val="Tahoma"/>
            <family val="2"/>
          </rPr>
          <t>Sachin:</t>
        </r>
        <r>
          <rPr>
            <sz val="9"/>
            <color indexed="81"/>
            <rFont val="Tahoma"/>
            <family val="2"/>
          </rPr>
          <t xml:space="preserve">
If exisiting Building is provided write it or else
NA</t>
        </r>
      </text>
    </comment>
    <comment ref="D55" authorId="0">
      <text>
        <r>
          <rPr>
            <b/>
            <sz val="9"/>
            <color indexed="81"/>
            <rFont val="Tahoma"/>
            <family val="2"/>
          </rPr>
          <t>Sachin:</t>
        </r>
        <r>
          <rPr>
            <sz val="9"/>
            <color indexed="81"/>
            <rFont val="Tahoma"/>
            <family val="2"/>
          </rPr>
          <t xml:space="preserve">
If multiple building in project or complex just mention builtup of required building</t>
        </r>
      </text>
    </comment>
  </commentList>
</comments>
</file>

<file path=xl/sharedStrings.xml><?xml version="1.0" encoding="utf-8"?>
<sst xmlns="http://schemas.openxmlformats.org/spreadsheetml/2006/main" count="510" uniqueCount="294">
  <si>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</si>
  <si>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</si>
  <si>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</si>
  <si>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</si>
  <si>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</si>
  <si>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</si>
  <si>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</si>
  <si>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</si>
  <si>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</si>
  <si>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</si>
  <si>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</si>
  <si>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</si>
  <si>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</si>
  <si>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</si>
  <si>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</si>
  <si>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</si>
  <si>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</si>
  <si>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</si>
  <si>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</si>
  <si>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</si>
  <si>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</si>
  <si>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</si>
  <si>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</si>
  <si>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</si>
  <si>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</si>
  <si>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</si>
  <si>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</si>
  <si>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</si>
  <si>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</si>
  <si>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</si>
  <si>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</si>
  <si>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</si>
  <si>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</si>
  <si>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</si>
  <si>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</si>
  <si>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</si>
  <si>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</si>
  <si>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</si>
  <si>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</si>
  <si>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</si>
  <si>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</si>
  <si>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</si>
  <si>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</si>
  <si>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</si>
  <si>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 xml:space="preserve">O. Certificate No.: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</si>
  <si>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</si>
  <si>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</si>
  <si>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</si>
  <si>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</si>
  <si>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</si>
  <si>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</si>
  <si>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</si>
  <si>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</si>
  <si>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</si>
  <si>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</si>
  <si>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</si>
  <si>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</si>
  <si>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</si>
  <si>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</si>
  <si>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</si>
  <si>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</si>
  <si>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</si>
  <si>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</si>
  <si>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</si>
  <si>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</si>
  <si>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</si>
  <si>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</si>
  <si>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</si>
  <si>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</si>
  <si>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</si>
  <si>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Residential Area Details :</t>
  </si>
  <si>
    <t>Podium</t>
  </si>
  <si>
    <t>Ground</t>
  </si>
  <si>
    <t>Locality/Village</t>
  </si>
  <si>
    <t>Taluka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</si>
  <si>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</si>
  <si>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</si>
  <si>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</si>
  <si>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</si>
  <si>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</si>
  <si>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</si>
  <si>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</si>
  <si>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</si>
  <si>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</si>
  <si>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</si>
  <si>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</si>
  <si>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</si>
  <si>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</si>
  <si>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</si>
  <si>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</si>
  <si>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</si>
  <si>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</si>
  <si>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</si>
  <si>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</si>
  <si>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Development Charges</t>
  </si>
  <si>
    <t>Club Charges</t>
  </si>
  <si>
    <t>Gas Connection Charges</t>
  </si>
  <si>
    <t>Water, Electricity, Drainages, Sewerage Connection</t>
  </si>
  <si>
    <t>Society Formation Charges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</si>
  <si>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</si>
  <si>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</si>
  <si>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</si>
  <si>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</si>
  <si>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</si>
  <si>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</si>
  <si>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</si>
  <si>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</si>
  <si>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</si>
  <si>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</si>
  <si>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</si>
  <si>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</si>
  <si>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</si>
  <si>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</si>
  <si>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</si>
  <si>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</si>
  <si>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</si>
  <si>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</si>
  <si>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</si>
  <si>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</si>
  <si>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</si>
  <si>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</si>
  <si>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</si>
  <si>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</si>
  <si>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</si>
  <si>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</si>
  <si>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</si>
  <si>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</si>
  <si>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</si>
  <si>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</si>
  <si>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</si>
  <si>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</si>
  <si>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</si>
  <si>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</si>
  <si>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</si>
  <si>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</si>
  <si>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</si>
  <si>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</si>
  <si>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</si>
  <si>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</si>
  <si>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</si>
  <si>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</si>
  <si>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</si>
  <si>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</si>
  <si>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</si>
  <si>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</si>
  <si>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</si>
  <si>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</si>
  <si>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 xml:space="preserve">Violations Observed if any : </t>
  </si>
  <si>
    <t>Saleable area Loading :</t>
  </si>
  <si>
    <t>Total</t>
  </si>
  <si>
    <t>Name of Municipal Corporation/Authority</t>
  </si>
  <si>
    <t>We have considered proposed No. of Floor for Stage Calculation.</t>
  </si>
  <si>
    <t>*</t>
  </si>
  <si>
    <t>Recommended rate should be considered as all inclusive rate if other charges are not mentioned. (Excluding GST &amp; other government Taxes)</t>
  </si>
  <si>
    <t xml:space="preserve">Commencement-CC No
Valid Up to: </t>
  </si>
  <si>
    <t>Attached Loft area</t>
  </si>
  <si>
    <t xml:space="preserve">Recommended Rates of the Property : </t>
  </si>
  <si>
    <t>Recommended rate of the Shop Per Sq. Ft.</t>
  </si>
  <si>
    <t>Recommended rate of the Flat Per Sq. Ft.</t>
  </si>
  <si>
    <t>Recommended rate of the Office Per Sq. Ft.</t>
  </si>
  <si>
    <t>On Saleable Area</t>
  </si>
  <si>
    <t>Legal Charges</t>
  </si>
  <si>
    <t>Location Link</t>
  </si>
  <si>
    <t>Locality</t>
  </si>
  <si>
    <t>Layout :</t>
  </si>
  <si>
    <t>Office No. 1031, Wing J, Akshar Business Park, Plot No. 03 Sector 25, Near APMC Market, Vashi, Navi Mumbai, Maharashtra 400703 TEL: 022-46090378/79/80                                                                       
E mail : vsjcapf@gmail.com. Web site : www.vsjadon.com</t>
  </si>
  <si>
    <t>Latitude, Longitude</t>
  </si>
  <si>
    <t>Grand Total</t>
  </si>
  <si>
    <t>Provided Contact Details (Name &amp; Contact No.)</t>
  </si>
  <si>
    <t>Site Person - Contact Details (Name &amp; Contact No.)</t>
  </si>
  <si>
    <t>Approved Plans, CC, Sale Plans, Builder Saleable Area, Cost Sheet, Airport Noc, Railway Noc, OC</t>
  </si>
  <si>
    <t>Name / No of the Existing Building</t>
  </si>
  <si>
    <t>Mumbai</t>
  </si>
  <si>
    <t>As per Layout</t>
  </si>
  <si>
    <t xml:space="preserve">Details of Residential &amp; Commercials in Building   </t>
  </si>
  <si>
    <t>Shop No. (Sale Plan)</t>
  </si>
  <si>
    <t>Flat No. (Sale Plan)</t>
  </si>
  <si>
    <t xml:space="preserve">As the project is redevelopement project but rehab statement or rehab flats is not mentioned approved layout plan &amp; floor plan.
</t>
  </si>
  <si>
    <t xml:space="preserve">Thane </t>
  </si>
  <si>
    <t>Thane</t>
  </si>
  <si>
    <t>Shahpur</t>
  </si>
  <si>
    <t>Kalyan</t>
  </si>
  <si>
    <t>Bhiwandi</t>
  </si>
  <si>
    <t>Ulhasnagar</t>
  </si>
  <si>
    <t>Ambernath</t>
  </si>
  <si>
    <t>Murbad</t>
  </si>
  <si>
    <t>Mokhada</t>
  </si>
  <si>
    <t>Talasari</t>
  </si>
  <si>
    <t>Palghar</t>
  </si>
  <si>
    <t>Vasai</t>
  </si>
  <si>
    <t>Vikramgad</t>
  </si>
  <si>
    <t>Dahanu</t>
  </si>
  <si>
    <t>Wada</t>
  </si>
  <si>
    <t>Raigad</t>
  </si>
  <si>
    <t>Alibag</t>
  </si>
  <si>
    <t>Panvel</t>
  </si>
  <si>
    <t>Uran</t>
  </si>
  <si>
    <t>Karjat</t>
  </si>
  <si>
    <t>Khalapur</t>
  </si>
  <si>
    <t>Pen</t>
  </si>
  <si>
    <t>Sudhagad</t>
  </si>
  <si>
    <t>Mahad</t>
  </si>
  <si>
    <t>Roha</t>
  </si>
  <si>
    <t>Mangaon</t>
  </si>
  <si>
    <t>Poladpur</t>
  </si>
  <si>
    <t>Mahasala</t>
  </si>
  <si>
    <t>Shriwardhan</t>
  </si>
  <si>
    <t>Murud</t>
  </si>
  <si>
    <t>Andheri</t>
  </si>
  <si>
    <t>Borivali</t>
  </si>
  <si>
    <t>Kurla</t>
  </si>
  <si>
    <t>Pune</t>
  </si>
  <si>
    <t>Pune City</t>
  </si>
  <si>
    <t>Khed</t>
  </si>
  <si>
    <t>Baramati</t>
  </si>
  <si>
    <t>Junnar</t>
  </si>
  <si>
    <t>Shirur</t>
  </si>
  <si>
    <t>Indapur</t>
  </si>
  <si>
    <t>Daund</t>
  </si>
  <si>
    <t>Mawal</t>
  </si>
  <si>
    <t>Ambegaon</t>
  </si>
  <si>
    <t>Purandhar</t>
  </si>
  <si>
    <t>Bhor</t>
  </si>
  <si>
    <t>Mulshi</t>
  </si>
  <si>
    <t>Velhe</t>
  </si>
  <si>
    <t>Haveli</t>
  </si>
  <si>
    <t>Approved Plans, CC</t>
  </si>
  <si>
    <t>Approved Plans, CC, Sale Plans</t>
  </si>
  <si>
    <t>Approved Plans, CC, Sale Plans, Builder Saleable Area</t>
  </si>
  <si>
    <t>Approved Plans, CC, Sale Plans, Builder Saleable Area, Cost Sheet,</t>
  </si>
  <si>
    <t>Approved Plans, CC, Builder Saleable Area,</t>
  </si>
  <si>
    <t>Axis Sanpada</t>
  </si>
  <si>
    <t>Infinity Icon</t>
  </si>
  <si>
    <t>Infinity Group</t>
  </si>
  <si>
    <t>P52000050845</t>
  </si>
  <si>
    <t>Approved Plans, CC, Cost Sheet</t>
  </si>
  <si>
    <t>Survey No</t>
  </si>
  <si>
    <t>Talegaon</t>
  </si>
  <si>
    <t>18.924148,73.186662</t>
  </si>
  <si>
    <t>https://goo.gl/maps/GnM9tVvMtwjWr5s48</t>
  </si>
  <si>
    <t>Internal Road</t>
  </si>
  <si>
    <t>Open Plot</t>
  </si>
  <si>
    <t>Internal Road/Open Plot</t>
  </si>
  <si>
    <t>Adjoining Survey No.23/04</t>
  </si>
  <si>
    <t>Adjoining Survey No.23/05</t>
  </si>
  <si>
    <t>Maharashtra State Road Development Corporation Limited (MSRDC)</t>
  </si>
  <si>
    <t>MSRDC/SPA/Talegaon/Khalapur/BP-372/CC/2023/386</t>
  </si>
  <si>
    <t>As per RERA - 31/03/2028</t>
  </si>
  <si>
    <t>A &amp; B Wing</t>
  </si>
  <si>
    <t>Ground Floor For  Entrance Lobby, Meter Room &amp; Parking</t>
  </si>
  <si>
    <t>2BHK</t>
  </si>
  <si>
    <t>1BHK</t>
  </si>
  <si>
    <t xml:space="preserve">Drivers Room </t>
  </si>
  <si>
    <t>1st Floor For Residential (Part Driver's Room)</t>
  </si>
  <si>
    <t>-</t>
  </si>
  <si>
    <t>A Wing</t>
  </si>
  <si>
    <t>https://housing.com/in/buy/projects/page/298911-infinity-icon-by-infinity-group-in-khopoli</t>
  </si>
  <si>
    <t>2nd to 7th, 9th &amp; 10th Floor</t>
  </si>
  <si>
    <t>8th Floor ( Part Refuge Area )</t>
  </si>
  <si>
    <t>Refuge Area</t>
  </si>
  <si>
    <t>11th Floor ( Part Terrace Area )</t>
  </si>
  <si>
    <t>Terrace Area</t>
  </si>
  <si>
    <t>B Wing</t>
  </si>
  <si>
    <t>Soceity Office</t>
  </si>
  <si>
    <t>1st Floor For Residential (Part Soceity Office)</t>
  </si>
  <si>
    <t>We considered Gross carpet area = Net carpet + Balcony + Chajja Area</t>
  </si>
  <si>
    <t>Shop</t>
  </si>
  <si>
    <t>Wing A</t>
  </si>
  <si>
    <t>Wing B</t>
  </si>
  <si>
    <t>Commercial Area Details : Shop</t>
  </si>
  <si>
    <t>Wing A &amp; B</t>
  </si>
  <si>
    <t xml:space="preserve"> </t>
  </si>
  <si>
    <t>Flats - 144, Shops - 19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</si>
  <si>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color theme="1"/>
        <rFont val="Times New Roman"/>
        <family val="1"/>
      </rPr>
      <t xml:space="preserve">                                               </t>
    </r>
  </si>
  <si>
    <t>Wing B = Gr + 1st to 11th Floor</t>
  </si>
  <si>
    <t>23/3</t>
  </si>
  <si>
    <t>6M Wide Internal Rd/Adjoining Survey No.21</t>
  </si>
  <si>
    <t>Road Widning Area/Existing O.D.R No. 40/Adjoining Survey No.23/01</t>
  </si>
  <si>
    <t>MSRDC/SPA/Talegoaon/Khalapur/BP-372/CC/2023/386</t>
  </si>
  <si>
    <t>Multipurpose Hall, Children's Play Area, Indoor Games, Swimming Pool, Meter Room, Soceity Office, Sewage Treatment Plant, 24X7 Water Supply, Landscaping &amp; Tree Planting, Fire Fighting System.</t>
  </si>
  <si>
    <t>A + B Wing</t>
  </si>
  <si>
    <t>Floor Rise Rate from  Floor</t>
  </si>
  <si>
    <t>The Highlands</t>
  </si>
  <si>
    <t>15.7KM from Panvel Railway Station</t>
  </si>
  <si>
    <t>02 Wings</t>
  </si>
  <si>
    <t>Wing A &amp; B = Gr + 1st to 10th + 11th (Pt) Floor</t>
  </si>
  <si>
    <t>BuiltUp Area = 8574.981
(Wing A &amp; B = Gr + 1st to 10th + 11th (Pt) Floor)</t>
  </si>
  <si>
    <t>Wing A = Gr + 1st to 15th Floor</t>
  </si>
  <si>
    <t>Wing A &amp; B = Construction work is in process at the time of visit.</t>
  </si>
  <si>
    <t>Nitesh patil</t>
  </si>
  <si>
    <t>Sinha : 7977330494</t>
  </si>
  <si>
    <t>09/08/2025.</t>
  </si>
  <si>
    <t>01/03/2023.</t>
  </si>
  <si>
    <t>Shruti Tathare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</si>
</sst>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64" formatCode="0.0"/>
    <numFmt numFmtId="165" formatCode="_(* #,##0.00_);_(* \(#,##0.00\);_(* &quot;-&quot;??_);_(@_)"/>
    <numFmt numFmtId="166" formatCode="_(* #,##0_);_(* \(#,##0\);_(* &quot;-&quot;??_);_(@_)"/>
    <numFmt numFmtId="167" formatCode="_ * #,##0_ ;_ * \-#,##0_ ;_ * &quot;-&quot;??_ ;_ @_ "/>
    <numFmt numFmtId="168" formatCode="0.000"/>
  </numFmts>
  <fonts count="30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b/>
      <sz val="12"/>
      <color rgb="FFFF0000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5" fontId="5" fillId="0" borderId="0" applyFont="0" applyFill="0" applyBorder="0" applyAlignment="0" applyProtection="0"/>
    <xf numFmtId="0" fontId="21" fillId="0" borderId="0"/>
    <xf numFmtId="9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7" fillId="0" borderId="0" applyNumberFormat="0" applyFill="0" applyBorder="0" applyAlignment="0" applyProtection="0"/>
  </cellStyleXfs>
  <cellXfs count="210">
    <xf numFmtId="0" fontId="0" fillId="0" borderId="0" xfId="0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20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9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9" fontId="8" fillId="0" borderId="13" xfId="8" applyFont="1" applyFill="1" applyBorder="1" applyAlignment="1" applyProtection="1">
      <alignment horizontal="center" vertical="top" wrapText="1"/>
      <protection locked="0"/>
    </xf>
    <xf numFmtId="0" fontId="18" fillId="0" borderId="0" xfId="0" applyFont="1" applyProtection="1">
      <protection hidden="1"/>
    </xf>
    <xf numFmtId="0" fontId="18" fillId="0" borderId="10" xfId="0" applyFont="1" applyBorder="1" applyProtection="1">
      <protection hidden="1"/>
    </xf>
    <xf numFmtId="0" fontId="12" fillId="0" borderId="3" xfId="1" applyFont="1" applyBorder="1" applyAlignment="1" applyProtection="1">
      <alignment horizontal="center" vertical="top"/>
      <protection locked="0"/>
    </xf>
    <xf numFmtId="0" fontId="12" fillId="0" borderId="4" xfId="1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vertical="top" wrapText="1"/>
      <protection locked="0"/>
    </xf>
    <xf numFmtId="9" fontId="7" fillId="0" borderId="1" xfId="8" applyFont="1" applyFill="1" applyBorder="1" applyAlignment="1" applyProtection="1">
      <alignment horizontal="center" vertical="top" wrapText="1"/>
      <protection locked="0"/>
    </xf>
    <xf numFmtId="9" fontId="7" fillId="0" borderId="6" xfId="8" applyFont="1" applyFill="1" applyBorder="1" applyAlignment="1" applyProtection="1">
      <alignment horizontal="center" vertical="top" wrapText="1"/>
      <protection locked="0"/>
    </xf>
    <xf numFmtId="0" fontId="7" fillId="0" borderId="0" xfId="1" applyFont="1"/>
    <xf numFmtId="0" fontId="15" fillId="0" borderId="0" xfId="1" applyFont="1"/>
    <xf numFmtId="0" fontId="12" fillId="0" borderId="0" xfId="1" applyFont="1"/>
    <xf numFmtId="1" fontId="7" fillId="0" borderId="0" xfId="1" applyNumberFormat="1" applyFont="1"/>
    <xf numFmtId="14" fontId="7" fillId="0" borderId="0" xfId="1" applyNumberFormat="1" applyFont="1"/>
    <xf numFmtId="0" fontId="7" fillId="0" borderId="0" xfId="1" applyFont="1" applyProtection="1">
      <protection hidden="1"/>
    </xf>
    <xf numFmtId="0" fontId="24" fillId="0" borderId="0" xfId="1" applyFont="1"/>
    <xf numFmtId="0" fontId="7" fillId="0" borderId="9" xfId="1" applyFont="1" applyBorder="1"/>
    <xf numFmtId="0" fontId="18" fillId="0" borderId="9" xfId="0" applyFont="1" applyBorder="1" applyProtection="1">
      <protection hidden="1"/>
    </xf>
    <xf numFmtId="1" fontId="0" fillId="0" borderId="9" xfId="0" applyNumberFormat="1" applyBorder="1"/>
    <xf numFmtId="1" fontId="0" fillId="0" borderId="9" xfId="0" applyNumberFormat="1" applyBorder="1" applyAlignment="1">
      <alignment horizontal="right"/>
    </xf>
    <xf numFmtId="1" fontId="0" fillId="0" borderId="11" xfId="0" applyNumberFormat="1" applyBorder="1"/>
    <xf numFmtId="0" fontId="16" fillId="0" borderId="0" xfId="1" applyFont="1"/>
    <xf numFmtId="0" fontId="6" fillId="0" borderId="0" xfId="2" applyFont="1"/>
    <xf numFmtId="0" fontId="7" fillId="0" borderId="0" xfId="0" applyFont="1" applyAlignment="1">
      <alignment horizontal="center" vertical="center"/>
    </xf>
    <xf numFmtId="1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2" xfId="1" applyNumberFormat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7" fillId="0" borderId="6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horizontal="center" vertical="top"/>
      <protection locked="0"/>
    </xf>
    <xf numFmtId="0" fontId="25" fillId="2" borderId="25" xfId="0" applyFont="1" applyFill="1" applyBorder="1"/>
    <xf numFmtId="0" fontId="26" fillId="0" borderId="26" xfId="0" applyFont="1" applyBorder="1"/>
    <xf numFmtId="0" fontId="26" fillId="0" borderId="1" xfId="0" applyFont="1" applyBorder="1"/>
    <xf numFmtId="0" fontId="26" fillId="0" borderId="4" xfId="0" applyFont="1" applyBorder="1"/>
    <xf numFmtId="0" fontId="12" fillId="0" borderId="1" xfId="1" applyFont="1" applyBorder="1" applyAlignment="1" applyProtection="1">
      <alignment horizontal="center" vertical="top"/>
      <protection locked="0"/>
    </xf>
    <xf numFmtId="1" fontId="7" fillId="0" borderId="1" xfId="1" applyNumberFormat="1" applyFont="1" applyBorder="1" applyAlignment="1" applyProtection="1">
      <alignment horizontal="center" vertical="top" wrapText="1"/>
      <protection locked="0"/>
    </xf>
    <xf numFmtId="1" fontId="8" fillId="0" borderId="2" xfId="1" applyNumberFormat="1" applyFont="1" applyBorder="1" applyAlignment="1" applyProtection="1">
      <alignment horizontal="center" vertical="top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0" fontId="7" fillId="0" borderId="0" xfId="1" applyFont="1" applyAlignment="1">
      <alignment horizontal="center" vertical="center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0" fontId="7" fillId="0" borderId="0" xfId="1" applyFont="1" applyAlignment="1">
      <alignment horizontal="center" vertical="center"/>
    </xf>
    <xf numFmtId="1" fontId="7" fillId="0" borderId="1" xfId="1" applyNumberFormat="1" applyFont="1" applyBorder="1" applyAlignment="1">
      <alignment horizontal="center" vertical="center"/>
    </xf>
    <xf numFmtId="0" fontId="7" fillId="0" borderId="1" xfId="1" applyFont="1" applyBorder="1" applyAlignment="1" applyProtection="1">
      <alignment horizontal="center" vertical="top"/>
      <protection locked="0"/>
    </xf>
    <xf numFmtId="0" fontId="7" fillId="0" borderId="0" xfId="1" applyFont="1" applyAlignment="1">
      <alignment horizontal="center" vertical="center"/>
    </xf>
    <xf numFmtId="0" fontId="7" fillId="2" borderId="0" xfId="1" applyFont="1" applyFill="1" applyAlignment="1">
      <alignment horizontal="center" vertical="center"/>
    </xf>
    <xf numFmtId="0" fontId="7" fillId="0" borderId="1" xfId="1" applyFont="1" applyBorder="1" applyAlignment="1" applyProtection="1">
      <alignment horizontal="center" vertical="top" wrapText="1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25" fillId="2" borderId="12" xfId="0" applyFont="1" applyFill="1" applyBorder="1"/>
    <xf numFmtId="0" fontId="26" fillId="0" borderId="8" xfId="0" applyFont="1" applyBorder="1"/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7" xfId="0" applyNumberFormat="1" applyFont="1" applyBorder="1" applyAlignment="1" applyProtection="1">
      <alignment vertical="top" wrapText="1"/>
      <protection locked="0"/>
    </xf>
    <xf numFmtId="1" fontId="8" fillId="0" borderId="18" xfId="0" applyNumberFormat="1" applyFont="1" applyBorder="1" applyAlignment="1" applyProtection="1">
      <alignment vertical="top" wrapText="1"/>
      <protection locked="0"/>
    </xf>
    <xf numFmtId="1" fontId="8" fillId="0" borderId="8" xfId="0" applyNumberFormat="1" applyFont="1" applyBorder="1" applyAlignment="1" applyProtection="1">
      <alignment vertical="top" wrapText="1"/>
      <protection locked="0"/>
    </xf>
    <xf numFmtId="0" fontId="6" fillId="0" borderId="7" xfId="1" applyFont="1" applyBorder="1" applyAlignment="1" applyProtection="1">
      <alignment horizontal="left" vertical="top" wrapText="1"/>
      <protection locked="0"/>
    </xf>
    <xf numFmtId="0" fontId="6" fillId="0" borderId="8" xfId="1" applyFont="1" applyBorder="1" applyAlignment="1" applyProtection="1">
      <alignment horizontal="left" vertical="top" wrapText="1"/>
      <protection locked="0"/>
    </xf>
    <xf numFmtId="0" fontId="10" fillId="0" borderId="7" xfId="1" applyFont="1" applyBorder="1" applyAlignment="1" applyProtection="1">
      <alignment horizontal="left" vertical="top"/>
      <protection locked="0"/>
    </xf>
    <xf numFmtId="0" fontId="10" fillId="0" borderId="18" xfId="1" applyFont="1" applyBorder="1" applyAlignment="1" applyProtection="1">
      <alignment horizontal="left" vertical="top"/>
      <protection locked="0"/>
    </xf>
    <xf numFmtId="0" fontId="10" fillId="0" borderId="8" xfId="1" applyFont="1" applyBorder="1" applyAlignment="1" applyProtection="1">
      <alignment horizontal="left" vertical="top"/>
      <protection locked="0"/>
    </xf>
    <xf numFmtId="9" fontId="7" fillId="0" borderId="14" xfId="8" applyFont="1" applyFill="1" applyBorder="1" applyAlignment="1" applyProtection="1">
      <alignment horizontal="center" vertical="center" wrapText="1"/>
      <protection locked="0"/>
    </xf>
    <xf numFmtId="9" fontId="7" fillId="0" borderId="22" xfId="8" applyFont="1" applyFill="1" applyBorder="1" applyAlignment="1" applyProtection="1">
      <alignment horizontal="center" vertical="center" wrapText="1"/>
      <protection locked="0"/>
    </xf>
    <xf numFmtId="9" fontId="7" fillId="0" borderId="20" xfId="8" applyFont="1" applyFill="1" applyBorder="1" applyAlignment="1" applyProtection="1">
      <alignment horizontal="center" vertical="center" wrapText="1"/>
      <protection locked="0"/>
    </xf>
    <xf numFmtId="9" fontId="7" fillId="0" borderId="9" xfId="8" applyFont="1" applyFill="1" applyBorder="1" applyAlignment="1" applyProtection="1">
      <alignment horizontal="center" vertical="center" wrapText="1"/>
      <protection locked="0"/>
    </xf>
    <xf numFmtId="9" fontId="7" fillId="0" borderId="23" xfId="8" applyFont="1" applyFill="1" applyBorder="1" applyAlignment="1" applyProtection="1">
      <alignment horizontal="center" vertical="center" wrapText="1"/>
      <protection locked="0"/>
    </xf>
    <xf numFmtId="9" fontId="7" fillId="0" borderId="11" xfId="8" applyFont="1" applyFill="1" applyBorder="1" applyAlignment="1" applyProtection="1">
      <alignment horizontal="center" vertical="center" wrapText="1"/>
      <protection locked="0"/>
    </xf>
    <xf numFmtId="0" fontId="7" fillId="0" borderId="3" xfId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167" fontId="12" fillId="0" borderId="1" xfId="9" applyNumberFormat="1" applyFont="1" applyFill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1" fontId="8" fillId="0" borderId="2" xfId="1" applyNumberFormat="1" applyFont="1" applyBorder="1" applyAlignment="1" applyProtection="1">
      <alignment horizontal="center" vertical="top" wrapText="1"/>
      <protection locked="0"/>
    </xf>
    <xf numFmtId="1" fontId="8" fillId="0" borderId="13" xfId="1" applyNumberFormat="1" applyFont="1" applyBorder="1" applyAlignment="1" applyProtection="1">
      <alignment horizontal="center" vertical="top" wrapText="1"/>
      <protection locked="0"/>
    </xf>
    <xf numFmtId="0" fontId="12" fillId="0" borderId="14" xfId="1" applyFont="1" applyBorder="1" applyAlignment="1" applyProtection="1">
      <alignment horizontal="left" vertical="top" wrapText="1"/>
      <protection locked="0"/>
    </xf>
    <xf numFmtId="0" fontId="12" fillId="0" borderId="19" xfId="1" applyFont="1" applyBorder="1" applyAlignment="1" applyProtection="1">
      <alignment horizontal="left" vertical="top" wrapText="1"/>
      <protection locked="0"/>
    </xf>
    <xf numFmtId="0" fontId="12" fillId="0" borderId="15" xfId="1" applyFont="1" applyBorder="1" applyAlignment="1" applyProtection="1">
      <alignment horizontal="left" vertical="top" wrapText="1"/>
      <protection locked="0"/>
    </xf>
    <xf numFmtId="0" fontId="12" fillId="0" borderId="16" xfId="1" applyFont="1" applyBorder="1" applyAlignment="1" applyProtection="1">
      <alignment horizontal="left" vertical="top" wrapText="1"/>
      <protection locked="0"/>
    </xf>
    <xf numFmtId="0" fontId="12" fillId="0" borderId="27" xfId="1" applyFont="1" applyBorder="1" applyAlignment="1" applyProtection="1">
      <alignment horizontal="left" vertical="top" wrapText="1"/>
      <protection locked="0"/>
    </xf>
    <xf numFmtId="0" fontId="12" fillId="0" borderId="17" xfId="1" applyFont="1" applyBorder="1" applyAlignment="1" applyProtection="1">
      <alignment horizontal="left" vertical="top" wrapText="1"/>
      <protection locked="0"/>
    </xf>
    <xf numFmtId="0" fontId="7" fillId="0" borderId="1" xfId="1" applyFont="1" applyBorder="1" applyAlignment="1" applyProtection="1">
      <alignment horizontal="left" vertical="top"/>
      <protection locked="0"/>
    </xf>
    <xf numFmtId="0" fontId="7" fillId="0" borderId="5" xfId="1" applyFont="1" applyBorder="1" applyAlignment="1" applyProtection="1">
      <alignment horizontal="center" vertical="top" wrapText="1"/>
      <protection locked="0"/>
    </xf>
    <xf numFmtId="0" fontId="7" fillId="0" borderId="6" xfId="1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1" fontId="8" fillId="0" borderId="1" xfId="0" applyNumberFormat="1" applyFont="1" applyBorder="1" applyAlignment="1" applyProtection="1">
      <alignment horizontal="left" vertical="top" wrapText="1"/>
      <protection locked="0"/>
    </xf>
    <xf numFmtId="1" fontId="6" fillId="0" borderId="14" xfId="1" applyNumberFormat="1" applyFont="1" applyBorder="1" applyAlignment="1" applyProtection="1">
      <alignment horizontal="center" vertical="center" wrapText="1"/>
      <protection locked="0"/>
    </xf>
    <xf numFmtId="1" fontId="6" fillId="0" borderId="15" xfId="1" applyNumberFormat="1" applyFont="1" applyBorder="1" applyAlignment="1" applyProtection="1">
      <alignment horizontal="center" vertical="center" wrapText="1"/>
      <protection locked="0"/>
    </xf>
    <xf numFmtId="1" fontId="6" fillId="0" borderId="20" xfId="1" applyNumberFormat="1" applyFont="1" applyBorder="1" applyAlignment="1" applyProtection="1">
      <alignment horizontal="center" vertical="center" wrapText="1"/>
      <protection locked="0"/>
    </xf>
    <xf numFmtId="1" fontId="6" fillId="0" borderId="21" xfId="1" applyNumberFormat="1" applyFont="1" applyBorder="1" applyAlignment="1" applyProtection="1">
      <alignment horizontal="center" vertical="center" wrapText="1"/>
      <protection locked="0"/>
    </xf>
    <xf numFmtId="1" fontId="6" fillId="0" borderId="16" xfId="1" applyNumberFormat="1" applyFont="1" applyBorder="1" applyAlignment="1" applyProtection="1">
      <alignment horizontal="center" vertical="center" wrapText="1"/>
      <protection locked="0"/>
    </xf>
    <xf numFmtId="1" fontId="6" fillId="0" borderId="17" xfId="1" applyNumberFormat="1" applyFont="1" applyBorder="1" applyAlignment="1" applyProtection="1">
      <alignment horizontal="center" vertical="center" wrapText="1"/>
      <protection locked="0"/>
    </xf>
    <xf numFmtId="1" fontId="6" fillId="0" borderId="7" xfId="1" applyNumberFormat="1" applyFont="1" applyBorder="1" applyAlignment="1" applyProtection="1">
      <alignment horizontal="center" vertical="center" wrapText="1"/>
      <protection locked="0"/>
    </xf>
    <xf numFmtId="1" fontId="6" fillId="0" borderId="18" xfId="1" applyNumberFormat="1" applyFont="1" applyBorder="1" applyAlignment="1" applyProtection="1">
      <alignment horizontal="center" vertical="center" wrapText="1"/>
      <protection locked="0"/>
    </xf>
    <xf numFmtId="1" fontId="6" fillId="0" borderId="8" xfId="1" applyNumberFormat="1" applyFont="1" applyBorder="1" applyAlignment="1" applyProtection="1">
      <alignment horizontal="center" vertical="center" wrapText="1"/>
      <protection locked="0"/>
    </xf>
    <xf numFmtId="1" fontId="8" fillId="0" borderId="1" xfId="1" applyNumberFormat="1" applyFont="1" applyBorder="1" applyAlignment="1" applyProtection="1">
      <alignment horizontal="center" vertical="center" wrapText="1"/>
      <protection locked="0"/>
    </xf>
    <xf numFmtId="1" fontId="13" fillId="0" borderId="7" xfId="0" applyNumberFormat="1" applyFont="1" applyBorder="1" applyAlignment="1" applyProtection="1">
      <alignment vertical="top" wrapText="1"/>
      <protection locked="0"/>
    </xf>
    <xf numFmtId="1" fontId="13" fillId="0" borderId="18" xfId="0" applyNumberFormat="1" applyFont="1" applyBorder="1" applyAlignment="1" applyProtection="1">
      <alignment vertical="top" wrapText="1"/>
      <protection locked="0"/>
    </xf>
    <xf numFmtId="1" fontId="13" fillId="0" borderId="8" xfId="0" applyNumberFormat="1" applyFont="1" applyBorder="1" applyAlignment="1" applyProtection="1">
      <alignment vertical="top" wrapText="1"/>
      <protection locked="0"/>
    </xf>
    <xf numFmtId="0" fontId="7" fillId="0" borderId="0" xfId="1" applyFont="1" applyAlignment="1">
      <alignment horizontal="center" vertical="center"/>
    </xf>
    <xf numFmtId="1" fontId="8" fillId="0" borderId="7" xfId="1" applyNumberFormat="1" applyFont="1" applyBorder="1" applyAlignment="1" applyProtection="1">
      <alignment horizontal="center" vertical="center" wrapText="1"/>
      <protection locked="0"/>
    </xf>
    <xf numFmtId="1" fontId="8" fillId="0" borderId="18" xfId="1" applyNumberFormat="1" applyFont="1" applyBorder="1" applyAlignment="1" applyProtection="1">
      <alignment horizontal="center" vertical="center" wrapText="1"/>
      <protection locked="0"/>
    </xf>
    <xf numFmtId="1" fontId="8" fillId="0" borderId="8" xfId="1" applyNumberFormat="1" applyFont="1" applyBorder="1" applyAlignment="1" applyProtection="1">
      <alignment horizontal="center" vertical="center" wrapText="1"/>
      <protection locked="0"/>
    </xf>
    <xf numFmtId="1" fontId="4" fillId="0" borderId="2" xfId="1" applyNumberFormat="1" applyFont="1" applyBorder="1" applyAlignment="1" applyProtection="1">
      <alignment horizontal="center" vertical="top" wrapText="1"/>
      <protection locked="0"/>
    </xf>
    <xf numFmtId="1" fontId="4" fillId="0" borderId="13" xfId="1" applyNumberFormat="1" applyFont="1" applyBorder="1" applyAlignment="1" applyProtection="1">
      <alignment horizontal="center" vertical="top" wrapText="1"/>
      <protection locked="0"/>
    </xf>
    <xf numFmtId="1" fontId="8" fillId="0" borderId="14" xfId="1" applyNumberFormat="1" applyFont="1" applyBorder="1" applyAlignment="1" applyProtection="1">
      <alignment horizontal="center" vertical="top" wrapText="1"/>
      <protection locked="0"/>
    </xf>
    <xf numFmtId="1" fontId="8" fillId="0" borderId="15" xfId="1" applyNumberFormat="1" applyFont="1" applyBorder="1" applyAlignment="1" applyProtection="1">
      <alignment horizontal="center" vertical="top" wrapText="1"/>
      <protection locked="0"/>
    </xf>
    <xf numFmtId="1" fontId="8" fillId="0" borderId="16" xfId="1" applyNumberFormat="1" applyFont="1" applyBorder="1" applyAlignment="1" applyProtection="1">
      <alignment horizontal="center" vertical="top" wrapText="1"/>
      <protection locked="0"/>
    </xf>
    <xf numFmtId="1" fontId="8" fillId="0" borderId="17" xfId="1" applyNumberFormat="1" applyFont="1" applyBorder="1" applyAlignment="1" applyProtection="1">
      <alignment horizontal="center" vertical="top" wrapText="1"/>
      <protection locked="0"/>
    </xf>
    <xf numFmtId="1" fontId="8" fillId="0" borderId="7" xfId="1" applyNumberFormat="1" applyFont="1" applyBorder="1" applyAlignment="1" applyProtection="1">
      <alignment horizontal="center" vertical="top" wrapText="1"/>
      <protection locked="0"/>
    </xf>
    <xf numFmtId="1" fontId="8" fillId="0" borderId="18" xfId="1" applyNumberFormat="1" applyFont="1" applyBorder="1" applyAlignment="1" applyProtection="1">
      <alignment horizontal="center" vertical="top" wrapText="1"/>
      <protection locked="0"/>
    </xf>
    <xf numFmtId="1" fontId="8" fillId="0" borderId="8" xfId="1" applyNumberFormat="1" applyFont="1" applyBorder="1" applyAlignment="1" applyProtection="1">
      <alignment horizontal="center" vertical="top" wrapText="1"/>
      <protection locked="0"/>
    </xf>
    <xf numFmtId="0" fontId="7" fillId="0" borderId="4" xfId="1" applyFont="1" applyBorder="1" applyAlignment="1" applyProtection="1">
      <alignment horizontal="center" vertical="top" wrapText="1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0" fontId="8" fillId="0" borderId="13" xfId="1" applyFont="1" applyBorder="1" applyAlignment="1" applyProtection="1">
      <alignment horizontal="center" vertical="top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1" fontId="10" fillId="0" borderId="1" xfId="0" applyNumberFormat="1" applyFont="1" applyBorder="1" applyAlignment="1" applyProtection="1">
      <alignment horizontal="center" vertical="top" wrapText="1"/>
      <protection locked="0"/>
    </xf>
    <xf numFmtId="1" fontId="7" fillId="0" borderId="1" xfId="0" applyNumberFormat="1" applyFont="1" applyBorder="1" applyAlignment="1" applyProtection="1">
      <alignment horizontal="center" vertical="center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0" fontId="27" fillId="0" borderId="1" xfId="10" applyFill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0" fontId="13" fillId="0" borderId="3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0" fontId="13" fillId="0" borderId="4" xfId="1" applyFont="1" applyBorder="1" applyAlignment="1" applyProtection="1">
      <alignment horizontal="left" vertical="top" wrapText="1"/>
      <protection locked="0"/>
    </xf>
    <xf numFmtId="1" fontId="10" fillId="0" borderId="1" xfId="0" applyNumberFormat="1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167" fontId="7" fillId="0" borderId="1" xfId="9" applyNumberFormat="1" applyFont="1" applyFill="1" applyBorder="1" applyAlignment="1" applyProtection="1">
      <alignment horizontal="left" vertical="top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0" fontId="7" fillId="0" borderId="1" xfId="0" applyFont="1" applyBorder="1" applyAlignment="1" applyProtection="1">
      <alignment horizontal="center" vertical="top" wrapText="1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9" fontId="7" fillId="0" borderId="1" xfId="8" applyFont="1" applyFill="1" applyBorder="1" applyAlignment="1" applyProtection="1">
      <alignment horizontal="center" vertical="center" wrapText="1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12" fillId="0" borderId="1" xfId="1" applyFont="1" applyBorder="1" applyAlignment="1" applyProtection="1">
      <alignment horizontal="center" vertical="center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2" fontId="6" fillId="0" borderId="1" xfId="1" applyNumberFormat="1" applyFont="1" applyBorder="1" applyAlignment="1" applyProtection="1">
      <alignment horizontal="left" vertical="top" wrapText="1"/>
      <protection locked="0"/>
    </xf>
    <xf numFmtId="1" fontId="6" fillId="0" borderId="1" xfId="1" applyNumberFormat="1" applyFont="1" applyBorder="1" applyAlignment="1" applyProtection="1">
      <alignment horizontal="left" vertical="top" wrapText="1"/>
      <protection locked="0"/>
    </xf>
    <xf numFmtId="164" fontId="6" fillId="0" borderId="1" xfId="1" applyNumberFormat="1" applyFont="1" applyBorder="1" applyAlignment="1" applyProtection="1">
      <alignment horizontal="left" vertical="top"/>
      <protection locked="0"/>
    </xf>
    <xf numFmtId="168" fontId="6" fillId="0" borderId="1" xfId="1" applyNumberFormat="1" applyFont="1" applyBorder="1" applyAlignment="1" applyProtection="1">
      <alignment horizontal="left" vertical="top"/>
      <protection locked="0"/>
    </xf>
    <xf numFmtId="0" fontId="7" fillId="0" borderId="1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49" fontId="7" fillId="0" borderId="1" xfId="1" applyNumberFormat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center"/>
      <protection locked="0"/>
    </xf>
    <xf numFmtId="0" fontId="7" fillId="0" borderId="1" xfId="1" applyFont="1" applyBorder="1" applyAlignment="1" applyProtection="1">
      <alignment horizontal="left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14" fontId="7" fillId="0" borderId="1" xfId="1" applyNumberFormat="1" applyFont="1" applyBorder="1" applyAlignment="1" applyProtection="1">
      <alignment horizontal="left" vertical="top"/>
      <protection locked="0"/>
    </xf>
    <xf numFmtId="0" fontId="7" fillId="0" borderId="2" xfId="1" applyFont="1" applyBorder="1" applyAlignment="1" applyProtection="1">
      <alignment horizontal="left" vertical="top" wrapText="1"/>
      <protection locked="0"/>
    </xf>
    <xf numFmtId="0" fontId="7" fillId="0" borderId="2" xfId="1" applyFont="1" applyBorder="1" applyAlignment="1" applyProtection="1">
      <alignment horizontal="left" vertical="top"/>
      <protection locked="0"/>
    </xf>
    <xf numFmtId="14" fontId="6" fillId="0" borderId="7" xfId="1" applyNumberFormat="1" applyFont="1" applyBorder="1" applyAlignment="1" applyProtection="1">
      <alignment horizontal="left" vertical="top" wrapText="1"/>
      <protection locked="0"/>
    </xf>
    <xf numFmtId="0" fontId="6" fillId="0" borderId="14" xfId="1" applyFont="1" applyBorder="1" applyAlignment="1" applyProtection="1">
      <alignment horizontal="left" vertical="top" wrapText="1"/>
      <protection locked="0"/>
    </xf>
    <xf numFmtId="0" fontId="6" fillId="0" borderId="15" xfId="1" applyFont="1" applyBorder="1" applyAlignment="1" applyProtection="1">
      <alignment horizontal="left" vertical="top" wrapText="1"/>
      <protection locked="0"/>
    </xf>
    <xf numFmtId="0" fontId="6" fillId="0" borderId="16" xfId="1" applyFont="1" applyBorder="1" applyAlignment="1" applyProtection="1">
      <alignment horizontal="left" vertical="top" wrapText="1"/>
      <protection locked="0"/>
    </xf>
    <xf numFmtId="0" fontId="6" fillId="0" borderId="17" xfId="1" applyFont="1" applyBorder="1" applyAlignment="1" applyProtection="1">
      <alignment horizontal="left" vertical="top" wrapText="1"/>
      <protection locked="0"/>
    </xf>
    <xf numFmtId="0" fontId="8" fillId="0" borderId="1" xfId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0" fontId="6" fillId="0" borderId="1" xfId="1" applyFont="1" applyBorder="1" applyAlignment="1" applyProtection="1">
      <alignment vertical="top"/>
      <protection locked="0"/>
    </xf>
    <xf numFmtId="1" fontId="17" fillId="0" borderId="7" xfId="0" applyNumberFormat="1" applyFont="1" applyBorder="1" applyAlignment="1" applyProtection="1">
      <alignment vertical="top" wrapText="1"/>
      <protection locked="0"/>
    </xf>
    <xf numFmtId="1" fontId="17" fillId="0" borderId="18" xfId="0" applyNumberFormat="1" applyFont="1" applyBorder="1" applyAlignment="1" applyProtection="1">
      <alignment vertical="top" wrapText="1"/>
      <protection locked="0"/>
    </xf>
    <xf numFmtId="1" fontId="17" fillId="0" borderId="8" xfId="0" applyNumberFormat="1" applyFont="1" applyBorder="1" applyAlignment="1" applyProtection="1">
      <alignment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1" fontId="10" fillId="0" borderId="7" xfId="0" applyNumberFormat="1" applyFont="1" applyBorder="1" applyAlignment="1" applyProtection="1">
      <alignment horizontal="left" vertical="top" wrapText="1"/>
      <protection locked="0"/>
    </xf>
    <xf numFmtId="1" fontId="10" fillId="0" borderId="18" xfId="0" applyNumberFormat="1" applyFont="1" applyBorder="1" applyAlignment="1" applyProtection="1">
      <alignment horizontal="left" vertical="top" wrapText="1"/>
      <protection locked="0"/>
    </xf>
    <xf numFmtId="1" fontId="10" fillId="0" borderId="8" xfId="0" applyNumberFormat="1" applyFont="1" applyBorder="1" applyAlignment="1" applyProtection="1">
      <alignment horizontal="left" vertical="top" wrapText="1"/>
      <protection locked="0"/>
    </xf>
    <xf numFmtId="0" fontId="8" fillId="0" borderId="28" xfId="1" applyFont="1" applyBorder="1" applyAlignment="1" applyProtection="1">
      <alignment horizontal="left" vertical="top" wrapText="1"/>
      <protection locked="0"/>
    </xf>
    <xf numFmtId="0" fontId="8" fillId="0" borderId="17" xfId="1" applyFont="1" applyBorder="1" applyAlignment="1" applyProtection="1">
      <alignment horizontal="left" vertical="top" wrapText="1"/>
      <protection locked="0"/>
    </xf>
    <xf numFmtId="0" fontId="8" fillId="0" borderId="16" xfId="1" applyFont="1" applyBorder="1" applyAlignment="1" applyProtection="1">
      <alignment horizontal="left" vertical="top" wrapText="1"/>
      <protection locked="0"/>
    </xf>
    <xf numFmtId="0" fontId="8" fillId="0" borderId="27" xfId="1" applyFont="1" applyBorder="1" applyAlignment="1" applyProtection="1">
      <alignment horizontal="left" vertical="top" wrapText="1"/>
      <protection locked="0"/>
    </xf>
    <xf numFmtId="0" fontId="8" fillId="0" borderId="29" xfId="1" applyFont="1" applyBorder="1" applyAlignment="1" applyProtection="1">
      <alignment horizontal="left" vertical="top" wrapText="1"/>
      <protection locked="0"/>
    </xf>
    <xf numFmtId="0" fontId="6" fillId="0" borderId="18" xfId="1" applyFont="1" applyBorder="1" applyAlignment="1" applyProtection="1">
      <alignment horizontal="left" vertical="top" wrapText="1"/>
      <protection locked="0"/>
    </xf>
    <xf numFmtId="0" fontId="8" fillId="0" borderId="7" xfId="1" applyFont="1" applyBorder="1" applyAlignment="1" applyProtection="1">
      <alignment horizontal="left" vertical="top"/>
      <protection locked="0"/>
    </xf>
    <xf numFmtId="0" fontId="8" fillId="0" borderId="8" xfId="1" applyFont="1" applyBorder="1" applyAlignment="1" applyProtection="1">
      <alignment horizontal="left" vertical="top"/>
      <protection locked="0"/>
    </xf>
    <xf numFmtId="0" fontId="7" fillId="0" borderId="7" xfId="1" applyFont="1" applyBorder="1" applyAlignment="1" applyProtection="1">
      <alignment horizontal="left" vertical="top" wrapText="1"/>
      <protection locked="0"/>
    </xf>
    <xf numFmtId="0" fontId="7" fillId="0" borderId="18" xfId="1" applyFont="1" applyBorder="1" applyAlignment="1" applyProtection="1">
      <alignment horizontal="left" vertical="top" wrapText="1"/>
      <protection locked="0"/>
    </xf>
    <xf numFmtId="0" fontId="7" fillId="0" borderId="8" xfId="1" applyFont="1" applyBorder="1" applyAlignment="1" applyProtection="1">
      <alignment horizontal="left" vertical="top" wrapText="1"/>
      <protection locked="0"/>
    </xf>
    <xf numFmtId="0" fontId="7" fillId="0" borderId="20" xfId="1" applyFont="1" applyBorder="1" applyAlignment="1">
      <alignment horizontal="center"/>
    </xf>
    <xf numFmtId="0" fontId="7" fillId="0" borderId="0" xfId="1" applyFont="1" applyAlignment="1">
      <alignment horizontal="center"/>
    </xf>
    <xf numFmtId="0" fontId="8" fillId="0" borderId="7" xfId="1" applyFont="1" applyBorder="1" applyAlignment="1" applyProtection="1">
      <alignment horizontal="left" vertical="top" wrapText="1"/>
      <protection locked="0"/>
    </xf>
    <xf numFmtId="0" fontId="8" fillId="0" borderId="8" xfId="1" applyFont="1" applyBorder="1" applyAlignment="1" applyProtection="1">
      <alignment horizontal="left" vertical="top" wrapText="1"/>
      <protection locked="0"/>
    </xf>
    <xf numFmtId="0" fontId="8" fillId="0" borderId="18" xfId="1" applyFont="1" applyBorder="1" applyAlignment="1" applyProtection="1">
      <alignment horizontal="left" vertical="top" wrapText="1"/>
      <protection locked="0"/>
    </xf>
    <xf numFmtId="9" fontId="7" fillId="0" borderId="15" xfId="8" applyFont="1" applyFill="1" applyBorder="1" applyAlignment="1" applyProtection="1">
      <alignment horizontal="center" vertical="center" wrapText="1"/>
      <protection locked="0"/>
    </xf>
    <xf numFmtId="9" fontId="7" fillId="0" borderId="21" xfId="8" applyFont="1" applyFill="1" applyBorder="1" applyAlignment="1" applyProtection="1">
      <alignment horizontal="center" vertical="center" wrapText="1"/>
      <protection locked="0"/>
    </xf>
    <xf numFmtId="9" fontId="7" fillId="0" borderId="24" xfId="8" applyFont="1" applyFill="1" applyBorder="1" applyAlignment="1" applyProtection="1">
      <alignment horizontal="center" vertical="center" wrapText="1"/>
      <protection locked="0"/>
    </xf>
    <xf numFmtId="0" fontId="8" fillId="0" borderId="13" xfId="1" applyFont="1" applyBorder="1" applyAlignment="1" applyProtection="1">
      <alignment horizontal="left" vertical="top"/>
      <protection locked="0"/>
    </xf>
    <xf numFmtId="0" fontId="27" fillId="0" borderId="20" xfId="10" applyBorder="1" applyAlignment="1">
      <alignment horizontal="center"/>
    </xf>
    <xf numFmtId="0" fontId="7" fillId="0" borderId="1" xfId="0" applyFont="1" applyBorder="1" applyAlignment="1" applyProtection="1">
      <alignment horizontal="center" vertical="center"/>
      <protection locked="0"/>
    </xf>
    <xf numFmtId="0" fontId="9" fillId="0" borderId="1" xfId="5" applyFont="1" applyBorder="1" applyAlignment="1">
      <alignment horizontal="left"/>
    </xf>
  </cellXfs>
  <cellStyles count="11">
    <cellStyle name="Comma" xfId="9" builtinId="3"/>
    <cellStyle name="Comma 2" xfId="6"/>
    <cellStyle name="Excel Built-in Normal" xfId="2"/>
    <cellStyle name="Excel Built-in Normal 2" xfId="4"/>
    <cellStyle name="Hyperlink" xfId="10" builtinId="8"/>
    <cellStyle name="Normal" xfId="0" builtinId="0"/>
    <cellStyle name="Normal 2" xfId="3"/>
    <cellStyle name="Normal 3" xfId="1"/>
    <cellStyle name="Normal 3 3" xfId="7"/>
    <cellStyle name="Normal 4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jpe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" Type="http://schemas.openxmlformats.org/officeDocument/2006/relationships/image" Target="../media/image2.png"/><Relationship Id="rId16" Type="http://schemas.openxmlformats.org/officeDocument/2006/relationships/image" Target="../media/image16.jpe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jpeg"/><Relationship Id="rId5" Type="http://schemas.openxmlformats.org/officeDocument/2006/relationships/image" Target="../media/image5.pn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jpe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19.png"/><Relationship Id="rId1" Type="http://schemas.openxmlformats.org/officeDocument/2006/relationships/image" Target="../media/image1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549091</xdr:colOff>
      <xdr:row>279</xdr:row>
      <xdr:rowOff>2</xdr:rowOff>
    </xdr:from>
    <xdr:to>
      <xdr:col>6</xdr:col>
      <xdr:colOff>394469</xdr:colOff>
      <xdr:row>305</xdr:row>
      <xdr:rowOff>155649</xdr:rowOff>
    </xdr:to>
    <xdr:pic>
      <xdr:nvPicPr>
        <xdr:cNvPr id="2" name="Picture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" t="5294" r="4610" b="3333"/>
        <a:stretch/>
      </xdr:blipFill>
      <xdr:spPr>
        <a:xfrm>
          <a:off x="1367120" y="55144149"/>
          <a:ext cx="4316525" cy="5400000"/>
        </a:xfrm>
        <a:prstGeom prst="rect">
          <a:avLst/>
        </a:prstGeom>
        <a:ln w="6350"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257730</xdr:colOff>
      <xdr:row>332</xdr:row>
      <xdr:rowOff>134865</xdr:rowOff>
    </xdr:from>
    <xdr:to>
      <xdr:col>6</xdr:col>
      <xdr:colOff>520531</xdr:colOff>
      <xdr:row>348</xdr:row>
      <xdr:rowOff>147572</xdr:rowOff>
    </xdr:to>
    <xdr:pic>
      <xdr:nvPicPr>
        <xdr:cNvPr id="13" name="Picture 12"/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22767" t="26041" r="29941" b="11459"/>
        <a:stretch/>
      </xdr:blipFill>
      <xdr:spPr>
        <a:xfrm>
          <a:off x="1075759" y="70900012"/>
          <a:ext cx="4733948" cy="3240000"/>
        </a:xfrm>
        <a:prstGeom prst="rect">
          <a:avLst/>
        </a:prstGeom>
        <a:ln w="6350">
          <a:solidFill>
            <a:schemeClr val="tx1"/>
          </a:solidFill>
        </a:ln>
      </xdr:spPr>
    </xdr:pic>
    <xdr:clientData/>
  </xdr:twoCellAnchor>
  <xdr:twoCellAnchor>
    <xdr:from>
      <xdr:col>3</xdr:col>
      <xdr:colOff>845713</xdr:colOff>
      <xdr:row>336</xdr:row>
      <xdr:rowOff>24755</xdr:rowOff>
    </xdr:from>
    <xdr:to>
      <xdr:col>4</xdr:col>
      <xdr:colOff>743014</xdr:colOff>
      <xdr:row>340</xdr:row>
      <xdr:rowOff>63755</xdr:rowOff>
    </xdr:to>
    <xdr:grpSp>
      <xdr:nvGrpSpPr>
        <xdr:cNvPr id="15" name="Group 14"/>
        <xdr:cNvGrpSpPr/>
      </xdr:nvGrpSpPr>
      <xdr:grpSpPr>
        <a:xfrm>
          <a:off x="3255538" y="70109705"/>
          <a:ext cx="840276" cy="839100"/>
          <a:chOff x="2369720" y="4056721"/>
          <a:chExt cx="547687" cy="571502"/>
        </a:xfrm>
      </xdr:grpSpPr>
      <xdr:cxnSp macro="">
        <xdr:nvCxnSpPr>
          <xdr:cNvPr id="16" name="Straight Connector 15"/>
          <xdr:cNvCxnSpPr/>
        </xdr:nvCxnSpPr>
        <xdr:spPr>
          <a:xfrm flipH="1">
            <a:off x="2874544" y="4094821"/>
            <a:ext cx="42863" cy="140493"/>
          </a:xfrm>
          <a:prstGeom prst="line">
            <a:avLst/>
          </a:prstGeom>
          <a:ln w="28575">
            <a:solidFill>
              <a:srgbClr val="FFFF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grpSp>
        <xdr:nvGrpSpPr>
          <xdr:cNvPr id="17" name="Group 16"/>
          <xdr:cNvGrpSpPr/>
        </xdr:nvGrpSpPr>
        <xdr:grpSpPr>
          <a:xfrm>
            <a:off x="2369720" y="4056721"/>
            <a:ext cx="547687" cy="571502"/>
            <a:chOff x="2369720" y="4056721"/>
            <a:chExt cx="547687" cy="571502"/>
          </a:xfrm>
        </xdr:grpSpPr>
        <xdr:cxnSp macro="">
          <xdr:nvCxnSpPr>
            <xdr:cNvPr id="18" name="Straight Connector 17"/>
            <xdr:cNvCxnSpPr/>
          </xdr:nvCxnSpPr>
          <xdr:spPr>
            <a:xfrm flipH="1">
              <a:off x="2369720" y="4056721"/>
              <a:ext cx="161925" cy="519113"/>
            </a:xfrm>
            <a:prstGeom prst="line">
              <a:avLst/>
            </a:prstGeom>
            <a:ln w="28575">
              <a:solidFill>
                <a:srgbClr val="FFFF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9" name="Straight Connector 18"/>
            <xdr:cNvCxnSpPr/>
          </xdr:nvCxnSpPr>
          <xdr:spPr>
            <a:xfrm flipH="1">
              <a:off x="2622131" y="4237696"/>
              <a:ext cx="123826" cy="390525"/>
            </a:xfrm>
            <a:prstGeom prst="line">
              <a:avLst/>
            </a:prstGeom>
            <a:ln w="28575">
              <a:solidFill>
                <a:srgbClr val="FFFF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0" name="Straight Connector 19"/>
            <xdr:cNvCxnSpPr/>
          </xdr:nvCxnSpPr>
          <xdr:spPr>
            <a:xfrm flipH="1" flipV="1">
              <a:off x="2369721" y="4575836"/>
              <a:ext cx="252412" cy="52387"/>
            </a:xfrm>
            <a:prstGeom prst="line">
              <a:avLst/>
            </a:prstGeom>
            <a:ln w="28575">
              <a:solidFill>
                <a:srgbClr val="FFFF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1" name="Straight Connector 20"/>
            <xdr:cNvCxnSpPr/>
          </xdr:nvCxnSpPr>
          <xdr:spPr>
            <a:xfrm flipH="1" flipV="1">
              <a:off x="2531643" y="4056721"/>
              <a:ext cx="385764" cy="38100"/>
            </a:xfrm>
            <a:prstGeom prst="line">
              <a:avLst/>
            </a:prstGeom>
            <a:ln w="28575">
              <a:solidFill>
                <a:srgbClr val="FFFF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2" name="Straight Connector 21"/>
            <xdr:cNvCxnSpPr/>
          </xdr:nvCxnSpPr>
          <xdr:spPr>
            <a:xfrm flipH="1" flipV="1">
              <a:off x="2745957" y="4235315"/>
              <a:ext cx="128587" cy="2382"/>
            </a:xfrm>
            <a:prstGeom prst="line">
              <a:avLst/>
            </a:prstGeom>
            <a:ln w="28575">
              <a:solidFill>
                <a:srgbClr val="FFFF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</xdr:grpSp>
    <xdr:clientData/>
  </xdr:twoCellAnchor>
  <xdr:twoCellAnchor editAs="oneCell">
    <xdr:from>
      <xdr:col>1</xdr:col>
      <xdr:colOff>257735</xdr:colOff>
      <xdr:row>319</xdr:row>
      <xdr:rowOff>100853</xdr:rowOff>
    </xdr:from>
    <xdr:to>
      <xdr:col>6</xdr:col>
      <xdr:colOff>532997</xdr:colOff>
      <xdr:row>332</xdr:row>
      <xdr:rowOff>1223</xdr:rowOff>
    </xdr:to>
    <xdr:pic>
      <xdr:nvPicPr>
        <xdr:cNvPr id="23" name="Picture 22"/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41016" t="33490" r="33259" b="42217"/>
        <a:stretch/>
      </xdr:blipFill>
      <xdr:spPr>
        <a:xfrm>
          <a:off x="1075764" y="64120059"/>
          <a:ext cx="4746409" cy="252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8</xdr:col>
      <xdr:colOff>308194</xdr:colOff>
      <xdr:row>236</xdr:row>
      <xdr:rowOff>14233</xdr:rowOff>
    </xdr:from>
    <xdr:to>
      <xdr:col>15</xdr:col>
      <xdr:colOff>565211</xdr:colOff>
      <xdr:row>274</xdr:row>
      <xdr:rowOff>7503</xdr:rowOff>
    </xdr:to>
    <xdr:grpSp>
      <xdr:nvGrpSpPr>
        <xdr:cNvPr id="3" name="Group 2"/>
        <xdr:cNvGrpSpPr/>
      </xdr:nvGrpSpPr>
      <xdr:grpSpPr>
        <a:xfrm>
          <a:off x="6689944" y="50096683"/>
          <a:ext cx="5876767" cy="7594220"/>
          <a:chOff x="234950" y="49263300"/>
          <a:chExt cx="6156167" cy="7473570"/>
        </a:xfrm>
      </xdr:grpSpPr>
      <xdr:pic>
        <xdr:nvPicPr>
          <xdr:cNvPr id="25" name="Picture 24"/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390880" y="54576870"/>
            <a:ext cx="1617750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6" name="Picture 25"/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85262" y="52280085"/>
            <a:ext cx="2876000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7" name="Picture 26"/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234117" y="49263300"/>
            <a:ext cx="2157000" cy="288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3" name="Picture 32"/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643512" y="54576870"/>
            <a:ext cx="1617750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4" name="Picture 33"/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390880" y="52280085"/>
            <a:ext cx="2876000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1" name="Picture 40"/>
          <xdr:cNvPicPr>
            <a:picLocks noChangeAspect="1"/>
          </xdr:cNvPicPr>
        </xdr:nvPicPr>
        <xdr:blipFill>
          <a:blip xmlns:r="http://schemas.openxmlformats.org/officeDocument/2006/relationships" r:embed="rId9"/>
          <a:stretch>
            <a:fillRect/>
          </a:stretch>
        </xdr:blipFill>
        <xdr:spPr>
          <a:xfrm>
            <a:off x="234950" y="49263300"/>
            <a:ext cx="3834667" cy="2880000"/>
          </a:xfrm>
          <a:prstGeom prst="rect">
            <a:avLst/>
          </a:prstGeom>
          <a:ln>
            <a:solidFill>
              <a:schemeClr val="tx1"/>
            </a:solidFill>
          </a:ln>
        </xdr:spPr>
      </xdr:pic>
    </xdr:grpSp>
    <xdr:clientData/>
  </xdr:twoCellAnchor>
  <xdr:twoCellAnchor>
    <xdr:from>
      <xdr:col>0</xdr:col>
      <xdr:colOff>80027</xdr:colOff>
      <xdr:row>235</xdr:row>
      <xdr:rowOff>72258</xdr:rowOff>
    </xdr:from>
    <xdr:to>
      <xdr:col>7</xdr:col>
      <xdr:colOff>660943</xdr:colOff>
      <xdr:row>275</xdr:row>
      <xdr:rowOff>150554</xdr:rowOff>
    </xdr:to>
    <xdr:grpSp>
      <xdr:nvGrpSpPr>
        <xdr:cNvPr id="5" name="Group 4"/>
        <xdr:cNvGrpSpPr/>
      </xdr:nvGrpSpPr>
      <xdr:grpSpPr>
        <a:xfrm>
          <a:off x="80027" y="49954683"/>
          <a:ext cx="6257816" cy="8079296"/>
          <a:chOff x="80027" y="49365775"/>
          <a:chExt cx="6263071" cy="7961055"/>
        </a:xfrm>
      </xdr:grpSpPr>
      <xdr:pic>
        <xdr:nvPicPr>
          <xdr:cNvPr id="24" name="Picture 23" descr="https://vsjcllp.vsjadon.com/upload/insp-243243-1525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4085897" y="55185881"/>
            <a:ext cx="1619064" cy="213044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0" name="Picture 29" descr="https://vsjcllp.vsjadon.com/upload/insp-243243-844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3234734" y="49372017"/>
            <a:ext cx="2676955" cy="3554138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1" name="Picture 30" descr="https://vsjcllp.vsjadon.com/upload/insp-243243-847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2398658" y="55199347"/>
            <a:ext cx="1617421" cy="2127483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2" name="Picture 31" descr="https://vsjcllp.vsjadon.com/upload/insp-243243-849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3463815" y="53000766"/>
            <a:ext cx="2879283" cy="2130439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5" name="Picture 34" descr="https://vsjcllp.vsjadon.com/upload/insp-243243-851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1773620" y="53004000"/>
            <a:ext cx="1618407" cy="2127483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6" name="Picture 35" descr="https://vsjcllp.vsjadon.com/upload/insp-243243-871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80027" y="53001670"/>
            <a:ext cx="1625934" cy="2130438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7" name="Picture 36" descr="https://vsjcllp.vsjadon.com/upload/insp-243243-1022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709448" y="55195734"/>
            <a:ext cx="1619064" cy="2127483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8" name="Picture 37" descr="https://vsjcllp.vsjadon.com/upload/insp-243243-883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472484" y="49365775"/>
            <a:ext cx="2672615" cy="3568443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omments" Target="../comments1.xml"/><Relationship Id="rId2" Type="http://schemas.openxmlformats.org/officeDocument/2006/relationships/hyperlink" Target="https://housing.com/in/buy/projects/page/298911-infinity-icon-by-infinity-group-in-khopoli" TargetMode="External"/><Relationship Id="rId1" Type="http://schemas.openxmlformats.org/officeDocument/2006/relationships/hyperlink" Target="https://goo.gl/maps/GnM9tVvMtwjWr5s48" TargetMode="External"/><Relationship Id="rId6" Type="http://schemas.openxmlformats.org/officeDocument/2006/relationships/vmlDrawing" Target="../drawings/vmlDrawing2.v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Z325"/>
  <sheetViews>
    <sheetView tabSelected="1" view="pageBreakPreview" zoomScaleNormal="100" zoomScaleSheetLayoutView="100" zoomScalePageLayoutView="85" workbookViewId="0">
      <selection activeCell="J15" sqref="J15"/>
    </sheetView>
  </sheetViews>
  <sheetFormatPr defaultColWidth="9.140625" defaultRowHeight="15.75" x14ac:dyDescent="0.25"/>
  <cols>
    <col min="1" max="1" width="11.42578125" style="40" customWidth="1"/>
    <col min="2" max="2" width="12" style="40" customWidth="1"/>
    <col min="3" max="3" width="12.7109375" style="40" customWidth="1"/>
    <col min="4" max="4" width="14.140625" style="40" customWidth="1"/>
    <col min="5" max="6" width="11.7109375" style="40" customWidth="1"/>
    <col min="7" max="7" width="11.42578125" style="40" customWidth="1"/>
    <col min="8" max="8" width="10.5703125" style="40" customWidth="1"/>
    <col min="9" max="9" width="17.42578125" style="21" customWidth="1"/>
    <col min="10" max="10" width="11.42578125" style="21" customWidth="1"/>
    <col min="11" max="11" width="10.5703125" style="21" bestFit="1" customWidth="1"/>
    <col min="12" max="12" width="10.5703125" style="21" customWidth="1"/>
    <col min="13" max="13" width="11.85546875" style="21" customWidth="1"/>
    <col min="14" max="14" width="12.5703125" style="21" customWidth="1"/>
    <col min="15" max="15" width="9.85546875" style="21" customWidth="1"/>
    <col min="16" max="16" width="11.7109375" style="21" customWidth="1"/>
    <col min="17" max="247" width="9.140625" style="21"/>
    <col min="248" max="248" width="8.7109375" style="21" customWidth="1"/>
    <col min="249" max="249" width="9.85546875" style="21" customWidth="1"/>
    <col min="250" max="250" width="14.42578125" style="21" customWidth="1"/>
    <col min="251" max="251" width="7.28515625" style="21" customWidth="1"/>
    <col min="252" max="252" width="5.5703125" style="21" customWidth="1"/>
    <col min="253" max="253" width="9" style="21" customWidth="1"/>
    <col min="254" max="255" width="9.85546875" style="21" customWidth="1"/>
    <col min="256" max="256" width="11.140625" style="21" customWidth="1"/>
    <col min="257" max="257" width="2.85546875" style="21" customWidth="1"/>
    <col min="258" max="258" width="3.5703125" style="21" customWidth="1"/>
    <col min="259" max="503" width="9.140625" style="21"/>
    <col min="504" max="504" width="8.7109375" style="21" customWidth="1"/>
    <col min="505" max="505" width="9.85546875" style="21" customWidth="1"/>
    <col min="506" max="506" width="14.42578125" style="21" customWidth="1"/>
    <col min="507" max="507" width="7.28515625" style="21" customWidth="1"/>
    <col min="508" max="508" width="5.5703125" style="21" customWidth="1"/>
    <col min="509" max="509" width="9" style="21" customWidth="1"/>
    <col min="510" max="511" width="9.85546875" style="21" customWidth="1"/>
    <col min="512" max="512" width="11.140625" style="21" customWidth="1"/>
    <col min="513" max="513" width="2.85546875" style="21" customWidth="1"/>
    <col min="514" max="514" width="3.5703125" style="21" customWidth="1"/>
    <col min="515" max="759" width="9.140625" style="21"/>
    <col min="760" max="760" width="8.7109375" style="21" customWidth="1"/>
    <col min="761" max="761" width="9.85546875" style="21" customWidth="1"/>
    <col min="762" max="762" width="14.42578125" style="21" customWidth="1"/>
    <col min="763" max="763" width="7.28515625" style="21" customWidth="1"/>
    <col min="764" max="764" width="5.5703125" style="21" customWidth="1"/>
    <col min="765" max="765" width="9" style="21" customWidth="1"/>
    <col min="766" max="767" width="9.85546875" style="21" customWidth="1"/>
    <col min="768" max="768" width="11.140625" style="21" customWidth="1"/>
    <col min="769" max="769" width="2.85546875" style="21" customWidth="1"/>
    <col min="770" max="770" width="3.5703125" style="21" customWidth="1"/>
    <col min="771" max="1015" width="9.140625" style="21"/>
    <col min="1016" max="1016" width="8.7109375" style="21" customWidth="1"/>
    <col min="1017" max="1017" width="9.85546875" style="21" customWidth="1"/>
    <col min="1018" max="1018" width="14.42578125" style="21" customWidth="1"/>
    <col min="1019" max="1019" width="7.28515625" style="21" customWidth="1"/>
    <col min="1020" max="1020" width="5.5703125" style="21" customWidth="1"/>
    <col min="1021" max="1021" width="9" style="21" customWidth="1"/>
    <col min="1022" max="1023" width="9.85546875" style="21" customWidth="1"/>
    <col min="1024" max="1024" width="11.140625" style="21" customWidth="1"/>
    <col min="1025" max="1025" width="2.85546875" style="21" customWidth="1"/>
    <col min="1026" max="1026" width="3.5703125" style="21" customWidth="1"/>
    <col min="1027" max="1271" width="9.140625" style="21"/>
    <col min="1272" max="1272" width="8.7109375" style="21" customWidth="1"/>
    <col min="1273" max="1273" width="9.85546875" style="21" customWidth="1"/>
    <col min="1274" max="1274" width="14.42578125" style="21" customWidth="1"/>
    <col min="1275" max="1275" width="7.28515625" style="21" customWidth="1"/>
    <col min="1276" max="1276" width="5.5703125" style="21" customWidth="1"/>
    <col min="1277" max="1277" width="9" style="21" customWidth="1"/>
    <col min="1278" max="1279" width="9.85546875" style="21" customWidth="1"/>
    <col min="1280" max="1280" width="11.140625" style="21" customWidth="1"/>
    <col min="1281" max="1281" width="2.85546875" style="21" customWidth="1"/>
    <col min="1282" max="1282" width="3.5703125" style="21" customWidth="1"/>
    <col min="1283" max="1527" width="9.140625" style="21"/>
    <col min="1528" max="1528" width="8.7109375" style="21" customWidth="1"/>
    <col min="1529" max="1529" width="9.85546875" style="21" customWidth="1"/>
    <col min="1530" max="1530" width="14.42578125" style="21" customWidth="1"/>
    <col min="1531" max="1531" width="7.28515625" style="21" customWidth="1"/>
    <col min="1532" max="1532" width="5.5703125" style="21" customWidth="1"/>
    <col min="1533" max="1533" width="9" style="21" customWidth="1"/>
    <col min="1534" max="1535" width="9.85546875" style="21" customWidth="1"/>
    <col min="1536" max="1536" width="11.140625" style="21" customWidth="1"/>
    <col min="1537" max="1537" width="2.85546875" style="21" customWidth="1"/>
    <col min="1538" max="1538" width="3.5703125" style="21" customWidth="1"/>
    <col min="1539" max="1783" width="9.140625" style="21"/>
    <col min="1784" max="1784" width="8.7109375" style="21" customWidth="1"/>
    <col min="1785" max="1785" width="9.85546875" style="21" customWidth="1"/>
    <col min="1786" max="1786" width="14.42578125" style="21" customWidth="1"/>
    <col min="1787" max="1787" width="7.28515625" style="21" customWidth="1"/>
    <col min="1788" max="1788" width="5.5703125" style="21" customWidth="1"/>
    <col min="1789" max="1789" width="9" style="21" customWidth="1"/>
    <col min="1790" max="1791" width="9.85546875" style="21" customWidth="1"/>
    <col min="1792" max="1792" width="11.140625" style="21" customWidth="1"/>
    <col min="1793" max="1793" width="2.85546875" style="21" customWidth="1"/>
    <col min="1794" max="1794" width="3.5703125" style="21" customWidth="1"/>
    <col min="1795" max="2039" width="9.140625" style="21"/>
    <col min="2040" max="2040" width="8.7109375" style="21" customWidth="1"/>
    <col min="2041" max="2041" width="9.85546875" style="21" customWidth="1"/>
    <col min="2042" max="2042" width="14.42578125" style="21" customWidth="1"/>
    <col min="2043" max="2043" width="7.28515625" style="21" customWidth="1"/>
    <col min="2044" max="2044" width="5.5703125" style="21" customWidth="1"/>
    <col min="2045" max="2045" width="9" style="21" customWidth="1"/>
    <col min="2046" max="2047" width="9.85546875" style="21" customWidth="1"/>
    <col min="2048" max="2048" width="11.140625" style="21" customWidth="1"/>
    <col min="2049" max="2049" width="2.85546875" style="21" customWidth="1"/>
    <col min="2050" max="2050" width="3.5703125" style="21" customWidth="1"/>
    <col min="2051" max="2295" width="9.140625" style="21"/>
    <col min="2296" max="2296" width="8.7109375" style="21" customWidth="1"/>
    <col min="2297" max="2297" width="9.85546875" style="21" customWidth="1"/>
    <col min="2298" max="2298" width="14.42578125" style="21" customWidth="1"/>
    <col min="2299" max="2299" width="7.28515625" style="21" customWidth="1"/>
    <col min="2300" max="2300" width="5.5703125" style="21" customWidth="1"/>
    <col min="2301" max="2301" width="9" style="21" customWidth="1"/>
    <col min="2302" max="2303" width="9.85546875" style="21" customWidth="1"/>
    <col min="2304" max="2304" width="11.140625" style="21" customWidth="1"/>
    <col min="2305" max="2305" width="2.85546875" style="21" customWidth="1"/>
    <col min="2306" max="2306" width="3.5703125" style="21" customWidth="1"/>
    <col min="2307" max="2551" width="9.140625" style="21"/>
    <col min="2552" max="2552" width="8.7109375" style="21" customWidth="1"/>
    <col min="2553" max="2553" width="9.85546875" style="21" customWidth="1"/>
    <col min="2554" max="2554" width="14.42578125" style="21" customWidth="1"/>
    <col min="2555" max="2555" width="7.28515625" style="21" customWidth="1"/>
    <col min="2556" max="2556" width="5.5703125" style="21" customWidth="1"/>
    <col min="2557" max="2557" width="9" style="21" customWidth="1"/>
    <col min="2558" max="2559" width="9.85546875" style="21" customWidth="1"/>
    <col min="2560" max="2560" width="11.140625" style="21" customWidth="1"/>
    <col min="2561" max="2561" width="2.85546875" style="21" customWidth="1"/>
    <col min="2562" max="2562" width="3.5703125" style="21" customWidth="1"/>
    <col min="2563" max="2807" width="9.140625" style="21"/>
    <col min="2808" max="2808" width="8.7109375" style="21" customWidth="1"/>
    <col min="2809" max="2809" width="9.85546875" style="21" customWidth="1"/>
    <col min="2810" max="2810" width="14.42578125" style="21" customWidth="1"/>
    <col min="2811" max="2811" width="7.28515625" style="21" customWidth="1"/>
    <col min="2812" max="2812" width="5.5703125" style="21" customWidth="1"/>
    <col min="2813" max="2813" width="9" style="21" customWidth="1"/>
    <col min="2814" max="2815" width="9.85546875" style="21" customWidth="1"/>
    <col min="2816" max="2816" width="11.140625" style="21" customWidth="1"/>
    <col min="2817" max="2817" width="2.85546875" style="21" customWidth="1"/>
    <col min="2818" max="2818" width="3.5703125" style="21" customWidth="1"/>
    <col min="2819" max="3063" width="9.140625" style="21"/>
    <col min="3064" max="3064" width="8.7109375" style="21" customWidth="1"/>
    <col min="3065" max="3065" width="9.85546875" style="21" customWidth="1"/>
    <col min="3066" max="3066" width="14.42578125" style="21" customWidth="1"/>
    <col min="3067" max="3067" width="7.28515625" style="21" customWidth="1"/>
    <col min="3068" max="3068" width="5.5703125" style="21" customWidth="1"/>
    <col min="3069" max="3069" width="9" style="21" customWidth="1"/>
    <col min="3070" max="3071" width="9.85546875" style="21" customWidth="1"/>
    <col min="3072" max="3072" width="11.140625" style="21" customWidth="1"/>
    <col min="3073" max="3073" width="2.85546875" style="21" customWidth="1"/>
    <col min="3074" max="3074" width="3.5703125" style="21" customWidth="1"/>
    <col min="3075" max="3319" width="9.140625" style="21"/>
    <col min="3320" max="3320" width="8.7109375" style="21" customWidth="1"/>
    <col min="3321" max="3321" width="9.85546875" style="21" customWidth="1"/>
    <col min="3322" max="3322" width="14.42578125" style="21" customWidth="1"/>
    <col min="3323" max="3323" width="7.28515625" style="21" customWidth="1"/>
    <col min="3324" max="3324" width="5.5703125" style="21" customWidth="1"/>
    <col min="3325" max="3325" width="9" style="21" customWidth="1"/>
    <col min="3326" max="3327" width="9.85546875" style="21" customWidth="1"/>
    <col min="3328" max="3328" width="11.140625" style="21" customWidth="1"/>
    <col min="3329" max="3329" width="2.85546875" style="21" customWidth="1"/>
    <col min="3330" max="3330" width="3.5703125" style="21" customWidth="1"/>
    <col min="3331" max="3575" width="9.140625" style="21"/>
    <col min="3576" max="3576" width="8.7109375" style="21" customWidth="1"/>
    <col min="3577" max="3577" width="9.85546875" style="21" customWidth="1"/>
    <col min="3578" max="3578" width="14.42578125" style="21" customWidth="1"/>
    <col min="3579" max="3579" width="7.28515625" style="21" customWidth="1"/>
    <col min="3580" max="3580" width="5.5703125" style="21" customWidth="1"/>
    <col min="3581" max="3581" width="9" style="21" customWidth="1"/>
    <col min="3582" max="3583" width="9.85546875" style="21" customWidth="1"/>
    <col min="3584" max="3584" width="11.140625" style="21" customWidth="1"/>
    <col min="3585" max="3585" width="2.85546875" style="21" customWidth="1"/>
    <col min="3586" max="3586" width="3.5703125" style="21" customWidth="1"/>
    <col min="3587" max="3831" width="9.140625" style="21"/>
    <col min="3832" max="3832" width="8.7109375" style="21" customWidth="1"/>
    <col min="3833" max="3833" width="9.85546875" style="21" customWidth="1"/>
    <col min="3834" max="3834" width="14.42578125" style="21" customWidth="1"/>
    <col min="3835" max="3835" width="7.28515625" style="21" customWidth="1"/>
    <col min="3836" max="3836" width="5.5703125" style="21" customWidth="1"/>
    <col min="3837" max="3837" width="9" style="21" customWidth="1"/>
    <col min="3838" max="3839" width="9.85546875" style="21" customWidth="1"/>
    <col min="3840" max="3840" width="11.140625" style="21" customWidth="1"/>
    <col min="3841" max="3841" width="2.85546875" style="21" customWidth="1"/>
    <col min="3842" max="3842" width="3.5703125" style="21" customWidth="1"/>
    <col min="3843" max="4087" width="9.140625" style="21"/>
    <col min="4088" max="4088" width="8.7109375" style="21" customWidth="1"/>
    <col min="4089" max="4089" width="9.85546875" style="21" customWidth="1"/>
    <col min="4090" max="4090" width="14.42578125" style="21" customWidth="1"/>
    <col min="4091" max="4091" width="7.28515625" style="21" customWidth="1"/>
    <col min="4092" max="4092" width="5.5703125" style="21" customWidth="1"/>
    <col min="4093" max="4093" width="9" style="21" customWidth="1"/>
    <col min="4094" max="4095" width="9.85546875" style="21" customWidth="1"/>
    <col min="4096" max="4096" width="11.140625" style="21" customWidth="1"/>
    <col min="4097" max="4097" width="2.85546875" style="21" customWidth="1"/>
    <col min="4098" max="4098" width="3.5703125" style="21" customWidth="1"/>
    <col min="4099" max="4343" width="9.140625" style="21"/>
    <col min="4344" max="4344" width="8.7109375" style="21" customWidth="1"/>
    <col min="4345" max="4345" width="9.85546875" style="21" customWidth="1"/>
    <col min="4346" max="4346" width="14.42578125" style="21" customWidth="1"/>
    <col min="4347" max="4347" width="7.28515625" style="21" customWidth="1"/>
    <col min="4348" max="4348" width="5.5703125" style="21" customWidth="1"/>
    <col min="4349" max="4349" width="9" style="21" customWidth="1"/>
    <col min="4350" max="4351" width="9.85546875" style="21" customWidth="1"/>
    <col min="4352" max="4352" width="11.140625" style="21" customWidth="1"/>
    <col min="4353" max="4353" width="2.85546875" style="21" customWidth="1"/>
    <col min="4354" max="4354" width="3.5703125" style="21" customWidth="1"/>
    <col min="4355" max="4599" width="9.140625" style="21"/>
    <col min="4600" max="4600" width="8.7109375" style="21" customWidth="1"/>
    <col min="4601" max="4601" width="9.85546875" style="21" customWidth="1"/>
    <col min="4602" max="4602" width="14.42578125" style="21" customWidth="1"/>
    <col min="4603" max="4603" width="7.28515625" style="21" customWidth="1"/>
    <col min="4604" max="4604" width="5.5703125" style="21" customWidth="1"/>
    <col min="4605" max="4605" width="9" style="21" customWidth="1"/>
    <col min="4606" max="4607" width="9.85546875" style="21" customWidth="1"/>
    <col min="4608" max="4608" width="11.140625" style="21" customWidth="1"/>
    <col min="4609" max="4609" width="2.85546875" style="21" customWidth="1"/>
    <col min="4610" max="4610" width="3.5703125" style="21" customWidth="1"/>
    <col min="4611" max="4855" width="9.140625" style="21"/>
    <col min="4856" max="4856" width="8.7109375" style="21" customWidth="1"/>
    <col min="4857" max="4857" width="9.85546875" style="21" customWidth="1"/>
    <col min="4858" max="4858" width="14.42578125" style="21" customWidth="1"/>
    <col min="4859" max="4859" width="7.28515625" style="21" customWidth="1"/>
    <col min="4860" max="4860" width="5.5703125" style="21" customWidth="1"/>
    <col min="4861" max="4861" width="9" style="21" customWidth="1"/>
    <col min="4862" max="4863" width="9.85546875" style="21" customWidth="1"/>
    <col min="4864" max="4864" width="11.140625" style="21" customWidth="1"/>
    <col min="4865" max="4865" width="2.85546875" style="21" customWidth="1"/>
    <col min="4866" max="4866" width="3.5703125" style="21" customWidth="1"/>
    <col min="4867" max="5111" width="9.140625" style="21"/>
    <col min="5112" max="5112" width="8.7109375" style="21" customWidth="1"/>
    <col min="5113" max="5113" width="9.85546875" style="21" customWidth="1"/>
    <col min="5114" max="5114" width="14.42578125" style="21" customWidth="1"/>
    <col min="5115" max="5115" width="7.28515625" style="21" customWidth="1"/>
    <col min="5116" max="5116" width="5.5703125" style="21" customWidth="1"/>
    <col min="5117" max="5117" width="9" style="21" customWidth="1"/>
    <col min="5118" max="5119" width="9.85546875" style="21" customWidth="1"/>
    <col min="5120" max="5120" width="11.140625" style="21" customWidth="1"/>
    <col min="5121" max="5121" width="2.85546875" style="21" customWidth="1"/>
    <col min="5122" max="5122" width="3.5703125" style="21" customWidth="1"/>
    <col min="5123" max="5367" width="9.140625" style="21"/>
    <col min="5368" max="5368" width="8.7109375" style="21" customWidth="1"/>
    <col min="5369" max="5369" width="9.85546875" style="21" customWidth="1"/>
    <col min="5370" max="5370" width="14.42578125" style="21" customWidth="1"/>
    <col min="5371" max="5371" width="7.28515625" style="21" customWidth="1"/>
    <col min="5372" max="5372" width="5.5703125" style="21" customWidth="1"/>
    <col min="5373" max="5373" width="9" style="21" customWidth="1"/>
    <col min="5374" max="5375" width="9.85546875" style="21" customWidth="1"/>
    <col min="5376" max="5376" width="11.140625" style="21" customWidth="1"/>
    <col min="5377" max="5377" width="2.85546875" style="21" customWidth="1"/>
    <col min="5378" max="5378" width="3.5703125" style="21" customWidth="1"/>
    <col min="5379" max="5623" width="9.140625" style="21"/>
    <col min="5624" max="5624" width="8.7109375" style="21" customWidth="1"/>
    <col min="5625" max="5625" width="9.85546875" style="21" customWidth="1"/>
    <col min="5626" max="5626" width="14.42578125" style="21" customWidth="1"/>
    <col min="5627" max="5627" width="7.28515625" style="21" customWidth="1"/>
    <col min="5628" max="5628" width="5.5703125" style="21" customWidth="1"/>
    <col min="5629" max="5629" width="9" style="21" customWidth="1"/>
    <col min="5630" max="5631" width="9.85546875" style="21" customWidth="1"/>
    <col min="5632" max="5632" width="11.140625" style="21" customWidth="1"/>
    <col min="5633" max="5633" width="2.85546875" style="21" customWidth="1"/>
    <col min="5634" max="5634" width="3.5703125" style="21" customWidth="1"/>
    <col min="5635" max="5879" width="9.140625" style="21"/>
    <col min="5880" max="5880" width="8.7109375" style="21" customWidth="1"/>
    <col min="5881" max="5881" width="9.85546875" style="21" customWidth="1"/>
    <col min="5882" max="5882" width="14.42578125" style="21" customWidth="1"/>
    <col min="5883" max="5883" width="7.28515625" style="21" customWidth="1"/>
    <col min="5884" max="5884" width="5.5703125" style="21" customWidth="1"/>
    <col min="5885" max="5885" width="9" style="21" customWidth="1"/>
    <col min="5886" max="5887" width="9.85546875" style="21" customWidth="1"/>
    <col min="5888" max="5888" width="11.140625" style="21" customWidth="1"/>
    <col min="5889" max="5889" width="2.85546875" style="21" customWidth="1"/>
    <col min="5890" max="5890" width="3.5703125" style="21" customWidth="1"/>
    <col min="5891" max="6135" width="9.140625" style="21"/>
    <col min="6136" max="6136" width="8.7109375" style="21" customWidth="1"/>
    <col min="6137" max="6137" width="9.85546875" style="21" customWidth="1"/>
    <col min="6138" max="6138" width="14.42578125" style="21" customWidth="1"/>
    <col min="6139" max="6139" width="7.28515625" style="21" customWidth="1"/>
    <col min="6140" max="6140" width="5.5703125" style="21" customWidth="1"/>
    <col min="6141" max="6141" width="9" style="21" customWidth="1"/>
    <col min="6142" max="6143" width="9.85546875" style="21" customWidth="1"/>
    <col min="6144" max="6144" width="11.140625" style="21" customWidth="1"/>
    <col min="6145" max="6145" width="2.85546875" style="21" customWidth="1"/>
    <col min="6146" max="6146" width="3.5703125" style="21" customWidth="1"/>
    <col min="6147" max="6391" width="9.140625" style="21"/>
    <col min="6392" max="6392" width="8.7109375" style="21" customWidth="1"/>
    <col min="6393" max="6393" width="9.85546875" style="21" customWidth="1"/>
    <col min="6394" max="6394" width="14.42578125" style="21" customWidth="1"/>
    <col min="6395" max="6395" width="7.28515625" style="21" customWidth="1"/>
    <col min="6396" max="6396" width="5.5703125" style="21" customWidth="1"/>
    <col min="6397" max="6397" width="9" style="21" customWidth="1"/>
    <col min="6398" max="6399" width="9.85546875" style="21" customWidth="1"/>
    <col min="6400" max="6400" width="11.140625" style="21" customWidth="1"/>
    <col min="6401" max="6401" width="2.85546875" style="21" customWidth="1"/>
    <col min="6402" max="6402" width="3.5703125" style="21" customWidth="1"/>
    <col min="6403" max="6647" width="9.140625" style="21"/>
    <col min="6648" max="6648" width="8.7109375" style="21" customWidth="1"/>
    <col min="6649" max="6649" width="9.85546875" style="21" customWidth="1"/>
    <col min="6650" max="6650" width="14.42578125" style="21" customWidth="1"/>
    <col min="6651" max="6651" width="7.28515625" style="21" customWidth="1"/>
    <col min="6652" max="6652" width="5.5703125" style="21" customWidth="1"/>
    <col min="6653" max="6653" width="9" style="21" customWidth="1"/>
    <col min="6654" max="6655" width="9.85546875" style="21" customWidth="1"/>
    <col min="6656" max="6656" width="11.140625" style="21" customWidth="1"/>
    <col min="6657" max="6657" width="2.85546875" style="21" customWidth="1"/>
    <col min="6658" max="6658" width="3.5703125" style="21" customWidth="1"/>
    <col min="6659" max="6903" width="9.140625" style="21"/>
    <col min="6904" max="6904" width="8.7109375" style="21" customWidth="1"/>
    <col min="6905" max="6905" width="9.85546875" style="21" customWidth="1"/>
    <col min="6906" max="6906" width="14.42578125" style="21" customWidth="1"/>
    <col min="6907" max="6907" width="7.28515625" style="21" customWidth="1"/>
    <col min="6908" max="6908" width="5.5703125" style="21" customWidth="1"/>
    <col min="6909" max="6909" width="9" style="21" customWidth="1"/>
    <col min="6910" max="6911" width="9.85546875" style="21" customWidth="1"/>
    <col min="6912" max="6912" width="11.140625" style="21" customWidth="1"/>
    <col min="6913" max="6913" width="2.85546875" style="21" customWidth="1"/>
    <col min="6914" max="6914" width="3.5703125" style="21" customWidth="1"/>
    <col min="6915" max="7159" width="9.140625" style="21"/>
    <col min="7160" max="7160" width="8.7109375" style="21" customWidth="1"/>
    <col min="7161" max="7161" width="9.85546875" style="21" customWidth="1"/>
    <col min="7162" max="7162" width="14.42578125" style="21" customWidth="1"/>
    <col min="7163" max="7163" width="7.28515625" style="21" customWidth="1"/>
    <col min="7164" max="7164" width="5.5703125" style="21" customWidth="1"/>
    <col min="7165" max="7165" width="9" style="21" customWidth="1"/>
    <col min="7166" max="7167" width="9.85546875" style="21" customWidth="1"/>
    <col min="7168" max="7168" width="11.140625" style="21" customWidth="1"/>
    <col min="7169" max="7169" width="2.85546875" style="21" customWidth="1"/>
    <col min="7170" max="7170" width="3.5703125" style="21" customWidth="1"/>
    <col min="7171" max="7415" width="9.140625" style="21"/>
    <col min="7416" max="7416" width="8.7109375" style="21" customWidth="1"/>
    <col min="7417" max="7417" width="9.85546875" style="21" customWidth="1"/>
    <col min="7418" max="7418" width="14.42578125" style="21" customWidth="1"/>
    <col min="7419" max="7419" width="7.28515625" style="21" customWidth="1"/>
    <col min="7420" max="7420" width="5.5703125" style="21" customWidth="1"/>
    <col min="7421" max="7421" width="9" style="21" customWidth="1"/>
    <col min="7422" max="7423" width="9.85546875" style="21" customWidth="1"/>
    <col min="7424" max="7424" width="11.140625" style="21" customWidth="1"/>
    <col min="7425" max="7425" width="2.85546875" style="21" customWidth="1"/>
    <col min="7426" max="7426" width="3.5703125" style="21" customWidth="1"/>
    <col min="7427" max="7671" width="9.140625" style="21"/>
    <col min="7672" max="7672" width="8.7109375" style="21" customWidth="1"/>
    <col min="7673" max="7673" width="9.85546875" style="21" customWidth="1"/>
    <col min="7674" max="7674" width="14.42578125" style="21" customWidth="1"/>
    <col min="7675" max="7675" width="7.28515625" style="21" customWidth="1"/>
    <col min="7676" max="7676" width="5.5703125" style="21" customWidth="1"/>
    <col min="7677" max="7677" width="9" style="21" customWidth="1"/>
    <col min="7678" max="7679" width="9.85546875" style="21" customWidth="1"/>
    <col min="7680" max="7680" width="11.140625" style="21" customWidth="1"/>
    <col min="7681" max="7681" width="2.85546875" style="21" customWidth="1"/>
    <col min="7682" max="7682" width="3.5703125" style="21" customWidth="1"/>
    <col min="7683" max="7927" width="9.140625" style="21"/>
    <col min="7928" max="7928" width="8.7109375" style="21" customWidth="1"/>
    <col min="7929" max="7929" width="9.85546875" style="21" customWidth="1"/>
    <col min="7930" max="7930" width="14.42578125" style="21" customWidth="1"/>
    <col min="7931" max="7931" width="7.28515625" style="21" customWidth="1"/>
    <col min="7932" max="7932" width="5.5703125" style="21" customWidth="1"/>
    <col min="7933" max="7933" width="9" style="21" customWidth="1"/>
    <col min="7934" max="7935" width="9.85546875" style="21" customWidth="1"/>
    <col min="7936" max="7936" width="11.140625" style="21" customWidth="1"/>
    <col min="7937" max="7937" width="2.85546875" style="21" customWidth="1"/>
    <col min="7938" max="7938" width="3.5703125" style="21" customWidth="1"/>
    <col min="7939" max="8183" width="9.140625" style="21"/>
    <col min="8184" max="8184" width="8.7109375" style="21" customWidth="1"/>
    <col min="8185" max="8185" width="9.85546875" style="21" customWidth="1"/>
    <col min="8186" max="8186" width="14.42578125" style="21" customWidth="1"/>
    <col min="8187" max="8187" width="7.28515625" style="21" customWidth="1"/>
    <col min="8188" max="8188" width="5.5703125" style="21" customWidth="1"/>
    <col min="8189" max="8189" width="9" style="21" customWidth="1"/>
    <col min="8190" max="8191" width="9.85546875" style="21" customWidth="1"/>
    <col min="8192" max="8192" width="11.140625" style="21" customWidth="1"/>
    <col min="8193" max="8193" width="2.85546875" style="21" customWidth="1"/>
    <col min="8194" max="8194" width="3.5703125" style="21" customWidth="1"/>
    <col min="8195" max="8439" width="9.140625" style="21"/>
    <col min="8440" max="8440" width="8.7109375" style="21" customWidth="1"/>
    <col min="8441" max="8441" width="9.85546875" style="21" customWidth="1"/>
    <col min="8442" max="8442" width="14.42578125" style="21" customWidth="1"/>
    <col min="8443" max="8443" width="7.28515625" style="21" customWidth="1"/>
    <col min="8444" max="8444" width="5.5703125" style="21" customWidth="1"/>
    <col min="8445" max="8445" width="9" style="21" customWidth="1"/>
    <col min="8446" max="8447" width="9.85546875" style="21" customWidth="1"/>
    <col min="8448" max="8448" width="11.140625" style="21" customWidth="1"/>
    <col min="8449" max="8449" width="2.85546875" style="21" customWidth="1"/>
    <col min="8450" max="8450" width="3.5703125" style="21" customWidth="1"/>
    <col min="8451" max="8695" width="9.140625" style="21"/>
    <col min="8696" max="8696" width="8.7109375" style="21" customWidth="1"/>
    <col min="8697" max="8697" width="9.85546875" style="21" customWidth="1"/>
    <col min="8698" max="8698" width="14.42578125" style="21" customWidth="1"/>
    <col min="8699" max="8699" width="7.28515625" style="21" customWidth="1"/>
    <col min="8700" max="8700" width="5.5703125" style="21" customWidth="1"/>
    <col min="8701" max="8701" width="9" style="21" customWidth="1"/>
    <col min="8702" max="8703" width="9.85546875" style="21" customWidth="1"/>
    <col min="8704" max="8704" width="11.140625" style="21" customWidth="1"/>
    <col min="8705" max="8705" width="2.85546875" style="21" customWidth="1"/>
    <col min="8706" max="8706" width="3.5703125" style="21" customWidth="1"/>
    <col min="8707" max="8951" width="9.140625" style="21"/>
    <col min="8952" max="8952" width="8.7109375" style="21" customWidth="1"/>
    <col min="8953" max="8953" width="9.85546875" style="21" customWidth="1"/>
    <col min="8954" max="8954" width="14.42578125" style="21" customWidth="1"/>
    <col min="8955" max="8955" width="7.28515625" style="21" customWidth="1"/>
    <col min="8956" max="8956" width="5.5703125" style="21" customWidth="1"/>
    <col min="8957" max="8957" width="9" style="21" customWidth="1"/>
    <col min="8958" max="8959" width="9.85546875" style="21" customWidth="1"/>
    <col min="8960" max="8960" width="11.140625" style="21" customWidth="1"/>
    <col min="8961" max="8961" width="2.85546875" style="21" customWidth="1"/>
    <col min="8962" max="8962" width="3.5703125" style="21" customWidth="1"/>
    <col min="8963" max="9207" width="9.140625" style="21"/>
    <col min="9208" max="9208" width="8.7109375" style="21" customWidth="1"/>
    <col min="9209" max="9209" width="9.85546875" style="21" customWidth="1"/>
    <col min="9210" max="9210" width="14.42578125" style="21" customWidth="1"/>
    <col min="9211" max="9211" width="7.28515625" style="21" customWidth="1"/>
    <col min="9212" max="9212" width="5.5703125" style="21" customWidth="1"/>
    <col min="9213" max="9213" width="9" style="21" customWidth="1"/>
    <col min="9214" max="9215" width="9.85546875" style="21" customWidth="1"/>
    <col min="9216" max="9216" width="11.140625" style="21" customWidth="1"/>
    <col min="9217" max="9217" width="2.85546875" style="21" customWidth="1"/>
    <col min="9218" max="9218" width="3.5703125" style="21" customWidth="1"/>
    <col min="9219" max="9463" width="9.140625" style="21"/>
    <col min="9464" max="9464" width="8.7109375" style="21" customWidth="1"/>
    <col min="9465" max="9465" width="9.85546875" style="21" customWidth="1"/>
    <col min="9466" max="9466" width="14.42578125" style="21" customWidth="1"/>
    <col min="9467" max="9467" width="7.28515625" style="21" customWidth="1"/>
    <col min="9468" max="9468" width="5.5703125" style="21" customWidth="1"/>
    <col min="9469" max="9469" width="9" style="21" customWidth="1"/>
    <col min="9470" max="9471" width="9.85546875" style="21" customWidth="1"/>
    <col min="9472" max="9472" width="11.140625" style="21" customWidth="1"/>
    <col min="9473" max="9473" width="2.85546875" style="21" customWidth="1"/>
    <col min="9474" max="9474" width="3.5703125" style="21" customWidth="1"/>
    <col min="9475" max="9719" width="9.140625" style="21"/>
    <col min="9720" max="9720" width="8.7109375" style="21" customWidth="1"/>
    <col min="9721" max="9721" width="9.85546875" style="21" customWidth="1"/>
    <col min="9722" max="9722" width="14.42578125" style="21" customWidth="1"/>
    <col min="9723" max="9723" width="7.28515625" style="21" customWidth="1"/>
    <col min="9724" max="9724" width="5.5703125" style="21" customWidth="1"/>
    <col min="9725" max="9725" width="9" style="21" customWidth="1"/>
    <col min="9726" max="9727" width="9.85546875" style="21" customWidth="1"/>
    <col min="9728" max="9728" width="11.140625" style="21" customWidth="1"/>
    <col min="9729" max="9729" width="2.85546875" style="21" customWidth="1"/>
    <col min="9730" max="9730" width="3.5703125" style="21" customWidth="1"/>
    <col min="9731" max="9975" width="9.140625" style="21"/>
    <col min="9976" max="9976" width="8.7109375" style="21" customWidth="1"/>
    <col min="9977" max="9977" width="9.85546875" style="21" customWidth="1"/>
    <col min="9978" max="9978" width="14.42578125" style="21" customWidth="1"/>
    <col min="9979" max="9979" width="7.28515625" style="21" customWidth="1"/>
    <col min="9980" max="9980" width="5.5703125" style="21" customWidth="1"/>
    <col min="9981" max="9981" width="9" style="21" customWidth="1"/>
    <col min="9982" max="9983" width="9.85546875" style="21" customWidth="1"/>
    <col min="9984" max="9984" width="11.140625" style="21" customWidth="1"/>
    <col min="9985" max="9985" width="2.85546875" style="21" customWidth="1"/>
    <col min="9986" max="9986" width="3.5703125" style="21" customWidth="1"/>
    <col min="9987" max="10231" width="9.140625" style="21"/>
    <col min="10232" max="10232" width="8.7109375" style="21" customWidth="1"/>
    <col min="10233" max="10233" width="9.85546875" style="21" customWidth="1"/>
    <col min="10234" max="10234" width="14.42578125" style="21" customWidth="1"/>
    <col min="10235" max="10235" width="7.28515625" style="21" customWidth="1"/>
    <col min="10236" max="10236" width="5.5703125" style="21" customWidth="1"/>
    <col min="10237" max="10237" width="9" style="21" customWidth="1"/>
    <col min="10238" max="10239" width="9.85546875" style="21" customWidth="1"/>
    <col min="10240" max="10240" width="11.140625" style="21" customWidth="1"/>
    <col min="10241" max="10241" width="2.85546875" style="21" customWidth="1"/>
    <col min="10242" max="10242" width="3.5703125" style="21" customWidth="1"/>
    <col min="10243" max="10487" width="9.140625" style="21"/>
    <col min="10488" max="10488" width="8.7109375" style="21" customWidth="1"/>
    <col min="10489" max="10489" width="9.85546875" style="21" customWidth="1"/>
    <col min="10490" max="10490" width="14.42578125" style="21" customWidth="1"/>
    <col min="10491" max="10491" width="7.28515625" style="21" customWidth="1"/>
    <col min="10492" max="10492" width="5.5703125" style="21" customWidth="1"/>
    <col min="10493" max="10493" width="9" style="21" customWidth="1"/>
    <col min="10494" max="10495" width="9.85546875" style="21" customWidth="1"/>
    <col min="10496" max="10496" width="11.140625" style="21" customWidth="1"/>
    <col min="10497" max="10497" width="2.85546875" style="21" customWidth="1"/>
    <col min="10498" max="10498" width="3.5703125" style="21" customWidth="1"/>
    <col min="10499" max="10743" width="9.140625" style="21"/>
    <col min="10744" max="10744" width="8.7109375" style="21" customWidth="1"/>
    <col min="10745" max="10745" width="9.85546875" style="21" customWidth="1"/>
    <col min="10746" max="10746" width="14.42578125" style="21" customWidth="1"/>
    <col min="10747" max="10747" width="7.28515625" style="21" customWidth="1"/>
    <col min="10748" max="10748" width="5.5703125" style="21" customWidth="1"/>
    <col min="10749" max="10749" width="9" style="21" customWidth="1"/>
    <col min="10750" max="10751" width="9.85546875" style="21" customWidth="1"/>
    <col min="10752" max="10752" width="11.140625" style="21" customWidth="1"/>
    <col min="10753" max="10753" width="2.85546875" style="21" customWidth="1"/>
    <col min="10754" max="10754" width="3.5703125" style="21" customWidth="1"/>
    <col min="10755" max="10999" width="9.140625" style="21"/>
    <col min="11000" max="11000" width="8.7109375" style="21" customWidth="1"/>
    <col min="11001" max="11001" width="9.85546875" style="21" customWidth="1"/>
    <col min="11002" max="11002" width="14.42578125" style="21" customWidth="1"/>
    <col min="11003" max="11003" width="7.28515625" style="21" customWidth="1"/>
    <col min="11004" max="11004" width="5.5703125" style="21" customWidth="1"/>
    <col min="11005" max="11005" width="9" style="21" customWidth="1"/>
    <col min="11006" max="11007" width="9.85546875" style="21" customWidth="1"/>
    <col min="11008" max="11008" width="11.140625" style="21" customWidth="1"/>
    <col min="11009" max="11009" width="2.85546875" style="21" customWidth="1"/>
    <col min="11010" max="11010" width="3.5703125" style="21" customWidth="1"/>
    <col min="11011" max="11255" width="9.140625" style="21"/>
    <col min="11256" max="11256" width="8.7109375" style="21" customWidth="1"/>
    <col min="11257" max="11257" width="9.85546875" style="21" customWidth="1"/>
    <col min="11258" max="11258" width="14.42578125" style="21" customWidth="1"/>
    <col min="11259" max="11259" width="7.28515625" style="21" customWidth="1"/>
    <col min="11260" max="11260" width="5.5703125" style="21" customWidth="1"/>
    <col min="11261" max="11261" width="9" style="21" customWidth="1"/>
    <col min="11262" max="11263" width="9.85546875" style="21" customWidth="1"/>
    <col min="11264" max="11264" width="11.140625" style="21" customWidth="1"/>
    <col min="11265" max="11265" width="2.85546875" style="21" customWidth="1"/>
    <col min="11266" max="11266" width="3.5703125" style="21" customWidth="1"/>
    <col min="11267" max="11511" width="9.140625" style="21"/>
    <col min="11512" max="11512" width="8.7109375" style="21" customWidth="1"/>
    <col min="11513" max="11513" width="9.85546875" style="21" customWidth="1"/>
    <col min="11514" max="11514" width="14.42578125" style="21" customWidth="1"/>
    <col min="11515" max="11515" width="7.28515625" style="21" customWidth="1"/>
    <col min="11516" max="11516" width="5.5703125" style="21" customWidth="1"/>
    <col min="11517" max="11517" width="9" style="21" customWidth="1"/>
    <col min="11518" max="11519" width="9.85546875" style="21" customWidth="1"/>
    <col min="11520" max="11520" width="11.140625" style="21" customWidth="1"/>
    <col min="11521" max="11521" width="2.85546875" style="21" customWidth="1"/>
    <col min="11522" max="11522" width="3.5703125" style="21" customWidth="1"/>
    <col min="11523" max="11767" width="9.140625" style="21"/>
    <col min="11768" max="11768" width="8.7109375" style="21" customWidth="1"/>
    <col min="11769" max="11769" width="9.85546875" style="21" customWidth="1"/>
    <col min="11770" max="11770" width="14.42578125" style="21" customWidth="1"/>
    <col min="11771" max="11771" width="7.28515625" style="21" customWidth="1"/>
    <col min="11772" max="11772" width="5.5703125" style="21" customWidth="1"/>
    <col min="11773" max="11773" width="9" style="21" customWidth="1"/>
    <col min="11774" max="11775" width="9.85546875" style="21" customWidth="1"/>
    <col min="11776" max="11776" width="11.140625" style="21" customWidth="1"/>
    <col min="11777" max="11777" width="2.85546875" style="21" customWidth="1"/>
    <col min="11778" max="11778" width="3.5703125" style="21" customWidth="1"/>
    <col min="11779" max="12023" width="9.140625" style="21"/>
    <col min="12024" max="12024" width="8.7109375" style="21" customWidth="1"/>
    <col min="12025" max="12025" width="9.85546875" style="21" customWidth="1"/>
    <col min="12026" max="12026" width="14.42578125" style="21" customWidth="1"/>
    <col min="12027" max="12027" width="7.28515625" style="21" customWidth="1"/>
    <col min="12028" max="12028" width="5.5703125" style="21" customWidth="1"/>
    <col min="12029" max="12029" width="9" style="21" customWidth="1"/>
    <col min="12030" max="12031" width="9.85546875" style="21" customWidth="1"/>
    <col min="12032" max="12032" width="11.140625" style="21" customWidth="1"/>
    <col min="12033" max="12033" width="2.85546875" style="21" customWidth="1"/>
    <col min="12034" max="12034" width="3.5703125" style="21" customWidth="1"/>
    <col min="12035" max="12279" width="9.140625" style="21"/>
    <col min="12280" max="12280" width="8.7109375" style="21" customWidth="1"/>
    <col min="12281" max="12281" width="9.85546875" style="21" customWidth="1"/>
    <col min="12282" max="12282" width="14.42578125" style="21" customWidth="1"/>
    <col min="12283" max="12283" width="7.28515625" style="21" customWidth="1"/>
    <col min="12284" max="12284" width="5.5703125" style="21" customWidth="1"/>
    <col min="12285" max="12285" width="9" style="21" customWidth="1"/>
    <col min="12286" max="12287" width="9.85546875" style="21" customWidth="1"/>
    <col min="12288" max="12288" width="11.140625" style="21" customWidth="1"/>
    <col min="12289" max="12289" width="2.85546875" style="21" customWidth="1"/>
    <col min="12290" max="12290" width="3.5703125" style="21" customWidth="1"/>
    <col min="12291" max="12535" width="9.140625" style="21"/>
    <col min="12536" max="12536" width="8.7109375" style="21" customWidth="1"/>
    <col min="12537" max="12537" width="9.85546875" style="21" customWidth="1"/>
    <col min="12538" max="12538" width="14.42578125" style="21" customWidth="1"/>
    <col min="12539" max="12539" width="7.28515625" style="21" customWidth="1"/>
    <col min="12540" max="12540" width="5.5703125" style="21" customWidth="1"/>
    <col min="12541" max="12541" width="9" style="21" customWidth="1"/>
    <col min="12542" max="12543" width="9.85546875" style="21" customWidth="1"/>
    <col min="12544" max="12544" width="11.140625" style="21" customWidth="1"/>
    <col min="12545" max="12545" width="2.85546875" style="21" customWidth="1"/>
    <col min="12546" max="12546" width="3.5703125" style="21" customWidth="1"/>
    <col min="12547" max="12791" width="9.140625" style="21"/>
    <col min="12792" max="12792" width="8.7109375" style="21" customWidth="1"/>
    <col min="12793" max="12793" width="9.85546875" style="21" customWidth="1"/>
    <col min="12794" max="12794" width="14.42578125" style="21" customWidth="1"/>
    <col min="12795" max="12795" width="7.28515625" style="21" customWidth="1"/>
    <col min="12796" max="12796" width="5.5703125" style="21" customWidth="1"/>
    <col min="12797" max="12797" width="9" style="21" customWidth="1"/>
    <col min="12798" max="12799" width="9.85546875" style="21" customWidth="1"/>
    <col min="12800" max="12800" width="11.140625" style="21" customWidth="1"/>
    <col min="12801" max="12801" width="2.85546875" style="21" customWidth="1"/>
    <col min="12802" max="12802" width="3.5703125" style="21" customWidth="1"/>
    <col min="12803" max="13047" width="9.140625" style="21"/>
    <col min="13048" max="13048" width="8.7109375" style="21" customWidth="1"/>
    <col min="13049" max="13049" width="9.85546875" style="21" customWidth="1"/>
    <col min="13050" max="13050" width="14.42578125" style="21" customWidth="1"/>
    <col min="13051" max="13051" width="7.28515625" style="21" customWidth="1"/>
    <col min="13052" max="13052" width="5.5703125" style="21" customWidth="1"/>
    <col min="13053" max="13053" width="9" style="21" customWidth="1"/>
    <col min="13054" max="13055" width="9.85546875" style="21" customWidth="1"/>
    <col min="13056" max="13056" width="11.140625" style="21" customWidth="1"/>
    <col min="13057" max="13057" width="2.85546875" style="21" customWidth="1"/>
    <col min="13058" max="13058" width="3.5703125" style="21" customWidth="1"/>
    <col min="13059" max="13303" width="9.140625" style="21"/>
    <col min="13304" max="13304" width="8.7109375" style="21" customWidth="1"/>
    <col min="13305" max="13305" width="9.85546875" style="21" customWidth="1"/>
    <col min="13306" max="13306" width="14.42578125" style="21" customWidth="1"/>
    <col min="13307" max="13307" width="7.28515625" style="21" customWidth="1"/>
    <col min="13308" max="13308" width="5.5703125" style="21" customWidth="1"/>
    <col min="13309" max="13309" width="9" style="21" customWidth="1"/>
    <col min="13310" max="13311" width="9.85546875" style="21" customWidth="1"/>
    <col min="13312" max="13312" width="11.140625" style="21" customWidth="1"/>
    <col min="13313" max="13313" width="2.85546875" style="21" customWidth="1"/>
    <col min="13314" max="13314" width="3.5703125" style="21" customWidth="1"/>
    <col min="13315" max="13559" width="9.140625" style="21"/>
    <col min="13560" max="13560" width="8.7109375" style="21" customWidth="1"/>
    <col min="13561" max="13561" width="9.85546875" style="21" customWidth="1"/>
    <col min="13562" max="13562" width="14.42578125" style="21" customWidth="1"/>
    <col min="13563" max="13563" width="7.28515625" style="21" customWidth="1"/>
    <col min="13564" max="13564" width="5.5703125" style="21" customWidth="1"/>
    <col min="13565" max="13565" width="9" style="21" customWidth="1"/>
    <col min="13566" max="13567" width="9.85546875" style="21" customWidth="1"/>
    <col min="13568" max="13568" width="11.140625" style="21" customWidth="1"/>
    <col min="13569" max="13569" width="2.85546875" style="21" customWidth="1"/>
    <col min="13570" max="13570" width="3.5703125" style="21" customWidth="1"/>
    <col min="13571" max="13815" width="9.140625" style="21"/>
    <col min="13816" max="13816" width="8.7109375" style="21" customWidth="1"/>
    <col min="13817" max="13817" width="9.85546875" style="21" customWidth="1"/>
    <col min="13818" max="13818" width="14.42578125" style="21" customWidth="1"/>
    <col min="13819" max="13819" width="7.28515625" style="21" customWidth="1"/>
    <col min="13820" max="13820" width="5.5703125" style="21" customWidth="1"/>
    <col min="13821" max="13821" width="9" style="21" customWidth="1"/>
    <col min="13822" max="13823" width="9.85546875" style="21" customWidth="1"/>
    <col min="13824" max="13824" width="11.140625" style="21" customWidth="1"/>
    <col min="13825" max="13825" width="2.85546875" style="21" customWidth="1"/>
    <col min="13826" max="13826" width="3.5703125" style="21" customWidth="1"/>
    <col min="13827" max="14071" width="9.140625" style="21"/>
    <col min="14072" max="14072" width="8.7109375" style="21" customWidth="1"/>
    <col min="14073" max="14073" width="9.85546875" style="21" customWidth="1"/>
    <col min="14074" max="14074" width="14.42578125" style="21" customWidth="1"/>
    <col min="14075" max="14075" width="7.28515625" style="21" customWidth="1"/>
    <col min="14076" max="14076" width="5.5703125" style="21" customWidth="1"/>
    <col min="14077" max="14077" width="9" style="21" customWidth="1"/>
    <col min="14078" max="14079" width="9.85546875" style="21" customWidth="1"/>
    <col min="14080" max="14080" width="11.140625" style="21" customWidth="1"/>
    <col min="14081" max="14081" width="2.85546875" style="21" customWidth="1"/>
    <col min="14082" max="14082" width="3.5703125" style="21" customWidth="1"/>
    <col min="14083" max="14327" width="9.140625" style="21"/>
    <col min="14328" max="14328" width="8.7109375" style="21" customWidth="1"/>
    <col min="14329" max="14329" width="9.85546875" style="21" customWidth="1"/>
    <col min="14330" max="14330" width="14.42578125" style="21" customWidth="1"/>
    <col min="14331" max="14331" width="7.28515625" style="21" customWidth="1"/>
    <col min="14332" max="14332" width="5.5703125" style="21" customWidth="1"/>
    <col min="14333" max="14333" width="9" style="21" customWidth="1"/>
    <col min="14334" max="14335" width="9.85546875" style="21" customWidth="1"/>
    <col min="14336" max="14336" width="11.140625" style="21" customWidth="1"/>
    <col min="14337" max="14337" width="2.85546875" style="21" customWidth="1"/>
    <col min="14338" max="14338" width="3.5703125" style="21" customWidth="1"/>
    <col min="14339" max="14583" width="9.140625" style="21"/>
    <col min="14584" max="14584" width="8.7109375" style="21" customWidth="1"/>
    <col min="14585" max="14585" width="9.85546875" style="21" customWidth="1"/>
    <col min="14586" max="14586" width="14.42578125" style="21" customWidth="1"/>
    <col min="14587" max="14587" width="7.28515625" style="21" customWidth="1"/>
    <col min="14588" max="14588" width="5.5703125" style="21" customWidth="1"/>
    <col min="14589" max="14589" width="9" style="21" customWidth="1"/>
    <col min="14590" max="14591" width="9.85546875" style="21" customWidth="1"/>
    <col min="14592" max="14592" width="11.140625" style="21" customWidth="1"/>
    <col min="14593" max="14593" width="2.85546875" style="21" customWidth="1"/>
    <col min="14594" max="14594" width="3.5703125" style="21" customWidth="1"/>
    <col min="14595" max="14839" width="9.140625" style="21"/>
    <col min="14840" max="14840" width="8.7109375" style="21" customWidth="1"/>
    <col min="14841" max="14841" width="9.85546875" style="21" customWidth="1"/>
    <col min="14842" max="14842" width="14.42578125" style="21" customWidth="1"/>
    <col min="14843" max="14843" width="7.28515625" style="21" customWidth="1"/>
    <col min="14844" max="14844" width="5.5703125" style="21" customWidth="1"/>
    <col min="14845" max="14845" width="9" style="21" customWidth="1"/>
    <col min="14846" max="14847" width="9.85546875" style="21" customWidth="1"/>
    <col min="14848" max="14848" width="11.140625" style="21" customWidth="1"/>
    <col min="14849" max="14849" width="2.85546875" style="21" customWidth="1"/>
    <col min="14850" max="14850" width="3.5703125" style="21" customWidth="1"/>
    <col min="14851" max="15095" width="9.140625" style="21"/>
    <col min="15096" max="15096" width="8.7109375" style="21" customWidth="1"/>
    <col min="15097" max="15097" width="9.85546875" style="21" customWidth="1"/>
    <col min="15098" max="15098" width="14.42578125" style="21" customWidth="1"/>
    <col min="15099" max="15099" width="7.28515625" style="21" customWidth="1"/>
    <col min="15100" max="15100" width="5.5703125" style="21" customWidth="1"/>
    <col min="15101" max="15101" width="9" style="21" customWidth="1"/>
    <col min="15102" max="15103" width="9.85546875" style="21" customWidth="1"/>
    <col min="15104" max="15104" width="11.140625" style="21" customWidth="1"/>
    <col min="15105" max="15105" width="2.85546875" style="21" customWidth="1"/>
    <col min="15106" max="15106" width="3.5703125" style="21" customWidth="1"/>
    <col min="15107" max="15351" width="9.140625" style="21"/>
    <col min="15352" max="15352" width="8.7109375" style="21" customWidth="1"/>
    <col min="15353" max="15353" width="9.85546875" style="21" customWidth="1"/>
    <col min="15354" max="15354" width="14.42578125" style="21" customWidth="1"/>
    <col min="15355" max="15355" width="7.28515625" style="21" customWidth="1"/>
    <col min="15356" max="15356" width="5.5703125" style="21" customWidth="1"/>
    <col min="15357" max="15357" width="9" style="21" customWidth="1"/>
    <col min="15358" max="15359" width="9.85546875" style="21" customWidth="1"/>
    <col min="15360" max="15360" width="11.140625" style="21" customWidth="1"/>
    <col min="15361" max="15361" width="2.85546875" style="21" customWidth="1"/>
    <col min="15362" max="15362" width="3.5703125" style="21" customWidth="1"/>
    <col min="15363" max="15607" width="9.140625" style="21"/>
    <col min="15608" max="15608" width="8.7109375" style="21" customWidth="1"/>
    <col min="15609" max="15609" width="9.85546875" style="21" customWidth="1"/>
    <col min="15610" max="15610" width="14.42578125" style="21" customWidth="1"/>
    <col min="15611" max="15611" width="7.28515625" style="21" customWidth="1"/>
    <col min="15612" max="15612" width="5.5703125" style="21" customWidth="1"/>
    <col min="15613" max="15613" width="9" style="21" customWidth="1"/>
    <col min="15614" max="15615" width="9.85546875" style="21" customWidth="1"/>
    <col min="15616" max="15616" width="11.140625" style="21" customWidth="1"/>
    <col min="15617" max="15617" width="2.85546875" style="21" customWidth="1"/>
    <col min="15618" max="15618" width="3.5703125" style="21" customWidth="1"/>
    <col min="15619" max="15863" width="9.140625" style="21"/>
    <col min="15864" max="15864" width="8.7109375" style="21" customWidth="1"/>
    <col min="15865" max="15865" width="9.85546875" style="21" customWidth="1"/>
    <col min="15866" max="15866" width="14.42578125" style="21" customWidth="1"/>
    <col min="15867" max="15867" width="7.28515625" style="21" customWidth="1"/>
    <col min="15868" max="15868" width="5.5703125" style="21" customWidth="1"/>
    <col min="15869" max="15869" width="9" style="21" customWidth="1"/>
    <col min="15870" max="15871" width="9.85546875" style="21" customWidth="1"/>
    <col min="15872" max="15872" width="11.140625" style="21" customWidth="1"/>
    <col min="15873" max="15873" width="2.85546875" style="21" customWidth="1"/>
    <col min="15874" max="15874" width="3.5703125" style="21" customWidth="1"/>
    <col min="15875" max="16119" width="9.140625" style="21"/>
    <col min="16120" max="16120" width="8.7109375" style="21" customWidth="1"/>
    <col min="16121" max="16121" width="9.85546875" style="21" customWidth="1"/>
    <col min="16122" max="16122" width="14.42578125" style="21" customWidth="1"/>
    <col min="16123" max="16123" width="7.28515625" style="21" customWidth="1"/>
    <col min="16124" max="16124" width="5.5703125" style="21" customWidth="1"/>
    <col min="16125" max="16125" width="9" style="21" customWidth="1"/>
    <col min="16126" max="16127" width="9.85546875" style="21" customWidth="1"/>
    <col min="16128" max="16128" width="11.140625" style="21" customWidth="1"/>
    <col min="16129" max="16129" width="2.85546875" style="21" customWidth="1"/>
    <col min="16130" max="16130" width="3.5703125" style="21" customWidth="1"/>
    <col min="16131" max="16384" width="9.140625" style="21"/>
  </cols>
  <sheetData>
    <row r="1" spans="1:26" ht="46.5" customHeight="1" x14ac:dyDescent="0.25">
      <c r="A1" s="166" t="s">
        <v>165</v>
      </c>
      <c r="B1" s="166"/>
      <c r="C1" s="166"/>
      <c r="D1" s="166"/>
      <c r="E1" s="166"/>
      <c r="F1" s="166"/>
      <c r="G1" s="166"/>
      <c r="H1" s="166"/>
    </row>
    <row r="2" spans="1:26" ht="16.5" customHeight="1" x14ac:dyDescent="0.25">
      <c r="A2" s="167" t="s">
        <v>0</v>
      </c>
      <c r="B2" s="167"/>
      <c r="C2" s="167"/>
      <c r="D2" s="167"/>
      <c r="E2" s="167"/>
      <c r="F2" s="167"/>
      <c r="G2" s="167"/>
      <c r="H2" s="167"/>
    </row>
    <row r="3" spans="1:26" x14ac:dyDescent="0.25">
      <c r="A3" s="162" t="s">
        <v>1</v>
      </c>
      <c r="B3" s="162"/>
      <c r="C3" s="162"/>
      <c r="D3" s="162"/>
      <c r="E3" s="162" t="str">
        <f ca="1">TEXT(TODAY(),"DD/MM/YYYY")</f>
        <v>11/08/2025</v>
      </c>
      <c r="F3" s="162"/>
      <c r="G3" s="162"/>
      <c r="H3" s="162"/>
    </row>
    <row r="4" spans="1:26" ht="15" customHeight="1" x14ac:dyDescent="0.25">
      <c r="A4" s="162" t="s">
        <v>2</v>
      </c>
      <c r="B4" s="162"/>
      <c r="C4" s="162"/>
      <c r="D4" s="162"/>
      <c r="E4" s="100" t="s">
        <v>231</v>
      </c>
      <c r="F4" s="100"/>
      <c r="G4" s="100"/>
      <c r="H4" s="100"/>
    </row>
    <row r="5" spans="1:26" x14ac:dyDescent="0.25">
      <c r="A5" s="162" t="s">
        <v>3</v>
      </c>
      <c r="B5" s="162"/>
      <c r="C5" s="162"/>
      <c r="D5" s="162"/>
      <c r="E5" s="168" t="s">
        <v>291</v>
      </c>
      <c r="F5" s="100"/>
      <c r="G5" s="100"/>
      <c r="H5" s="100"/>
    </row>
    <row r="6" spans="1:26" ht="16.5" customHeight="1" x14ac:dyDescent="0.25">
      <c r="A6" s="162" t="s">
        <v>4</v>
      </c>
      <c r="B6" s="162"/>
      <c r="C6" s="162"/>
      <c r="D6" s="162"/>
      <c r="E6" s="162" t="s">
        <v>233</v>
      </c>
      <c r="F6" s="162"/>
      <c r="G6" s="162"/>
      <c r="H6" s="162"/>
    </row>
    <row r="7" spans="1:26" ht="15" customHeight="1" x14ac:dyDescent="0.25">
      <c r="A7" s="162" t="s">
        <v>5</v>
      </c>
      <c r="B7" s="162"/>
      <c r="C7" s="162"/>
      <c r="D7" s="162"/>
      <c r="E7" s="162" t="str">
        <f>E6</f>
        <v>Infinity Group</v>
      </c>
      <c r="F7" s="162"/>
      <c r="G7" s="162"/>
      <c r="H7" s="162"/>
    </row>
    <row r="8" spans="1:26" x14ac:dyDescent="0.25">
      <c r="A8" s="162" t="s">
        <v>6</v>
      </c>
      <c r="B8" s="162"/>
      <c r="C8" s="162"/>
      <c r="D8" s="162"/>
      <c r="E8" s="142" t="s">
        <v>232</v>
      </c>
      <c r="F8" s="142"/>
      <c r="G8" s="142"/>
      <c r="H8" s="142"/>
    </row>
    <row r="9" spans="1:26" x14ac:dyDescent="0.25">
      <c r="A9" s="162" t="s">
        <v>168</v>
      </c>
      <c r="B9" s="162"/>
      <c r="C9" s="162"/>
      <c r="D9" s="162"/>
      <c r="E9" s="162">
        <v>8356822146</v>
      </c>
      <c r="F9" s="162"/>
      <c r="G9" s="162"/>
      <c r="H9" s="162"/>
    </row>
    <row r="10" spans="1:26" x14ac:dyDescent="0.25">
      <c r="A10" s="162" t="s">
        <v>169</v>
      </c>
      <c r="B10" s="162"/>
      <c r="C10" s="162"/>
      <c r="D10" s="162"/>
      <c r="E10" s="162" t="s">
        <v>290</v>
      </c>
      <c r="F10" s="162"/>
      <c r="G10" s="162"/>
      <c r="H10" s="162"/>
    </row>
    <row r="11" spans="1:26" x14ac:dyDescent="0.25">
      <c r="A11" s="162" t="s">
        <v>7</v>
      </c>
      <c r="B11" s="162"/>
      <c r="C11" s="162"/>
      <c r="D11" s="162"/>
      <c r="E11" s="162" t="s">
        <v>248</v>
      </c>
      <c r="F11" s="162"/>
      <c r="G11" s="162"/>
      <c r="H11" s="162"/>
    </row>
    <row r="12" spans="1:26" x14ac:dyDescent="0.25">
      <c r="A12" s="162" t="s">
        <v>171</v>
      </c>
      <c r="B12" s="162"/>
      <c r="C12" s="162"/>
      <c r="D12" s="162"/>
      <c r="E12" s="162" t="s">
        <v>29</v>
      </c>
      <c r="F12" s="162"/>
      <c r="G12" s="162"/>
      <c r="H12" s="162"/>
      <c r="S12" s="59" t="s">
        <v>178</v>
      </c>
      <c r="T12" s="59" t="s">
        <v>188</v>
      </c>
      <c r="U12" s="59" t="s">
        <v>172</v>
      </c>
      <c r="V12" s="59" t="s">
        <v>193</v>
      </c>
      <c r="W12" s="59" t="s">
        <v>211</v>
      </c>
      <c r="X12"/>
      <c r="Y12" t="s">
        <v>193</v>
      </c>
      <c r="Z12" t="e">
        <f ca="1">OFFSET($S$12,1,MATCH($G19,$S$12:$W$12,0)-1,15,1)</f>
        <v>#VALUE!</v>
      </c>
    </row>
    <row r="13" spans="1:26" ht="21" customHeight="1" x14ac:dyDescent="0.25">
      <c r="A13" s="91" t="s">
        <v>8</v>
      </c>
      <c r="B13" s="91"/>
      <c r="C13" s="91"/>
      <c r="D13" s="91"/>
      <c r="E13" s="161" t="s">
        <v>235</v>
      </c>
      <c r="F13" s="161"/>
      <c r="G13" s="161"/>
      <c r="H13" s="161"/>
      <c r="S13" s="59" t="s">
        <v>179</v>
      </c>
      <c r="T13" s="59" t="s">
        <v>186</v>
      </c>
      <c r="U13" s="59" t="s">
        <v>208</v>
      </c>
      <c r="V13" s="59" t="s">
        <v>194</v>
      </c>
      <c r="W13" s="59" t="s">
        <v>212</v>
      </c>
      <c r="X13"/>
      <c r="Y13"/>
      <c r="Z13"/>
    </row>
    <row r="14" spans="1:26" x14ac:dyDescent="0.25">
      <c r="A14" s="91" t="s">
        <v>9</v>
      </c>
      <c r="B14" s="91"/>
      <c r="C14" s="91"/>
      <c r="D14" s="91"/>
      <c r="E14" s="161" t="s">
        <v>234</v>
      </c>
      <c r="F14" s="100"/>
      <c r="G14" s="100"/>
      <c r="H14" s="100"/>
      <c r="I14" s="198" t="e">
        <f ca="1">OFFSET($D$4,1,MATCH($J12,$D$4:$H$4,0)-1,15,1)</f>
        <v>#N/A</v>
      </c>
      <c r="J14" s="199"/>
      <c r="K14" s="199"/>
      <c r="L14" s="199"/>
      <c r="M14" s="199"/>
      <c r="N14" s="199"/>
      <c r="O14" s="199"/>
      <c r="P14" s="199"/>
      <c r="S14" s="59" t="s">
        <v>180</v>
      </c>
      <c r="T14" s="59" t="s">
        <v>187</v>
      </c>
      <c r="U14" s="59" t="s">
        <v>209</v>
      </c>
      <c r="V14" s="59" t="s">
        <v>195</v>
      </c>
      <c r="W14" s="59" t="s">
        <v>225</v>
      </c>
      <c r="X14"/>
      <c r="Y14"/>
      <c r="Z14"/>
    </row>
    <row r="15" spans="1:26" ht="38.25" customHeight="1" x14ac:dyDescent="0.25">
      <c r="A15" s="150" t="s">
        <v>10</v>
      </c>
      <c r="B15" s="150"/>
      <c r="C15" s="150" t="str">
        <f>CONCATENATE((IF(OR(E8="",E8="NA"),"",E8)),", ",(IF(OR(A16="",A16="NA"),"",A16)),".",(IF(OR(C16="",C16="NA"),"",C16)),", near ",(IF(OR(C21="",C21="NA"),"",C21)),", ",(IF(OR(C18="",C18="NA"),"",C18)),", ",(IF(OR(C17="",C17="NA"),"",C17)),", ",(IF(OR(G18="",G18="NA"),"",G18)),", ",(IF(OR(C19="",C19="NA"),"",C19)),", ",(IF(OR(C20="",C20="NA"),"",C20)),", ",(IF(OR(G19="",G19="NA"),"",G19))," - ",(IF(OR(G20="",G20="NA"),"",G20)),".")</f>
        <v>Infinity Icon, Survey No.23/3, near The Highlands, Internal Road, Talegaon, Talegaon, Panvel, Khalapur, Raigad - 410221.</v>
      </c>
      <c r="D15" s="150"/>
      <c r="E15" s="150"/>
      <c r="F15" s="150"/>
      <c r="G15" s="150"/>
      <c r="H15" s="150"/>
      <c r="S15" s="59" t="s">
        <v>181</v>
      </c>
      <c r="T15" s="59" t="s">
        <v>189</v>
      </c>
      <c r="U15" s="59" t="s">
        <v>210</v>
      </c>
      <c r="V15" s="59" t="s">
        <v>196</v>
      </c>
      <c r="W15" s="59" t="s">
        <v>213</v>
      </c>
      <c r="X15"/>
      <c r="Y15"/>
      <c r="Z15"/>
    </row>
    <row r="16" spans="1:26" x14ac:dyDescent="0.25">
      <c r="A16" s="161" t="s">
        <v>236</v>
      </c>
      <c r="B16" s="161"/>
      <c r="C16" s="163" t="s">
        <v>275</v>
      </c>
      <c r="D16" s="163"/>
      <c r="E16" s="163"/>
      <c r="F16" s="163"/>
      <c r="G16" s="163"/>
      <c r="H16" s="163"/>
      <c r="S16" s="59" t="s">
        <v>182</v>
      </c>
      <c r="T16" s="59" t="s">
        <v>190</v>
      </c>
      <c r="U16" s="59"/>
      <c r="V16" s="59" t="s">
        <v>197</v>
      </c>
      <c r="W16" s="59" t="s">
        <v>214</v>
      </c>
      <c r="X16"/>
      <c r="Y16"/>
      <c r="Z16"/>
    </row>
    <row r="17" spans="1:26" ht="15.75" customHeight="1" x14ac:dyDescent="0.25">
      <c r="A17" s="140" t="s">
        <v>163</v>
      </c>
      <c r="B17" s="140"/>
      <c r="C17" s="140" t="s">
        <v>237</v>
      </c>
      <c r="D17" s="140"/>
      <c r="E17" s="140"/>
      <c r="F17" s="140"/>
      <c r="G17" s="140"/>
      <c r="H17" s="140"/>
      <c r="S17" s="59" t="s">
        <v>183</v>
      </c>
      <c r="T17" s="59" t="s">
        <v>188</v>
      </c>
      <c r="U17" s="59"/>
      <c r="V17" s="59" t="s">
        <v>198</v>
      </c>
      <c r="W17" s="59" t="s">
        <v>215</v>
      </c>
      <c r="X17"/>
      <c r="Y17"/>
      <c r="Z17"/>
    </row>
    <row r="18" spans="1:26" ht="15.75" customHeight="1" x14ac:dyDescent="0.25">
      <c r="A18" s="150" t="s">
        <v>11</v>
      </c>
      <c r="B18" s="150"/>
      <c r="C18" s="162" t="s">
        <v>240</v>
      </c>
      <c r="D18" s="162"/>
      <c r="E18" s="150" t="s">
        <v>73</v>
      </c>
      <c r="F18" s="150"/>
      <c r="G18" s="140" t="s">
        <v>237</v>
      </c>
      <c r="H18" s="140"/>
      <c r="S18" s="59" t="s">
        <v>184</v>
      </c>
      <c r="T18" s="59" t="s">
        <v>191</v>
      </c>
      <c r="U18" s="59"/>
      <c r="V18" s="59" t="s">
        <v>199</v>
      </c>
      <c r="W18" s="59" t="s">
        <v>216</v>
      </c>
      <c r="X18"/>
      <c r="Y18"/>
      <c r="Z18"/>
    </row>
    <row r="19" spans="1:26" x14ac:dyDescent="0.25">
      <c r="A19" s="91" t="s">
        <v>13</v>
      </c>
      <c r="B19" s="91"/>
      <c r="C19" s="161" t="s">
        <v>195</v>
      </c>
      <c r="D19" s="161"/>
      <c r="E19" s="161" t="s">
        <v>12</v>
      </c>
      <c r="F19" s="161"/>
      <c r="G19" s="165" t="s">
        <v>193</v>
      </c>
      <c r="H19" s="165"/>
      <c r="S19" s="59" t="s">
        <v>185</v>
      </c>
      <c r="T19" s="59" t="s">
        <v>192</v>
      </c>
      <c r="U19" s="59"/>
      <c r="V19" s="59" t="s">
        <v>200</v>
      </c>
      <c r="W19" s="59" t="s">
        <v>217</v>
      </c>
      <c r="X19"/>
      <c r="Y19"/>
      <c r="Z19"/>
    </row>
    <row r="20" spans="1:26" x14ac:dyDescent="0.25">
      <c r="A20" s="91" t="s">
        <v>74</v>
      </c>
      <c r="B20" s="91"/>
      <c r="C20" s="161" t="s">
        <v>198</v>
      </c>
      <c r="D20" s="161"/>
      <c r="E20" s="161" t="s">
        <v>14</v>
      </c>
      <c r="F20" s="161"/>
      <c r="G20" s="161">
        <v>410221</v>
      </c>
      <c r="H20" s="161"/>
      <c r="S20" s="59"/>
      <c r="T20" s="59"/>
      <c r="U20" s="59"/>
      <c r="V20" s="59" t="s">
        <v>201</v>
      </c>
      <c r="W20" s="59" t="s">
        <v>218</v>
      </c>
      <c r="X20"/>
      <c r="Y20"/>
      <c r="Z20"/>
    </row>
    <row r="21" spans="1:26" ht="32.25" customHeight="1" x14ac:dyDescent="0.25">
      <c r="A21" s="91" t="s">
        <v>121</v>
      </c>
      <c r="B21" s="91"/>
      <c r="C21" s="161" t="s">
        <v>282</v>
      </c>
      <c r="D21" s="161"/>
      <c r="E21" s="150" t="s">
        <v>15</v>
      </c>
      <c r="F21" s="150"/>
      <c r="G21" s="161" t="s">
        <v>283</v>
      </c>
      <c r="H21" s="161"/>
      <c r="S21" s="59"/>
      <c r="T21" s="59"/>
      <c r="U21" s="59"/>
      <c r="V21" s="59" t="s">
        <v>202</v>
      </c>
      <c r="W21" s="59" t="s">
        <v>219</v>
      </c>
      <c r="X21"/>
      <c r="Y21"/>
      <c r="Z21"/>
    </row>
    <row r="22" spans="1:26" ht="15" customHeight="1" x14ac:dyDescent="0.25">
      <c r="A22" s="150" t="s">
        <v>75</v>
      </c>
      <c r="B22" s="150"/>
      <c r="C22" s="150"/>
      <c r="D22" s="150"/>
      <c r="E22" s="162" t="s">
        <v>16</v>
      </c>
      <c r="F22" s="162"/>
      <c r="G22" s="162"/>
      <c r="H22" s="162"/>
      <c r="S22" s="59"/>
      <c r="T22" s="59"/>
      <c r="U22" s="59"/>
      <c r="V22" s="59" t="s">
        <v>203</v>
      </c>
      <c r="W22" s="59" t="s">
        <v>220</v>
      </c>
      <c r="X22"/>
      <c r="Y22"/>
      <c r="Z22"/>
    </row>
    <row r="23" spans="1:26" ht="18.75" customHeight="1" x14ac:dyDescent="0.25">
      <c r="A23" s="150"/>
      <c r="B23" s="150"/>
      <c r="C23" s="150"/>
      <c r="D23" s="150"/>
      <c r="E23" s="162"/>
      <c r="F23" s="162"/>
      <c r="G23" s="162"/>
      <c r="H23" s="162"/>
      <c r="S23" s="59"/>
      <c r="T23" s="59"/>
      <c r="U23" s="59"/>
      <c r="V23" s="59" t="s">
        <v>204</v>
      </c>
      <c r="W23" s="59" t="s">
        <v>221</v>
      </c>
      <c r="X23"/>
      <c r="Y23"/>
      <c r="Z23"/>
    </row>
    <row r="24" spans="1:26" ht="15" customHeight="1" x14ac:dyDescent="0.25">
      <c r="A24" s="150" t="s">
        <v>17</v>
      </c>
      <c r="B24" s="150"/>
      <c r="C24" s="150"/>
      <c r="D24" s="150"/>
      <c r="E24" s="140" t="s">
        <v>18</v>
      </c>
      <c r="F24" s="140"/>
      <c r="G24" s="140"/>
      <c r="H24" s="140"/>
      <c r="S24" s="59"/>
      <c r="T24" s="59"/>
      <c r="U24" s="59"/>
      <c r="V24" s="59" t="s">
        <v>205</v>
      </c>
      <c r="W24" s="59" t="s">
        <v>222</v>
      </c>
      <c r="X24"/>
      <c r="Y24"/>
      <c r="Z24"/>
    </row>
    <row r="25" spans="1:26" ht="15" customHeight="1" x14ac:dyDescent="0.25">
      <c r="A25" s="91" t="s">
        <v>19</v>
      </c>
      <c r="B25" s="91"/>
      <c r="C25" s="91"/>
      <c r="D25" s="91"/>
      <c r="E25" s="140" t="str">
        <f>IF(AND(G19="Mumbai"),"Upper Class","Middle Class")</f>
        <v>Middle Class</v>
      </c>
      <c r="F25" s="140"/>
      <c r="G25" s="140"/>
      <c r="H25" s="140"/>
      <c r="S25" s="59"/>
      <c r="T25" s="59"/>
      <c r="U25" s="59"/>
      <c r="V25" s="59" t="s">
        <v>206</v>
      </c>
      <c r="W25" s="59" t="s">
        <v>223</v>
      </c>
      <c r="X25"/>
      <c r="Y25"/>
      <c r="Z25"/>
    </row>
    <row r="26" spans="1:26" x14ac:dyDescent="0.25">
      <c r="A26" s="91" t="s">
        <v>20</v>
      </c>
      <c r="B26" s="91"/>
      <c r="C26" s="91"/>
      <c r="D26" s="91"/>
      <c r="E26" s="140" t="s">
        <v>21</v>
      </c>
      <c r="F26" s="140"/>
      <c r="G26" s="140"/>
      <c r="H26" s="140"/>
      <c r="S26" s="59"/>
      <c r="T26" s="59"/>
      <c r="U26" s="59"/>
      <c r="V26" s="59" t="s">
        <v>207</v>
      </c>
      <c r="W26" s="59" t="s">
        <v>224</v>
      </c>
      <c r="X26"/>
      <c r="Y26"/>
      <c r="Z26"/>
    </row>
    <row r="27" spans="1:26" ht="15.75" customHeight="1" x14ac:dyDescent="0.25">
      <c r="A27" s="91" t="s">
        <v>22</v>
      </c>
      <c r="B27" s="91"/>
      <c r="C27" s="91"/>
      <c r="D27" s="91"/>
      <c r="E27" s="140" t="str">
        <f>IF(AND(G19="Mumbai"),"Developed","Developing")</f>
        <v>Developing</v>
      </c>
      <c r="F27" s="140"/>
      <c r="G27" s="140"/>
      <c r="H27" s="140"/>
    </row>
    <row r="28" spans="1:26" x14ac:dyDescent="0.25">
      <c r="A28" s="91" t="s">
        <v>23</v>
      </c>
      <c r="B28" s="91"/>
      <c r="C28" s="91"/>
      <c r="D28" s="91"/>
      <c r="E28" s="140" t="s">
        <v>24</v>
      </c>
      <c r="F28" s="140"/>
      <c r="G28" s="140"/>
      <c r="H28" s="140"/>
    </row>
    <row r="29" spans="1:26" ht="15.75" customHeight="1" x14ac:dyDescent="0.25">
      <c r="A29" s="91" t="s">
        <v>80</v>
      </c>
      <c r="B29" s="91"/>
      <c r="C29" s="91"/>
      <c r="D29" s="91"/>
      <c r="E29" s="140" t="s">
        <v>81</v>
      </c>
      <c r="F29" s="140"/>
      <c r="G29" s="140"/>
      <c r="H29" s="140"/>
    </row>
    <row r="30" spans="1:26" ht="15" customHeight="1" x14ac:dyDescent="0.25">
      <c r="A30" s="91" t="s">
        <v>32</v>
      </c>
      <c r="B30" s="91"/>
      <c r="C30" s="91"/>
      <c r="D30" s="91"/>
      <c r="E30" s="140" t="str">
        <f>IF(AND(ISNUMBER(SEARCH("Flat",D56)),ISNUMBER(SEARCH("Shop",D56)),ISNUMBER(SEARCH("Office",D56))),"Residential + Commercial",IF(AND(ISNUMBER(SEARCH("Flat",D56)),ISNUMBER(SEARCH("Shop",D56))),"Residential + Commercial",IF(AND(ISNUMBER(SEARCH("Flat",D56)),ISNUMBER(SEARCH("Office",D56))),"Residential + Commercial",IF(AND(ISNUMBER(SEARCH("Shop",D56)),ISNUMBER(SEARCH("Office",D56))),"Commercial",IF(ISNUMBER(SEARCH("Shop",D56)),"Commercial",IF(ISNUMBER(SEARCH("Office",D56)),"Commercial",IF(ISNUMBER(SEARCH("Flat",D56)),"Residential")))))))</f>
        <v>Residential + Commercial</v>
      </c>
      <c r="F30" s="140"/>
      <c r="G30" s="140"/>
      <c r="H30" s="140"/>
    </row>
    <row r="31" spans="1:26" ht="15.75" customHeight="1" x14ac:dyDescent="0.25">
      <c r="A31" s="91" t="s">
        <v>92</v>
      </c>
      <c r="B31" s="91"/>
      <c r="C31" s="91"/>
      <c r="D31" s="91"/>
      <c r="E31" s="140" t="s">
        <v>33</v>
      </c>
      <c r="F31" s="140"/>
      <c r="G31" s="140"/>
      <c r="H31" s="140"/>
    </row>
    <row r="32" spans="1:26" s="22" customFormat="1" x14ac:dyDescent="0.25">
      <c r="A32" s="164" t="s">
        <v>93</v>
      </c>
      <c r="B32" s="164"/>
      <c r="C32" s="153" t="s">
        <v>173</v>
      </c>
      <c r="D32" s="153"/>
      <c r="E32" s="153"/>
      <c r="F32" s="153" t="s">
        <v>30</v>
      </c>
      <c r="G32" s="153"/>
      <c r="H32" s="153"/>
    </row>
    <row r="33" spans="1:8" s="22" customFormat="1" ht="33.75" customHeight="1" x14ac:dyDescent="0.25">
      <c r="A33" s="154" t="s">
        <v>25</v>
      </c>
      <c r="B33" s="154" t="s">
        <v>29</v>
      </c>
      <c r="C33" s="156" t="s">
        <v>276</v>
      </c>
      <c r="D33" s="156"/>
      <c r="E33" s="156"/>
      <c r="F33" s="152" t="s">
        <v>241</v>
      </c>
      <c r="G33" s="152"/>
      <c r="H33" s="152"/>
    </row>
    <row r="34" spans="1:8" ht="32.25" customHeight="1" x14ac:dyDescent="0.25">
      <c r="A34" s="155" t="s">
        <v>26</v>
      </c>
      <c r="B34" s="155" t="s">
        <v>29</v>
      </c>
      <c r="C34" s="156" t="s">
        <v>277</v>
      </c>
      <c r="D34" s="156"/>
      <c r="E34" s="156"/>
      <c r="F34" s="152" t="s">
        <v>242</v>
      </c>
      <c r="G34" s="152"/>
      <c r="H34" s="152"/>
    </row>
    <row r="35" spans="1:8" s="22" customFormat="1" x14ac:dyDescent="0.25">
      <c r="A35" s="154" t="s">
        <v>28</v>
      </c>
      <c r="B35" s="154" t="s">
        <v>29</v>
      </c>
      <c r="C35" s="152" t="s">
        <v>243</v>
      </c>
      <c r="D35" s="152"/>
      <c r="E35" s="152"/>
      <c r="F35" s="152" t="s">
        <v>241</v>
      </c>
      <c r="G35" s="152"/>
      <c r="H35" s="152"/>
    </row>
    <row r="36" spans="1:8" x14ac:dyDescent="0.25">
      <c r="A36" s="154" t="s">
        <v>27</v>
      </c>
      <c r="B36" s="154" t="s">
        <v>29</v>
      </c>
      <c r="C36" s="152" t="s">
        <v>244</v>
      </c>
      <c r="D36" s="152"/>
      <c r="E36" s="152"/>
      <c r="F36" s="152" t="s">
        <v>241</v>
      </c>
      <c r="G36" s="152"/>
      <c r="H36" s="152"/>
    </row>
    <row r="37" spans="1:8" x14ac:dyDescent="0.25">
      <c r="A37" s="91" t="s">
        <v>31</v>
      </c>
      <c r="B37" s="91"/>
      <c r="C37" s="91"/>
      <c r="D37" s="91"/>
      <c r="E37" s="91"/>
      <c r="F37" s="91"/>
      <c r="G37" s="91"/>
      <c r="H37" s="91"/>
    </row>
    <row r="38" spans="1:8" ht="15.75" customHeight="1" x14ac:dyDescent="0.25">
      <c r="A38" s="91" t="s">
        <v>166</v>
      </c>
      <c r="B38" s="91"/>
      <c r="C38" s="148" t="s">
        <v>238</v>
      </c>
      <c r="D38" s="148"/>
      <c r="E38" s="148"/>
      <c r="F38" s="148"/>
      <c r="G38" s="148"/>
      <c r="H38" s="148"/>
    </row>
    <row r="39" spans="1:8" x14ac:dyDescent="0.25">
      <c r="A39" s="91" t="s">
        <v>162</v>
      </c>
      <c r="B39" s="91"/>
      <c r="C39" s="139" t="s">
        <v>239</v>
      </c>
      <c r="D39" s="140"/>
      <c r="E39" s="140"/>
      <c r="F39" s="140"/>
      <c r="G39" s="140"/>
      <c r="H39" s="140"/>
    </row>
    <row r="40" spans="1:8" x14ac:dyDescent="0.25">
      <c r="A40" s="148" t="s">
        <v>34</v>
      </c>
      <c r="B40" s="148"/>
      <c r="C40" s="148"/>
      <c r="D40" s="148"/>
      <c r="E40" s="148"/>
      <c r="F40" s="148"/>
      <c r="G40" s="148"/>
      <c r="H40" s="148"/>
    </row>
    <row r="41" spans="1:8" x14ac:dyDescent="0.25">
      <c r="A41" s="91" t="s">
        <v>35</v>
      </c>
      <c r="B41" s="91"/>
      <c r="C41" s="91"/>
      <c r="D41" s="91"/>
      <c r="E41" s="157">
        <v>3728.9749999999999</v>
      </c>
      <c r="F41" s="157"/>
      <c r="G41" s="157"/>
      <c r="H41" s="157"/>
    </row>
    <row r="42" spans="1:8" x14ac:dyDescent="0.25">
      <c r="A42" s="91" t="s">
        <v>36</v>
      </c>
      <c r="B42" s="91"/>
      <c r="C42" s="91"/>
      <c r="D42" s="91"/>
      <c r="E42" s="159">
        <f>4101.873/E41</f>
        <v>1.1000001340851038</v>
      </c>
      <c r="F42" s="159"/>
      <c r="G42" s="159"/>
      <c r="H42" s="159"/>
    </row>
    <row r="43" spans="1:8" x14ac:dyDescent="0.25">
      <c r="A43" s="91" t="s">
        <v>37</v>
      </c>
      <c r="B43" s="91"/>
      <c r="C43" s="91"/>
      <c r="D43" s="91"/>
      <c r="E43" s="159">
        <f>E45/E41-E42</f>
        <v>1.1995543011149177</v>
      </c>
      <c r="F43" s="159"/>
      <c r="G43" s="159"/>
      <c r="H43" s="159"/>
    </row>
    <row r="44" spans="1:8" x14ac:dyDescent="0.25">
      <c r="A44" s="91" t="s">
        <v>38</v>
      </c>
      <c r="B44" s="91"/>
      <c r="C44" s="91"/>
      <c r="D44" s="91"/>
      <c r="E44" s="159">
        <f>E42+E43</f>
        <v>2.2995544352000215</v>
      </c>
      <c r="F44" s="159"/>
      <c r="G44" s="159"/>
      <c r="H44" s="159"/>
    </row>
    <row r="45" spans="1:8" x14ac:dyDescent="0.25">
      <c r="A45" s="91" t="s">
        <v>91</v>
      </c>
      <c r="B45" s="91"/>
      <c r="C45" s="91"/>
      <c r="D45" s="91"/>
      <c r="E45" s="160">
        <v>8574.9809999999998</v>
      </c>
      <c r="F45" s="160"/>
      <c r="G45" s="160"/>
      <c r="H45" s="160"/>
    </row>
    <row r="46" spans="1:8" x14ac:dyDescent="0.25">
      <c r="A46" s="162" t="s">
        <v>39</v>
      </c>
      <c r="B46" s="162"/>
      <c r="C46" s="162"/>
      <c r="D46" s="162"/>
      <c r="E46" s="100" t="s">
        <v>284</v>
      </c>
      <c r="F46" s="100"/>
      <c r="G46" s="100"/>
      <c r="H46" s="100"/>
    </row>
    <row r="47" spans="1:8" x14ac:dyDescent="0.25">
      <c r="A47" s="148" t="s">
        <v>40</v>
      </c>
      <c r="B47" s="148"/>
      <c r="C47" s="148"/>
      <c r="D47" s="148"/>
      <c r="E47" s="148"/>
      <c r="F47" s="148"/>
      <c r="G47" s="148"/>
      <c r="H47" s="148"/>
    </row>
    <row r="48" spans="1:8" ht="33.75" customHeight="1" x14ac:dyDescent="0.25">
      <c r="A48" s="77" t="s">
        <v>150</v>
      </c>
      <c r="B48" s="78"/>
      <c r="C48" s="79" t="s">
        <v>245</v>
      </c>
      <c r="D48" s="80"/>
      <c r="E48" s="80"/>
      <c r="F48" s="80"/>
      <c r="G48" s="80"/>
      <c r="H48" s="81"/>
    </row>
    <row r="49" spans="1:14" ht="34.5" customHeight="1" x14ac:dyDescent="0.25">
      <c r="A49" s="77" t="s">
        <v>41</v>
      </c>
      <c r="B49" s="78"/>
      <c r="C49" s="77" t="s">
        <v>278</v>
      </c>
      <c r="D49" s="192"/>
      <c r="E49" s="78"/>
      <c r="F49" s="18" t="s">
        <v>42</v>
      </c>
      <c r="G49" s="171" t="s">
        <v>292</v>
      </c>
      <c r="H49" s="78"/>
    </row>
    <row r="50" spans="1:14" ht="34.5" customHeight="1" x14ac:dyDescent="0.25">
      <c r="A50" s="77" t="s">
        <v>43</v>
      </c>
      <c r="B50" s="78"/>
      <c r="C50" s="195" t="str">
        <f>C49</f>
        <v>MSRDC/SPA/Talegoaon/Khalapur/BP-372/CC/2023/386</v>
      </c>
      <c r="D50" s="196"/>
      <c r="E50" s="197"/>
      <c r="F50" s="18" t="s">
        <v>42</v>
      </c>
      <c r="G50" s="171" t="str">
        <f>G49</f>
        <v>01/03/2023.</v>
      </c>
      <c r="H50" s="78"/>
    </row>
    <row r="51" spans="1:14" s="23" customFormat="1" ht="35.25" customHeight="1" x14ac:dyDescent="0.25">
      <c r="A51" s="172" t="s">
        <v>154</v>
      </c>
      <c r="B51" s="173"/>
      <c r="C51" s="77" t="s">
        <v>246</v>
      </c>
      <c r="D51" s="192"/>
      <c r="E51" s="78"/>
      <c r="F51" s="18" t="s">
        <v>42</v>
      </c>
      <c r="G51" s="171" t="s">
        <v>292</v>
      </c>
      <c r="H51" s="78"/>
    </row>
    <row r="52" spans="1:14" s="23" customFormat="1" ht="33" customHeight="1" x14ac:dyDescent="0.25">
      <c r="A52" s="174"/>
      <c r="B52" s="175"/>
      <c r="C52" s="77" t="s">
        <v>286</v>
      </c>
      <c r="D52" s="192"/>
      <c r="E52" s="192"/>
      <c r="F52" s="192"/>
      <c r="G52" s="192"/>
      <c r="H52" s="78"/>
    </row>
    <row r="53" spans="1:14" x14ac:dyDescent="0.25">
      <c r="A53" s="200" t="s">
        <v>44</v>
      </c>
      <c r="B53" s="201"/>
      <c r="C53" s="200" t="s">
        <v>105</v>
      </c>
      <c r="D53" s="202"/>
      <c r="E53" s="201"/>
      <c r="F53" s="46" t="s">
        <v>42</v>
      </c>
      <c r="G53" s="193" t="s">
        <v>29</v>
      </c>
      <c r="H53" s="194"/>
    </row>
    <row r="54" spans="1:14" x14ac:dyDescent="0.25">
      <c r="A54" s="183" t="s">
        <v>46</v>
      </c>
      <c r="B54" s="183"/>
      <c r="C54" s="183"/>
      <c r="D54" s="183"/>
      <c r="E54" s="183"/>
      <c r="F54" s="183"/>
      <c r="G54" s="183"/>
      <c r="H54" s="183"/>
    </row>
    <row r="55" spans="1:14" x14ac:dyDescent="0.25">
      <c r="A55" s="150" t="s">
        <v>90</v>
      </c>
      <c r="B55" s="150"/>
      <c r="C55" s="150"/>
      <c r="D55" s="91">
        <f>E45</f>
        <v>8574.9809999999998</v>
      </c>
      <c r="E55" s="91"/>
      <c r="F55" s="91"/>
      <c r="G55" s="91"/>
      <c r="H55" s="91"/>
    </row>
    <row r="56" spans="1:14" x14ac:dyDescent="0.25">
      <c r="A56" s="140" t="s">
        <v>47</v>
      </c>
      <c r="B56" s="162"/>
      <c r="C56" s="162"/>
      <c r="D56" s="100" t="s">
        <v>272</v>
      </c>
      <c r="E56" s="100"/>
      <c r="F56" s="100"/>
      <c r="G56" s="100"/>
      <c r="H56" s="100"/>
      <c r="I56" s="24"/>
    </row>
    <row r="57" spans="1:14" ht="15.75" customHeight="1" x14ac:dyDescent="0.25">
      <c r="A57" s="94" t="s">
        <v>48</v>
      </c>
      <c r="B57" s="95"/>
      <c r="C57" s="96"/>
      <c r="D57" s="169" t="s">
        <v>285</v>
      </c>
      <c r="E57" s="170"/>
      <c r="F57" s="170"/>
      <c r="G57" s="170"/>
      <c r="H57" s="170"/>
      <c r="J57" s="21" t="s">
        <v>271</v>
      </c>
    </row>
    <row r="58" spans="1:14" ht="15.75" customHeight="1" x14ac:dyDescent="0.25">
      <c r="A58" s="94" t="s">
        <v>88</v>
      </c>
      <c r="B58" s="95"/>
      <c r="C58" s="96"/>
      <c r="D58" s="100" t="s">
        <v>287</v>
      </c>
      <c r="E58" s="100"/>
      <c r="F58" s="100"/>
      <c r="G58" s="100"/>
      <c r="H58" s="100"/>
    </row>
    <row r="59" spans="1:14" x14ac:dyDescent="0.25">
      <c r="A59" s="97"/>
      <c r="B59" s="98"/>
      <c r="C59" s="99"/>
      <c r="D59" s="100" t="s">
        <v>274</v>
      </c>
      <c r="E59" s="100"/>
      <c r="F59" s="100"/>
      <c r="G59" s="100"/>
      <c r="H59" s="100"/>
    </row>
    <row r="60" spans="1:14" ht="15.75" customHeight="1" x14ac:dyDescent="0.25">
      <c r="A60" s="91" t="s">
        <v>45</v>
      </c>
      <c r="B60" s="91"/>
      <c r="C60" s="91"/>
      <c r="D60" s="150" t="s">
        <v>247</v>
      </c>
      <c r="E60" s="150"/>
      <c r="F60" s="150"/>
      <c r="G60" s="150"/>
      <c r="H60" s="150"/>
      <c r="J60" s="25"/>
      <c r="K60" s="24"/>
      <c r="N60" s="24"/>
    </row>
    <row r="61" spans="1:14" ht="15.75" customHeight="1" x14ac:dyDescent="0.25">
      <c r="A61" s="91" t="s">
        <v>86</v>
      </c>
      <c r="B61" s="91"/>
      <c r="C61" s="91"/>
      <c r="D61" s="158" t="str">
        <f>(IF(G53="NA","60 Years After Completion",IF(G53&lt;&gt;"NA",""&amp;60-ROUNDDOWN((E3-G53)/360,0)&amp;" Years"," ")))</f>
        <v>60 Years After Completion</v>
      </c>
      <c r="E61" s="158"/>
      <c r="F61" s="158"/>
      <c r="G61" s="158"/>
      <c r="H61" s="158"/>
      <c r="N61" s="24"/>
    </row>
    <row r="62" spans="1:14" ht="15.75" customHeight="1" x14ac:dyDescent="0.25">
      <c r="A62" s="91" t="s">
        <v>87</v>
      </c>
      <c r="B62" s="91"/>
      <c r="C62" s="91"/>
      <c r="D62" s="150" t="s">
        <v>24</v>
      </c>
      <c r="E62" s="150"/>
      <c r="F62" s="150"/>
      <c r="G62" s="150"/>
      <c r="H62" s="150"/>
      <c r="I62" s="207" t="s">
        <v>256</v>
      </c>
      <c r="J62" s="199"/>
      <c r="K62" s="199"/>
      <c r="L62" s="199"/>
      <c r="M62" s="199"/>
      <c r="N62" s="199"/>
    </row>
    <row r="63" spans="1:14" ht="49.5" customHeight="1" x14ac:dyDescent="0.25">
      <c r="A63" s="100" t="s">
        <v>273</v>
      </c>
      <c r="B63" s="100"/>
      <c r="C63" s="100"/>
      <c r="D63" s="140" t="s">
        <v>279</v>
      </c>
      <c r="E63" s="150"/>
      <c r="F63" s="150"/>
      <c r="G63" s="150"/>
      <c r="H63" s="150"/>
      <c r="I63" s="198"/>
      <c r="J63" s="199"/>
      <c r="K63" s="199"/>
      <c r="L63" s="199"/>
      <c r="M63" s="199"/>
      <c r="N63" s="199"/>
    </row>
    <row r="64" spans="1:14" x14ac:dyDescent="0.25">
      <c r="A64" s="150" t="s">
        <v>147</v>
      </c>
      <c r="B64" s="150"/>
      <c r="C64" s="150"/>
      <c r="D64" s="150" t="s">
        <v>29</v>
      </c>
      <c r="E64" s="150"/>
      <c r="F64" s="150"/>
      <c r="G64" s="150"/>
      <c r="H64" s="150"/>
      <c r="I64" s="27"/>
      <c r="J64" s="27"/>
      <c r="K64" s="27"/>
      <c r="L64" s="27"/>
      <c r="M64" s="27"/>
      <c r="N64" s="27"/>
    </row>
    <row r="65" spans="1:10" ht="15.75" customHeight="1" x14ac:dyDescent="0.25">
      <c r="A65" s="91" t="s">
        <v>85</v>
      </c>
      <c r="B65" s="91"/>
      <c r="C65" s="91"/>
      <c r="D65" s="140" t="str">
        <f ca="1">(IF(G71&gt;95%,"Nothing",IF(G71&gt;0%,"Cement, Aggregate, Steel, etc",IF(G71=0%,"Work not yet Started"))))</f>
        <v>Cement, Aggregate, Steel, etc</v>
      </c>
      <c r="E65" s="140"/>
      <c r="F65" s="140"/>
      <c r="G65" s="140"/>
      <c r="H65" s="140"/>
      <c r="J65" s="26"/>
    </row>
    <row r="66" spans="1:10" ht="33.75" customHeight="1" thickBot="1" x14ac:dyDescent="0.3">
      <c r="A66" s="150" t="s">
        <v>118</v>
      </c>
      <c r="B66" s="150"/>
      <c r="C66" s="150"/>
      <c r="D66" s="140" t="str">
        <f ca="1">(IF(D65="Nothing","Yes",IF(D65="Cement, Aggregate, Steel, etc","Under Construction",IF(D65="Work not yet Started","Work not yet Started"))))</f>
        <v>Under Construction</v>
      </c>
      <c r="E66" s="140"/>
      <c r="F66" s="140" t="str">
        <f ca="1">(IF(D65="Nothing","Yes",IF(D65="Cement, Aggregate, Steel, etc","Under Construction",IF(D65="Work not yet Started","Work not yet Started"))))</f>
        <v>Under Construction</v>
      </c>
      <c r="G66" s="140"/>
      <c r="H66" s="140"/>
    </row>
    <row r="67" spans="1:10" ht="15.75" customHeight="1" x14ac:dyDescent="0.25">
      <c r="A67" s="176" t="s">
        <v>139</v>
      </c>
      <c r="B67" s="176"/>
      <c r="C67" s="176" t="str">
        <f>D58</f>
        <v>Wing A = Gr + 1st to 15th Floor</v>
      </c>
      <c r="D67" s="176"/>
      <c r="E67" s="176"/>
      <c r="F67" s="176"/>
      <c r="G67" s="176"/>
      <c r="H67" s="176"/>
      <c r="I67" s="71" t="str">
        <f ca="1">IF(D80=100%,"All work Completed. Possession granted to the Building.",IF(D79=100%,"All work Completed, Waiting for OC",I68&amp;""&amp;I69&amp;""&amp;J68&amp;""&amp;J67&amp;" "&amp;J69))</f>
        <v>Excavation, Plinth Completed, RCC upto 3 Slab Completed</v>
      </c>
      <c r="J67" s="51" t="str">
        <f ca="1">(IF(C73=(D68+F68+H68),"",IF(C73&gt;0,", RCC upto "&amp;C73&amp;" Slab","")))&amp;(IF(C74=H68,"",IF(C74&gt;0,", Brickwork upto "&amp;C74&amp;" Floor","")))&amp;(IF(C75=H68,"",IF(C75&gt;0,", Internal Plaster upto "&amp;C75&amp;" Floor","")))&amp;(IF(C76=H68,"",IF(C76&gt;0,", External Plaster upto "&amp;C76&amp;" Floor","")))&amp;(IF(C77=H68,"",IF(C77&gt;0,", Flooring upto "&amp;C77&amp;" Floor","")))&amp;(IF(C78=H68,"",IF(C78&gt;0,", Painting upto "&amp;C78&amp;" Floor","")))&amp;(IF(C79=H68,"",IF(C79&gt;0,", Finishing upto "&amp;C79&amp;" Floor","")))&amp;(IF(C80=H68,"",IF(C80&gt;0,", Possession upto "&amp;C80&amp;" Floor","")))</f>
        <v>, RCC upto 3 Slab</v>
      </c>
    </row>
    <row r="68" spans="1:10" x14ac:dyDescent="0.25">
      <c r="A68" s="70" t="s">
        <v>141</v>
      </c>
      <c r="B68" s="70">
        <f>IF(AND(ISNUMBER(SEARCH("1B",C67))),1,IF(AND(ISNUMBER(SEARCH("2B",C67))),2,IF(AND(ISNUMBER(SEARCH("3B",C67))),3,IF(AND(ISNUMBER(SEARCH("4B",C67))),4,IF(ISNUMBER(SEARCH("5B",C67)),5,0)))))</f>
        <v>0</v>
      </c>
      <c r="C68" s="70" t="s">
        <v>72</v>
      </c>
      <c r="D68" s="70">
        <v>1</v>
      </c>
      <c r="E68" s="70" t="s">
        <v>71</v>
      </c>
      <c r="F68" s="65">
        <v>0</v>
      </c>
      <c r="G68" s="49" t="s">
        <v>79</v>
      </c>
      <c r="H68" s="70">
        <f ca="1">--TRIM(RIGHT(SUBSTITUTE(LEFT(C67,_xlfn.AGGREGATE(16,6,FIND({0,1,2,3,4,5,6,7,8,9},C67,ROW(INDIRECT("1:"&amp;LEN(C67)))),1))," ",REPT(" ",LEN(C67))),LEN(C67)))</f>
        <v>15</v>
      </c>
      <c r="I68" s="72" t="str">
        <f ca="1">IF(D71=100%,"Excavation","")&amp;IF(D72=100%,", Plinth","")&amp;IF(D73=100%,", RCC Slab","")&amp;IF(D74=100%,", Brickwork","")&amp;IF(D75=100%,", Internal Plaster","")&amp;IF(D76=100%,", External Plaster","")&amp;IF(D77=100%,", Flooring","")&amp;IF(D78=100%,", Painting","")&amp;IF(D79=100%,", Building common Amenities","")</f>
        <v>Excavation, Plinth</v>
      </c>
      <c r="J68" s="53" t="str">
        <f ca="1">(IF(C71=0,"Work not yet Started.",IF(D71=25%,"Piling work in process",IF(D71=50%,"Excavation work in process",IF(D71=100%,"","0")))))&amp;(IF(C72=0%,"",IF(C72=J73,", Footing work is process",IF(C72=J74,", Footing work Completed",IF(C72=J75,", 1st Basement Completed",IF(C72=J76,", 1st &amp; 2nd Basement Completed",IF(C72=J77,", 1st to 3rd Basement Completed",IF(C72=J78,", 1st to 4th Basement Completed",IF(C72=J79,", Plinth work is process",IF(C72=J80,"","0"))))))))))</f>
        <v/>
      </c>
    </row>
    <row r="69" spans="1:10" x14ac:dyDescent="0.25">
      <c r="A69" s="142" t="s">
        <v>89</v>
      </c>
      <c r="B69" s="142"/>
      <c r="C69" s="143" t="str">
        <f ca="1">I67</f>
        <v>Excavation, Plinth Completed, RCC upto 3 Slab Completed</v>
      </c>
      <c r="D69" s="143"/>
      <c r="E69" s="143"/>
      <c r="F69" s="143"/>
      <c r="G69" s="143"/>
      <c r="H69" s="143"/>
      <c r="I69" s="72" t="str">
        <f ca="1">IF(I68&lt;&gt;""," Completed","")</f>
        <v xml:space="preserve"> Completed</v>
      </c>
      <c r="J69" s="53" t="str">
        <f ca="1">IF(J67&lt;&gt;"","Completed","")</f>
        <v>Completed</v>
      </c>
    </row>
    <row r="70" spans="1:10" ht="15.75" customHeight="1" x14ac:dyDescent="0.25">
      <c r="A70" s="89" t="s">
        <v>49</v>
      </c>
      <c r="B70" s="89"/>
      <c r="C70" s="68" t="s">
        <v>138</v>
      </c>
      <c r="D70" s="68" t="s">
        <v>82</v>
      </c>
      <c r="E70" s="89" t="s">
        <v>84</v>
      </c>
      <c r="F70" s="89"/>
      <c r="G70" s="89" t="s">
        <v>83</v>
      </c>
      <c r="H70" s="89"/>
      <c r="I70" s="14" t="s">
        <v>140</v>
      </c>
      <c r="J70" s="28">
        <f ca="1">H68*25%</f>
        <v>3.75</v>
      </c>
    </row>
    <row r="71" spans="1:10" x14ac:dyDescent="0.25">
      <c r="A71" s="89" t="s">
        <v>127</v>
      </c>
      <c r="B71" s="89"/>
      <c r="C71" s="68">
        <f ca="1">J72</f>
        <v>15</v>
      </c>
      <c r="D71" s="19">
        <f ca="1">((100/H68)*C71)/100</f>
        <v>1</v>
      </c>
      <c r="E71" s="151">
        <f ca="1">(((C72/H68*10)+(40/(D68+F68+H68)*C73)+(7.5/(H68)*C74)+(7.5/(H68)*C75)+(10/H68*C76)+(10/H68*C77)+(5/H68*C78)+(5/H68*C79)+(5/H68*C80))/100)</f>
        <v>0.17499999999999999</v>
      </c>
      <c r="F71" s="151"/>
      <c r="G71" s="151">
        <f ca="1">((((C71/H68)*20)+((C72/H68)*25)+(30/(H68+F68+D68)*C73)+(5/H68*C74)+(5/H68*C75)+(5/H68*C76)+(5/H68*C77)+(0/H68*C78)+(0/H68*C79)+(5/H68*C80))/100)</f>
        <v>0.50624999999999998</v>
      </c>
      <c r="H71" s="151"/>
      <c r="I71" s="14" t="s">
        <v>100</v>
      </c>
      <c r="J71" s="29">
        <f ca="1">H68*50%</f>
        <v>7.5</v>
      </c>
    </row>
    <row r="72" spans="1:10" x14ac:dyDescent="0.25">
      <c r="A72" s="89" t="s">
        <v>50</v>
      </c>
      <c r="B72" s="89"/>
      <c r="C72" s="55">
        <f ca="1">J80</f>
        <v>15</v>
      </c>
      <c r="D72" s="19">
        <f ca="1">((100/H68)*C72)/100</f>
        <v>1</v>
      </c>
      <c r="E72" s="151"/>
      <c r="F72" s="151"/>
      <c r="G72" s="151"/>
      <c r="H72" s="151"/>
      <c r="I72" s="14" t="s">
        <v>101</v>
      </c>
      <c r="J72" s="29">
        <f ca="1">H68</f>
        <v>15</v>
      </c>
    </row>
    <row r="73" spans="1:10" ht="15.75" customHeight="1" x14ac:dyDescent="0.25">
      <c r="A73" s="89" t="s">
        <v>128</v>
      </c>
      <c r="B73" s="89"/>
      <c r="C73" s="68">
        <v>3</v>
      </c>
      <c r="D73" s="19">
        <f ca="1">((100/(D68+F68+H68))*C73)/100</f>
        <v>0.1875</v>
      </c>
      <c r="E73" s="151"/>
      <c r="F73" s="151"/>
      <c r="G73" s="151"/>
      <c r="H73" s="151"/>
      <c r="I73" s="14" t="s">
        <v>102</v>
      </c>
      <c r="J73" s="30">
        <f ca="1">(IF(B68&gt;1,(H68/(B68+2)),H68/4))</f>
        <v>3.75</v>
      </c>
    </row>
    <row r="74" spans="1:10" ht="15.75" customHeight="1" x14ac:dyDescent="0.25">
      <c r="A74" s="89" t="s">
        <v>135</v>
      </c>
      <c r="B74" s="89" t="s">
        <v>129</v>
      </c>
      <c r="C74" s="68">
        <v>0</v>
      </c>
      <c r="D74" s="19">
        <f ca="1">((100/H68)*C74)/100</f>
        <v>0</v>
      </c>
      <c r="E74" s="151"/>
      <c r="F74" s="151"/>
      <c r="G74" s="151"/>
      <c r="H74" s="151"/>
      <c r="I74" s="14" t="s">
        <v>103</v>
      </c>
      <c r="J74" s="30">
        <f ca="1">(IF(B68&gt;1,(H68/(B68+2)+J73),H68/4+J73))</f>
        <v>7.5</v>
      </c>
    </row>
    <row r="75" spans="1:10" ht="15.75" customHeight="1" x14ac:dyDescent="0.25">
      <c r="A75" s="89" t="s">
        <v>136</v>
      </c>
      <c r="B75" s="89" t="s">
        <v>129</v>
      </c>
      <c r="C75" s="68">
        <v>0</v>
      </c>
      <c r="D75" s="19">
        <f ca="1">((100/H68)*C75)/100</f>
        <v>0</v>
      </c>
      <c r="E75" s="151"/>
      <c r="F75" s="151"/>
      <c r="G75" s="151"/>
      <c r="H75" s="151"/>
      <c r="I75" s="14" t="s">
        <v>145</v>
      </c>
      <c r="J75" s="30">
        <f>(IF(B68&gt;1,(H68/(B68+2)+J74),0))</f>
        <v>0</v>
      </c>
    </row>
    <row r="76" spans="1:10" ht="15" customHeight="1" x14ac:dyDescent="0.25">
      <c r="A76" s="89" t="s">
        <v>134</v>
      </c>
      <c r="B76" s="89" t="s">
        <v>131</v>
      </c>
      <c r="C76" s="68">
        <v>0</v>
      </c>
      <c r="D76" s="19">
        <f ca="1">((100/(H68))*C76)/100</f>
        <v>0</v>
      </c>
      <c r="E76" s="151"/>
      <c r="F76" s="151"/>
      <c r="G76" s="151"/>
      <c r="H76" s="151"/>
      <c r="I76" s="14" t="s">
        <v>142</v>
      </c>
      <c r="J76" s="30">
        <f>(IF(B68&gt;2,(H68/(B68+2)+J75),0))</f>
        <v>0</v>
      </c>
    </row>
    <row r="77" spans="1:10" ht="15.75" customHeight="1" x14ac:dyDescent="0.25">
      <c r="A77" s="89" t="s">
        <v>130</v>
      </c>
      <c r="B77" s="89" t="s">
        <v>130</v>
      </c>
      <c r="C77" s="68">
        <v>0</v>
      </c>
      <c r="D77" s="19">
        <f ca="1">((100/H68)*C77)/100</f>
        <v>0</v>
      </c>
      <c r="E77" s="151"/>
      <c r="F77" s="151"/>
      <c r="G77" s="151"/>
      <c r="H77" s="151"/>
      <c r="I77" s="14" t="s">
        <v>143</v>
      </c>
      <c r="J77" s="31">
        <f>(IF(B68&gt;3,(H68/(B68+2)+J76),0))</f>
        <v>0</v>
      </c>
    </row>
    <row r="78" spans="1:10" ht="15.75" customHeight="1" x14ac:dyDescent="0.25">
      <c r="A78" s="89" t="s">
        <v>137</v>
      </c>
      <c r="B78" s="89"/>
      <c r="C78" s="68">
        <v>0</v>
      </c>
      <c r="D78" s="19">
        <f ca="1">((100/H68)*C78)/100</f>
        <v>0</v>
      </c>
      <c r="E78" s="151"/>
      <c r="F78" s="151"/>
      <c r="G78" s="151"/>
      <c r="H78" s="151"/>
      <c r="I78" s="14" t="s">
        <v>144</v>
      </c>
      <c r="J78" s="30">
        <f>(IF(B68&gt;4,(H68/(B68+2)+J77),0))</f>
        <v>0</v>
      </c>
    </row>
    <row r="79" spans="1:10" ht="15.75" customHeight="1" x14ac:dyDescent="0.25">
      <c r="A79" s="89" t="s">
        <v>132</v>
      </c>
      <c r="B79" s="89" t="s">
        <v>132</v>
      </c>
      <c r="C79" s="68">
        <v>0</v>
      </c>
      <c r="D79" s="19">
        <f ca="1">((100/(H68))*C79)/100</f>
        <v>0</v>
      </c>
      <c r="E79" s="151"/>
      <c r="F79" s="151"/>
      <c r="G79" s="151"/>
      <c r="H79" s="151"/>
      <c r="I79" s="14" t="s">
        <v>146</v>
      </c>
      <c r="J79" s="30">
        <f ca="1">(IF(B68=1,(H68/(B68+3)+J74),IF(B68=0,(H68/4+J74),IF(B68&gt;1,0))))</f>
        <v>11.25</v>
      </c>
    </row>
    <row r="80" spans="1:10" ht="16.5" thickBot="1" x14ac:dyDescent="0.3">
      <c r="A80" s="89" t="s">
        <v>133</v>
      </c>
      <c r="B80" s="89"/>
      <c r="C80" s="68">
        <v>0</v>
      </c>
      <c r="D80" s="19">
        <f ca="1">((100/(H68))*C80)/100</f>
        <v>0</v>
      </c>
      <c r="E80" s="151"/>
      <c r="F80" s="151"/>
      <c r="G80" s="151"/>
      <c r="H80" s="151"/>
      <c r="I80" s="15" t="s">
        <v>104</v>
      </c>
      <c r="J80" s="32">
        <f ca="1">(IF(B68&gt;1.5,(H68/(B68+2)+J74+MAX(0,J75-J74)+MAX(0,J76-J75)+MAX(0,J77-J76)+MAX(0,J78-J77)+MAX(0,J79-J78)),IF(B68=1,(H68/(B68+3)+J79),IF(B68=0,H68/4+J79))))</f>
        <v>15</v>
      </c>
    </row>
    <row r="81" spans="1:10" ht="15.75" customHeight="1" x14ac:dyDescent="0.25">
      <c r="A81" s="187" t="s">
        <v>139</v>
      </c>
      <c r="B81" s="188"/>
      <c r="C81" s="189" t="str">
        <f>D59</f>
        <v>Wing B = Gr + 1st to 11th Floor</v>
      </c>
      <c r="D81" s="190"/>
      <c r="E81" s="190"/>
      <c r="F81" s="190"/>
      <c r="G81" s="190"/>
      <c r="H81" s="191"/>
      <c r="I81" s="50" t="str">
        <f ca="1">IF(D94=100%,"All work Completed. Possession granted to the Building.",IF(D93=100%,"All work Completed, Waiting for OC",I82&amp;""&amp;I83&amp;""&amp;J82&amp;""&amp;J81&amp;" "&amp;J83))</f>
        <v>Excavation, Plinth Completed, RCC upto 3 Slab Completed</v>
      </c>
      <c r="J81" s="51" t="str">
        <f ca="1">(IF(C87=(D82+F82+H82),"",IF(C87&gt;0,", RCC upto "&amp;C87&amp;" Slab","")))&amp;(IF(C88=H82,"",IF(C88&gt;0,", Brickwork upto "&amp;C88&amp;" Floor","")))&amp;(IF(C89=H82,"",IF(C89&gt;0,", Internal Plaster upto "&amp;C89&amp;" Floor","")))&amp;(IF(C90=H82,"",IF(C90&gt;0,", External Plaster upto "&amp;C90&amp;" Floor","")))&amp;(IF(C91=H82,"",IF(C91&gt;0,", Flooring upto "&amp;C91&amp;" Floor","")))&amp;(IF(C92=H82,"",IF(C92&gt;0,", Painting upto "&amp;C92&amp;" Floor","")))&amp;(IF(C93=H82,"",IF(C93&gt;0,", Finishing upto "&amp;C93&amp;" Floor","")))&amp;(IF(C94=H82,"",IF(C94&gt;0,", Possession upto "&amp;C94&amp;" Floor","")))</f>
        <v>, RCC upto 3 Slab</v>
      </c>
    </row>
    <row r="82" spans="1:10" x14ac:dyDescent="0.25">
      <c r="A82" s="16" t="s">
        <v>141</v>
      </c>
      <c r="B82" s="54">
        <f>IF(AND(ISNUMBER(SEARCH("1B",C81))),1,IF(AND(ISNUMBER(SEARCH("2B",C81))),2,IF(AND(ISNUMBER(SEARCH("3B",C81))),3,IF(AND(ISNUMBER(SEARCH("4B",C81))),4,IF(ISNUMBER(SEARCH("5B",C81)),5,0)))))</f>
        <v>0</v>
      </c>
      <c r="C82" s="48" t="s">
        <v>72</v>
      </c>
      <c r="D82" s="48">
        <v>1</v>
      </c>
      <c r="E82" s="48" t="s">
        <v>71</v>
      </c>
      <c r="F82" s="65">
        <v>0</v>
      </c>
      <c r="G82" s="49" t="s">
        <v>79</v>
      </c>
      <c r="H82" s="17">
        <f ca="1">--TRIM(RIGHT(SUBSTITUTE(LEFT(C81,_xlfn.AGGREGATE(16,6,FIND({0,1,2,3,4,5,6,7,8,9},C81,ROW(INDIRECT("1:"&amp;LEN(C81)))),1))," ",REPT(" ",LEN(C81))),LEN(C81)))</f>
        <v>11</v>
      </c>
      <c r="I82" s="52" t="str">
        <f ca="1">IF(D85=100%,"Excavation","")&amp;IF(D86=100%,", Plinth","")&amp;IF(D87=100%,", RCC Slab","")&amp;IF(D88=100%,", Brickwork","")&amp;IF(D89=100%,", Internal Plaster","")&amp;IF(D90=100%,", External Plaster","")&amp;IF(D91=100%,", Flooring","")&amp;IF(D92=100%,", Painting","")&amp;IF(D93=100%,", Building common Amenities","")</f>
        <v>Excavation, Plinth</v>
      </c>
      <c r="J82" s="53" t="str">
        <f ca="1">(IF(C85=0,"Work not yet Started.",IF(D85=25%,"Piling work in process",IF(D85=50%,"Excavation work in process",IF(D85=100%,"","0")))))&amp;(IF(C86=0%,"",IF(C86=J87,", Footing work is process",IF(C86=J88,", Footing work Completed",IF(C86=J89,", 1st Basement Completed",IF(C86=J90,", 1st &amp; 2nd Basement Completed",IF(C86=J91,", 1st to 3rd Basement Completed",IF(C86=J92,", 1st to 4th Basement Completed",IF(C86=J93,", Plinth work is process",IF(C86=J94,"","0"))))))))))</f>
        <v/>
      </c>
    </row>
    <row r="83" spans="1:10" x14ac:dyDescent="0.25">
      <c r="A83" s="141" t="s">
        <v>89</v>
      </c>
      <c r="B83" s="142"/>
      <c r="C83" s="143" t="str">
        <f ca="1">(IF($G$53="NA",I81,"All work Completed. OC Received."))</f>
        <v>Excavation, Plinth Completed, RCC upto 3 Slab Completed</v>
      </c>
      <c r="D83" s="143"/>
      <c r="E83" s="143"/>
      <c r="F83" s="143"/>
      <c r="G83" s="143"/>
      <c r="H83" s="144"/>
      <c r="I83" s="52" t="str">
        <f ca="1">IF(I82&lt;&gt;""," Completed","")</f>
        <v xml:space="preserve"> Completed</v>
      </c>
      <c r="J83" s="53" t="str">
        <f ca="1">IF(J81&lt;&gt;"","Completed","")</f>
        <v>Completed</v>
      </c>
    </row>
    <row r="84" spans="1:10" ht="15.75" customHeight="1" x14ac:dyDescent="0.25">
      <c r="A84" s="88" t="s">
        <v>49</v>
      </c>
      <c r="B84" s="89"/>
      <c r="C84" s="44" t="s">
        <v>138</v>
      </c>
      <c r="D84" s="44" t="s">
        <v>82</v>
      </c>
      <c r="E84" s="89" t="s">
        <v>84</v>
      </c>
      <c r="F84" s="89"/>
      <c r="G84" s="89" t="s">
        <v>83</v>
      </c>
      <c r="H84" s="131"/>
      <c r="I84" s="14" t="s">
        <v>140</v>
      </c>
      <c r="J84" s="28">
        <f ca="1">H82*25%</f>
        <v>2.75</v>
      </c>
    </row>
    <row r="85" spans="1:10" x14ac:dyDescent="0.25">
      <c r="A85" s="88" t="s">
        <v>127</v>
      </c>
      <c r="B85" s="89"/>
      <c r="C85" s="44">
        <f ca="1">J86</f>
        <v>11</v>
      </c>
      <c r="D85" s="19">
        <f ca="1">((100/H82)*C85)/100</f>
        <v>1.0000000000000002</v>
      </c>
      <c r="E85" s="82">
        <f ca="1">(((C86/H82*10)+(40/(D82+F82+H82)*C87)+(7.5/(H82)*C88)+(7.5/(H82)*C89)+(10/H82*C90)+(10/H82*C91)+(5/H82*C92)+(5/H82*C93)+(5/H82*C94))/100)</f>
        <v>0.2</v>
      </c>
      <c r="F85" s="203"/>
      <c r="G85" s="82">
        <f ca="1">((((C85/H82)*20)+((C86/H82)*25)+(30/(H82+F82+D82)*C87)+(5/H82*C88)+(5/H82*C89)+(5/H82*C90)+(5/H82*C91)+(0/H82*C92)+(0/H82*C93)+(5/H82*C94))/100)</f>
        <v>0.52500000000000002</v>
      </c>
      <c r="H85" s="83"/>
      <c r="I85" s="14" t="s">
        <v>100</v>
      </c>
      <c r="J85" s="29">
        <f ca="1">H82*50%</f>
        <v>5.5</v>
      </c>
    </row>
    <row r="86" spans="1:10" x14ac:dyDescent="0.25">
      <c r="A86" s="88" t="s">
        <v>50</v>
      </c>
      <c r="B86" s="89"/>
      <c r="C86" s="55">
        <f ca="1">J94</f>
        <v>11</v>
      </c>
      <c r="D86" s="19">
        <f ca="1">((100/H82)*C86)/100</f>
        <v>1.0000000000000002</v>
      </c>
      <c r="E86" s="84"/>
      <c r="F86" s="204"/>
      <c r="G86" s="84"/>
      <c r="H86" s="85"/>
      <c r="I86" s="14" t="s">
        <v>101</v>
      </c>
      <c r="J86" s="29">
        <f ca="1">H82</f>
        <v>11</v>
      </c>
    </row>
    <row r="87" spans="1:10" ht="15.75" customHeight="1" x14ac:dyDescent="0.25">
      <c r="A87" s="88" t="s">
        <v>128</v>
      </c>
      <c r="B87" s="89"/>
      <c r="C87" s="44">
        <v>3</v>
      </c>
      <c r="D87" s="19">
        <f ca="1">((100/(D82+F82+H82))*C87)/100</f>
        <v>0.25</v>
      </c>
      <c r="E87" s="84"/>
      <c r="F87" s="204"/>
      <c r="G87" s="84"/>
      <c r="H87" s="85"/>
      <c r="I87" s="14" t="s">
        <v>102</v>
      </c>
      <c r="J87" s="30">
        <f ca="1">(IF(B82&gt;1,(H82/(B82+2)),H82/4))</f>
        <v>2.75</v>
      </c>
    </row>
    <row r="88" spans="1:10" ht="15.75" customHeight="1" x14ac:dyDescent="0.25">
      <c r="A88" s="88" t="s">
        <v>135</v>
      </c>
      <c r="B88" s="89" t="s">
        <v>129</v>
      </c>
      <c r="C88" s="44">
        <v>0</v>
      </c>
      <c r="D88" s="19">
        <f ca="1">((100/H82)*C88)/100</f>
        <v>0</v>
      </c>
      <c r="E88" s="84"/>
      <c r="F88" s="204"/>
      <c r="G88" s="84"/>
      <c r="H88" s="85"/>
      <c r="I88" s="14" t="s">
        <v>103</v>
      </c>
      <c r="J88" s="30">
        <f ca="1">(IF(B82&gt;1,(H82/(B82+2)+J87),H82/4+J87))</f>
        <v>5.5</v>
      </c>
    </row>
    <row r="89" spans="1:10" ht="15.75" customHeight="1" x14ac:dyDescent="0.25">
      <c r="A89" s="88" t="s">
        <v>136</v>
      </c>
      <c r="B89" s="89" t="s">
        <v>129</v>
      </c>
      <c r="C89" s="44">
        <v>0</v>
      </c>
      <c r="D89" s="19">
        <f ca="1">((100/H82)*C89)/100</f>
        <v>0</v>
      </c>
      <c r="E89" s="84"/>
      <c r="F89" s="204"/>
      <c r="G89" s="84"/>
      <c r="H89" s="85"/>
      <c r="I89" s="14" t="s">
        <v>145</v>
      </c>
      <c r="J89" s="30">
        <f>(IF(B82&gt;1,(H82/(B82+2)+J88),0))</f>
        <v>0</v>
      </c>
    </row>
    <row r="90" spans="1:10" ht="15" customHeight="1" x14ac:dyDescent="0.25">
      <c r="A90" s="88" t="s">
        <v>134</v>
      </c>
      <c r="B90" s="89" t="s">
        <v>131</v>
      </c>
      <c r="C90" s="44">
        <v>0</v>
      </c>
      <c r="D90" s="19">
        <f ca="1">((100/(H82))*C90)/100</f>
        <v>0</v>
      </c>
      <c r="E90" s="84"/>
      <c r="F90" s="204"/>
      <c r="G90" s="84"/>
      <c r="H90" s="85"/>
      <c r="I90" s="14" t="s">
        <v>142</v>
      </c>
      <c r="J90" s="30">
        <f>(IF(B82&gt;2,(H82/(B82+2)+J89),0))</f>
        <v>0</v>
      </c>
    </row>
    <row r="91" spans="1:10" ht="15.75" customHeight="1" x14ac:dyDescent="0.25">
      <c r="A91" s="88" t="s">
        <v>130</v>
      </c>
      <c r="B91" s="89" t="s">
        <v>130</v>
      </c>
      <c r="C91" s="44">
        <v>0</v>
      </c>
      <c r="D91" s="19">
        <f ca="1">((100/H82)*C91)/100</f>
        <v>0</v>
      </c>
      <c r="E91" s="84"/>
      <c r="F91" s="204"/>
      <c r="G91" s="84"/>
      <c r="H91" s="85"/>
      <c r="I91" s="14" t="s">
        <v>143</v>
      </c>
      <c r="J91" s="31">
        <f>(IF(B82&gt;3,(H82/(B82+2)+J90),0))</f>
        <v>0</v>
      </c>
    </row>
    <row r="92" spans="1:10" ht="15.75" customHeight="1" x14ac:dyDescent="0.25">
      <c r="A92" s="88" t="s">
        <v>137</v>
      </c>
      <c r="B92" s="89"/>
      <c r="C92" s="44">
        <v>0</v>
      </c>
      <c r="D92" s="19">
        <f ca="1">((100/H82)*C92)/100</f>
        <v>0</v>
      </c>
      <c r="E92" s="84"/>
      <c r="F92" s="204"/>
      <c r="G92" s="84"/>
      <c r="H92" s="85"/>
      <c r="I92" s="14" t="s">
        <v>144</v>
      </c>
      <c r="J92" s="30">
        <f>(IF(B82&gt;4,(H82/(B82+2)+J91),0))</f>
        <v>0</v>
      </c>
    </row>
    <row r="93" spans="1:10" ht="15.75" customHeight="1" x14ac:dyDescent="0.25">
      <c r="A93" s="88" t="s">
        <v>132</v>
      </c>
      <c r="B93" s="89" t="s">
        <v>132</v>
      </c>
      <c r="C93" s="44">
        <v>0</v>
      </c>
      <c r="D93" s="19">
        <f ca="1">((100/(H82))*C93)/100</f>
        <v>0</v>
      </c>
      <c r="E93" s="84"/>
      <c r="F93" s="204"/>
      <c r="G93" s="84"/>
      <c r="H93" s="85"/>
      <c r="I93" s="14" t="s">
        <v>146</v>
      </c>
      <c r="J93" s="30">
        <f ca="1">(IF(B82=1,(H82/(B82+3)+J88),IF(B82=0,(H82/4+J88),IF(B82&gt;1,0))))</f>
        <v>8.25</v>
      </c>
    </row>
    <row r="94" spans="1:10" ht="16.5" thickBot="1" x14ac:dyDescent="0.3">
      <c r="A94" s="101" t="s">
        <v>133</v>
      </c>
      <c r="B94" s="102"/>
      <c r="C94" s="45">
        <v>0</v>
      </c>
      <c r="D94" s="20">
        <f ca="1">((100/(H82))*C94)/100</f>
        <v>0</v>
      </c>
      <c r="E94" s="86"/>
      <c r="F94" s="205"/>
      <c r="G94" s="86"/>
      <c r="H94" s="87"/>
      <c r="I94" s="15" t="s">
        <v>104</v>
      </c>
      <c r="J94" s="32">
        <f ca="1">(IF(B82&gt;1.5,(H82/(B82+2)+J88+MAX(0,J89-J88)+MAX(0,J90-J89)+MAX(0,J91-J90)+MAX(0,J92-J91)+MAX(0,J93-J92)),IF(B82=1,(H82/(B82+3)+J93),IF(B82=0,H82/4+J93))))</f>
        <v>11</v>
      </c>
    </row>
    <row r="95" spans="1:10" x14ac:dyDescent="0.25">
      <c r="A95" s="206" t="s">
        <v>156</v>
      </c>
      <c r="B95" s="206"/>
      <c r="C95" s="206"/>
      <c r="D95" s="206"/>
      <c r="E95" s="206"/>
      <c r="F95" s="133" t="s">
        <v>160</v>
      </c>
      <c r="G95" s="133"/>
      <c r="H95" s="133"/>
    </row>
    <row r="96" spans="1:10" x14ac:dyDescent="0.25">
      <c r="A96" s="91" t="s">
        <v>158</v>
      </c>
      <c r="B96" s="91"/>
      <c r="C96" s="91"/>
      <c r="D96" s="91"/>
      <c r="E96" s="91"/>
      <c r="F96" s="90">
        <v>5000</v>
      </c>
      <c r="G96" s="90"/>
      <c r="H96" s="90"/>
    </row>
    <row r="97" spans="1:8" x14ac:dyDescent="0.25">
      <c r="A97" s="91" t="s">
        <v>157</v>
      </c>
      <c r="B97" s="91"/>
      <c r="C97" s="91"/>
      <c r="D97" s="91"/>
      <c r="E97" s="91"/>
      <c r="F97" s="90">
        <v>8500</v>
      </c>
      <c r="G97" s="90"/>
      <c r="H97" s="90"/>
    </row>
    <row r="98" spans="1:8" hidden="1" x14ac:dyDescent="0.25">
      <c r="A98" s="91" t="s">
        <v>159</v>
      </c>
      <c r="B98" s="91"/>
      <c r="C98" s="91"/>
      <c r="D98" s="91"/>
      <c r="E98" s="91"/>
      <c r="F98" s="90"/>
      <c r="G98" s="90"/>
      <c r="H98" s="90"/>
    </row>
    <row r="99" spans="1:8" s="33" customFormat="1" hidden="1" x14ac:dyDescent="0.25">
      <c r="A99" s="91" t="s">
        <v>281</v>
      </c>
      <c r="B99" s="91"/>
      <c r="C99" s="91"/>
      <c r="D99" s="91"/>
      <c r="E99" s="91"/>
      <c r="F99" s="90"/>
      <c r="G99" s="90"/>
      <c r="H99" s="90"/>
    </row>
    <row r="100" spans="1:8" s="33" customFormat="1" x14ac:dyDescent="0.25">
      <c r="A100" s="91" t="s">
        <v>94</v>
      </c>
      <c r="B100" s="91"/>
      <c r="C100" s="91"/>
      <c r="D100" s="91"/>
      <c r="E100" s="91"/>
      <c r="F100" s="90">
        <v>200000</v>
      </c>
      <c r="G100" s="90"/>
      <c r="H100" s="90"/>
    </row>
    <row r="101" spans="1:8" s="33" customFormat="1" x14ac:dyDescent="0.25">
      <c r="A101" s="91" t="s">
        <v>95</v>
      </c>
      <c r="B101" s="91"/>
      <c r="C101" s="91"/>
      <c r="D101" s="91"/>
      <c r="E101" s="91"/>
      <c r="F101" s="90">
        <v>100000</v>
      </c>
      <c r="G101" s="90"/>
      <c r="H101" s="90"/>
    </row>
    <row r="102" spans="1:8" s="33" customFormat="1" hidden="1" x14ac:dyDescent="0.25">
      <c r="A102" s="91" t="s">
        <v>161</v>
      </c>
      <c r="B102" s="91"/>
      <c r="C102" s="91"/>
      <c r="D102" s="91"/>
      <c r="E102" s="91"/>
      <c r="F102" s="90"/>
      <c r="G102" s="90"/>
      <c r="H102" s="90"/>
    </row>
    <row r="103" spans="1:8" s="33" customFormat="1" hidden="1" x14ac:dyDescent="0.25">
      <c r="A103" s="91" t="s">
        <v>96</v>
      </c>
      <c r="B103" s="91"/>
      <c r="C103" s="91"/>
      <c r="D103" s="91"/>
      <c r="E103" s="91"/>
      <c r="F103" s="90"/>
      <c r="G103" s="90"/>
      <c r="H103" s="90"/>
    </row>
    <row r="104" spans="1:8" s="33" customFormat="1" hidden="1" x14ac:dyDescent="0.25">
      <c r="A104" s="91" t="s">
        <v>97</v>
      </c>
      <c r="B104" s="91"/>
      <c r="C104" s="91"/>
      <c r="D104" s="91"/>
      <c r="E104" s="91"/>
      <c r="F104" s="90"/>
      <c r="G104" s="90"/>
      <c r="H104" s="90"/>
    </row>
    <row r="105" spans="1:8" s="33" customFormat="1" x14ac:dyDescent="0.25">
      <c r="A105" s="91" t="s">
        <v>98</v>
      </c>
      <c r="B105" s="91"/>
      <c r="C105" s="91"/>
      <c r="D105" s="91"/>
      <c r="E105" s="91"/>
      <c r="F105" s="90">
        <v>75000</v>
      </c>
      <c r="G105" s="90"/>
      <c r="H105" s="90"/>
    </row>
    <row r="106" spans="1:8" s="33" customFormat="1" hidden="1" x14ac:dyDescent="0.25">
      <c r="A106" s="91" t="s">
        <v>99</v>
      </c>
      <c r="B106" s="91"/>
      <c r="C106" s="91"/>
      <c r="D106" s="91"/>
      <c r="E106" s="91"/>
      <c r="F106" s="90"/>
      <c r="G106" s="90"/>
      <c r="H106" s="90"/>
    </row>
    <row r="107" spans="1:8" x14ac:dyDescent="0.25">
      <c r="A107" s="91" t="s">
        <v>51</v>
      </c>
      <c r="B107" s="91"/>
      <c r="C107" s="91"/>
      <c r="D107" s="91"/>
      <c r="E107" s="91"/>
      <c r="F107" s="147">
        <v>250000</v>
      </c>
      <c r="G107" s="147"/>
      <c r="H107" s="147"/>
    </row>
    <row r="108" spans="1:8" s="34" customFormat="1" x14ac:dyDescent="0.25">
      <c r="A108" s="148" t="s">
        <v>52</v>
      </c>
      <c r="B108" s="148"/>
      <c r="C108" s="148"/>
      <c r="D108" s="148"/>
      <c r="E108" s="148"/>
      <c r="F108" s="90">
        <f>F96*0.8</f>
        <v>4000</v>
      </c>
      <c r="G108" s="90"/>
      <c r="H108" s="90"/>
    </row>
    <row r="109" spans="1:8" s="35" customFormat="1" ht="15.75" customHeight="1" x14ac:dyDescent="0.25">
      <c r="A109" s="103" t="s">
        <v>269</v>
      </c>
      <c r="B109" s="103"/>
      <c r="C109" s="103"/>
      <c r="D109" s="103"/>
      <c r="E109" s="103"/>
      <c r="F109" s="103"/>
      <c r="G109" s="103"/>
      <c r="H109" s="103"/>
    </row>
    <row r="110" spans="1:8" s="35" customFormat="1" ht="15.75" customHeight="1" x14ac:dyDescent="0.25">
      <c r="A110" s="135" t="s">
        <v>53</v>
      </c>
      <c r="B110" s="135"/>
      <c r="C110" s="146" t="s">
        <v>77</v>
      </c>
      <c r="D110" s="146"/>
      <c r="E110" s="132" t="s">
        <v>54</v>
      </c>
      <c r="F110" s="132"/>
      <c r="G110" s="135" t="s">
        <v>55</v>
      </c>
      <c r="H110" s="135"/>
    </row>
    <row r="111" spans="1:8" s="35" customFormat="1" x14ac:dyDescent="0.25">
      <c r="A111" s="134" t="s">
        <v>270</v>
      </c>
      <c r="B111" s="134"/>
      <c r="C111" s="137">
        <f>COUNT(D125:D143)</f>
        <v>19</v>
      </c>
      <c r="D111" s="208"/>
      <c r="E111" s="138">
        <f>SUM(D125:D143)</f>
        <v>3044.3928839999994</v>
      </c>
      <c r="F111" s="149"/>
      <c r="G111" s="138">
        <f>SUM(F125:F143)</f>
        <v>6283.1195622000005</v>
      </c>
      <c r="H111" s="149"/>
    </row>
    <row r="112" spans="1:8" s="35" customFormat="1" x14ac:dyDescent="0.25">
      <c r="A112" s="103" t="s">
        <v>149</v>
      </c>
      <c r="B112" s="103"/>
      <c r="C112" s="145">
        <f t="shared" ref="C112:G112" si="0">SUM(C111)</f>
        <v>19</v>
      </c>
      <c r="D112" s="146"/>
      <c r="E112" s="136">
        <f t="shared" si="0"/>
        <v>3044.3928839999994</v>
      </c>
      <c r="F112" s="132"/>
      <c r="G112" s="135">
        <f t="shared" si="0"/>
        <v>6283.1195622000005</v>
      </c>
      <c r="H112" s="135"/>
    </row>
    <row r="113" spans="1:10" s="35" customFormat="1" x14ac:dyDescent="0.25">
      <c r="A113" s="103" t="s">
        <v>70</v>
      </c>
      <c r="B113" s="103"/>
      <c r="C113" s="103"/>
      <c r="D113" s="103"/>
      <c r="E113" s="103"/>
      <c r="F113" s="103"/>
      <c r="G113" s="103"/>
      <c r="H113" s="103"/>
    </row>
    <row r="114" spans="1:10" s="35" customFormat="1" ht="15.75" customHeight="1" x14ac:dyDescent="0.25">
      <c r="A114" s="135" t="s">
        <v>53</v>
      </c>
      <c r="B114" s="135"/>
      <c r="C114" s="146" t="s">
        <v>77</v>
      </c>
      <c r="D114" s="146"/>
      <c r="E114" s="132" t="s">
        <v>54</v>
      </c>
      <c r="F114" s="132"/>
      <c r="G114" s="135" t="s">
        <v>55</v>
      </c>
      <c r="H114" s="135"/>
    </row>
    <row r="115" spans="1:10" s="35" customFormat="1" x14ac:dyDescent="0.25">
      <c r="A115" s="134" t="s">
        <v>267</v>
      </c>
      <c r="B115" s="134"/>
      <c r="C115" s="137">
        <f>COUNT(D148:D152,D154)+COUNT(D156:D162)*8+COUNT(D164:D167)+COUNT(D169:D170)+COUNT(D172)+COUNT(D176:D178)</f>
        <v>72</v>
      </c>
      <c r="D115" s="137"/>
      <c r="E115" s="138">
        <f>SUM(D148:D152,D154)+SUM(D156:D162)*8+SUM(D164:D167)+SUM(D169:D170)+SUM(D172)+SUM(D176:D178)</f>
        <v>35409.173669999996</v>
      </c>
      <c r="F115" s="138"/>
      <c r="G115" s="138">
        <f>SUM(F148:F152,F154)+SUM(F156:F162)*8+SUM(F164:F167)+SUM(F169:F170)+SUM(F172)+SUM(F176:F178)</f>
        <v>53363.202750000004</v>
      </c>
      <c r="H115" s="138"/>
    </row>
    <row r="116" spans="1:10" s="35" customFormat="1" x14ac:dyDescent="0.25">
      <c r="A116" s="134" t="s">
        <v>268</v>
      </c>
      <c r="B116" s="134"/>
      <c r="C116" s="137">
        <f>COUNT(D181:D185,D187)+COUNT(D189:D195)*8+COUNT(D197:D200)+COUNT(D202:D203)+COUNT(D205)+COUNT(D209:D211)</f>
        <v>72</v>
      </c>
      <c r="D116" s="137"/>
      <c r="E116" s="138">
        <f>SUM(D181:D185,D187)+SUM(D189:D195)*8+SUM(D197:D200)+SUM(D202:D203)+SUM(D205)+SUM(D209:D211)</f>
        <v>35409.173669999996</v>
      </c>
      <c r="F116" s="138"/>
      <c r="G116" s="138">
        <f>SUM(F181:F185,F187)+SUM(F189:F195)*8+SUM(F197:F200)+SUM(F202:F203)+SUM(F205)+SUM(F209:F211)</f>
        <v>53363.202750000004</v>
      </c>
      <c r="H116" s="138"/>
    </row>
    <row r="117" spans="1:10" s="35" customFormat="1" x14ac:dyDescent="0.25">
      <c r="A117" s="103" t="s">
        <v>149</v>
      </c>
      <c r="B117" s="103"/>
      <c r="C117" s="145">
        <f>SUM(C115:C116)</f>
        <v>144</v>
      </c>
      <c r="D117" s="146"/>
      <c r="E117" s="136">
        <f>SUM(E115:E116)</f>
        <v>70818.347339999993</v>
      </c>
      <c r="F117" s="136"/>
      <c r="G117" s="135">
        <f>SUM(G115:G116)</f>
        <v>106726.40550000001</v>
      </c>
      <c r="H117" s="135"/>
    </row>
    <row r="118" spans="1:10" s="35" customFormat="1" x14ac:dyDescent="0.25">
      <c r="A118" s="103" t="s">
        <v>167</v>
      </c>
      <c r="B118" s="103"/>
      <c r="C118" s="146">
        <f>C112+C117</f>
        <v>163</v>
      </c>
      <c r="D118" s="146"/>
      <c r="E118" s="136">
        <f>E112+E117</f>
        <v>73862.740223999994</v>
      </c>
      <c r="F118" s="136"/>
      <c r="G118" s="135">
        <f>G112+G117</f>
        <v>113009.5250622</v>
      </c>
      <c r="H118" s="135"/>
    </row>
    <row r="119" spans="1:10" s="34" customFormat="1" x14ac:dyDescent="0.25">
      <c r="A119" s="133" t="s">
        <v>56</v>
      </c>
      <c r="B119" s="133"/>
      <c r="C119" s="133"/>
      <c r="D119" s="133"/>
      <c r="E119" s="133"/>
      <c r="F119" s="133"/>
      <c r="G119" s="133"/>
      <c r="H119" s="133"/>
    </row>
    <row r="120" spans="1:10" x14ac:dyDescent="0.25">
      <c r="A120" s="167" t="s">
        <v>174</v>
      </c>
      <c r="B120" s="167"/>
      <c r="C120" s="167"/>
      <c r="D120" s="167"/>
      <c r="E120" s="167"/>
      <c r="F120" s="167"/>
      <c r="G120" s="167"/>
      <c r="H120" s="167"/>
    </row>
    <row r="121" spans="1:10" ht="47.25" customHeight="1" x14ac:dyDescent="0.25">
      <c r="A121" s="92" t="s">
        <v>119</v>
      </c>
      <c r="B121" s="92" t="s">
        <v>175</v>
      </c>
      <c r="C121" s="92" t="s">
        <v>57</v>
      </c>
      <c r="D121" s="92" t="s">
        <v>58</v>
      </c>
      <c r="E121" s="122" t="s">
        <v>155</v>
      </c>
      <c r="F121" s="43" t="s">
        <v>148</v>
      </c>
      <c r="G121" s="124" t="s">
        <v>60</v>
      </c>
      <c r="H121" s="125"/>
      <c r="I121" s="64">
        <v>10.763999999999999</v>
      </c>
    </row>
    <row r="122" spans="1:10" s="37" customFormat="1" x14ac:dyDescent="0.25">
      <c r="A122" s="93"/>
      <c r="B122" s="93"/>
      <c r="C122" s="93"/>
      <c r="D122" s="93"/>
      <c r="E122" s="123"/>
      <c r="F122" s="13">
        <v>0.55000000000000004</v>
      </c>
      <c r="G122" s="126"/>
      <c r="H122" s="127"/>
    </row>
    <row r="123" spans="1:10" s="61" customFormat="1" x14ac:dyDescent="0.25">
      <c r="A123" s="128" t="s">
        <v>280</v>
      </c>
      <c r="B123" s="129"/>
      <c r="C123" s="129"/>
      <c r="D123" s="129"/>
      <c r="E123" s="129"/>
      <c r="F123" s="129"/>
      <c r="G123" s="129"/>
      <c r="H123" s="130"/>
    </row>
    <row r="124" spans="1:10" s="37" customFormat="1" x14ac:dyDescent="0.25">
      <c r="A124" s="119" t="s">
        <v>249</v>
      </c>
      <c r="B124" s="120"/>
      <c r="C124" s="120"/>
      <c r="D124" s="120"/>
      <c r="E124" s="120"/>
      <c r="F124" s="120"/>
      <c r="G124" s="120"/>
      <c r="H124" s="121"/>
      <c r="J124" s="36"/>
    </row>
    <row r="125" spans="1:10" s="61" customFormat="1" ht="15.75" customHeight="1" x14ac:dyDescent="0.25">
      <c r="A125" s="111">
        <v>1</v>
      </c>
      <c r="B125" s="113"/>
      <c r="C125" s="42" t="s">
        <v>266</v>
      </c>
      <c r="D125" s="64">
        <f>(13.267)*10.764</f>
        <v>142.80598799999999</v>
      </c>
      <c r="E125" s="64">
        <f>(3.05*1.6)*10.764</f>
        <v>52.528319999999994</v>
      </c>
      <c r="F125" s="42">
        <f>(D125+E125)*(($F$122)+1)</f>
        <v>302.76817739999996</v>
      </c>
      <c r="G125" s="105" t="str">
        <f>A124</f>
        <v>Ground Floor For  Entrance Lobby, Meter Room &amp; Parking</v>
      </c>
      <c r="H125" s="106"/>
      <c r="I125" s="61">
        <f>3.05*3.3+1.8*1+1.2*0.9</f>
        <v>12.945</v>
      </c>
      <c r="J125" s="36">
        <f>3.05*4.35</f>
        <v>13.267499999999998</v>
      </c>
    </row>
    <row r="126" spans="1:10" s="61" customFormat="1" ht="15.75" customHeight="1" x14ac:dyDescent="0.25">
      <c r="A126" s="111">
        <f t="shared" ref="A126:A137" si="1">A125+1</f>
        <v>2</v>
      </c>
      <c r="B126" s="113"/>
      <c r="C126" s="62" t="s">
        <v>266</v>
      </c>
      <c r="D126" s="64">
        <f>(11.962)*10.764</f>
        <v>128.75896799999998</v>
      </c>
      <c r="E126" s="64">
        <f>(2.75*1.6)*10.764</f>
        <v>47.361600000000003</v>
      </c>
      <c r="F126" s="42">
        <f t="shared" ref="F126:F128" si="2">(D126+E126)*(($F$122)+1)</f>
        <v>272.98688040000002</v>
      </c>
      <c r="G126" s="107"/>
      <c r="H126" s="108"/>
      <c r="I126" s="61">
        <f>2.75*3.3+1.8*1+1.2*0.9</f>
        <v>11.955</v>
      </c>
      <c r="J126" s="36"/>
    </row>
    <row r="127" spans="1:10" s="61" customFormat="1" ht="15.75" customHeight="1" x14ac:dyDescent="0.25">
      <c r="A127" s="111">
        <f t="shared" si="1"/>
        <v>3</v>
      </c>
      <c r="B127" s="113"/>
      <c r="C127" s="62" t="s">
        <v>266</v>
      </c>
      <c r="D127" s="64">
        <f>(13.267)*10.764</f>
        <v>142.80598799999999</v>
      </c>
      <c r="E127" s="64">
        <f>(3.05*1.6)*10.764</f>
        <v>52.528319999999994</v>
      </c>
      <c r="F127" s="42">
        <f t="shared" si="2"/>
        <v>302.76817739999996</v>
      </c>
      <c r="G127" s="107"/>
      <c r="H127" s="108"/>
      <c r="J127" s="36"/>
    </row>
    <row r="128" spans="1:10" s="61" customFormat="1" ht="15.75" customHeight="1" x14ac:dyDescent="0.25">
      <c r="A128" s="111">
        <f t="shared" si="1"/>
        <v>4</v>
      </c>
      <c r="B128" s="113"/>
      <c r="C128" s="62" t="s">
        <v>266</v>
      </c>
      <c r="D128" s="64">
        <f>(13.485)*10.764</f>
        <v>145.15253999999999</v>
      </c>
      <c r="E128" s="64">
        <f>(3.1*1.6)*10.764</f>
        <v>53.389440000000008</v>
      </c>
      <c r="F128" s="42">
        <f t="shared" si="2"/>
        <v>307.74006900000001</v>
      </c>
      <c r="G128" s="107"/>
      <c r="H128" s="108"/>
      <c r="J128" s="36"/>
    </row>
    <row r="129" spans="1:14" s="61" customFormat="1" x14ac:dyDescent="0.25">
      <c r="A129" s="111">
        <f t="shared" si="1"/>
        <v>5</v>
      </c>
      <c r="B129" s="113"/>
      <c r="C129" s="62" t="s">
        <v>266</v>
      </c>
      <c r="D129" s="64">
        <f>(8.917)*10.764</f>
        <v>95.982587999999993</v>
      </c>
      <c r="E129" s="64">
        <f>(2.05*1.6)*10.764</f>
        <v>35.305919999999993</v>
      </c>
      <c r="F129" s="60">
        <f>(D129+E129)*(($F$122)+1)</f>
        <v>203.49718739999997</v>
      </c>
      <c r="G129" s="107"/>
      <c r="H129" s="108"/>
      <c r="J129" s="36"/>
      <c r="K129" s="61">
        <f>8500*F129</f>
        <v>1729726.0928999998</v>
      </c>
      <c r="L129" s="61">
        <f>300000/F129</f>
        <v>1474.2218496136327</v>
      </c>
    </row>
    <row r="130" spans="1:14" s="61" customFormat="1" x14ac:dyDescent="0.25">
      <c r="A130" s="111">
        <f t="shared" si="1"/>
        <v>6</v>
      </c>
      <c r="B130" s="113"/>
      <c r="C130" s="62" t="s">
        <v>266</v>
      </c>
      <c r="D130" s="64">
        <f>(11.745)*10.764</f>
        <v>126.42317999999999</v>
      </c>
      <c r="E130" s="64">
        <f>(2.7*1.6)*10.764</f>
        <v>46.500480000000003</v>
      </c>
      <c r="F130" s="60">
        <f t="shared" ref="F130:F132" si="3">(D130+E130)*(($F$122)+1)</f>
        <v>268.03167299999996</v>
      </c>
      <c r="G130" s="107"/>
      <c r="H130" s="108"/>
      <c r="J130" s="36"/>
    </row>
    <row r="131" spans="1:14" s="61" customFormat="1" x14ac:dyDescent="0.25">
      <c r="A131" s="111">
        <f t="shared" si="1"/>
        <v>7</v>
      </c>
      <c r="B131" s="113"/>
      <c r="C131" s="62" t="s">
        <v>266</v>
      </c>
      <c r="D131" s="64">
        <f>(15.035)*10.764</f>
        <v>161.83673999999999</v>
      </c>
      <c r="E131" s="64">
        <f>(3.1*1.6)*10.764</f>
        <v>53.389440000000008</v>
      </c>
      <c r="F131" s="60">
        <f t="shared" si="3"/>
        <v>333.60057899999998</v>
      </c>
      <c r="G131" s="107"/>
      <c r="H131" s="108"/>
      <c r="I131" s="61">
        <f>4.5*3.1</f>
        <v>13.950000000000001</v>
      </c>
      <c r="J131" s="36"/>
    </row>
    <row r="132" spans="1:14" s="61" customFormat="1" x14ac:dyDescent="0.25">
      <c r="A132" s="111">
        <f t="shared" si="1"/>
        <v>8</v>
      </c>
      <c r="B132" s="113"/>
      <c r="C132" s="62" t="s">
        <v>266</v>
      </c>
      <c r="D132" s="64">
        <f>(18.2)*10.764</f>
        <v>195.90479999999999</v>
      </c>
      <c r="E132" s="64">
        <f>(2.8*2)*10.764</f>
        <v>60.278399999999991</v>
      </c>
      <c r="F132" s="60">
        <f t="shared" si="3"/>
        <v>397.08395999999999</v>
      </c>
      <c r="G132" s="107"/>
      <c r="H132" s="108"/>
      <c r="J132" s="36">
        <f>2.8*6.85</f>
        <v>19.179999999999996</v>
      </c>
    </row>
    <row r="133" spans="1:14" s="37" customFormat="1" x14ac:dyDescent="0.25">
      <c r="A133" s="111">
        <f t="shared" si="1"/>
        <v>9</v>
      </c>
      <c r="B133" s="113"/>
      <c r="C133" s="62" t="s">
        <v>266</v>
      </c>
      <c r="D133" s="64">
        <f>(19.5)*10.764</f>
        <v>209.898</v>
      </c>
      <c r="E133" s="64">
        <f>(3*2)*10.764</f>
        <v>64.584000000000003</v>
      </c>
      <c r="F133" s="60">
        <f t="shared" ref="F133" si="4">(D133+E133)*(($F$122)+1)</f>
        <v>425.44709999999998</v>
      </c>
      <c r="G133" s="107"/>
      <c r="H133" s="108"/>
      <c r="I133" s="36"/>
      <c r="N133" s="36"/>
    </row>
    <row r="134" spans="1:14" ht="17.25" customHeight="1" x14ac:dyDescent="0.25">
      <c r="A134" s="111">
        <f t="shared" si="1"/>
        <v>10</v>
      </c>
      <c r="B134" s="113"/>
      <c r="C134" s="62" t="s">
        <v>266</v>
      </c>
      <c r="D134" s="64">
        <f>(23.725)*10.764</f>
        <v>255.3759</v>
      </c>
      <c r="E134" s="64">
        <f>(3.6*2)*10.764</f>
        <v>77.500799999999998</v>
      </c>
      <c r="F134" s="60">
        <f t="shared" ref="F134" si="5">(D134+E134)*(($F$122)+1)</f>
        <v>515.95888500000001</v>
      </c>
      <c r="G134" s="107"/>
      <c r="H134" s="108"/>
      <c r="I134" s="36">
        <f>3.6*5.4+2.4*1+1.2*0.9</f>
        <v>22.92</v>
      </c>
    </row>
    <row r="135" spans="1:14" s="37" customFormat="1" x14ac:dyDescent="0.25">
      <c r="A135" s="111">
        <f t="shared" si="1"/>
        <v>11</v>
      </c>
      <c r="B135" s="113"/>
      <c r="C135" s="62" t="s">
        <v>266</v>
      </c>
      <c r="D135" s="64">
        <f>(19.5)*10.764</f>
        <v>209.898</v>
      </c>
      <c r="E135" s="64">
        <f>(3*2)*10.764</f>
        <v>64.584000000000003</v>
      </c>
      <c r="F135" s="60">
        <f t="shared" ref="F135" si="6">(D135+E135)*(($F$122)+1)</f>
        <v>425.44709999999998</v>
      </c>
      <c r="G135" s="107"/>
      <c r="H135" s="108"/>
      <c r="I135" s="36"/>
    </row>
    <row r="136" spans="1:14" s="37" customFormat="1" x14ac:dyDescent="0.25">
      <c r="A136" s="111">
        <f t="shared" si="1"/>
        <v>12</v>
      </c>
      <c r="B136" s="113"/>
      <c r="C136" s="62" t="s">
        <v>266</v>
      </c>
      <c r="D136" s="64">
        <f>(18.2)*10.764</f>
        <v>195.90479999999999</v>
      </c>
      <c r="E136" s="64">
        <f>(2.8*2)*10.764</f>
        <v>60.278399999999991</v>
      </c>
      <c r="F136" s="60">
        <f t="shared" ref="F136" si="7">(D136+E136)*(($F$122)+1)</f>
        <v>397.08395999999999</v>
      </c>
      <c r="G136" s="107"/>
      <c r="H136" s="108"/>
      <c r="J136" s="36"/>
    </row>
    <row r="137" spans="1:14" s="37" customFormat="1" x14ac:dyDescent="0.25">
      <c r="A137" s="111">
        <f t="shared" si="1"/>
        <v>13</v>
      </c>
      <c r="B137" s="113"/>
      <c r="C137" s="62" t="s">
        <v>266</v>
      </c>
      <c r="D137" s="64">
        <f>(15.035)*10.764</f>
        <v>161.83673999999999</v>
      </c>
      <c r="E137" s="64">
        <f>(3.1*1.6)*10.764</f>
        <v>53.389440000000008</v>
      </c>
      <c r="F137" s="60">
        <f t="shared" ref="F137" si="8">(D137+E137)*(($F$122)+1)</f>
        <v>333.60057899999998</v>
      </c>
      <c r="G137" s="107"/>
      <c r="H137" s="108"/>
      <c r="I137" s="36"/>
      <c r="L137" s="118"/>
      <c r="M137" s="118"/>
      <c r="N137" s="36"/>
    </row>
    <row r="138" spans="1:14" s="61" customFormat="1" x14ac:dyDescent="0.25">
      <c r="A138" s="111">
        <f t="shared" ref="A138:A143" si="9">A137+1</f>
        <v>14</v>
      </c>
      <c r="B138" s="113"/>
      <c r="C138" s="62" t="s">
        <v>266</v>
      </c>
      <c r="D138" s="64">
        <f>(13.095)*10.764</f>
        <v>140.95457999999999</v>
      </c>
      <c r="E138" s="64">
        <f>(2.7*1.6)*10.764</f>
        <v>46.500480000000003</v>
      </c>
      <c r="F138" s="60">
        <f t="shared" ref="F138" si="10">(D138+E138)*(($F$122)+1)</f>
        <v>290.55534299999999</v>
      </c>
      <c r="G138" s="107"/>
      <c r="H138" s="108"/>
      <c r="I138" s="36"/>
      <c r="N138" s="36"/>
    </row>
    <row r="139" spans="1:14" s="61" customFormat="1" x14ac:dyDescent="0.25">
      <c r="A139" s="111">
        <f t="shared" si="9"/>
        <v>15</v>
      </c>
      <c r="B139" s="113"/>
      <c r="C139" s="62" t="s">
        <v>266</v>
      </c>
      <c r="D139" s="64">
        <f>(9.942)*10.764</f>
        <v>107.015688</v>
      </c>
      <c r="E139" s="64">
        <f>(2.05*1.6)*10.764</f>
        <v>35.305919999999993</v>
      </c>
      <c r="F139" s="60">
        <f t="shared" ref="F139" si="11">(D139+E139)*(($F$122)+1)</f>
        <v>220.5984924</v>
      </c>
      <c r="G139" s="107"/>
      <c r="H139" s="108"/>
      <c r="N139" s="36"/>
    </row>
    <row r="140" spans="1:14" s="61" customFormat="1" x14ac:dyDescent="0.25">
      <c r="A140" s="111">
        <f t="shared" si="9"/>
        <v>16</v>
      </c>
      <c r="B140" s="113"/>
      <c r="C140" s="62" t="s">
        <v>266</v>
      </c>
      <c r="D140" s="64">
        <f>(15.035)*10.764</f>
        <v>161.83673999999999</v>
      </c>
      <c r="E140" s="64">
        <f>(3.1*1.6)*10.764</f>
        <v>53.389440000000008</v>
      </c>
      <c r="F140" s="60">
        <f t="shared" ref="F140" si="12">(D140+E140)*(($F$122)+1)</f>
        <v>333.60057899999998</v>
      </c>
      <c r="G140" s="107"/>
      <c r="H140" s="108"/>
      <c r="I140" s="36"/>
      <c r="N140" s="36"/>
    </row>
    <row r="141" spans="1:14" s="61" customFormat="1" x14ac:dyDescent="0.25">
      <c r="A141" s="111">
        <f t="shared" si="9"/>
        <v>17</v>
      </c>
      <c r="B141" s="113"/>
      <c r="C141" s="62" t="s">
        <v>266</v>
      </c>
      <c r="D141" s="64">
        <f>14.792*10.764</f>
        <v>159.22108799999998</v>
      </c>
      <c r="E141" s="64">
        <f>(3.05*1.6)*10.764</f>
        <v>52.528319999999994</v>
      </c>
      <c r="F141" s="60">
        <f t="shared" ref="F141" si="13">(D141+E141)*(($F$122)+1)</f>
        <v>328.21158239999994</v>
      </c>
      <c r="G141" s="107"/>
      <c r="H141" s="108"/>
      <c r="I141" s="36">
        <f>14.792*10.764</f>
        <v>159.22108799999998</v>
      </c>
      <c r="N141" s="36"/>
    </row>
    <row r="142" spans="1:14" s="61" customFormat="1" x14ac:dyDescent="0.25">
      <c r="A142" s="111">
        <f t="shared" si="9"/>
        <v>18</v>
      </c>
      <c r="B142" s="113"/>
      <c r="C142" s="62" t="s">
        <v>266</v>
      </c>
      <c r="D142" s="64">
        <f>(13.337)*10.764</f>
        <v>143.55946799999998</v>
      </c>
      <c r="E142" s="64">
        <f>(2.75*1.6)*10.764</f>
        <v>47.361600000000003</v>
      </c>
      <c r="F142" s="60">
        <f t="shared" ref="F142" si="14">(D142+E142)*(($F$122)+1)</f>
        <v>295.92765539999999</v>
      </c>
      <c r="G142" s="107"/>
      <c r="H142" s="108"/>
      <c r="I142" s="36"/>
      <c r="N142" s="36"/>
    </row>
    <row r="143" spans="1:14" s="61" customFormat="1" x14ac:dyDescent="0.25">
      <c r="A143" s="111">
        <f t="shared" si="9"/>
        <v>19</v>
      </c>
      <c r="B143" s="113"/>
      <c r="C143" s="62" t="s">
        <v>266</v>
      </c>
      <c r="D143" s="64">
        <f>(14.792)*10.764</f>
        <v>159.22108799999998</v>
      </c>
      <c r="E143" s="64">
        <f>(3.05*1.6)*10.764</f>
        <v>52.528319999999994</v>
      </c>
      <c r="F143" s="60">
        <f t="shared" ref="F143" si="15">(D143+E143)*(($F$122)+1)</f>
        <v>328.21158239999994</v>
      </c>
      <c r="G143" s="109"/>
      <c r="H143" s="110"/>
      <c r="I143" s="36"/>
      <c r="J143" s="36">
        <f>3.05*4.85</f>
        <v>14.792499999999999</v>
      </c>
      <c r="N143" s="36"/>
    </row>
    <row r="144" spans="1:14" s="37" customFormat="1" ht="47.25" x14ac:dyDescent="0.25">
      <c r="A144" s="124" t="s">
        <v>120</v>
      </c>
      <c r="B144" s="92" t="s">
        <v>176</v>
      </c>
      <c r="C144" s="92" t="s">
        <v>57</v>
      </c>
      <c r="D144" s="92" t="s">
        <v>58</v>
      </c>
      <c r="E144" s="122" t="s">
        <v>59</v>
      </c>
      <c r="F144" s="56" t="s">
        <v>148</v>
      </c>
      <c r="G144" s="124" t="s">
        <v>60</v>
      </c>
      <c r="H144" s="125"/>
      <c r="I144" s="36"/>
      <c r="L144" s="118"/>
      <c r="M144" s="118"/>
    </row>
    <row r="145" spans="1:14" s="37" customFormat="1" x14ac:dyDescent="0.25">
      <c r="A145" s="126"/>
      <c r="B145" s="93"/>
      <c r="C145" s="93"/>
      <c r="D145" s="93"/>
      <c r="E145" s="123"/>
      <c r="F145" s="13">
        <v>0.5</v>
      </c>
      <c r="G145" s="126"/>
      <c r="H145" s="127"/>
      <c r="I145" s="36"/>
      <c r="N145" s="36"/>
    </row>
    <row r="146" spans="1:14" s="63" customFormat="1" x14ac:dyDescent="0.25">
      <c r="A146" s="128" t="s">
        <v>255</v>
      </c>
      <c r="B146" s="129"/>
      <c r="C146" s="129"/>
      <c r="D146" s="129"/>
      <c r="E146" s="129"/>
      <c r="F146" s="129"/>
      <c r="G146" s="129"/>
      <c r="H146" s="130"/>
      <c r="I146" s="36"/>
      <c r="N146" s="36"/>
    </row>
    <row r="147" spans="1:14" s="63" customFormat="1" x14ac:dyDescent="0.25">
      <c r="A147" s="114" t="s">
        <v>253</v>
      </c>
      <c r="B147" s="114"/>
      <c r="C147" s="114"/>
      <c r="D147" s="114"/>
      <c r="E147" s="114"/>
      <c r="F147" s="114"/>
      <c r="G147" s="114"/>
      <c r="H147" s="114"/>
      <c r="I147" s="36"/>
      <c r="N147" s="36"/>
    </row>
    <row r="148" spans="1:14" s="63" customFormat="1" ht="15.75" customHeight="1" x14ac:dyDescent="0.25">
      <c r="A148" s="73">
        <v>1</v>
      </c>
      <c r="B148" s="73"/>
      <c r="C148" s="69" t="s">
        <v>250</v>
      </c>
      <c r="D148" s="64">
        <f>(51.985)*10.764</f>
        <v>559.56653999999992</v>
      </c>
      <c r="E148" s="64">
        <f>(3.15*1.8+0.4*2.25+3*1.4)*10.764</f>
        <v>115.92827999999999</v>
      </c>
      <c r="F148" s="69">
        <f t="shared" ref="F148:F154" si="16">D148*(($F$145)+1)+(IF(E148&lt;101,E148,IF(E148&lt;201,E148/2,IF(E148&lt;=301,E148/3,E148/4))))</f>
        <v>897.31394999999998</v>
      </c>
      <c r="G148" s="73" t="str">
        <f>A147</f>
        <v>1st Floor For Residential (Part Driver's Room)</v>
      </c>
      <c r="H148" s="73"/>
      <c r="I148" s="63">
        <f>3.15*1.8+0.4*2.05+3*1.4</f>
        <v>10.69</v>
      </c>
      <c r="J148" s="61"/>
      <c r="K148" s="61">
        <f>3.15*1.8</f>
        <v>5.67</v>
      </c>
      <c r="L148" s="67">
        <f>4800000/F148</f>
        <v>5349.2983141519198</v>
      </c>
      <c r="N148" s="36"/>
    </row>
    <row r="149" spans="1:14" s="63" customFormat="1" ht="15.75" customHeight="1" x14ac:dyDescent="0.25">
      <c r="A149" s="73">
        <f t="shared" ref="A149:A152" si="17">A148+1</f>
        <v>2</v>
      </c>
      <c r="B149" s="73"/>
      <c r="C149" s="69" t="s">
        <v>250</v>
      </c>
      <c r="D149" s="64">
        <f>(52.472)*10.764</f>
        <v>564.80860799999994</v>
      </c>
      <c r="E149" s="64">
        <f>(3.15*1.8)*10.764</f>
        <v>61.031879999999994</v>
      </c>
      <c r="F149" s="69">
        <f t="shared" si="16"/>
        <v>908.24479199999996</v>
      </c>
      <c r="G149" s="73"/>
      <c r="H149" s="73"/>
      <c r="I149" s="36">
        <f>3.15*4.5+1.2*3+2.75*2+2.8*3.05+3.05*3.4+1*1.2+2.05*1.1+2.05*1.05+1*2.8</f>
        <v>50.592500000000001</v>
      </c>
      <c r="J149" s="63">
        <f>3.15*1.8</f>
        <v>5.67</v>
      </c>
      <c r="K149" s="63">
        <f>3.15*1.8+2.3*0.4</f>
        <v>6.59</v>
      </c>
      <c r="L149" s="67">
        <f>4852000/F149</f>
        <v>5342.1721134405361</v>
      </c>
      <c r="N149" s="36"/>
    </row>
    <row r="150" spans="1:14" s="63" customFormat="1" ht="15.75" customHeight="1" x14ac:dyDescent="0.25">
      <c r="A150" s="73">
        <f t="shared" si="17"/>
        <v>3</v>
      </c>
      <c r="B150" s="73"/>
      <c r="C150" s="69" t="s">
        <v>251</v>
      </c>
      <c r="D150" s="64">
        <f>(31.412+(2.9))*10.764</f>
        <v>369.33436799999993</v>
      </c>
      <c r="E150" s="64">
        <v>0</v>
      </c>
      <c r="F150" s="69">
        <f t="shared" si="16"/>
        <v>554.00155199999995</v>
      </c>
      <c r="G150" s="73"/>
      <c r="H150" s="73"/>
      <c r="I150" s="36"/>
      <c r="L150" s="67"/>
      <c r="N150" s="36"/>
    </row>
    <row r="151" spans="1:14" s="63" customFormat="1" ht="15.75" customHeight="1" x14ac:dyDescent="0.25">
      <c r="A151" s="73">
        <f t="shared" si="17"/>
        <v>4</v>
      </c>
      <c r="B151" s="73"/>
      <c r="C151" s="69" t="s">
        <v>251</v>
      </c>
      <c r="D151" s="64">
        <f>(31.585+(3.19))*10.764</f>
        <v>374.31809999999996</v>
      </c>
      <c r="E151" s="64">
        <v>0</v>
      </c>
      <c r="F151" s="69">
        <f t="shared" si="16"/>
        <v>561.47714999999994</v>
      </c>
      <c r="G151" s="73"/>
      <c r="H151" s="73"/>
      <c r="I151" s="36">
        <f>3.95*2.8+1.1*1.6+2.35*1.8+2.75*2.75+1.1*1.65+1.1*1.7+1.8*0.9</f>
        <v>29.917500000000004</v>
      </c>
      <c r="J151" s="63">
        <f>2.9*1</f>
        <v>2.9</v>
      </c>
      <c r="L151" s="67"/>
      <c r="N151" s="36"/>
    </row>
    <row r="152" spans="1:14" s="63" customFormat="1" ht="15.75" customHeight="1" x14ac:dyDescent="0.25">
      <c r="A152" s="73">
        <f t="shared" si="17"/>
        <v>5</v>
      </c>
      <c r="B152" s="73"/>
      <c r="C152" s="69" t="s">
        <v>251</v>
      </c>
      <c r="D152" s="64">
        <f>(29.999+(1.86))*10.764</f>
        <v>342.93027599999994</v>
      </c>
      <c r="E152" s="64">
        <v>0</v>
      </c>
      <c r="F152" s="69">
        <f t="shared" si="16"/>
        <v>514.39541399999985</v>
      </c>
      <c r="G152" s="73"/>
      <c r="H152" s="73"/>
      <c r="I152" s="36"/>
      <c r="L152" s="67">
        <f>2700000/F152</f>
        <v>5248.8803875689309</v>
      </c>
      <c r="N152" s="36"/>
    </row>
    <row r="153" spans="1:14" s="66" customFormat="1" x14ac:dyDescent="0.25">
      <c r="A153" s="73" t="s">
        <v>254</v>
      </c>
      <c r="B153" s="73"/>
      <c r="C153" s="73" t="s">
        <v>252</v>
      </c>
      <c r="D153" s="73"/>
      <c r="E153" s="73"/>
      <c r="F153" s="73"/>
      <c r="G153" s="73"/>
      <c r="H153" s="73"/>
      <c r="I153" s="36"/>
      <c r="N153" s="36"/>
    </row>
    <row r="154" spans="1:14" s="63" customFormat="1" ht="15.75" customHeight="1" x14ac:dyDescent="0.25">
      <c r="A154" s="73">
        <f>A152+1</f>
        <v>6</v>
      </c>
      <c r="B154" s="73"/>
      <c r="C154" s="69" t="s">
        <v>251</v>
      </c>
      <c r="D154" s="64">
        <f>(37.14)*10.764</f>
        <v>399.77495999999996</v>
      </c>
      <c r="E154" s="64">
        <f>(48.475)*10.764</f>
        <v>521.78489999999999</v>
      </c>
      <c r="F154" s="69">
        <f t="shared" si="16"/>
        <v>730.10866499999997</v>
      </c>
      <c r="G154" s="73"/>
      <c r="H154" s="73"/>
      <c r="I154" s="36">
        <f>2.7*3.65+1.8*2.65+2.7*2.75+1.1*1.9+1.1*1.75+3.1*0.9</f>
        <v>28.855</v>
      </c>
      <c r="J154" s="63">
        <f>1.55*1.2</f>
        <v>1.8599999999999999</v>
      </c>
      <c r="K154" s="63">
        <f>4.55*6.5+3.4*5.5</f>
        <v>48.274999999999999</v>
      </c>
    </row>
    <row r="155" spans="1:14" s="63" customFormat="1" x14ac:dyDescent="0.25">
      <c r="A155" s="114" t="s">
        <v>257</v>
      </c>
      <c r="B155" s="114"/>
      <c r="C155" s="114"/>
      <c r="D155" s="114"/>
      <c r="E155" s="114"/>
      <c r="F155" s="114"/>
      <c r="G155" s="114"/>
      <c r="H155" s="114"/>
      <c r="I155" s="63">
        <f>4.55*6.5+6.75*5.6+4.55*6.5</f>
        <v>96.95</v>
      </c>
      <c r="J155" s="63">
        <f>I155/2</f>
        <v>48.475000000000001</v>
      </c>
      <c r="K155" s="36"/>
      <c r="L155" s="63">
        <v>5000</v>
      </c>
      <c r="M155" s="63">
        <v>375000</v>
      </c>
    </row>
    <row r="156" spans="1:14" s="63" customFormat="1" ht="15.75" customHeight="1" x14ac:dyDescent="0.25">
      <c r="A156" s="73">
        <v>1</v>
      </c>
      <c r="B156" s="73"/>
      <c r="C156" s="69" t="s">
        <v>250</v>
      </c>
      <c r="D156" s="64">
        <f>(51.985+(3.15)+0.75*2.05+0.75*2.8+0.75*3.1)*10.764</f>
        <v>657.65349000000003</v>
      </c>
      <c r="E156" s="64">
        <v>0</v>
      </c>
      <c r="F156" s="69">
        <f t="shared" ref="F156:F157" si="18">D156*(($F$145)+1)+(IF(E156&lt;101,E156,IF(E156&lt;201,E156/2,IF(E156&lt;=301,E156/3,E156/4))))</f>
        <v>986.48023499999999</v>
      </c>
      <c r="G156" s="73" t="str">
        <f>A155</f>
        <v>2nd to 7th, 9th &amp; 10th Floor</v>
      </c>
      <c r="H156" s="73"/>
      <c r="K156" s="36"/>
      <c r="L156" s="63">
        <f>L$155*F156+M$155</f>
        <v>5307401.1749999998</v>
      </c>
      <c r="N156" s="36"/>
    </row>
    <row r="157" spans="1:14" s="63" customFormat="1" ht="15.75" customHeight="1" x14ac:dyDescent="0.25">
      <c r="A157" s="73">
        <f t="shared" ref="A157:A162" si="19">A156+1</f>
        <v>2</v>
      </c>
      <c r="B157" s="73"/>
      <c r="C157" s="69" t="s">
        <v>250</v>
      </c>
      <c r="D157" s="64">
        <f>(52.472+(3.15)+2.8*0.75+3.05*0.75+2*0.75)*10.764</f>
        <v>662.088258</v>
      </c>
      <c r="E157" s="64">
        <v>0</v>
      </c>
      <c r="F157" s="69">
        <f t="shared" si="18"/>
        <v>993.13238699999999</v>
      </c>
      <c r="G157" s="73"/>
      <c r="H157" s="73"/>
      <c r="I157" s="36"/>
      <c r="L157" s="66">
        <f t="shared" ref="L157:L162" si="20">L$155*F157+M$155</f>
        <v>5340661.9349999996</v>
      </c>
      <c r="N157" s="36"/>
    </row>
    <row r="158" spans="1:14" s="63" customFormat="1" ht="15.75" customHeight="1" x14ac:dyDescent="0.25">
      <c r="A158" s="73">
        <f t="shared" si="19"/>
        <v>3</v>
      </c>
      <c r="B158" s="73"/>
      <c r="C158" s="69" t="s">
        <v>251</v>
      </c>
      <c r="D158" s="64">
        <f>(31.412+(2.9)+0.75*1.8+0.75*2.75)*10.764</f>
        <v>406.06651799999997</v>
      </c>
      <c r="E158" s="64">
        <v>0</v>
      </c>
      <c r="F158" s="69">
        <f>D158*(($F$145)+1)+(IF(E158&lt;101,E158,IF(E158&lt;201,E158/2,IF(E158&lt;=301,E158/3,E158/4))))</f>
        <v>609.0997769999999</v>
      </c>
      <c r="G158" s="73"/>
      <c r="H158" s="73"/>
      <c r="I158" s="36"/>
      <c r="L158" s="66">
        <f t="shared" si="20"/>
        <v>3420498.8849999993</v>
      </c>
      <c r="N158" s="36"/>
    </row>
    <row r="159" spans="1:14" s="63" customFormat="1" ht="15.75" customHeight="1" x14ac:dyDescent="0.25">
      <c r="A159" s="73">
        <f t="shared" si="19"/>
        <v>4</v>
      </c>
      <c r="B159" s="73"/>
      <c r="C159" s="69" t="s">
        <v>251</v>
      </c>
      <c r="D159" s="64">
        <f>(31.585+(3.19)+1.85*0.75+2.8*0.75)*10.764</f>
        <v>411.85755</v>
      </c>
      <c r="E159" s="64">
        <v>0</v>
      </c>
      <c r="F159" s="69">
        <f>D159*(($F$145)+1)+(IF(E159&lt;101,E159,IF(E159&lt;201,E159/2,IF(E159&lt;=301,E159/3,E159/4))))</f>
        <v>617.78632500000003</v>
      </c>
      <c r="G159" s="73"/>
      <c r="H159" s="73"/>
      <c r="I159" s="36"/>
      <c r="L159" s="66">
        <f t="shared" si="20"/>
        <v>3463931.625</v>
      </c>
      <c r="N159" s="36"/>
    </row>
    <row r="160" spans="1:14" s="63" customFormat="1" ht="15.75" customHeight="1" x14ac:dyDescent="0.25">
      <c r="A160" s="73">
        <f t="shared" si="19"/>
        <v>5</v>
      </c>
      <c r="B160" s="73"/>
      <c r="C160" s="69" t="s">
        <v>251</v>
      </c>
      <c r="D160" s="64">
        <f>(29.999+(1.86)+2.7*0.75+1.8*0.75)*10.764</f>
        <v>379.25877600000001</v>
      </c>
      <c r="E160" s="64">
        <v>0</v>
      </c>
      <c r="F160" s="69">
        <f>D160*(($F$145)+1)+(IF(E160&lt;101,E160,IF(E160&lt;201,E160/2,IF(E160&lt;=301,E160/3,E160/4))))</f>
        <v>568.88816399999996</v>
      </c>
      <c r="G160" s="73"/>
      <c r="H160" s="73"/>
      <c r="I160" s="36"/>
      <c r="L160" s="66">
        <f t="shared" si="20"/>
        <v>3219440.82</v>
      </c>
      <c r="N160" s="36"/>
    </row>
    <row r="161" spans="1:14" s="63" customFormat="1" ht="15.75" customHeight="1" x14ac:dyDescent="0.25">
      <c r="A161" s="73">
        <f t="shared" si="19"/>
        <v>6</v>
      </c>
      <c r="B161" s="73"/>
      <c r="C161" s="69" t="s">
        <v>251</v>
      </c>
      <c r="D161" s="64">
        <f>(37.14+(3.72)+1.9*0.75+2.9*0.75)*10.764</f>
        <v>478.56743999999992</v>
      </c>
      <c r="E161" s="64">
        <v>0</v>
      </c>
      <c r="F161" s="69">
        <f>D161*(($F$145)+1)+(IF(E161&lt;101,E161,IF(E161&lt;201,E161/2,IF(E161&lt;=301,E161/3,E161/4))))</f>
        <v>717.85115999999994</v>
      </c>
      <c r="G161" s="73"/>
      <c r="H161" s="73"/>
      <c r="I161" s="36"/>
      <c r="L161" s="66">
        <f t="shared" si="20"/>
        <v>3964255.8</v>
      </c>
      <c r="N161" s="36"/>
    </row>
    <row r="162" spans="1:14" s="63" customFormat="1" ht="15.75" customHeight="1" x14ac:dyDescent="0.25">
      <c r="A162" s="73">
        <f t="shared" si="19"/>
        <v>7</v>
      </c>
      <c r="B162" s="73"/>
      <c r="C162" s="69" t="s">
        <v>251</v>
      </c>
      <c r="D162" s="64">
        <f>(37.14+(2.95)+1.9*0.75+2.9*0.75)*10.764</f>
        <v>470.27915999999993</v>
      </c>
      <c r="E162" s="64">
        <v>0</v>
      </c>
      <c r="F162" s="69">
        <f>D162*(($F$145)+1)+(IF(E162&lt;101,E162,IF(E162&lt;201,E162/2,IF(E162&lt;=301,E162/3,E162/4))))</f>
        <v>705.41873999999984</v>
      </c>
      <c r="G162" s="73"/>
      <c r="H162" s="73"/>
      <c r="I162" s="36"/>
      <c r="L162" s="66">
        <f t="shared" si="20"/>
        <v>3902093.6999999993</v>
      </c>
      <c r="N162" s="36"/>
    </row>
    <row r="163" spans="1:14" s="63" customFormat="1" x14ac:dyDescent="0.25">
      <c r="A163" s="119" t="s">
        <v>258</v>
      </c>
      <c r="B163" s="120"/>
      <c r="C163" s="120"/>
      <c r="D163" s="120"/>
      <c r="E163" s="120"/>
      <c r="F163" s="120"/>
      <c r="G163" s="120"/>
      <c r="H163" s="121"/>
      <c r="I163" s="36"/>
      <c r="N163" s="36"/>
    </row>
    <row r="164" spans="1:14" s="63" customFormat="1" ht="15.75" customHeight="1" x14ac:dyDescent="0.25">
      <c r="A164" s="111">
        <v>1</v>
      </c>
      <c r="B164" s="113"/>
      <c r="C164" s="62" t="s">
        <v>250</v>
      </c>
      <c r="D164" s="64">
        <f>(51.985+(3.15)+0.75*2.05+0.75*2.8+0.75*3.1)*10.764</f>
        <v>657.65349000000003</v>
      </c>
      <c r="E164" s="64">
        <v>0</v>
      </c>
      <c r="F164" s="42">
        <f>D164*(($F$145)+1)+(IF(E164&lt;101,E164,IF(E164&lt;201,E164/2,IF(E164&lt;=301,E164/3,E164/4))))</f>
        <v>986.48023499999999</v>
      </c>
      <c r="G164" s="105" t="str">
        <f>A163</f>
        <v>8th Floor ( Part Refuge Area )</v>
      </c>
      <c r="H164" s="106"/>
      <c r="I164" s="36"/>
      <c r="N164" s="36"/>
    </row>
    <row r="165" spans="1:14" s="63" customFormat="1" ht="15.75" customHeight="1" x14ac:dyDescent="0.25">
      <c r="A165" s="111">
        <v>2</v>
      </c>
      <c r="B165" s="113"/>
      <c r="C165" s="62" t="s">
        <v>250</v>
      </c>
      <c r="D165" s="64">
        <f>(52.472+(3.15)+2.8*0.75+3.05*0.75+2*0.75)*10.764</f>
        <v>662.088258</v>
      </c>
      <c r="E165" s="64">
        <v>0</v>
      </c>
      <c r="F165" s="42">
        <f>D165*(($F$145)+1)+(IF(E165&lt;101,E165,IF(E165&lt;201,E165/2,IF(E165&lt;=301,E165/3,E165/4))))</f>
        <v>993.13238699999999</v>
      </c>
      <c r="G165" s="107"/>
      <c r="H165" s="108"/>
      <c r="I165" s="36"/>
      <c r="N165" s="36"/>
    </row>
    <row r="166" spans="1:14" s="63" customFormat="1" ht="15.75" customHeight="1" x14ac:dyDescent="0.25">
      <c r="A166" s="111">
        <v>3</v>
      </c>
      <c r="B166" s="113"/>
      <c r="C166" s="62" t="s">
        <v>251</v>
      </c>
      <c r="D166" s="64">
        <f>(31.412+(2.9)+0.75*1.8+0.75*2.75)*10.764</f>
        <v>406.06651799999997</v>
      </c>
      <c r="E166" s="64">
        <v>0</v>
      </c>
      <c r="F166" s="42">
        <f>D166*(($F$145)+1)+(IF(E166&lt;101,E166,IF(E166&lt;201,E166/2,IF(E166&lt;=301,E166/3,E166/4))))</f>
        <v>609.0997769999999</v>
      </c>
      <c r="G166" s="107"/>
      <c r="H166" s="108"/>
      <c r="I166" s="36"/>
      <c r="N166" s="36"/>
    </row>
    <row r="167" spans="1:14" s="63" customFormat="1" ht="15.75" customHeight="1" x14ac:dyDescent="0.25">
      <c r="A167" s="111">
        <v>4</v>
      </c>
      <c r="B167" s="113"/>
      <c r="C167" s="62" t="s">
        <v>251</v>
      </c>
      <c r="D167" s="64">
        <f>(31.585+(3.19)+1.85*0.75+2.8*0.75)*10.764</f>
        <v>411.85755</v>
      </c>
      <c r="E167" s="64">
        <v>0</v>
      </c>
      <c r="F167" s="42">
        <f>D167*(($F$145)+1)+(IF(E167&lt;101,E167,IF(E167&lt;201,E167/2,IF(E167&lt;=301,E167/3,E167/4))))</f>
        <v>617.78632500000003</v>
      </c>
      <c r="G167" s="107"/>
      <c r="H167" s="108"/>
      <c r="I167" s="36"/>
      <c r="N167" s="36"/>
    </row>
    <row r="168" spans="1:14" s="63" customFormat="1" ht="15.75" customHeight="1" x14ac:dyDescent="0.25">
      <c r="A168" s="111" t="s">
        <v>254</v>
      </c>
      <c r="B168" s="113"/>
      <c r="C168" s="111" t="s">
        <v>259</v>
      </c>
      <c r="D168" s="112"/>
      <c r="E168" s="112"/>
      <c r="F168" s="113"/>
      <c r="G168" s="107"/>
      <c r="H168" s="108"/>
      <c r="I168" s="36"/>
      <c r="N168" s="36"/>
    </row>
    <row r="169" spans="1:14" s="63" customFormat="1" ht="15.75" customHeight="1" x14ac:dyDescent="0.25">
      <c r="A169" s="111">
        <v>5</v>
      </c>
      <c r="B169" s="113"/>
      <c r="C169" s="62" t="s">
        <v>251</v>
      </c>
      <c r="D169" s="64">
        <f>(37.14+(3.72)+1.9*0.75+2.9*0.75)*10.764</f>
        <v>478.56743999999992</v>
      </c>
      <c r="E169" s="64">
        <v>0</v>
      </c>
      <c r="F169" s="62">
        <f>D169*(($F$145)+1)+(IF(E169&lt;101,E169,IF(E169&lt;201,E169/2,IF(E169&lt;=301,E169/3,E169/4))))</f>
        <v>717.85115999999994</v>
      </c>
      <c r="G169" s="107"/>
      <c r="H169" s="108"/>
      <c r="I169" s="36"/>
      <c r="N169" s="36"/>
    </row>
    <row r="170" spans="1:14" s="63" customFormat="1" ht="15.75" customHeight="1" x14ac:dyDescent="0.25">
      <c r="A170" s="111">
        <v>6</v>
      </c>
      <c r="B170" s="113"/>
      <c r="C170" s="62" t="s">
        <v>251</v>
      </c>
      <c r="D170" s="64">
        <f>(37.14+(2.95)+1.9*0.75+2.9*0.75)*10.764</f>
        <v>470.27915999999993</v>
      </c>
      <c r="E170" s="64">
        <v>0</v>
      </c>
      <c r="F170" s="62">
        <f>D170*(($F$145)+1)+(IF(E170&lt;101,E170,IF(E170&lt;201,E170/2,IF(E170&lt;=301,E170/3,E170/4))))</f>
        <v>705.41873999999984</v>
      </c>
      <c r="G170" s="109"/>
      <c r="H170" s="110"/>
      <c r="I170" s="36"/>
      <c r="N170" s="36"/>
    </row>
    <row r="171" spans="1:14" s="63" customFormat="1" x14ac:dyDescent="0.25">
      <c r="A171" s="119" t="s">
        <v>260</v>
      </c>
      <c r="B171" s="120"/>
      <c r="C171" s="120"/>
      <c r="D171" s="120"/>
      <c r="E171" s="120"/>
      <c r="F171" s="120"/>
      <c r="G171" s="120"/>
      <c r="H171" s="121"/>
      <c r="I171" s="36"/>
      <c r="N171" s="36"/>
    </row>
    <row r="172" spans="1:14" s="63" customFormat="1" ht="15.75" customHeight="1" x14ac:dyDescent="0.25">
      <c r="A172" s="73">
        <v>1</v>
      </c>
      <c r="B172" s="73"/>
      <c r="C172" s="62" t="s">
        <v>250</v>
      </c>
      <c r="D172" s="64">
        <f>(51.985+(3.15)+0.75*2.05+0.75*2.8+0.75*3.1)*10.764</f>
        <v>657.65349000000003</v>
      </c>
      <c r="E172" s="64">
        <v>0</v>
      </c>
      <c r="F172" s="62">
        <f t="shared" ref="F172" si="21">D172*(($F$145)+1)+(IF(E172&lt;101,E172,IF(E172&lt;201,E172/2,IF(E172&lt;=301,E172/3,E172/4))))</f>
        <v>986.48023499999999</v>
      </c>
      <c r="G172" s="105" t="str">
        <f>A171</f>
        <v>11th Floor ( Part Terrace Area )</v>
      </c>
      <c r="H172" s="106"/>
      <c r="I172" s="36"/>
      <c r="N172" s="36"/>
    </row>
    <row r="173" spans="1:14" s="63" customFormat="1" x14ac:dyDescent="0.25">
      <c r="A173" s="73" t="s">
        <v>254</v>
      </c>
      <c r="B173" s="73"/>
      <c r="C173" s="111" t="s">
        <v>261</v>
      </c>
      <c r="D173" s="112"/>
      <c r="E173" s="112"/>
      <c r="F173" s="113"/>
      <c r="G173" s="107"/>
      <c r="H173" s="108"/>
      <c r="I173" s="36"/>
      <c r="N173" s="36"/>
    </row>
    <row r="174" spans="1:14" s="63" customFormat="1" x14ac:dyDescent="0.25">
      <c r="A174" s="73" t="s">
        <v>254</v>
      </c>
      <c r="B174" s="73"/>
      <c r="C174" s="111" t="s">
        <v>261</v>
      </c>
      <c r="D174" s="112"/>
      <c r="E174" s="112"/>
      <c r="F174" s="113"/>
      <c r="G174" s="107"/>
      <c r="H174" s="108"/>
      <c r="I174" s="36"/>
      <c r="N174" s="36"/>
    </row>
    <row r="175" spans="1:14" s="63" customFormat="1" x14ac:dyDescent="0.25">
      <c r="A175" s="73" t="s">
        <v>254</v>
      </c>
      <c r="B175" s="73"/>
      <c r="C175" s="111" t="s">
        <v>261</v>
      </c>
      <c r="D175" s="112"/>
      <c r="E175" s="112"/>
      <c r="F175" s="113"/>
      <c r="G175" s="107"/>
      <c r="H175" s="108"/>
      <c r="I175" s="36"/>
      <c r="N175" s="36"/>
    </row>
    <row r="176" spans="1:14" s="63" customFormat="1" x14ac:dyDescent="0.25">
      <c r="A176" s="73">
        <v>2</v>
      </c>
      <c r="B176" s="73"/>
      <c r="C176" s="62" t="s">
        <v>251</v>
      </c>
      <c r="D176" s="64">
        <f>(29.999+(1.86)+2.7*0.75+1.8*0.75)*10.764</f>
        <v>379.25877600000001</v>
      </c>
      <c r="E176" s="64">
        <v>0</v>
      </c>
      <c r="F176" s="62">
        <f>D176*(($F$145)+1)+(IF(E176&lt;101,E176,IF(E176&lt;201,E176/2,IF(E176&lt;=301,E176/3,E176/4))))</f>
        <v>568.88816399999996</v>
      </c>
      <c r="G176" s="107"/>
      <c r="H176" s="108"/>
      <c r="I176" s="36"/>
      <c r="N176" s="36"/>
    </row>
    <row r="177" spans="1:14" s="63" customFormat="1" x14ac:dyDescent="0.25">
      <c r="A177" s="73">
        <v>3</v>
      </c>
      <c r="B177" s="73"/>
      <c r="C177" s="62" t="s">
        <v>251</v>
      </c>
      <c r="D177" s="64">
        <f>(37.14+(3.72)+1.9*0.75+2.9*0.75)*10.764</f>
        <v>478.56743999999992</v>
      </c>
      <c r="E177" s="64">
        <v>0</v>
      </c>
      <c r="F177" s="62">
        <f>D177*(($F$145)+1)+(IF(E177&lt;101,E177,IF(E177&lt;201,E177/2,IF(E177&lt;=301,E177/3,E177/4))))</f>
        <v>717.85115999999994</v>
      </c>
      <c r="G177" s="107"/>
      <c r="H177" s="108"/>
      <c r="I177" s="36">
        <f>2.85*1.2</f>
        <v>3.42</v>
      </c>
      <c r="N177" s="36"/>
    </row>
    <row r="178" spans="1:14" s="63" customFormat="1" x14ac:dyDescent="0.25">
      <c r="A178" s="73">
        <f>A177+1</f>
        <v>4</v>
      </c>
      <c r="B178" s="73"/>
      <c r="C178" s="62" t="s">
        <v>251</v>
      </c>
      <c r="D178" s="64">
        <f>(37.14+(2.95)+1.9*0.75+2.9*0.75)*10.764</f>
        <v>470.27915999999993</v>
      </c>
      <c r="E178" s="64">
        <v>0</v>
      </c>
      <c r="F178" s="62">
        <f>D178*(($F$145)+1)+(IF(E178&lt;101,E178,IF(E178&lt;201,E178/2,IF(E178&lt;=301,E178/3,E178/4))))</f>
        <v>705.41873999999984</v>
      </c>
      <c r="G178" s="109"/>
      <c r="H178" s="110"/>
      <c r="I178" s="36">
        <f>2.85*1</f>
        <v>2.85</v>
      </c>
      <c r="N178" s="36"/>
    </row>
    <row r="179" spans="1:14" s="63" customFormat="1" x14ac:dyDescent="0.25">
      <c r="A179" s="128" t="s">
        <v>262</v>
      </c>
      <c r="B179" s="129"/>
      <c r="C179" s="129"/>
      <c r="D179" s="129"/>
      <c r="E179" s="129"/>
      <c r="F179" s="129"/>
      <c r="G179" s="129"/>
      <c r="H179" s="130"/>
      <c r="I179" s="36"/>
      <c r="N179" s="36"/>
    </row>
    <row r="180" spans="1:14" s="63" customFormat="1" x14ac:dyDescent="0.25">
      <c r="A180" s="119" t="s">
        <v>264</v>
      </c>
      <c r="B180" s="120"/>
      <c r="C180" s="120"/>
      <c r="D180" s="120"/>
      <c r="E180" s="120"/>
      <c r="F180" s="120"/>
      <c r="G180" s="120"/>
      <c r="H180" s="121"/>
      <c r="I180" s="36"/>
      <c r="K180" s="63">
        <f>3.15*2.3+2.25*0.9+3.25*0.5+3.1*1.4</f>
        <v>15.234999999999999</v>
      </c>
      <c r="N180" s="36"/>
    </row>
    <row r="181" spans="1:14" s="63" customFormat="1" ht="15.75" customHeight="1" x14ac:dyDescent="0.25">
      <c r="A181" s="111">
        <v>1</v>
      </c>
      <c r="B181" s="113"/>
      <c r="C181" s="62" t="s">
        <v>250</v>
      </c>
      <c r="D181" s="64">
        <f>(51.985)*10.764</f>
        <v>559.56653999999992</v>
      </c>
      <c r="E181" s="64">
        <f>(3.15*1.8+0.4*2.25+3*1.4)*10.764</f>
        <v>115.92827999999999</v>
      </c>
      <c r="F181" s="62">
        <f t="shared" ref="F181:F187" si="22">D181*(($F$145)+1)+(IF(E181&lt;101,E181,IF(E181&lt;201,E181/2,IF(E181&lt;=301,E181/3,E181/4))))</f>
        <v>897.31394999999998</v>
      </c>
      <c r="G181" s="105" t="str">
        <f>A180</f>
        <v>1st Floor For Residential (Part Soceity Office)</v>
      </c>
      <c r="H181" s="106"/>
      <c r="I181" s="36"/>
      <c r="K181" s="63">
        <f>3.15*2.3+2.95*0.5</f>
        <v>8.7199999999999989</v>
      </c>
      <c r="N181" s="36"/>
    </row>
    <row r="182" spans="1:14" s="63" customFormat="1" ht="15.75" customHeight="1" x14ac:dyDescent="0.25">
      <c r="A182" s="111">
        <f t="shared" ref="A182:A185" si="23">A181+1</f>
        <v>2</v>
      </c>
      <c r="B182" s="113"/>
      <c r="C182" s="62" t="s">
        <v>250</v>
      </c>
      <c r="D182" s="64">
        <f>(52.472)*10.764</f>
        <v>564.80860799999994</v>
      </c>
      <c r="E182" s="64">
        <f>(3.15*1.8)*10.764</f>
        <v>61.031879999999994</v>
      </c>
      <c r="F182" s="62">
        <f t="shared" si="22"/>
        <v>908.24479199999996</v>
      </c>
      <c r="G182" s="107"/>
      <c r="H182" s="108"/>
      <c r="I182" s="36"/>
      <c r="N182" s="36"/>
    </row>
    <row r="183" spans="1:14" s="63" customFormat="1" ht="15.75" customHeight="1" x14ac:dyDescent="0.25">
      <c r="A183" s="111">
        <f t="shared" si="23"/>
        <v>3</v>
      </c>
      <c r="B183" s="113"/>
      <c r="C183" s="62" t="s">
        <v>251</v>
      </c>
      <c r="D183" s="64">
        <f>(31.412+(2.9))*10.764</f>
        <v>369.33436799999993</v>
      </c>
      <c r="E183" s="64">
        <v>0</v>
      </c>
      <c r="F183" s="62">
        <f t="shared" si="22"/>
        <v>554.00155199999995</v>
      </c>
      <c r="G183" s="107"/>
      <c r="H183" s="108"/>
      <c r="I183" s="36"/>
      <c r="N183" s="36"/>
    </row>
    <row r="184" spans="1:14" s="63" customFormat="1" ht="15.75" customHeight="1" x14ac:dyDescent="0.25">
      <c r="A184" s="111">
        <f t="shared" si="23"/>
        <v>4</v>
      </c>
      <c r="B184" s="113"/>
      <c r="C184" s="62" t="s">
        <v>251</v>
      </c>
      <c r="D184" s="64">
        <f>(31.585+(3.19))*10.764</f>
        <v>374.31809999999996</v>
      </c>
      <c r="E184" s="64">
        <v>0</v>
      </c>
      <c r="F184" s="62">
        <f t="shared" si="22"/>
        <v>561.47714999999994</v>
      </c>
      <c r="G184" s="107"/>
      <c r="H184" s="108"/>
      <c r="I184" s="36"/>
      <c r="N184" s="36"/>
    </row>
    <row r="185" spans="1:14" s="63" customFormat="1" ht="15.75" customHeight="1" x14ac:dyDescent="0.25">
      <c r="A185" s="111">
        <f t="shared" si="23"/>
        <v>5</v>
      </c>
      <c r="B185" s="113"/>
      <c r="C185" s="62" t="s">
        <v>251</v>
      </c>
      <c r="D185" s="64">
        <f>(29.999+(1.86))*10.764</f>
        <v>342.93027599999994</v>
      </c>
      <c r="E185" s="64">
        <v>0</v>
      </c>
      <c r="F185" s="62">
        <f t="shared" si="22"/>
        <v>514.39541399999985</v>
      </c>
      <c r="G185" s="107"/>
      <c r="H185" s="108"/>
      <c r="I185" s="36"/>
      <c r="N185" s="36"/>
    </row>
    <row r="186" spans="1:14" s="66" customFormat="1" x14ac:dyDescent="0.25">
      <c r="A186" s="73" t="s">
        <v>254</v>
      </c>
      <c r="B186" s="73"/>
      <c r="C186" s="73" t="s">
        <v>263</v>
      </c>
      <c r="D186" s="73"/>
      <c r="E186" s="73"/>
      <c r="F186" s="73"/>
      <c r="G186" s="107"/>
      <c r="H186" s="108"/>
      <c r="I186" s="36"/>
      <c r="N186" s="36"/>
    </row>
    <row r="187" spans="1:14" s="63" customFormat="1" ht="15.75" customHeight="1" x14ac:dyDescent="0.25">
      <c r="A187" s="111">
        <f>A185+1</f>
        <v>6</v>
      </c>
      <c r="B187" s="113"/>
      <c r="C187" s="62" t="s">
        <v>251</v>
      </c>
      <c r="D187" s="64">
        <f>(37.14)*10.764</f>
        <v>399.77495999999996</v>
      </c>
      <c r="E187" s="64">
        <f>(48.475)*10.764</f>
        <v>521.78489999999999</v>
      </c>
      <c r="F187" s="62">
        <f t="shared" si="22"/>
        <v>730.10866499999997</v>
      </c>
      <c r="G187" s="107"/>
      <c r="H187" s="108"/>
      <c r="I187" s="36"/>
      <c r="N187" s="36"/>
    </row>
    <row r="188" spans="1:14" s="63" customFormat="1" x14ac:dyDescent="0.25">
      <c r="A188" s="114" t="s">
        <v>257</v>
      </c>
      <c r="B188" s="114"/>
      <c r="C188" s="114"/>
      <c r="D188" s="114"/>
      <c r="E188" s="114"/>
      <c r="F188" s="114"/>
      <c r="G188" s="114"/>
      <c r="H188" s="114"/>
      <c r="I188" s="36"/>
      <c r="N188" s="36"/>
    </row>
    <row r="189" spans="1:14" s="63" customFormat="1" ht="15.75" customHeight="1" x14ac:dyDescent="0.25">
      <c r="A189" s="73">
        <v>1</v>
      </c>
      <c r="B189" s="73"/>
      <c r="C189" s="62" t="s">
        <v>250</v>
      </c>
      <c r="D189" s="64">
        <f>(51.985+(3.15)+0.75*2.05+0.75*2.8+0.75*3.1)*10.764</f>
        <v>657.65349000000003</v>
      </c>
      <c r="E189" s="64">
        <v>0</v>
      </c>
      <c r="F189" s="62">
        <f t="shared" ref="F189:F190" si="24">D189*(($F$145)+1)+(IF(E189&lt;101,E189,IF(E189&lt;201,E189/2,IF(E189&lt;=301,E189/3,E189/4))))</f>
        <v>986.48023499999999</v>
      </c>
      <c r="G189" s="105" t="str">
        <f>A188</f>
        <v>2nd to 7th, 9th &amp; 10th Floor</v>
      </c>
      <c r="H189" s="106"/>
      <c r="I189" s="36"/>
      <c r="N189" s="36"/>
    </row>
    <row r="190" spans="1:14" s="63" customFormat="1" ht="15.75" customHeight="1" x14ac:dyDescent="0.25">
      <c r="A190" s="73">
        <f t="shared" ref="A190:A195" si="25">A189+1</f>
        <v>2</v>
      </c>
      <c r="B190" s="73"/>
      <c r="C190" s="62" t="s">
        <v>250</v>
      </c>
      <c r="D190" s="64">
        <f>(52.472+(3.15)+2.8*0.75+3.05*0.75+2*0.75)*10.764</f>
        <v>662.088258</v>
      </c>
      <c r="E190" s="64">
        <v>0</v>
      </c>
      <c r="F190" s="62">
        <f t="shared" si="24"/>
        <v>993.13238699999999</v>
      </c>
      <c r="G190" s="107"/>
      <c r="H190" s="108"/>
      <c r="I190" s="36"/>
      <c r="N190" s="36"/>
    </row>
    <row r="191" spans="1:14" s="63" customFormat="1" ht="15.75" customHeight="1" x14ac:dyDescent="0.25">
      <c r="A191" s="73">
        <f t="shared" si="25"/>
        <v>3</v>
      </c>
      <c r="B191" s="73"/>
      <c r="C191" s="62" t="s">
        <v>251</v>
      </c>
      <c r="D191" s="64">
        <f>(31.412+(2.9)+0.75*1.8+0.75*2.75)*10.764</f>
        <v>406.06651799999997</v>
      </c>
      <c r="E191" s="64">
        <v>0</v>
      </c>
      <c r="F191" s="62">
        <f>D191*(($F$145)+1)+(IF(E191&lt;101,E191,IF(E191&lt;201,E191/2,IF(E191&lt;=301,E191/3,E191/4))))</f>
        <v>609.0997769999999</v>
      </c>
      <c r="G191" s="107"/>
      <c r="H191" s="108"/>
      <c r="I191" s="36"/>
      <c r="N191" s="36"/>
    </row>
    <row r="192" spans="1:14" s="63" customFormat="1" ht="15.75" customHeight="1" x14ac:dyDescent="0.25">
      <c r="A192" s="73">
        <f t="shared" si="25"/>
        <v>4</v>
      </c>
      <c r="B192" s="73"/>
      <c r="C192" s="62" t="s">
        <v>251</v>
      </c>
      <c r="D192" s="64">
        <f>(31.585+(3.19)+1.85*0.75+2.8*0.75)*10.764</f>
        <v>411.85755</v>
      </c>
      <c r="E192" s="64">
        <v>0</v>
      </c>
      <c r="F192" s="62">
        <f>D192*(($F$145)+1)+(IF(E192&lt;101,E192,IF(E192&lt;201,E192/2,IF(E192&lt;=301,E192/3,E192/4))))</f>
        <v>617.78632500000003</v>
      </c>
      <c r="G192" s="107"/>
      <c r="H192" s="108"/>
      <c r="I192" s="36"/>
      <c r="N192" s="36"/>
    </row>
    <row r="193" spans="1:14" s="63" customFormat="1" ht="15.75" customHeight="1" x14ac:dyDescent="0.25">
      <c r="A193" s="73">
        <f t="shared" si="25"/>
        <v>5</v>
      </c>
      <c r="B193" s="73"/>
      <c r="C193" s="62" t="s">
        <v>251</v>
      </c>
      <c r="D193" s="64">
        <f>(29.999+(1.86)+2.7*0.75+1.8*0.75)*10.764</f>
        <v>379.25877600000001</v>
      </c>
      <c r="E193" s="64">
        <v>0</v>
      </c>
      <c r="F193" s="62">
        <f>D193*(($F$145)+1)+(IF(E193&lt;101,E193,IF(E193&lt;201,E193/2,IF(E193&lt;=301,E193/3,E193/4))))</f>
        <v>568.88816399999996</v>
      </c>
      <c r="G193" s="107"/>
      <c r="H193" s="108"/>
      <c r="I193" s="36"/>
      <c r="N193" s="36"/>
    </row>
    <row r="194" spans="1:14" s="63" customFormat="1" ht="15.75" customHeight="1" x14ac:dyDescent="0.25">
      <c r="A194" s="73">
        <f t="shared" si="25"/>
        <v>6</v>
      </c>
      <c r="B194" s="73"/>
      <c r="C194" s="62" t="s">
        <v>251</v>
      </c>
      <c r="D194" s="64">
        <f>(37.14+(3.72)+1.9*0.75+2.9*0.75)*10.764</f>
        <v>478.56743999999992</v>
      </c>
      <c r="E194" s="64">
        <v>0</v>
      </c>
      <c r="F194" s="62">
        <f>D194*(($F$145)+1)+(IF(E194&lt;101,E194,IF(E194&lt;201,E194/2,IF(E194&lt;=301,E194/3,E194/4))))</f>
        <v>717.85115999999994</v>
      </c>
      <c r="G194" s="107"/>
      <c r="H194" s="108"/>
      <c r="I194" s="36"/>
      <c r="N194" s="36"/>
    </row>
    <row r="195" spans="1:14" s="63" customFormat="1" ht="15.75" customHeight="1" x14ac:dyDescent="0.25">
      <c r="A195" s="73">
        <f t="shared" si="25"/>
        <v>7</v>
      </c>
      <c r="B195" s="73"/>
      <c r="C195" s="62" t="s">
        <v>251</v>
      </c>
      <c r="D195" s="64">
        <f>(37.14+(2.95)+1.9*0.75+2.9*0.75)*10.764</f>
        <v>470.27915999999993</v>
      </c>
      <c r="E195" s="64">
        <v>0</v>
      </c>
      <c r="F195" s="62">
        <f>D195*(($F$145)+1)+(IF(E195&lt;101,E195,IF(E195&lt;201,E195/2,IF(E195&lt;=301,E195/3,E195/4))))</f>
        <v>705.41873999999984</v>
      </c>
      <c r="G195" s="109"/>
      <c r="H195" s="110"/>
      <c r="I195" s="36"/>
      <c r="N195" s="36"/>
    </row>
    <row r="196" spans="1:14" s="63" customFormat="1" x14ac:dyDescent="0.25">
      <c r="A196" s="114" t="s">
        <v>258</v>
      </c>
      <c r="B196" s="114"/>
      <c r="C196" s="114"/>
      <c r="D196" s="114"/>
      <c r="E196" s="114"/>
      <c r="F196" s="114"/>
      <c r="G196" s="114"/>
      <c r="H196" s="114"/>
      <c r="I196" s="36"/>
      <c r="N196" s="36"/>
    </row>
    <row r="197" spans="1:14" s="63" customFormat="1" ht="15.75" customHeight="1" x14ac:dyDescent="0.25">
      <c r="A197" s="73">
        <v>1</v>
      </c>
      <c r="B197" s="73"/>
      <c r="C197" s="69" t="s">
        <v>250</v>
      </c>
      <c r="D197" s="64">
        <f>(51.985+(3.15)+0.75*2.05+0.75*2.8+0.75*3.1)*10.764</f>
        <v>657.65349000000003</v>
      </c>
      <c r="E197" s="64">
        <v>0</v>
      </c>
      <c r="F197" s="69">
        <f>D197*(($F$145)+1)+(IF(E197&lt;101,E197,IF(E197&lt;201,E197/2,IF(E197&lt;=301,E197/3,E197/4))))</f>
        <v>986.48023499999999</v>
      </c>
      <c r="G197" s="73" t="str">
        <f>A196</f>
        <v>8th Floor ( Part Refuge Area )</v>
      </c>
      <c r="H197" s="73"/>
      <c r="I197" s="36"/>
      <c r="N197" s="36"/>
    </row>
    <row r="198" spans="1:14" s="63" customFormat="1" ht="15.75" customHeight="1" x14ac:dyDescent="0.25">
      <c r="A198" s="73">
        <v>2</v>
      </c>
      <c r="B198" s="73"/>
      <c r="C198" s="69" t="s">
        <v>250</v>
      </c>
      <c r="D198" s="64">
        <f>(52.472+(3.15)+2.8*0.75+3.05*0.75+2*0.75)*10.764</f>
        <v>662.088258</v>
      </c>
      <c r="E198" s="64">
        <v>0</v>
      </c>
      <c r="F198" s="69">
        <f>D198*(($F$145)+1)+(IF(E198&lt;101,E198,IF(E198&lt;201,E198/2,IF(E198&lt;=301,E198/3,E198/4))))</f>
        <v>993.13238699999999</v>
      </c>
      <c r="G198" s="73"/>
      <c r="H198" s="73"/>
      <c r="I198" s="36"/>
      <c r="N198" s="36"/>
    </row>
    <row r="199" spans="1:14" s="63" customFormat="1" ht="15.75" customHeight="1" x14ac:dyDescent="0.25">
      <c r="A199" s="73">
        <v>3</v>
      </c>
      <c r="B199" s="73"/>
      <c r="C199" s="69" t="s">
        <v>251</v>
      </c>
      <c r="D199" s="64">
        <f>(31.412+(2.9)+0.75*1.8+0.75*2.75)*10.764</f>
        <v>406.06651799999997</v>
      </c>
      <c r="E199" s="64">
        <v>0</v>
      </c>
      <c r="F199" s="69">
        <f>D199*(($F$145)+1)+(IF(E199&lt;101,E199,IF(E199&lt;201,E199/2,IF(E199&lt;=301,E199/3,E199/4))))</f>
        <v>609.0997769999999</v>
      </c>
      <c r="G199" s="73"/>
      <c r="H199" s="73"/>
      <c r="I199" s="36"/>
      <c r="N199" s="36"/>
    </row>
    <row r="200" spans="1:14" s="63" customFormat="1" ht="15.75" customHeight="1" x14ac:dyDescent="0.25">
      <c r="A200" s="73">
        <v>4</v>
      </c>
      <c r="B200" s="73"/>
      <c r="C200" s="69" t="s">
        <v>251</v>
      </c>
      <c r="D200" s="64">
        <f>(31.585+(3.19)+1.85*0.75+2.8*0.75)*10.764</f>
        <v>411.85755</v>
      </c>
      <c r="E200" s="64">
        <v>0</v>
      </c>
      <c r="F200" s="69">
        <f>D200*(($F$145)+1)+(IF(E200&lt;101,E200,IF(E200&lt;201,E200/2,IF(E200&lt;=301,E200/3,E200/4))))</f>
        <v>617.78632500000003</v>
      </c>
      <c r="G200" s="73"/>
      <c r="H200" s="73"/>
      <c r="I200" s="36"/>
      <c r="N200" s="36"/>
    </row>
    <row r="201" spans="1:14" s="63" customFormat="1" ht="15.75" customHeight="1" x14ac:dyDescent="0.25">
      <c r="A201" s="73" t="s">
        <v>254</v>
      </c>
      <c r="B201" s="73"/>
      <c r="C201" s="73" t="s">
        <v>259</v>
      </c>
      <c r="D201" s="73"/>
      <c r="E201" s="73"/>
      <c r="F201" s="73"/>
      <c r="G201" s="73"/>
      <c r="H201" s="73"/>
      <c r="I201" s="36"/>
      <c r="N201" s="36"/>
    </row>
    <row r="202" spans="1:14" s="63" customFormat="1" ht="15.75" customHeight="1" x14ac:dyDescent="0.25">
      <c r="A202" s="73">
        <v>5</v>
      </c>
      <c r="B202" s="73"/>
      <c r="C202" s="69" t="s">
        <v>251</v>
      </c>
      <c r="D202" s="64">
        <f>(37.14+(3.72)+1.9*0.75+2.9*0.75)*10.764</f>
        <v>478.56743999999992</v>
      </c>
      <c r="E202" s="64">
        <v>0</v>
      </c>
      <c r="F202" s="69">
        <f>D202*(($F$145)+1)+(IF(E202&lt;101,E202,IF(E202&lt;201,E202/2,IF(E202&lt;=301,E202/3,E202/4))))</f>
        <v>717.85115999999994</v>
      </c>
      <c r="G202" s="73"/>
      <c r="H202" s="73"/>
      <c r="I202" s="36"/>
      <c r="N202" s="36"/>
    </row>
    <row r="203" spans="1:14" s="63" customFormat="1" ht="15.75" customHeight="1" x14ac:dyDescent="0.25">
      <c r="A203" s="73">
        <v>6</v>
      </c>
      <c r="B203" s="73"/>
      <c r="C203" s="69" t="s">
        <v>251</v>
      </c>
      <c r="D203" s="64">
        <f>(37.14+(2.95)+1.9*0.75+2.9*0.75)*10.764</f>
        <v>470.27915999999993</v>
      </c>
      <c r="E203" s="64">
        <v>0</v>
      </c>
      <c r="F203" s="69">
        <f>D203*(($F$145)+1)+(IF(E203&lt;101,E203,IF(E203&lt;201,E203/2,IF(E203&lt;=301,E203/3,E203/4))))</f>
        <v>705.41873999999984</v>
      </c>
      <c r="G203" s="73"/>
      <c r="H203" s="73"/>
      <c r="I203" s="36"/>
      <c r="N203" s="36"/>
    </row>
    <row r="204" spans="1:14" s="63" customFormat="1" x14ac:dyDescent="0.25">
      <c r="A204" s="119" t="s">
        <v>260</v>
      </c>
      <c r="B204" s="120"/>
      <c r="C204" s="120"/>
      <c r="D204" s="120"/>
      <c r="E204" s="120"/>
      <c r="F204" s="120"/>
      <c r="G204" s="120"/>
      <c r="H204" s="121"/>
      <c r="I204" s="36"/>
      <c r="N204" s="36"/>
    </row>
    <row r="205" spans="1:14" s="63" customFormat="1" ht="15.75" customHeight="1" x14ac:dyDescent="0.25">
      <c r="A205" s="73">
        <v>1</v>
      </c>
      <c r="B205" s="73"/>
      <c r="C205" s="62" t="s">
        <v>250</v>
      </c>
      <c r="D205" s="64">
        <f>(51.985+(3.15)+0.75*2.05+0.75*2.8+0.75*3.1)*10.764</f>
        <v>657.65349000000003</v>
      </c>
      <c r="E205" s="64">
        <v>0</v>
      </c>
      <c r="F205" s="62">
        <f t="shared" ref="F205" si="26">D205*(($F$145)+1)+(IF(E205&lt;101,E205,IF(E205&lt;201,E205/2,IF(E205&lt;=301,E205/3,E205/4))))</f>
        <v>986.48023499999999</v>
      </c>
      <c r="G205" s="105" t="str">
        <f>A204</f>
        <v>11th Floor ( Part Terrace Area )</v>
      </c>
      <c r="H205" s="106"/>
      <c r="I205" s="36"/>
      <c r="N205" s="36"/>
    </row>
    <row r="206" spans="1:14" s="63" customFormat="1" x14ac:dyDescent="0.25">
      <c r="A206" s="73" t="s">
        <v>254</v>
      </c>
      <c r="B206" s="73"/>
      <c r="C206" s="111" t="s">
        <v>261</v>
      </c>
      <c r="D206" s="112"/>
      <c r="E206" s="112"/>
      <c r="F206" s="113"/>
      <c r="G206" s="107"/>
      <c r="H206" s="108"/>
      <c r="I206" s="36"/>
      <c r="N206" s="36"/>
    </row>
    <row r="207" spans="1:14" s="63" customFormat="1" x14ac:dyDescent="0.25">
      <c r="A207" s="73" t="s">
        <v>254</v>
      </c>
      <c r="B207" s="73"/>
      <c r="C207" s="111" t="s">
        <v>261</v>
      </c>
      <c r="D207" s="112"/>
      <c r="E207" s="112"/>
      <c r="F207" s="113"/>
      <c r="G207" s="107"/>
      <c r="H207" s="108"/>
      <c r="I207" s="36"/>
      <c r="N207" s="36"/>
    </row>
    <row r="208" spans="1:14" s="63" customFormat="1" x14ac:dyDescent="0.25">
      <c r="A208" s="73" t="s">
        <v>254</v>
      </c>
      <c r="B208" s="73"/>
      <c r="C208" s="111" t="s">
        <v>261</v>
      </c>
      <c r="D208" s="112"/>
      <c r="E208" s="112"/>
      <c r="F208" s="113"/>
      <c r="G208" s="107"/>
      <c r="H208" s="108"/>
      <c r="I208" s="36"/>
      <c r="N208" s="36"/>
    </row>
    <row r="209" spans="1:14" s="63" customFormat="1" x14ac:dyDescent="0.25">
      <c r="A209" s="73">
        <v>2</v>
      </c>
      <c r="B209" s="73"/>
      <c r="C209" s="62" t="s">
        <v>251</v>
      </c>
      <c r="D209" s="64">
        <f>(29.999+(1.86)+2.7*0.75+1.8*0.75)*10.764</f>
        <v>379.25877600000001</v>
      </c>
      <c r="E209" s="64">
        <v>0</v>
      </c>
      <c r="F209" s="62">
        <f>D209*(($F$145)+1)+(IF(E209&lt;101,E209,IF(E209&lt;201,E209/2,IF(E209&lt;=301,E209/3,E209/4))))</f>
        <v>568.88816399999996</v>
      </c>
      <c r="G209" s="107"/>
      <c r="H209" s="108"/>
      <c r="I209" s="36"/>
      <c r="N209" s="36"/>
    </row>
    <row r="210" spans="1:14" s="63" customFormat="1" x14ac:dyDescent="0.25">
      <c r="A210" s="73">
        <v>3</v>
      </c>
      <c r="B210" s="73"/>
      <c r="C210" s="62" t="s">
        <v>251</v>
      </c>
      <c r="D210" s="64">
        <f>(37.14+(3.72)+1.9*0.75+2.9*0.75)*10.764</f>
        <v>478.56743999999992</v>
      </c>
      <c r="E210" s="64">
        <v>0</v>
      </c>
      <c r="F210" s="62">
        <f>D210*(($F$145)+1)+(IF(E210&lt;101,E210,IF(E210&lt;201,E210/2,IF(E210&lt;=301,E210/3,E210/4))))</f>
        <v>717.85115999999994</v>
      </c>
      <c r="G210" s="107"/>
      <c r="H210" s="108"/>
      <c r="I210" s="36"/>
      <c r="N210" s="36"/>
    </row>
    <row r="211" spans="1:14" s="63" customFormat="1" x14ac:dyDescent="0.25">
      <c r="A211" s="73">
        <f>A210+1</f>
        <v>4</v>
      </c>
      <c r="B211" s="73"/>
      <c r="C211" s="62" t="s">
        <v>251</v>
      </c>
      <c r="D211" s="64">
        <f>(37.14+(2.95)+1.9*0.75+2.9*0.75)*10.764</f>
        <v>470.27915999999993</v>
      </c>
      <c r="E211" s="64">
        <v>0</v>
      </c>
      <c r="F211" s="62">
        <f>D211*(($F$145)+1)+(IF(E211&lt;101,E211,IF(E211&lt;201,E211/2,IF(E211&lt;=301,E211/3,E211/4))))</f>
        <v>705.41873999999984</v>
      </c>
      <c r="G211" s="109"/>
      <c r="H211" s="110"/>
      <c r="I211" s="36"/>
      <c r="N211" s="36"/>
    </row>
    <row r="212" spans="1:14" s="35" customFormat="1" x14ac:dyDescent="0.25">
      <c r="A212" s="104" t="s">
        <v>68</v>
      </c>
      <c r="B212" s="104"/>
      <c r="C212" s="104"/>
      <c r="D212" s="104"/>
      <c r="E212" s="104"/>
      <c r="F212" s="104"/>
      <c r="G212" s="104"/>
      <c r="H212" s="104"/>
    </row>
    <row r="213" spans="1:14" s="35" customFormat="1" x14ac:dyDescent="0.25">
      <c r="A213" s="47" t="s">
        <v>152</v>
      </c>
      <c r="B213" s="184" t="s">
        <v>288</v>
      </c>
      <c r="C213" s="185"/>
      <c r="D213" s="185"/>
      <c r="E213" s="185"/>
      <c r="F213" s="185"/>
      <c r="G213" s="185"/>
      <c r="H213" s="186"/>
    </row>
    <row r="214" spans="1:14" s="35" customFormat="1" x14ac:dyDescent="0.25">
      <c r="A214" s="47" t="s">
        <v>152</v>
      </c>
      <c r="B214" s="115" t="str">
        <f>(IF(F144="Saleable area Loading :","We have considered Saleable area of Flats as per our Calculation.","We considered Saleable area of Flat as per Builder area Sheet."))</f>
        <v>We have considered Saleable area of Flats as per our Calculation.</v>
      </c>
      <c r="C214" s="116"/>
      <c r="D214" s="116"/>
      <c r="E214" s="116"/>
      <c r="F214" s="116"/>
      <c r="G214" s="116"/>
      <c r="H214" s="117"/>
    </row>
    <row r="215" spans="1:14" s="35" customFormat="1" x14ac:dyDescent="0.25">
      <c r="A215" s="47" t="s">
        <v>152</v>
      </c>
      <c r="B215" s="115" t="str">
        <f>(IF(F121="Saleable area Loading :","We have considered Saleable area of Commercial as per our Calculation.","We considered Saleable area of Commercial as per Builder area Sheet."))</f>
        <v>We have considered Saleable area of Commercial as per our Calculation.</v>
      </c>
      <c r="C215" s="116"/>
      <c r="D215" s="116"/>
      <c r="E215" s="116"/>
      <c r="F215" s="116"/>
      <c r="G215" s="116"/>
      <c r="H215" s="117"/>
    </row>
    <row r="216" spans="1:14" x14ac:dyDescent="0.25">
      <c r="A216" s="47" t="s">
        <v>152</v>
      </c>
      <c r="B216" s="74" t="s">
        <v>122</v>
      </c>
      <c r="C216" s="75"/>
      <c r="D216" s="75"/>
      <c r="E216" s="75"/>
      <c r="F216" s="75"/>
      <c r="G216" s="75"/>
      <c r="H216" s="76"/>
    </row>
    <row r="217" spans="1:14" x14ac:dyDescent="0.25">
      <c r="A217" s="47" t="s">
        <v>152</v>
      </c>
      <c r="B217" s="74" t="s">
        <v>265</v>
      </c>
      <c r="C217" s="75"/>
      <c r="D217" s="75"/>
      <c r="E217" s="75"/>
      <c r="F217" s="75"/>
      <c r="G217" s="75"/>
      <c r="H217" s="76"/>
    </row>
    <row r="218" spans="1:14" ht="15.75" customHeight="1" x14ac:dyDescent="0.25">
      <c r="A218" s="47" t="s">
        <v>152</v>
      </c>
      <c r="B218" s="74" t="s">
        <v>151</v>
      </c>
      <c r="C218" s="75"/>
      <c r="D218" s="75"/>
      <c r="E218" s="75"/>
      <c r="F218" s="75"/>
      <c r="G218" s="75"/>
      <c r="H218" s="76"/>
    </row>
    <row r="219" spans="1:14" x14ac:dyDescent="0.25">
      <c r="A219" s="47" t="s">
        <v>152</v>
      </c>
      <c r="B219" s="74" t="s">
        <v>123</v>
      </c>
      <c r="C219" s="75"/>
      <c r="D219" s="75"/>
      <c r="E219" s="75"/>
      <c r="F219" s="75"/>
      <c r="G219" s="75"/>
      <c r="H219" s="76"/>
    </row>
    <row r="220" spans="1:14" ht="35.25" customHeight="1" x14ac:dyDescent="0.25">
      <c r="A220" s="47" t="s">
        <v>152</v>
      </c>
      <c r="B220" s="74" t="s">
        <v>153</v>
      </c>
      <c r="C220" s="75"/>
      <c r="D220" s="75"/>
      <c r="E220" s="75"/>
      <c r="F220" s="75"/>
      <c r="G220" s="75"/>
      <c r="H220" s="76"/>
    </row>
    <row r="221" spans="1:14" x14ac:dyDescent="0.25">
      <c r="A221" s="47" t="s">
        <v>152</v>
      </c>
      <c r="B221" s="74" t="s">
        <v>124</v>
      </c>
      <c r="C221" s="75"/>
      <c r="D221" s="75"/>
      <c r="E221" s="75"/>
      <c r="F221" s="75"/>
      <c r="G221" s="75"/>
      <c r="H221" s="76"/>
    </row>
    <row r="222" spans="1:14" ht="33.950000000000003" hidden="1" customHeight="1" x14ac:dyDescent="0.25">
      <c r="A222" s="57" t="s">
        <v>152</v>
      </c>
      <c r="B222" s="180" t="s">
        <v>177</v>
      </c>
      <c r="C222" s="181"/>
      <c r="D222" s="181"/>
      <c r="E222" s="181"/>
      <c r="F222" s="181"/>
      <c r="G222" s="181"/>
      <c r="H222" s="182"/>
    </row>
    <row r="223" spans="1:14" x14ac:dyDescent="0.25">
      <c r="A223" s="183" t="s">
        <v>61</v>
      </c>
      <c r="B223" s="183"/>
      <c r="C223" s="183"/>
      <c r="D223" s="183"/>
      <c r="E223" s="183"/>
      <c r="F223" s="183"/>
      <c r="G223" s="183"/>
      <c r="H223" s="183"/>
    </row>
    <row r="224" spans="1:14" x14ac:dyDescent="0.25">
      <c r="A224" s="91" t="s">
        <v>62</v>
      </c>
      <c r="B224" s="91"/>
      <c r="C224" s="91"/>
      <c r="D224" s="91"/>
      <c r="E224" s="91"/>
      <c r="F224" s="91"/>
      <c r="G224" s="91"/>
      <c r="H224" s="91"/>
    </row>
    <row r="225" spans="1:8" x14ac:dyDescent="0.25">
      <c r="A225" s="179" t="s">
        <v>63</v>
      </c>
      <c r="B225" s="179"/>
      <c r="C225" s="179"/>
      <c r="D225" s="179"/>
      <c r="E225" s="179"/>
      <c r="F225" s="179"/>
      <c r="G225" s="179"/>
      <c r="H225" s="179"/>
    </row>
    <row r="226" spans="1:8" x14ac:dyDescent="0.25">
      <c r="A226" s="91" t="s">
        <v>64</v>
      </c>
      <c r="B226" s="91"/>
      <c r="C226" s="91"/>
      <c r="D226" s="91"/>
      <c r="E226" s="91"/>
      <c r="F226" s="91"/>
      <c r="G226" s="91"/>
      <c r="H226" s="91"/>
    </row>
    <row r="227" spans="1:8" x14ac:dyDescent="0.25">
      <c r="A227" s="91" t="s">
        <v>65</v>
      </c>
      <c r="B227" s="91"/>
      <c r="C227" s="91"/>
      <c r="D227" s="91"/>
      <c r="E227" s="91"/>
      <c r="F227" s="91"/>
      <c r="G227" s="91"/>
      <c r="H227" s="91"/>
    </row>
    <row r="228" spans="1:8" x14ac:dyDescent="0.25">
      <c r="A228" s="91" t="s">
        <v>125</v>
      </c>
      <c r="B228" s="91"/>
      <c r="C228" s="91"/>
      <c r="D228" s="91"/>
      <c r="E228" s="91"/>
      <c r="F228" s="91"/>
      <c r="G228" s="91"/>
      <c r="H228" s="91"/>
    </row>
    <row r="229" spans="1:8" x14ac:dyDescent="0.25">
      <c r="A229" s="150" t="s">
        <v>126</v>
      </c>
      <c r="B229" s="150"/>
      <c r="C229" s="150"/>
      <c r="D229" s="150"/>
      <c r="E229" s="150"/>
      <c r="F229" s="150"/>
      <c r="G229" s="150"/>
      <c r="H229" s="150"/>
    </row>
    <row r="230" spans="1:8" x14ac:dyDescent="0.25">
      <c r="A230" s="178" t="s">
        <v>76</v>
      </c>
      <c r="B230" s="178"/>
      <c r="C230" s="178" t="s">
        <v>289</v>
      </c>
      <c r="D230" s="178"/>
      <c r="E230" s="178" t="s">
        <v>106</v>
      </c>
      <c r="F230" s="178"/>
      <c r="G230" s="178" t="s">
        <v>293</v>
      </c>
      <c r="H230" s="178"/>
    </row>
    <row r="231" spans="1:8" ht="15" customHeight="1" x14ac:dyDescent="0.25">
      <c r="A231" s="177" t="s">
        <v>78</v>
      </c>
      <c r="B231" s="177"/>
      <c r="C231" s="177"/>
      <c r="D231" s="177"/>
      <c r="E231" s="177"/>
      <c r="F231" s="177"/>
      <c r="G231" s="177"/>
      <c r="H231" s="177"/>
    </row>
    <row r="232" spans="1:8" x14ac:dyDescent="0.25">
      <c r="A232" s="177"/>
      <c r="B232" s="177"/>
      <c r="C232" s="177"/>
      <c r="D232" s="177"/>
      <c r="E232" s="177"/>
      <c r="F232" s="177"/>
      <c r="G232" s="177"/>
      <c r="H232" s="177"/>
    </row>
    <row r="233" spans="1:8" x14ac:dyDescent="0.25">
      <c r="A233" s="177"/>
      <c r="B233" s="177"/>
      <c r="C233" s="177"/>
      <c r="D233" s="177"/>
      <c r="E233" s="177"/>
      <c r="F233" s="177"/>
      <c r="G233" s="177"/>
      <c r="H233" s="177"/>
    </row>
    <row r="234" spans="1:8" x14ac:dyDescent="0.25">
      <c r="A234" s="177"/>
      <c r="B234" s="177"/>
      <c r="C234" s="177"/>
      <c r="D234" s="177"/>
      <c r="E234" s="177"/>
      <c r="F234" s="177"/>
      <c r="G234" s="177"/>
      <c r="H234" s="177"/>
    </row>
    <row r="235" spans="1:8" x14ac:dyDescent="0.25">
      <c r="A235" s="38" t="s">
        <v>66</v>
      </c>
      <c r="B235" s="39"/>
      <c r="C235" s="39"/>
      <c r="D235" s="38" t="str">
        <f>E8</f>
        <v>Infinity Icon</v>
      </c>
      <c r="F235" s="39"/>
      <c r="G235" s="39"/>
      <c r="H235" s="39"/>
    </row>
    <row r="236" spans="1:8" x14ac:dyDescent="0.25">
      <c r="A236" s="39"/>
      <c r="B236" s="39"/>
      <c r="C236" s="39"/>
      <c r="D236" s="39"/>
      <c r="E236" s="39"/>
      <c r="F236" s="39"/>
      <c r="G236" s="39"/>
      <c r="H236" s="39"/>
    </row>
    <row r="237" spans="1:8" x14ac:dyDescent="0.25">
      <c r="A237" s="39"/>
      <c r="B237" s="39"/>
      <c r="C237" s="39"/>
      <c r="D237" s="39"/>
      <c r="E237" s="39"/>
      <c r="F237" s="39"/>
      <c r="G237" s="39"/>
      <c r="H237" s="39"/>
    </row>
    <row r="278" spans="1:8" x14ac:dyDescent="0.25">
      <c r="A278" s="41" t="s">
        <v>164</v>
      </c>
    </row>
    <row r="285" spans="1:8" x14ac:dyDescent="0.25">
      <c r="A285" s="41"/>
      <c r="B285" s="21"/>
      <c r="C285" s="21"/>
      <c r="D285" s="21"/>
      <c r="E285" s="21"/>
      <c r="F285" s="21"/>
      <c r="G285" s="21"/>
      <c r="H285" s="21"/>
    </row>
    <row r="318" spans="1:1" x14ac:dyDescent="0.25">
      <c r="A318" s="41" t="s">
        <v>67</v>
      </c>
    </row>
    <row r="325" spans="1:8" x14ac:dyDescent="0.25">
      <c r="A325" s="41"/>
      <c r="B325" s="21"/>
      <c r="C325" s="21"/>
      <c r="D325" s="21"/>
      <c r="E325" s="21"/>
      <c r="F325" s="21"/>
      <c r="G325" s="21"/>
      <c r="H325" s="21"/>
    </row>
  </sheetData>
  <mergeCells count="386">
    <mergeCell ref="I62:N63"/>
    <mergeCell ref="A161:B161"/>
    <mergeCell ref="A162:B162"/>
    <mergeCell ref="A179:H179"/>
    <mergeCell ref="A180:H180"/>
    <mergeCell ref="A181:B181"/>
    <mergeCell ref="A182:B182"/>
    <mergeCell ref="A183:B183"/>
    <mergeCell ref="A184:B184"/>
    <mergeCell ref="A143:B143"/>
    <mergeCell ref="A152:B152"/>
    <mergeCell ref="A154:B154"/>
    <mergeCell ref="A138:B138"/>
    <mergeCell ref="A139:B139"/>
    <mergeCell ref="A140:B140"/>
    <mergeCell ref="A141:B141"/>
    <mergeCell ref="A142:B142"/>
    <mergeCell ref="A150:B150"/>
    <mergeCell ref="C111:D111"/>
    <mergeCell ref="E111:F111"/>
    <mergeCell ref="B121:B122"/>
    <mergeCell ref="A121:A122"/>
    <mergeCell ref="C144:C145"/>
    <mergeCell ref="A132:B132"/>
    <mergeCell ref="A103:E103"/>
    <mergeCell ref="E85:F94"/>
    <mergeCell ref="A92:B92"/>
    <mergeCell ref="C69:H69"/>
    <mergeCell ref="A72:B72"/>
    <mergeCell ref="A74:B74"/>
    <mergeCell ref="G70:H70"/>
    <mergeCell ref="A90:B90"/>
    <mergeCell ref="F102:H102"/>
    <mergeCell ref="A96:E96"/>
    <mergeCell ref="A85:B85"/>
    <mergeCell ref="A98:E98"/>
    <mergeCell ref="A95:E95"/>
    <mergeCell ref="A91:B91"/>
    <mergeCell ref="F96:H96"/>
    <mergeCell ref="F103:H103"/>
    <mergeCell ref="A101:E101"/>
    <mergeCell ref="F101:H101"/>
    <mergeCell ref="A102:E102"/>
    <mergeCell ref="E70:F70"/>
    <mergeCell ref="A79:B79"/>
    <mergeCell ref="A80:B80"/>
    <mergeCell ref="A84:B84"/>
    <mergeCell ref="A78:B78"/>
    <mergeCell ref="I14:P14"/>
    <mergeCell ref="F106:H106"/>
    <mergeCell ref="F104:H104"/>
    <mergeCell ref="A165:B165"/>
    <mergeCell ref="A120:H120"/>
    <mergeCell ref="G110:H110"/>
    <mergeCell ref="A105:E105"/>
    <mergeCell ref="A126:B126"/>
    <mergeCell ref="A53:B53"/>
    <mergeCell ref="C53:E53"/>
    <mergeCell ref="D55:H55"/>
    <mergeCell ref="F105:H105"/>
    <mergeCell ref="E110:F110"/>
    <mergeCell ref="A110:B110"/>
    <mergeCell ref="C114:D114"/>
    <mergeCell ref="D64:H64"/>
    <mergeCell ref="A65:C65"/>
    <mergeCell ref="F95:H95"/>
    <mergeCell ref="F100:H100"/>
    <mergeCell ref="A148:B148"/>
    <mergeCell ref="A128:B128"/>
    <mergeCell ref="A62:C62"/>
    <mergeCell ref="A89:B89"/>
    <mergeCell ref="D62:H62"/>
    <mergeCell ref="E42:H42"/>
    <mergeCell ref="A42:D42"/>
    <mergeCell ref="A81:B81"/>
    <mergeCell ref="C81:H81"/>
    <mergeCell ref="A76:B76"/>
    <mergeCell ref="A49:B49"/>
    <mergeCell ref="C49:E49"/>
    <mergeCell ref="G49:H49"/>
    <mergeCell ref="G51:H51"/>
    <mergeCell ref="A50:B50"/>
    <mergeCell ref="A54:H54"/>
    <mergeCell ref="A55:C55"/>
    <mergeCell ref="A56:C56"/>
    <mergeCell ref="D56:H56"/>
    <mergeCell ref="G53:H53"/>
    <mergeCell ref="D65:H65"/>
    <mergeCell ref="A71:B71"/>
    <mergeCell ref="C50:E50"/>
    <mergeCell ref="C52:H52"/>
    <mergeCell ref="C51:E51"/>
    <mergeCell ref="D58:H58"/>
    <mergeCell ref="A66:C66"/>
    <mergeCell ref="D66:H66"/>
    <mergeCell ref="A64:C64"/>
    <mergeCell ref="A223:H223"/>
    <mergeCell ref="A173:B173"/>
    <mergeCell ref="C117:D117"/>
    <mergeCell ref="A147:H147"/>
    <mergeCell ref="A125:B125"/>
    <mergeCell ref="B213:H213"/>
    <mergeCell ref="A163:H163"/>
    <mergeCell ref="A151:B151"/>
    <mergeCell ref="A157:B157"/>
    <mergeCell ref="A158:B158"/>
    <mergeCell ref="B215:H215"/>
    <mergeCell ref="A118:B118"/>
    <mergeCell ref="C118:D118"/>
    <mergeCell ref="E118:F118"/>
    <mergeCell ref="G118:H118"/>
    <mergeCell ref="A123:H123"/>
    <mergeCell ref="A129:B129"/>
    <mergeCell ref="A130:B130"/>
    <mergeCell ref="A131:B131"/>
    <mergeCell ref="A127:B127"/>
    <mergeCell ref="A210:B210"/>
    <mergeCell ref="A211:B211"/>
    <mergeCell ref="G205:H211"/>
    <mergeCell ref="A206:B206"/>
    <mergeCell ref="A12:D12"/>
    <mergeCell ref="E12:H12"/>
    <mergeCell ref="E13:H13"/>
    <mergeCell ref="A231:H234"/>
    <mergeCell ref="A230:B230"/>
    <mergeCell ref="E230:F230"/>
    <mergeCell ref="C230:D230"/>
    <mergeCell ref="G230:H230"/>
    <mergeCell ref="A155:H155"/>
    <mergeCell ref="A166:B166"/>
    <mergeCell ref="A226:H226"/>
    <mergeCell ref="A228:H228"/>
    <mergeCell ref="A225:H225"/>
    <mergeCell ref="A156:B156"/>
    <mergeCell ref="A167:B167"/>
    <mergeCell ref="A164:B164"/>
    <mergeCell ref="B221:H221"/>
    <mergeCell ref="B219:H219"/>
    <mergeCell ref="A229:H229"/>
    <mergeCell ref="B222:H222"/>
    <mergeCell ref="C207:F207"/>
    <mergeCell ref="A208:B208"/>
    <mergeCell ref="C208:F208"/>
    <mergeCell ref="A227:H227"/>
    <mergeCell ref="A11:D11"/>
    <mergeCell ref="E11:H11"/>
    <mergeCell ref="A13:D13"/>
    <mergeCell ref="G114:H114"/>
    <mergeCell ref="A224:H224"/>
    <mergeCell ref="A10:D10"/>
    <mergeCell ref="E10:H10"/>
    <mergeCell ref="A22:D23"/>
    <mergeCell ref="A168:B168"/>
    <mergeCell ref="C121:C122"/>
    <mergeCell ref="B144:B145"/>
    <mergeCell ref="A46:D46"/>
    <mergeCell ref="A47:H47"/>
    <mergeCell ref="D57:H57"/>
    <mergeCell ref="A57:C57"/>
    <mergeCell ref="G50:H50"/>
    <mergeCell ref="A51:B52"/>
    <mergeCell ref="A77:B77"/>
    <mergeCell ref="A70:B70"/>
    <mergeCell ref="A73:B73"/>
    <mergeCell ref="A69:B69"/>
    <mergeCell ref="A67:B67"/>
    <mergeCell ref="C67:H67"/>
    <mergeCell ref="A75:B75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5:D5"/>
    <mergeCell ref="E5:H5"/>
    <mergeCell ref="A6:D6"/>
    <mergeCell ref="E6:H6"/>
    <mergeCell ref="A7:D7"/>
    <mergeCell ref="E7:H7"/>
    <mergeCell ref="F33:H33"/>
    <mergeCell ref="E22:H23"/>
    <mergeCell ref="E14:H14"/>
    <mergeCell ref="A15:B15"/>
    <mergeCell ref="C15:H15"/>
    <mergeCell ref="C16:H16"/>
    <mergeCell ref="A17:B17"/>
    <mergeCell ref="C17:H17"/>
    <mergeCell ref="A32:B32"/>
    <mergeCell ref="C33:E33"/>
    <mergeCell ref="A16:B16"/>
    <mergeCell ref="A14:D14"/>
    <mergeCell ref="A24:D24"/>
    <mergeCell ref="E24:H24"/>
    <mergeCell ref="A18:B18"/>
    <mergeCell ref="C18:D18"/>
    <mergeCell ref="E18:F18"/>
    <mergeCell ref="G18:H18"/>
    <mergeCell ref="A19:B19"/>
    <mergeCell ref="C19:D19"/>
    <mergeCell ref="E19:F19"/>
    <mergeCell ref="G19:H19"/>
    <mergeCell ref="A20:B20"/>
    <mergeCell ref="C20:D20"/>
    <mergeCell ref="E20:F20"/>
    <mergeCell ref="G20:H20"/>
    <mergeCell ref="A21:B21"/>
    <mergeCell ref="C21:D21"/>
    <mergeCell ref="E21:F21"/>
    <mergeCell ref="G21:H21"/>
    <mergeCell ref="F36:H36"/>
    <mergeCell ref="E26:H26"/>
    <mergeCell ref="A28:D28"/>
    <mergeCell ref="E28:H28"/>
    <mergeCell ref="A25:D25"/>
    <mergeCell ref="E25:H25"/>
    <mergeCell ref="A29:D29"/>
    <mergeCell ref="E29:H29"/>
    <mergeCell ref="A26:D26"/>
    <mergeCell ref="A35:B35"/>
    <mergeCell ref="C35:E35"/>
    <mergeCell ref="A30:D30"/>
    <mergeCell ref="E30:H30"/>
    <mergeCell ref="A31:D31"/>
    <mergeCell ref="E31:H31"/>
    <mergeCell ref="A27:D27"/>
    <mergeCell ref="E27:H27"/>
    <mergeCell ref="C32:E32"/>
    <mergeCell ref="F35:H35"/>
    <mergeCell ref="F32:H32"/>
    <mergeCell ref="A33:B33"/>
    <mergeCell ref="A34:B34"/>
    <mergeCell ref="F34:H34"/>
    <mergeCell ref="C34:E34"/>
    <mergeCell ref="A113:H113"/>
    <mergeCell ref="A37:H37"/>
    <mergeCell ref="A36:B36"/>
    <mergeCell ref="C36:E36"/>
    <mergeCell ref="A41:D41"/>
    <mergeCell ref="E41:H41"/>
    <mergeCell ref="A40:H40"/>
    <mergeCell ref="A60:C60"/>
    <mergeCell ref="A61:C61"/>
    <mergeCell ref="D60:H60"/>
    <mergeCell ref="D61:H61"/>
    <mergeCell ref="A43:D43"/>
    <mergeCell ref="E43:H43"/>
    <mergeCell ref="E44:H44"/>
    <mergeCell ref="E45:H45"/>
    <mergeCell ref="E46:H46"/>
    <mergeCell ref="A38:B38"/>
    <mergeCell ref="C38:H38"/>
    <mergeCell ref="A45:D45"/>
    <mergeCell ref="A39:B39"/>
    <mergeCell ref="C39:H39"/>
    <mergeCell ref="A83:B83"/>
    <mergeCell ref="C83:H83"/>
    <mergeCell ref="A44:D44"/>
    <mergeCell ref="A106:E106"/>
    <mergeCell ref="A112:B112"/>
    <mergeCell ref="C112:D112"/>
    <mergeCell ref="E112:F112"/>
    <mergeCell ref="G112:H112"/>
    <mergeCell ref="A109:H109"/>
    <mergeCell ref="A107:E107"/>
    <mergeCell ref="F107:H107"/>
    <mergeCell ref="A108:E108"/>
    <mergeCell ref="F108:H108"/>
    <mergeCell ref="A111:B111"/>
    <mergeCell ref="G111:H111"/>
    <mergeCell ref="C110:D110"/>
    <mergeCell ref="A63:C63"/>
    <mergeCell ref="D63:H63"/>
    <mergeCell ref="A93:B93"/>
    <mergeCell ref="E71:F80"/>
    <mergeCell ref="G71:H80"/>
    <mergeCell ref="E84:F84"/>
    <mergeCell ref="G84:H84"/>
    <mergeCell ref="E114:F114"/>
    <mergeCell ref="A119:H119"/>
    <mergeCell ref="A135:B135"/>
    <mergeCell ref="A136:B136"/>
    <mergeCell ref="A137:B137"/>
    <mergeCell ref="A115:B115"/>
    <mergeCell ref="A114:B114"/>
    <mergeCell ref="E117:F117"/>
    <mergeCell ref="G117:H117"/>
    <mergeCell ref="A116:B116"/>
    <mergeCell ref="C116:D116"/>
    <mergeCell ref="E116:F116"/>
    <mergeCell ref="G116:H116"/>
    <mergeCell ref="C115:D115"/>
    <mergeCell ref="E115:F115"/>
    <mergeCell ref="G115:H115"/>
    <mergeCell ref="A133:B133"/>
    <mergeCell ref="G125:H143"/>
    <mergeCell ref="A104:E104"/>
    <mergeCell ref="F98:H98"/>
    <mergeCell ref="E121:E122"/>
    <mergeCell ref="G121:H122"/>
    <mergeCell ref="L144:M144"/>
    <mergeCell ref="A144:A145"/>
    <mergeCell ref="C206:F206"/>
    <mergeCell ref="A207:B207"/>
    <mergeCell ref="G148:H154"/>
    <mergeCell ref="A209:B209"/>
    <mergeCell ref="A201:B201"/>
    <mergeCell ref="C201:F201"/>
    <mergeCell ref="A202:B202"/>
    <mergeCell ref="A203:B203"/>
    <mergeCell ref="A204:H204"/>
    <mergeCell ref="A196:H196"/>
    <mergeCell ref="A197:B197"/>
    <mergeCell ref="A198:B198"/>
    <mergeCell ref="A153:B153"/>
    <mergeCell ref="C153:F153"/>
    <mergeCell ref="A186:B186"/>
    <mergeCell ref="A199:B199"/>
    <mergeCell ref="A200:B200"/>
    <mergeCell ref="A146:H146"/>
    <mergeCell ref="A185:B185"/>
    <mergeCell ref="A187:B187"/>
    <mergeCell ref="A160:B160"/>
    <mergeCell ref="A169:B169"/>
    <mergeCell ref="B216:H216"/>
    <mergeCell ref="A188:H188"/>
    <mergeCell ref="A189:B189"/>
    <mergeCell ref="A190:B190"/>
    <mergeCell ref="B214:H214"/>
    <mergeCell ref="A205:B205"/>
    <mergeCell ref="L137:M137"/>
    <mergeCell ref="A149:B149"/>
    <mergeCell ref="A124:H124"/>
    <mergeCell ref="A159:B159"/>
    <mergeCell ref="A134:B134"/>
    <mergeCell ref="D144:D145"/>
    <mergeCell ref="E144:E145"/>
    <mergeCell ref="G144:H145"/>
    <mergeCell ref="A174:B174"/>
    <mergeCell ref="G181:H187"/>
    <mergeCell ref="A191:B191"/>
    <mergeCell ref="A192:B192"/>
    <mergeCell ref="A193:B193"/>
    <mergeCell ref="C186:F186"/>
    <mergeCell ref="G189:H195"/>
    <mergeCell ref="A175:B175"/>
    <mergeCell ref="A178:B178"/>
    <mergeCell ref="A171:H171"/>
    <mergeCell ref="G172:H178"/>
    <mergeCell ref="C168:F168"/>
    <mergeCell ref="A170:B170"/>
    <mergeCell ref="A176:B176"/>
    <mergeCell ref="A177:B177"/>
    <mergeCell ref="C173:F173"/>
    <mergeCell ref="C174:F174"/>
    <mergeCell ref="C175:F175"/>
    <mergeCell ref="A172:B172"/>
    <mergeCell ref="G164:H170"/>
    <mergeCell ref="G197:H203"/>
    <mergeCell ref="G156:H162"/>
    <mergeCell ref="B220:H220"/>
    <mergeCell ref="A48:B48"/>
    <mergeCell ref="C48:H48"/>
    <mergeCell ref="B218:H218"/>
    <mergeCell ref="G85:H94"/>
    <mergeCell ref="A86:B86"/>
    <mergeCell ref="A87:B87"/>
    <mergeCell ref="A88:B88"/>
    <mergeCell ref="F97:H97"/>
    <mergeCell ref="A97:E97"/>
    <mergeCell ref="D121:D122"/>
    <mergeCell ref="A99:E99"/>
    <mergeCell ref="F99:H99"/>
    <mergeCell ref="A58:C59"/>
    <mergeCell ref="D59:H59"/>
    <mergeCell ref="A194:B194"/>
    <mergeCell ref="A195:B195"/>
    <mergeCell ref="A100:E100"/>
    <mergeCell ref="A94:B94"/>
    <mergeCell ref="A117:B117"/>
    <mergeCell ref="B217:H217"/>
    <mergeCell ref="A212:H212"/>
  </mergeCells>
  <dataValidations count="13">
    <dataValidation type="list" allowBlank="1" showInputMessage="1" showErrorMessage="1" sqref="E4:H4">
      <formula1>"Axis Goregaon,Axis Thane,Axis Badlapur,Axis Sanpada, PNB Thane"</formula1>
    </dataValidation>
    <dataValidation type="list" allowBlank="1" showInputMessage="1" showErrorMessage="1" sqref="A16:B16">
      <formula1>"CTS No,Survey No,Plot No,Gut No,FP No,"</formula1>
    </dataValidation>
    <dataValidation type="list" allowBlank="1" showInputMessage="1" showErrorMessage="1" sqref="G19:H19">
      <formula1>$S$12:$W$12</formula1>
    </dataValidation>
    <dataValidation type="list" allowBlank="1" showInputMessage="1" showErrorMessage="1" sqref="E121:E122">
      <formula1>"Attached Loft area,Attached Terrace area,Attached Mezzanine area"</formula1>
    </dataValidation>
    <dataValidation type="list" allowBlank="1" showInputMessage="1" showErrorMessage="1" sqref="F122 F145">
      <formula1>"45%,50%,55%,60%"</formula1>
    </dataValidation>
    <dataValidation type="list" allowBlank="1" showInputMessage="1" showErrorMessage="1" sqref="G230:H230">
      <formula1>"Shruti Tathare,Kunal Kadam,Pranita Mhatre,Shruti Fule,Pooja Kawale,Mansee Mohite,Anjali Kamble, Hitakshi Mhatre, Sachin Sawant"</formula1>
    </dataValidation>
    <dataValidation type="list" allowBlank="1" showInputMessage="1" showErrorMessage="1" sqref="F95:H95">
      <formula1>"On Saleable Area,On Builtup Area,On Carpet Area,On Plot Area"</formula1>
    </dataValidation>
    <dataValidation type="list" allowBlank="1" showInputMessage="1" showErrorMessage="1" sqref="F107:H107">
      <formula1>"100000,150000,200000,250000,300000,350000,400000,500000,600000,700000,800000,900000,1000000,1200000,1400000,1500000"</formula1>
    </dataValidation>
    <dataValidation type="list" allowBlank="1" showInputMessage="1" showErrorMessage="1" sqref="F121 F144">
      <formula1>"Saleable area Loading :,Builder Saleable area"</formula1>
    </dataValidation>
    <dataValidation type="list" allowBlank="1" showInputMessage="1" showErrorMessage="1" sqref="B121:B122">
      <formula1>"Shop No. (Sale Plan),Sale / Rehab,Sale / Mhada"</formula1>
    </dataValidation>
    <dataValidation type="list" allowBlank="1" showInputMessage="1" showErrorMessage="1" sqref="B144:B145">
      <formula1>"Flat No. (Sale Plan),Sale / Rehab,Sale / Mhada"</formula1>
    </dataValidation>
    <dataValidation type="list" allowBlank="1" showInputMessage="1" showErrorMessage="1" sqref="C20:D20">
      <formula1>OFFSET($S$12,1,MATCH($G19,$S$12:$W$12,0)-1,15,1)</formula1>
    </dataValidation>
    <dataValidation type="list" allowBlank="1" showInputMessage="1" showErrorMessage="1" sqref="Y12">
      <formula1>$D$4:$H$4</formula1>
    </dataValidation>
  </dataValidations>
  <hyperlinks>
    <hyperlink ref="C39" r:id="rId1"/>
    <hyperlink ref="I62" r:id="rId2"/>
  </hyperlinks>
  <printOptions horizontalCentered="1"/>
  <pageMargins left="0.39370078740157483" right="0.39370078740157483" top="0.82677165354330717" bottom="0.78740157480314965" header="0.15748031496062992" footer="0.19685039370078741"/>
  <pageSetup paperSize="2" orientation="portrait" r:id="rId3"/>
  <headerFooter>
    <oddHeader>&amp;C&amp;G</oddHeader>
    <oddFooter>&amp;L&amp;"Times New Roman,Bold"&amp;12Ref No: &amp;F&amp;C&amp;G&amp;R&amp;"Times New Roman,Bold"&amp;12&amp;P</oddFooter>
  </headerFooter>
  <rowBreaks count="4" manualBreakCount="4">
    <brk id="66" max="7" man="1"/>
    <brk id="234" max="7" man="1"/>
    <brk id="277" max="16383" man="1"/>
    <brk id="317" max="16383" man="1"/>
  </rowBreaks>
  <ignoredErrors>
    <ignoredError sqref="D134:E134 D126:E126" formula="1"/>
    <ignoredError sqref="F125:H143 A154:H154 E25:H30 A150:H152 A155:H170 A148:D148 F148:H148 A149:D149 F149:H149" unlockedFormula="1"/>
  </ignoredErrors>
  <drawing r:id="rId4"/>
  <legacyDrawing r:id="rId5"/>
  <legacyDrawingHF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6"/>
  <sheetViews>
    <sheetView zoomScale="85" zoomScaleNormal="85" workbookViewId="0">
      <selection activeCell="C20" sqref="C20"/>
    </sheetView>
  </sheetViews>
  <sheetFormatPr defaultColWidth="8.7109375" defaultRowHeight="15" x14ac:dyDescent="0.25"/>
  <cols>
    <col min="1" max="1" width="8.7109375" style="1"/>
    <col min="2" max="2" width="22.140625" style="1" customWidth="1"/>
    <col min="3" max="3" width="37" style="1" customWidth="1"/>
    <col min="4" max="5" width="11.42578125" style="1" customWidth="1"/>
    <col min="6" max="6" width="14" style="1" customWidth="1"/>
    <col min="7" max="7" width="20" style="1" customWidth="1"/>
    <col min="8" max="8" width="16.42578125" style="1" customWidth="1"/>
    <col min="9" max="16384" width="8.7109375" style="1"/>
  </cols>
  <sheetData>
    <row r="1" spans="1:9" ht="15" customHeight="1" x14ac:dyDescent="0.25"/>
    <row r="2" spans="1:9" ht="15" customHeight="1" x14ac:dyDescent="0.25">
      <c r="A2" s="2"/>
      <c r="B2" s="2"/>
      <c r="C2" s="2"/>
      <c r="D2" s="2"/>
      <c r="E2" s="2"/>
      <c r="F2" s="2"/>
      <c r="G2" s="2"/>
      <c r="H2" s="2"/>
    </row>
    <row r="3" spans="1:9" ht="15.75" customHeight="1" x14ac:dyDescent="0.25">
      <c r="A3" s="2"/>
      <c r="B3" s="209" t="s">
        <v>107</v>
      </c>
      <c r="C3" s="209"/>
      <c r="D3" s="209"/>
      <c r="E3" s="209"/>
      <c r="F3" s="209"/>
      <c r="G3" s="209"/>
      <c r="H3" s="209"/>
    </row>
    <row r="4" spans="1:9" x14ac:dyDescent="0.25">
      <c r="A4" s="2"/>
      <c r="B4" s="3" t="s">
        <v>108</v>
      </c>
      <c r="C4" s="3" t="s">
        <v>109</v>
      </c>
      <c r="D4" s="3" t="s">
        <v>69</v>
      </c>
      <c r="E4" s="3" t="s">
        <v>110</v>
      </c>
      <c r="F4" s="3" t="s">
        <v>116</v>
      </c>
      <c r="G4" s="3" t="s">
        <v>117</v>
      </c>
      <c r="H4" s="3" t="s">
        <v>111</v>
      </c>
    </row>
    <row r="5" spans="1:9" ht="15" customHeight="1" x14ac:dyDescent="0.25">
      <c r="A5" s="2"/>
      <c r="B5" s="5" t="s">
        <v>112</v>
      </c>
      <c r="C5" s="6"/>
      <c r="D5" s="5"/>
      <c r="E5" s="5"/>
      <c r="F5" s="7">
        <f>E5*1.6</f>
        <v>0</v>
      </c>
      <c r="G5" s="7" t="e">
        <f>H5/F5</f>
        <v>#DIV/0!</v>
      </c>
      <c r="H5" s="8"/>
    </row>
    <row r="6" spans="1:9" x14ac:dyDescent="0.25">
      <c r="A6" s="2"/>
      <c r="B6" s="5" t="s">
        <v>112</v>
      </c>
      <c r="C6" s="9"/>
      <c r="D6" s="5"/>
      <c r="E6" s="5"/>
      <c r="F6" s="7">
        <f t="shared" ref="F6:F11" si="0">E6*1.6</f>
        <v>0</v>
      </c>
      <c r="G6" s="7" t="e">
        <f t="shared" ref="G6:G11" si="1">H6/F6</f>
        <v>#DIV/0!</v>
      </c>
      <c r="H6" s="8"/>
    </row>
    <row r="7" spans="1:9" ht="15" customHeight="1" x14ac:dyDescent="0.25">
      <c r="A7" s="2"/>
      <c r="B7" s="5" t="s">
        <v>112</v>
      </c>
      <c r="C7" s="6"/>
      <c r="D7" s="5"/>
      <c r="E7" s="5"/>
      <c r="F7" s="7">
        <f t="shared" si="0"/>
        <v>0</v>
      </c>
      <c r="G7" s="7" t="e">
        <f t="shared" si="1"/>
        <v>#DIV/0!</v>
      </c>
      <c r="H7" s="8"/>
    </row>
    <row r="8" spans="1:9" x14ac:dyDescent="0.25">
      <c r="A8" s="2"/>
      <c r="B8" s="5" t="s">
        <v>112</v>
      </c>
      <c r="C8" s="9"/>
      <c r="D8" s="5"/>
      <c r="E8" s="5"/>
      <c r="F8" s="7">
        <f t="shared" si="0"/>
        <v>0</v>
      </c>
      <c r="G8" s="7" t="e">
        <f t="shared" si="1"/>
        <v>#DIV/0!</v>
      </c>
      <c r="H8" s="8"/>
    </row>
    <row r="9" spans="1:9" ht="15" customHeight="1" x14ac:dyDescent="0.25">
      <c r="A9" s="2"/>
      <c r="B9" s="5" t="s">
        <v>112</v>
      </c>
      <c r="C9" s="9"/>
      <c r="D9" s="5"/>
      <c r="E9" s="5"/>
      <c r="F9" s="7">
        <f t="shared" si="0"/>
        <v>0</v>
      </c>
      <c r="G9" s="7" t="e">
        <f t="shared" si="1"/>
        <v>#DIV/0!</v>
      </c>
      <c r="H9" s="8"/>
    </row>
    <row r="10" spans="1:9" ht="15" customHeight="1" x14ac:dyDescent="0.25">
      <c r="A10" s="2"/>
      <c r="B10" s="5" t="s">
        <v>113</v>
      </c>
      <c r="C10" s="6"/>
      <c r="D10" s="5"/>
      <c r="E10" s="5"/>
      <c r="F10" s="7">
        <f t="shared" si="0"/>
        <v>0</v>
      </c>
      <c r="G10" s="7" t="e">
        <f t="shared" si="1"/>
        <v>#DIV/0!</v>
      </c>
      <c r="H10" s="8"/>
    </row>
    <row r="11" spans="1:9" ht="15" customHeight="1" x14ac:dyDescent="0.25">
      <c r="A11" s="2"/>
      <c r="B11" s="5" t="s">
        <v>113</v>
      </c>
      <c r="C11" s="6"/>
      <c r="D11" s="5"/>
      <c r="E11" s="5"/>
      <c r="F11" s="7">
        <f t="shared" si="0"/>
        <v>0</v>
      </c>
      <c r="G11" s="7" t="e">
        <f t="shared" si="1"/>
        <v>#DIV/0!</v>
      </c>
      <c r="H11" s="8"/>
    </row>
    <row r="12" spans="1:9" ht="15" customHeight="1" x14ac:dyDescent="0.25">
      <c r="A12" s="2"/>
      <c r="B12" s="10" t="s">
        <v>114</v>
      </c>
      <c r="C12" s="5"/>
      <c r="D12" s="5"/>
      <c r="E12" s="5"/>
      <c r="F12" s="5"/>
      <c r="G12" s="11" t="e">
        <f>AVERAGE(G5:G11)</f>
        <v>#DIV/0!</v>
      </c>
      <c r="H12" s="5"/>
    </row>
    <row r="13" spans="1:9" ht="15" customHeight="1" x14ac:dyDescent="0.25">
      <c r="B13" s="10" t="s">
        <v>115</v>
      </c>
      <c r="C13" s="5"/>
      <c r="D13" s="5"/>
      <c r="E13" s="5"/>
      <c r="F13" s="12"/>
      <c r="G13" s="10"/>
      <c r="H13" s="10"/>
      <c r="I13" s="4"/>
    </row>
    <row r="14" spans="1:9" ht="15" customHeight="1" x14ac:dyDescent="0.25"/>
    <row r="15" spans="1:9" ht="15" customHeight="1" x14ac:dyDescent="0.25"/>
    <row r="16" spans="1:9" ht="15" customHeight="1" x14ac:dyDescent="0.25"/>
  </sheetData>
  <mergeCells count="1">
    <mergeCell ref="B3:H3"/>
  </mergeCell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B3:K30"/>
  <sheetViews>
    <sheetView topLeftCell="A16" zoomScale="130" zoomScaleNormal="130" workbookViewId="0">
      <selection activeCell="C30" sqref="C30"/>
    </sheetView>
  </sheetViews>
  <sheetFormatPr defaultRowHeight="15" x14ac:dyDescent="0.25"/>
  <cols>
    <col min="4" max="4" width="11" bestFit="1" customWidth="1"/>
    <col min="5" max="5" width="10.42578125" bestFit="1" customWidth="1"/>
    <col min="8" max="8" width="10.5703125" bestFit="1" customWidth="1"/>
  </cols>
  <sheetData>
    <row r="3" spans="2:11" x14ac:dyDescent="0.25">
      <c r="J3">
        <v>1</v>
      </c>
      <c r="K3">
        <v>2</v>
      </c>
    </row>
    <row r="4" spans="2:11" x14ac:dyDescent="0.25">
      <c r="B4" s="58"/>
      <c r="C4" s="58" t="s">
        <v>12</v>
      </c>
      <c r="D4" s="59" t="s">
        <v>178</v>
      </c>
      <c r="E4" s="59" t="s">
        <v>188</v>
      </c>
      <c r="F4" s="59" t="s">
        <v>172</v>
      </c>
      <c r="G4" s="59" t="s">
        <v>193</v>
      </c>
      <c r="H4" s="59" t="s">
        <v>211</v>
      </c>
      <c r="J4" t="s">
        <v>193</v>
      </c>
      <c r="K4" t="s">
        <v>209</v>
      </c>
    </row>
    <row r="5" spans="2:11" x14ac:dyDescent="0.25">
      <c r="B5" s="58"/>
      <c r="C5" s="58"/>
      <c r="D5" s="59" t="s">
        <v>179</v>
      </c>
      <c r="E5" s="59" t="s">
        <v>186</v>
      </c>
      <c r="F5" s="59" t="s">
        <v>208</v>
      </c>
      <c r="G5" s="59" t="s">
        <v>194</v>
      </c>
      <c r="H5" s="59" t="s">
        <v>212</v>
      </c>
    </row>
    <row r="6" spans="2:11" x14ac:dyDescent="0.25">
      <c r="B6" s="58"/>
      <c r="C6" s="58"/>
      <c r="D6" s="59" t="s">
        <v>180</v>
      </c>
      <c r="E6" s="59" t="s">
        <v>187</v>
      </c>
      <c r="F6" s="59" t="s">
        <v>209</v>
      </c>
      <c r="G6" s="59" t="s">
        <v>195</v>
      </c>
      <c r="H6" s="59" t="s">
        <v>225</v>
      </c>
    </row>
    <row r="7" spans="2:11" x14ac:dyDescent="0.25">
      <c r="B7" s="58"/>
      <c r="C7" s="58"/>
      <c r="D7" s="59" t="s">
        <v>181</v>
      </c>
      <c r="E7" s="59" t="s">
        <v>189</v>
      </c>
      <c r="F7" s="59" t="s">
        <v>210</v>
      </c>
      <c r="G7" s="59" t="s">
        <v>196</v>
      </c>
      <c r="H7" s="59" t="s">
        <v>213</v>
      </c>
    </row>
    <row r="8" spans="2:11" x14ac:dyDescent="0.25">
      <c r="B8" s="58"/>
      <c r="C8" s="58"/>
      <c r="D8" s="59" t="s">
        <v>182</v>
      </c>
      <c r="E8" s="59" t="s">
        <v>190</v>
      </c>
      <c r="F8" s="59"/>
      <c r="G8" s="59" t="s">
        <v>197</v>
      </c>
      <c r="H8" s="59" t="s">
        <v>214</v>
      </c>
    </row>
    <row r="9" spans="2:11" x14ac:dyDescent="0.25">
      <c r="B9" s="58"/>
      <c r="C9" s="58"/>
      <c r="D9" s="59" t="s">
        <v>183</v>
      </c>
      <c r="E9" s="59" t="s">
        <v>188</v>
      </c>
      <c r="F9" s="59"/>
      <c r="G9" s="59" t="s">
        <v>198</v>
      </c>
      <c r="H9" s="59" t="s">
        <v>215</v>
      </c>
    </row>
    <row r="10" spans="2:11" x14ac:dyDescent="0.25">
      <c r="B10" s="58"/>
      <c r="C10" s="58"/>
      <c r="D10" s="59" t="s">
        <v>184</v>
      </c>
      <c r="E10" s="59" t="s">
        <v>191</v>
      </c>
      <c r="F10" s="59"/>
      <c r="G10" s="59" t="s">
        <v>199</v>
      </c>
      <c r="H10" s="59" t="s">
        <v>216</v>
      </c>
    </row>
    <row r="11" spans="2:11" x14ac:dyDescent="0.25">
      <c r="B11" s="58"/>
      <c r="C11" s="58"/>
      <c r="D11" s="59" t="s">
        <v>185</v>
      </c>
      <c r="E11" s="59" t="s">
        <v>192</v>
      </c>
      <c r="F11" s="59"/>
      <c r="G11" s="59" t="s">
        <v>200</v>
      </c>
      <c r="H11" s="59" t="s">
        <v>217</v>
      </c>
    </row>
    <row r="12" spans="2:11" x14ac:dyDescent="0.25">
      <c r="B12" s="58"/>
      <c r="C12" s="58"/>
      <c r="D12" s="59"/>
      <c r="E12" s="59"/>
      <c r="F12" s="59"/>
      <c r="G12" s="59" t="s">
        <v>201</v>
      </c>
      <c r="H12" s="59" t="s">
        <v>218</v>
      </c>
    </row>
    <row r="13" spans="2:11" x14ac:dyDescent="0.25">
      <c r="B13" s="58"/>
      <c r="C13" s="58"/>
      <c r="D13" s="59"/>
      <c r="E13" s="59"/>
      <c r="F13" s="59"/>
      <c r="G13" s="59" t="s">
        <v>202</v>
      </c>
      <c r="H13" s="59" t="s">
        <v>219</v>
      </c>
    </row>
    <row r="14" spans="2:11" x14ac:dyDescent="0.25">
      <c r="B14" s="58"/>
      <c r="C14" s="58"/>
      <c r="D14" s="59"/>
      <c r="E14" s="59"/>
      <c r="F14" s="59"/>
      <c r="G14" s="59" t="s">
        <v>203</v>
      </c>
      <c r="H14" s="59" t="s">
        <v>220</v>
      </c>
    </row>
    <row r="15" spans="2:11" x14ac:dyDescent="0.25">
      <c r="B15" s="58"/>
      <c r="C15" s="58"/>
      <c r="D15" s="59"/>
      <c r="E15" s="59"/>
      <c r="F15" s="59"/>
      <c r="G15" s="59" t="s">
        <v>204</v>
      </c>
      <c r="H15" s="59" t="s">
        <v>221</v>
      </c>
    </row>
    <row r="16" spans="2:11" x14ac:dyDescent="0.25">
      <c r="B16" s="58"/>
      <c r="C16" s="58"/>
      <c r="D16" s="59"/>
      <c r="E16" s="59"/>
      <c r="F16" s="59"/>
      <c r="G16" s="59" t="s">
        <v>205</v>
      </c>
      <c r="H16" s="59" t="s">
        <v>222</v>
      </c>
    </row>
    <row r="17" spans="2:8" x14ac:dyDescent="0.25">
      <c r="B17" s="58"/>
      <c r="C17" s="58"/>
      <c r="D17" s="59"/>
      <c r="E17" s="59"/>
      <c r="F17" s="59"/>
      <c r="G17" s="59" t="s">
        <v>206</v>
      </c>
      <c r="H17" s="59" t="s">
        <v>223</v>
      </c>
    </row>
    <row r="18" spans="2:8" x14ac:dyDescent="0.25">
      <c r="B18" s="58"/>
      <c r="C18" s="58"/>
      <c r="D18" s="59"/>
      <c r="E18" s="59"/>
      <c r="F18" s="59"/>
      <c r="G18" s="59" t="s">
        <v>207</v>
      </c>
      <c r="H18" s="59" t="s">
        <v>224</v>
      </c>
    </row>
    <row r="24" spans="2:8" x14ac:dyDescent="0.25">
      <c r="C24" t="s">
        <v>170</v>
      </c>
    </row>
    <row r="25" spans="2:8" x14ac:dyDescent="0.25">
      <c r="C25" t="s">
        <v>226</v>
      </c>
    </row>
    <row r="26" spans="2:8" x14ac:dyDescent="0.25">
      <c r="C26" t="s">
        <v>227</v>
      </c>
    </row>
    <row r="27" spans="2:8" x14ac:dyDescent="0.25">
      <c r="C27" t="s">
        <v>228</v>
      </c>
    </row>
    <row r="28" spans="2:8" x14ac:dyDescent="0.25">
      <c r="C28" t="s">
        <v>229</v>
      </c>
    </row>
    <row r="29" spans="2:8" x14ac:dyDescent="0.25">
      <c r="C29" t="s">
        <v>230</v>
      </c>
    </row>
    <row r="30" spans="2:8" x14ac:dyDescent="0.25">
      <c r="C30" t="s">
        <v>170</v>
      </c>
    </row>
  </sheetData>
  <dataValidations count="2">
    <dataValidation type="list" allowBlank="1" showInputMessage="1" showErrorMessage="1" sqref="J4">
      <formula1>$D$4:$H$4</formula1>
    </dataValidation>
    <dataValidation type="list" allowBlank="1" showInputMessage="1" showErrorMessage="1" sqref="K4">
      <formula1>OFFSET($D$4,1,MATCH($J4,$D$4:$H$4,0)-1,15,1)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Research</vt:lpstr>
      <vt:lpstr>Report!Print_Area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Welcome</cp:lastModifiedBy>
  <cp:lastPrinted>2025-08-10T19:27:19Z</cp:lastPrinted>
  <dcterms:created xsi:type="dcterms:W3CDTF">2019-07-16T09:29:46Z</dcterms:created>
  <dcterms:modified xsi:type="dcterms:W3CDTF">2025-08-10T19:27:22Z</dcterms:modified>
</cp:coreProperties>
</file>