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bookViews>
  <sheets>
    <sheet name="Report" sheetId="1" r:id="rId1"/>
    <sheet name="Flat detail" sheetId="3" r:id="rId2"/>
    <sheet name="Note" sheetId="4" r:id="rId3"/>
    <sheet name="valuation" sheetId="5" r:id="rId4"/>
  </sheets>
  <definedNames>
    <definedName name="_xlnm.Print_Area" localSheetId="0">Report!$A$1:$H$214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0" i="1" l="1"/>
  <c r="E3" i="1" l="1"/>
  <c r="D118" i="1" l="1"/>
  <c r="F118" i="1" s="1"/>
  <c r="D117" i="1"/>
  <c r="F117" i="1" s="1"/>
  <c r="D116" i="1"/>
  <c r="D115" i="1"/>
  <c r="F115" i="1" s="1"/>
  <c r="D114" i="1"/>
  <c r="F114" i="1" s="1"/>
  <c r="D113" i="1"/>
  <c r="F113" i="1" s="1"/>
  <c r="D110" i="1"/>
  <c r="F110" i="1" s="1"/>
  <c r="D105" i="1"/>
  <c r="F105" i="1" s="1"/>
  <c r="D111" i="1"/>
  <c r="F111" i="1" s="1"/>
  <c r="D109" i="1"/>
  <c r="F109" i="1" s="1"/>
  <c r="D106" i="1"/>
  <c r="F106" i="1" s="1"/>
  <c r="D108" i="1"/>
  <c r="F108" i="1" s="1"/>
  <c r="D107" i="1"/>
  <c r="F107" i="1" s="1"/>
  <c r="D104" i="1"/>
  <c r="F104" i="1" s="1"/>
  <c r="J104" i="1"/>
  <c r="F116" i="1"/>
  <c r="H61" i="1"/>
  <c r="C91" i="1" l="1"/>
  <c r="D73" i="1"/>
  <c r="D69" i="1"/>
  <c r="K65" i="1"/>
  <c r="K63" i="1"/>
  <c r="K64" i="1"/>
  <c r="D71" i="1"/>
  <c r="K66" i="1"/>
  <c r="C65" i="1" s="1"/>
  <c r="D70" i="1"/>
  <c r="D67" i="1"/>
  <c r="D66" i="1"/>
  <c r="D72" i="1"/>
  <c r="D68" i="1"/>
  <c r="K67" i="1" l="1"/>
  <c r="D64" i="1"/>
  <c r="K68" i="1"/>
  <c r="K69" i="1" s="1"/>
  <c r="K70" i="1" s="1"/>
  <c r="K71" i="1" s="1"/>
  <c r="K72" i="1" l="1"/>
  <c r="K73" i="1" s="1"/>
  <c r="D65" i="1" l="1"/>
  <c r="I60" i="1"/>
  <c r="C62" i="1" s="1"/>
  <c r="E64" i="1" s="1"/>
  <c r="G64" i="1"/>
  <c r="I118" i="1" l="1"/>
  <c r="I117" i="1"/>
  <c r="I116" i="1"/>
  <c r="I115" i="1"/>
  <c r="I114" i="1"/>
  <c r="G113" i="1"/>
  <c r="I113" i="1"/>
  <c r="G7" i="5" l="1"/>
  <c r="G8" i="5"/>
  <c r="G104" i="1" l="1"/>
  <c r="I111" i="1"/>
  <c r="I109" i="1"/>
  <c r="I108" i="1"/>
  <c r="I107" i="1"/>
  <c r="I106" i="1"/>
  <c r="I105" i="1"/>
  <c r="F91" i="1" l="1"/>
  <c r="D91" i="1"/>
  <c r="I104" i="1"/>
  <c r="G6" i="5"/>
  <c r="G5" i="5"/>
  <c r="G9" i="5" s="1"/>
  <c r="E7" i="1" l="1"/>
  <c r="E40" i="1" l="1"/>
  <c r="D135" i="1" l="1"/>
  <c r="F88" i="1"/>
  <c r="G46" i="1"/>
  <c r="C46" i="1"/>
  <c r="E41" i="1"/>
  <c r="D52"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<sst xmlns="http://schemas.openxmlformats.org/spreadsheetml/2006/main" count="312" uniqueCount="244">
  <si>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</si>
  <si>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</si>
  <si>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</si>
  <si>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</si>
  <si>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</si>
  <si>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</si>
  <si>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</si>
  <si>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</si>
  <si>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</si>
  <si>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</si>
  <si>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</si>
  <si>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</si>
  <si>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</si>
  <si>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</si>
  <si>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</si>
  <si>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</si>
  <si>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</si>
  <si>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</si>
  <si>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</si>
  <si>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</si>
  <si>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</si>
  <si>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</si>
  <si>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</si>
  <si>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</si>
  <si>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</si>
  <si>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</si>
  <si>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</si>
  <si>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</si>
  <si>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</si>
  <si>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</si>
  <si>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</si>
  <si>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</si>
  <si>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</si>
  <si>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</si>
  <si>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</si>
  <si>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</si>
  <si>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</si>
  <si>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</si>
  <si>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</si>
  <si>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</si>
  <si>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</si>
  <si>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</si>
  <si>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</si>
  <si>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</si>
  <si>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</si>
  <si>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</si>
  <si>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</si>
  <si>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</si>
  <si>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</si>
  <si>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</si>
  <si>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</si>
  <si>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</si>
  <si>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</si>
  <si>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</si>
  <si>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</si>
  <si>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</si>
  <si>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</si>
  <si>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</si>
  <si>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</si>
  <si>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</si>
  <si>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</si>
  <si>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</si>
  <si>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</si>
  <si>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</si>
  <si>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</si>
  <si>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</si>
  <si>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</si>
  <si>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</si>
  <si>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</si>
  <si>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</si>
  <si>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</si>
  <si>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</si>
  <si>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</si>
  <si>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</si>
  <si>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</si>
  <si>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</si>
  <si>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</si>
  <si>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</si>
  <si>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</si>
  <si>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</si>
  <si>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</si>
  <si>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</si>
  <si>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</si>
  <si>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</si>
  <si>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</si>
  <si>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</si>
  <si>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</si>
  <si>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</si>
  <si>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</si>
  <si>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</si>
  <si>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</si>
  <si>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</si>
  <si>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</si>
  <si>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</si>
  <si>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</si>
  <si>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</si>
  <si>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</si>
  <si>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</si>
  <si>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</si>
  <si>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</si>
  <si>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</si>
  <si>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</si>
  <si>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</si>
  <si>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</si>
  <si>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</si>
  <si>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</si>
  <si>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</si>
  <si>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</si>
  <si>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</si>
  <si>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</si>
  <si>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</si>
  <si>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</si>
  <si>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</si>
  <si>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</si>
  <si>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</si>
  <si>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</si>
  <si>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Authorized Signatory
Name &amp; Seal of the agency</t>
  </si>
  <si>
    <t>01 Building</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</si>
  <si>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</si>
  <si>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</si>
  <si>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</si>
  <si>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</si>
  <si>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</si>
  <si>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</si>
  <si>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</si>
  <si>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</si>
  <si>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</si>
  <si>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</si>
  <si>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</si>
  <si>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</si>
  <si>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</si>
  <si>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</si>
  <si>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</si>
  <si>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</si>
  <si>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</si>
  <si>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</si>
  <si>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</si>
  <si>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</si>
  <si>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</si>
  <si>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</si>
  <si>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</si>
  <si>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</si>
  <si>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</si>
  <si>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</si>
  <si>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</si>
  <si>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</si>
  <si>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</si>
  <si>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</si>
  <si>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</si>
  <si>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</si>
  <si>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</si>
  <si>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</si>
  <si>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</si>
  <si>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</si>
  <si>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</si>
  <si>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</si>
  <si>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Average</t>
  </si>
  <si>
    <t xml:space="preserve">Valuation Adopted </t>
  </si>
  <si>
    <t>Saleable Area</t>
  </si>
  <si>
    <t>Rate on Saleable</t>
  </si>
  <si>
    <t>Pratiksha</t>
  </si>
  <si>
    <t>Axis Goregaon</t>
  </si>
  <si>
    <t>Kalpataru Elegante</t>
  </si>
  <si>
    <t>022-30643278</t>
  </si>
  <si>
    <t>134A/3(PT) &amp; 134/A/4</t>
  </si>
  <si>
    <t>Proposed Residential Building on subplot - G bearing C.T.S No.134A/3(PT) &amp; 134A/4, being part of layout C.T.S No.134A/2, 134A/3 &amp; 134A/4 of village Akurli, Kandivali (East), Mumbai 400101</t>
  </si>
  <si>
    <t>Kandivali East</t>
  </si>
  <si>
    <t>Mumbai</t>
  </si>
  <si>
    <t>Borivali</t>
  </si>
  <si>
    <t>2.2Km from Kandivli Railway Station</t>
  </si>
  <si>
    <t>Kandivli</t>
  </si>
  <si>
    <t>Akurli Road</t>
  </si>
  <si>
    <t xml:space="preserve">Dhiral Hospital </t>
  </si>
  <si>
    <t>Upper Class</t>
  </si>
  <si>
    <t>Developed</t>
  </si>
  <si>
    <t>Open Plot</t>
  </si>
  <si>
    <t>Building</t>
  </si>
  <si>
    <t>P-5239/2020/(134A/3(PT) And 134A/4) R/S WARD/AKURLI R/S/337</t>
  </si>
  <si>
    <t>P-5239/2020/(134A/3(pt) and 134A/4)/R/S Ward/AKURLI-R/S/CC/1/New</t>
  </si>
  <si>
    <t>2nd Amenity Floor</t>
  </si>
  <si>
    <t>2BHK</t>
  </si>
  <si>
    <t>1BHK</t>
  </si>
  <si>
    <t>Residential</t>
  </si>
  <si>
    <t>600000/-</t>
  </si>
  <si>
    <t>M/s. Neo Pharma Private Limited</t>
  </si>
  <si>
    <t>1st Podium Floor for Parking</t>
  </si>
  <si>
    <t>2nd Podium Floor for Parking</t>
  </si>
  <si>
    <t>3rd To 7th Podium Floor for Parking</t>
  </si>
  <si>
    <t>8th Podium Floor for Parking</t>
  </si>
  <si>
    <t>Ground Floor for Parking &amp; Amenities</t>
  </si>
  <si>
    <t>1st Amenity Floor / 1st Refuge Floor ( 9th Podium )</t>
  </si>
  <si>
    <t>Service Floor</t>
  </si>
  <si>
    <t>Wheather the construction is as per approved Building plan : Under Construction</t>
  </si>
  <si>
    <t>Approved Plans, CC, Sale Plans, Cost Sheet</t>
  </si>
  <si>
    <t>CTS No</t>
  </si>
  <si>
    <t>Housing</t>
  </si>
  <si>
    <t>99 Acres</t>
  </si>
  <si>
    <t>Cement, Steel, Brick, Etc</t>
  </si>
  <si>
    <t>1st to 5th, 7th to 12th, 14th to 19th Floor For Residential</t>
  </si>
  <si>
    <t>6th, 13th Floor For Residential</t>
  </si>
  <si>
    <t>Refuge Area</t>
  </si>
  <si>
    <t>Flats - 148</t>
  </si>
  <si>
    <t>Valid Up to: The CC is hereby further extended upto top of 8th podium level (as per hatched portion as shown on plan) as per approved amended plans dated 04.12.2020.</t>
  </si>
  <si>
    <t>Construction details:</t>
  </si>
  <si>
    <t>All work Completed. Provide OC.</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</si>
  <si>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</si>
  <si>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</si>
  <si>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</si>
  <si>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</si>
  <si>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</si>
  <si>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</si>
  <si>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</si>
  <si>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</si>
  <si>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</si>
  <si>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</si>
  <si>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</si>
  <si>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</si>
  <si>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</si>
  <si>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</si>
  <si>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</si>
  <si>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</si>
  <si>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</si>
  <si>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Valid Up to: The CC is hereby re-endorsed for Part Plinth and upto top of 8th podium level and extension of Part Plinth CC and upto top of 8th podium level as per approved amended plans dated 07.07.2021.</t>
  </si>
  <si>
    <t xml:space="preserve">Issue On : 
Valid upto date : </t>
  </si>
  <si>
    <t>20/01/2021
19/01/2022</t>
  </si>
  <si>
    <t>16/08/2021
25/08/2021</t>
  </si>
  <si>
    <t>Ground/Stilt + 1st to 8th Podium(parking) + 9th Podium/Refuge/1st Amenity Floor + 10th Podium/2nd Amenity Floor + Service Floor + 40 Habitual Floor</t>
  </si>
  <si>
    <t>Ground/Stilt + 1st to 8th Podium(parking) + 9th Podium/Refuge/1st Amenity Floor + 2nd Amenity Floor + Service Floor + 1st to 19th(resi.) Floor</t>
  </si>
  <si>
    <t>Office No. 1031, Wing J, Akshar Business Park, Plot No. 03 Sector 25, Near APMC Market, Vashi, 
Navi Mumbai, Maharashtra 400703 TEL: 022-46090378/79/80                                                                       
E mail : vsjcapf@gmail.com. Web site : www.vsjadon.com</t>
  </si>
  <si>
    <t>Contact Details ( Name &amp; Contact No.)</t>
  </si>
  <si>
    <t>https://goo.gl/maps/K3SjFNsgfNJiCrrh8?coh=178572&amp;entry=tt</t>
  </si>
  <si>
    <t>Location Link</t>
  </si>
  <si>
    <t xml:space="preserve">pn </t>
  </si>
  <si>
    <t>Latitude, Longitude</t>
  </si>
  <si>
    <t>19.2025616,72.8534673</t>
  </si>
  <si>
    <t>Site Person - Contact Details ( Name &amp; Contact No.)</t>
  </si>
  <si>
    <t>Mr. Vighnesh 7021103478</t>
  </si>
  <si>
    <t>1. Construction work is stopped due to the validity of CC being expired on 25/08/2021.
     work is same as last visit dtd. 04/02/2022
2. We considered  Saleable area  as per our calculation.
3. We considered Carpet area as per Approved Plan.
4. We considered Gross carpet area = Net carpet.
5. We have considered rate by verifying it from market inquire.
6. Recommended rate should be considered as all inclusive rate if other charges are not mentioned. (Excluding GST &amp; other government Taxes).
7. Car parking is subjected to authentic documentation.
8. The previous CC Validity is 19 Jan 2022 and now latest revised CC validity is 25 Aug 2021. 
    As per the Builder, it is a technical error &amp; will get resolved soon.
9. Validity of CC is expired on 25/08/2021. Please provide revised CC.
9. On site we met Mr. Krishna - 9833226152.</t>
  </si>
  <si>
    <t>Shruti Tathare</t>
  </si>
  <si>
    <t>As per RERA - 31/05/2027</t>
  </si>
  <si>
    <t>09/08/2025.</t>
  </si>
  <si>
    <t>07/07/2021.</t>
  </si>
  <si>
    <t>Rahul Salve</t>
  </si>
  <si>
    <t>P51800027273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</si>
</sst>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5" fillId="0" borderId="0"/>
    <xf numFmtId="0" fontId="7" fillId="0" borderId="0"/>
    <xf numFmtId="0" fontId="4" fillId="0" borderId="0"/>
    <xf numFmtId="0" fontId="7" fillId="0" borderId="0"/>
    <xf numFmtId="0" fontId="3" fillId="0" borderId="0"/>
    <xf numFmtId="164" fontId="7" fillId="0" borderId="0" applyFont="0" applyFill="0" applyBorder="0" applyAlignment="0" applyProtection="0"/>
    <xf numFmtId="0" fontId="22" fillId="0" borderId="0"/>
    <xf numFmtId="0" fontId="23" fillId="0" borderId="0" applyNumberFormat="0" applyFill="0" applyBorder="0" applyAlignment="0" applyProtection="0"/>
  </cellStyleXfs>
  <cellXfs count="150">
    <xf numFmtId="0" fontId="0" fillId="0" borderId="0" xfId="0"/>
    <xf numFmtId="0" fontId="9" fillId="0" borderId="0" xfId="0" applyFont="1" applyAlignment="1">
      <alignment horizontal="center" vertical="center"/>
    </xf>
    <xf numFmtId="0" fontId="9" fillId="0" borderId="0" xfId="1" applyFont="1" applyAlignment="1">
      <alignment horizontal="center" vertical="center"/>
    </xf>
    <xf numFmtId="0" fontId="0" fillId="3" borderId="1" xfId="0" applyFill="1" applyBorder="1"/>
    <xf numFmtId="0" fontId="0" fillId="0" borderId="2" xfId="0" applyBorder="1"/>
    <xf numFmtId="0" fontId="11" fillId="0" borderId="1" xfId="0" applyFont="1" applyBorder="1"/>
    <xf numFmtId="0" fontId="11" fillId="0" borderId="1" xfId="0" applyFont="1" applyBorder="1" applyAlignment="1">
      <alignment horizontal="center"/>
    </xf>
    <xf numFmtId="0" fontId="0" fillId="0" borderId="1" xfId="0" applyBorder="1"/>
    <xf numFmtId="0" fontId="9" fillId="0" borderId="0" xfId="1" applyFont="1"/>
    <xf numFmtId="0" fontId="8" fillId="0" borderId="0" xfId="2" applyFont="1"/>
    <xf numFmtId="0" fontId="9" fillId="0" borderId="0" xfId="0" applyFont="1"/>
    <xf numFmtId="0" fontId="14" fillId="0" borderId="0" xfId="1" applyFont="1"/>
    <xf numFmtId="0" fontId="17" fillId="0" borderId="0" xfId="1" applyFont="1"/>
    <xf numFmtId="0" fontId="18" fillId="0" borderId="0" xfId="1" applyFont="1"/>
    <xf numFmtId="0" fontId="14" fillId="2" borderId="1" xfId="1" applyFont="1" applyFill="1" applyBorder="1" applyAlignment="1" applyProtection="1">
      <alignment vertical="top" wrapText="1"/>
      <protection locked="0"/>
    </xf>
    <xf numFmtId="0" fontId="12"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1" fontId="6" fillId="0" borderId="1" xfId="1" applyNumberFormat="1" applyFont="1" applyBorder="1" applyAlignment="1" applyProtection="1">
      <alignment horizontal="center" vertical="top" wrapText="1"/>
      <protection locked="0"/>
    </xf>
    <xf numFmtId="0" fontId="10" fillId="0" borderId="0" xfId="1" applyFont="1" applyAlignment="1" applyProtection="1">
      <alignment vertical="top"/>
      <protection locked="0"/>
    </xf>
    <xf numFmtId="0" fontId="10" fillId="0" borderId="0" xfId="1" applyFont="1" applyAlignment="1" applyProtection="1">
      <alignment vertical="top" wrapText="1"/>
      <protection locked="0"/>
    </xf>
    <xf numFmtId="0" fontId="9" fillId="0" borderId="0" xfId="1" applyFont="1" applyProtection="1">
      <protection locked="0"/>
    </xf>
    <xf numFmtId="0" fontId="12" fillId="0" borderId="0" xfId="1" applyFont="1" applyProtection="1">
      <protection locked="0"/>
    </xf>
    <xf numFmtId="0" fontId="9" fillId="0" borderId="0" xfId="1" applyFont="1" applyProtection="1">
      <protection hidden="1"/>
    </xf>
    <xf numFmtId="1" fontId="8"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top" wrapText="1"/>
      <protection locked="0"/>
    </xf>
    <xf numFmtId="0" fontId="14" fillId="0" borderId="4" xfId="1" applyFont="1" applyBorder="1" applyAlignment="1" applyProtection="1">
      <alignment horizontal="center" vertical="top"/>
      <protection locked="0"/>
    </xf>
    <xf numFmtId="0" fontId="9" fillId="0" borderId="11" xfId="1" applyFont="1" applyBorder="1" applyProtection="1">
      <protection hidden="1"/>
    </xf>
    <xf numFmtId="0" fontId="9" fillId="0" borderId="12" xfId="1" applyFont="1" applyBorder="1" applyProtection="1">
      <protection hidden="1"/>
    </xf>
    <xf numFmtId="0" fontId="9" fillId="0" borderId="13" xfId="1" applyFont="1" applyBorder="1" applyProtection="1">
      <protection hidden="1"/>
    </xf>
    <xf numFmtId="0" fontId="9" fillId="0" borderId="13" xfId="1" applyFont="1" applyBorder="1"/>
    <xf numFmtId="9" fontId="19" fillId="0" borderId="0" xfId="0" applyNumberFormat="1" applyFont="1" applyProtection="1">
      <protection hidden="1"/>
    </xf>
    <xf numFmtId="9" fontId="19" fillId="0" borderId="14" xfId="0" applyNumberFormat="1" applyFont="1" applyBorder="1" applyProtection="1">
      <protection hidden="1"/>
    </xf>
    <xf numFmtId="0" fontId="7" fillId="0" borderId="0" xfId="4"/>
    <xf numFmtId="0" fontId="3" fillId="0" borderId="0" xfId="5"/>
    <xf numFmtId="0" fontId="11" fillId="0" borderId="1" xfId="5" applyFont="1" applyBorder="1" applyAlignment="1">
      <alignment horizontal="center" vertical="top" wrapText="1"/>
    </xf>
    <xf numFmtId="0" fontId="21" fillId="0" borderId="0" xfId="4" applyFont="1"/>
    <xf numFmtId="0" fontId="3" fillId="0" borderId="1" xfId="5" applyBorder="1" applyAlignment="1">
      <alignment horizontal="center" vertical="center"/>
    </xf>
    <xf numFmtId="1" fontId="3" fillId="0" borderId="1" xfId="5" applyNumberFormat="1" applyBorder="1" applyAlignment="1">
      <alignment horizontal="center" vertical="center"/>
    </xf>
    <xf numFmtId="166" fontId="3" fillId="0" borderId="1" xfId="6" applyNumberFormat="1" applyFont="1" applyBorder="1" applyAlignment="1">
      <alignment horizontal="right" vertical="center"/>
    </xf>
    <xf numFmtId="0" fontId="11" fillId="0" borderId="1" xfId="5" applyFont="1" applyBorder="1" applyAlignment="1">
      <alignment horizontal="center" vertical="center"/>
    </xf>
    <xf numFmtId="1" fontId="20" fillId="0" borderId="1" xfId="5" applyNumberFormat="1" applyFont="1" applyBorder="1" applyAlignment="1">
      <alignment horizontal="center" vertical="center"/>
    </xf>
    <xf numFmtId="0" fontId="7" fillId="0" borderId="1" xfId="4" applyBorder="1" applyAlignment="1">
      <alignment horizontal="center" vertical="center"/>
    </xf>
    <xf numFmtId="14" fontId="7" fillId="0" borderId="0" xfId="4" applyNumberFormat="1"/>
    <xf numFmtId="0" fontId="14" fillId="2" borderId="1" xfId="1" applyFont="1" applyFill="1" applyBorder="1" applyAlignment="1" applyProtection="1">
      <alignment horizontal="left" vertical="top"/>
      <protection locked="0"/>
    </xf>
    <xf numFmtId="0" fontId="15" fillId="2" borderId="1" xfId="1" applyFont="1" applyFill="1" applyBorder="1" applyAlignment="1" applyProtection="1">
      <alignment horizontal="left" vertical="top"/>
      <protection locked="0"/>
    </xf>
    <xf numFmtId="0" fontId="2" fillId="0" borderId="1" xfId="5" applyFont="1" applyBorder="1" applyAlignment="1">
      <alignment horizontal="left" vertical="center"/>
    </xf>
    <xf numFmtId="0" fontId="2" fillId="0" borderId="1" xfId="5" applyFont="1" applyBorder="1" applyAlignment="1">
      <alignment horizontal="center" vertical="center"/>
    </xf>
    <xf numFmtId="0" fontId="14" fillId="0" borderId="5" xfId="1" applyFont="1" applyBorder="1" applyAlignment="1" applyProtection="1">
      <alignment horizontal="center" vertical="top"/>
      <protection locked="0"/>
    </xf>
    <xf numFmtId="0" fontId="14"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wrapText="1"/>
      <protection locked="0"/>
    </xf>
    <xf numFmtId="1" fontId="14" fillId="0" borderId="1" xfId="1" applyNumberFormat="1" applyFont="1" applyBorder="1" applyAlignment="1" applyProtection="1">
      <alignment horizontal="center" wrapText="1"/>
      <protection locked="0"/>
    </xf>
    <xf numFmtId="0" fontId="14" fillId="0" borderId="7" xfId="1" applyFont="1" applyBorder="1" applyAlignment="1" applyProtection="1">
      <alignment horizontal="center" wrapText="1"/>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1" fontId="9" fillId="0" borderId="0" xfId="1" applyNumberFormat="1" applyFont="1" applyAlignment="1">
      <alignment horizontal="center" vertical="center"/>
    </xf>
    <xf numFmtId="0" fontId="19" fillId="0" borderId="0" xfId="0" applyFont="1" applyProtection="1">
      <protection hidden="1"/>
    </xf>
    <xf numFmtId="0" fontId="19" fillId="0" borderId="13" xfId="0" applyFont="1" applyBorder="1" applyProtection="1">
      <protection hidden="1"/>
    </xf>
    <xf numFmtId="1" fontId="0" fillId="0" borderId="13" xfId="0" applyNumberFormat="1" applyBorder="1"/>
    <xf numFmtId="1" fontId="0" fillId="0" borderId="0" xfId="0" applyNumberFormat="1"/>
    <xf numFmtId="165" fontId="0" fillId="0" borderId="0" xfId="0" applyNumberFormat="1"/>
    <xf numFmtId="1" fontId="0" fillId="0" borderId="13" xfId="0" applyNumberFormat="1" applyBorder="1" applyAlignment="1">
      <alignment horizontal="right"/>
    </xf>
    <xf numFmtId="0" fontId="0" fillId="0" borderId="13" xfId="0" applyBorder="1"/>
    <xf numFmtId="0" fontId="19" fillId="0" borderId="14" xfId="0" applyFont="1" applyBorder="1" applyProtection="1">
      <protection hidden="1"/>
    </xf>
    <xf numFmtId="1" fontId="0" fillId="0" borderId="15" xfId="0" applyNumberFormat="1" applyBorder="1"/>
    <xf numFmtId="0" fontId="14" fillId="0" borderId="1" xfId="1" applyFont="1" applyBorder="1" applyAlignment="1" applyProtection="1">
      <alignment horizontal="center" vertical="top"/>
      <protection locked="0"/>
    </xf>
    <xf numFmtId="9" fontId="14" fillId="2" borderId="1" xfId="1" applyNumberFormat="1" applyFont="1" applyFill="1" applyBorder="1" applyAlignment="1" applyProtection="1">
      <alignment horizontal="center" vertical="center" wrapText="1"/>
      <protection hidden="1"/>
    </xf>
    <xf numFmtId="9" fontId="14" fillId="2" borderId="7" xfId="1" applyNumberFormat="1" applyFont="1" applyFill="1" applyBorder="1" applyAlignment="1" applyProtection="1">
      <alignment horizontal="center" vertical="center" wrapText="1"/>
      <protection hidden="1"/>
    </xf>
    <xf numFmtId="0" fontId="14" fillId="0" borderId="4"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9" fontId="14" fillId="2" borderId="1" xfId="1" applyNumberFormat="1" applyFont="1" applyFill="1" applyBorder="1" applyAlignment="1" applyProtection="1">
      <alignment horizontal="center" vertical="center" wrapText="1"/>
      <protection hidden="1"/>
    </xf>
    <xf numFmtId="9" fontId="14" fillId="2" borderId="7" xfId="1" applyNumberFormat="1" applyFont="1" applyFill="1" applyBorder="1" applyAlignment="1" applyProtection="1">
      <alignment horizontal="center" vertical="center" wrapText="1"/>
      <protection hidden="1"/>
    </xf>
    <xf numFmtId="9" fontId="14" fillId="2" borderId="5" xfId="1" applyNumberFormat="1" applyFont="1" applyFill="1" applyBorder="1" applyAlignment="1" applyProtection="1">
      <alignment horizontal="center" vertical="center" wrapText="1"/>
      <protection hidden="1"/>
    </xf>
    <xf numFmtId="9" fontId="14" fillId="2" borderId="8" xfId="1" applyNumberFormat="1" applyFont="1" applyFill="1" applyBorder="1" applyAlignment="1" applyProtection="1">
      <alignment horizontal="center" vertical="center" wrapText="1"/>
      <protection hidden="1"/>
    </xf>
    <xf numFmtId="0" fontId="14" fillId="0" borderId="4"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4" fillId="0" borderId="6" xfId="1" applyFont="1" applyBorder="1" applyAlignment="1" applyProtection="1">
      <alignment horizontal="center" vertical="top" wrapText="1"/>
      <protection locked="0"/>
    </xf>
    <xf numFmtId="0" fontId="14" fillId="0" borderId="7"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1" fontId="10" fillId="0" borderId="1" xfId="0" applyNumberFormat="1"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0" fillId="0" borderId="1"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top" wrapText="1"/>
      <protection locked="0"/>
    </xf>
    <xf numFmtId="0" fontId="14" fillId="2" borderId="1" xfId="1" applyFont="1" applyFill="1" applyBorder="1" applyAlignment="1" applyProtection="1">
      <alignment horizontal="left" vertical="top"/>
      <protection locked="0"/>
    </xf>
    <xf numFmtId="1" fontId="8" fillId="0" borderId="16"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0" fontId="14" fillId="2" borderId="1" xfId="1" applyFont="1" applyFill="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10"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5" fillId="2" borderId="1" xfId="1" applyFont="1" applyFill="1" applyBorder="1" applyAlignment="1" applyProtection="1">
      <alignment horizontal="left" vertical="top" wrapText="1"/>
      <protection locked="0"/>
    </xf>
    <xf numFmtId="0" fontId="15" fillId="2" borderId="1" xfId="1" applyFont="1" applyFill="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1" fontId="8" fillId="0" borderId="22"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0" fontId="15" fillId="0" borderId="4" xfId="1" applyFont="1" applyBorder="1" applyAlignment="1" applyProtection="1">
      <alignment horizontal="left" vertical="top"/>
      <protection locked="0"/>
    </xf>
    <xf numFmtId="0" fontId="15" fillId="0" borderId="1"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5" xfId="1" applyFont="1" applyBorder="1" applyAlignment="1" applyProtection="1">
      <alignment horizontal="left" vertical="top" wrapText="1"/>
      <protection locked="0"/>
    </xf>
    <xf numFmtId="0" fontId="14" fillId="0" borderId="5" xfId="1" applyFont="1" applyBorder="1" applyAlignment="1" applyProtection="1">
      <alignment horizontal="center" vertical="top" wrapText="1"/>
      <protection locked="0"/>
    </xf>
    <xf numFmtId="0" fontId="15" fillId="0" borderId="24" xfId="1" applyFont="1" applyBorder="1" applyAlignment="1" applyProtection="1">
      <alignment horizontal="center" vertical="top" wrapText="1"/>
      <protection locked="0"/>
    </xf>
    <xf numFmtId="0" fontId="15" fillId="0" borderId="25" xfId="1" applyFont="1" applyBorder="1" applyAlignment="1" applyProtection="1">
      <alignment horizontal="center" vertical="top" wrapText="1"/>
      <protection locked="0"/>
    </xf>
    <xf numFmtId="0" fontId="15" fillId="0" borderId="26" xfId="1" applyFont="1" applyBorder="1" applyAlignment="1" applyProtection="1">
      <alignment horizontal="left" vertical="top" wrapText="1"/>
      <protection locked="0"/>
    </xf>
    <xf numFmtId="0" fontId="15" fillId="0" borderId="27" xfId="1" applyFont="1" applyBorder="1" applyAlignment="1" applyProtection="1">
      <alignment horizontal="left" vertical="top" wrapText="1"/>
      <protection locked="0"/>
    </xf>
    <xf numFmtId="0" fontId="15" fillId="0" borderId="28"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center" vertical="top" wrapText="1"/>
      <protection locked="0"/>
    </xf>
    <xf numFmtId="14" fontId="8"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4" fillId="0" borderId="1" xfId="1" applyFont="1" applyBorder="1" applyAlignment="1" applyProtection="1">
      <alignment horizontal="left" vertical="center" wrapText="1"/>
      <protection locked="0"/>
    </xf>
    <xf numFmtId="0" fontId="15" fillId="0" borderId="1" xfId="1" applyFont="1" applyBorder="1" applyAlignment="1" applyProtection="1">
      <alignment horizontal="center" vertical="top"/>
      <protection locked="0"/>
    </xf>
    <xf numFmtId="0" fontId="15" fillId="0" borderId="1" xfId="1" applyFont="1" applyBorder="1" applyAlignment="1" applyProtection="1">
      <alignment horizontal="center"/>
      <protection locked="0"/>
    </xf>
    <xf numFmtId="0" fontId="14" fillId="0" borderId="1" xfId="1" applyFont="1" applyBorder="1" applyAlignment="1" applyProtection="1">
      <alignment horizontal="left"/>
      <protection locked="0"/>
    </xf>
    <xf numFmtId="165" fontId="8" fillId="0" borderId="1" xfId="1" applyNumberFormat="1" applyFont="1" applyBorder="1" applyAlignment="1" applyProtection="1">
      <alignment horizontal="left" vertical="top"/>
      <protection locked="0"/>
    </xf>
    <xf numFmtId="2" fontId="8" fillId="0" borderId="1" xfId="1" applyNumberFormat="1" applyFont="1" applyBorder="1" applyAlignment="1" applyProtection="1">
      <alignment horizontal="left" vertical="top" wrapText="1"/>
      <protection locked="0"/>
    </xf>
    <xf numFmtId="0" fontId="15"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9" fillId="0" borderId="9" xfId="0" applyNumberFormat="1" applyFont="1" applyBorder="1" applyAlignment="1" applyProtection="1">
      <alignment horizontal="center" vertical="top" wrapText="1"/>
      <protection locked="0"/>
    </xf>
    <xf numFmtId="1" fontId="9" fillId="0" borderId="23" xfId="0" applyNumberFormat="1" applyFont="1" applyBorder="1" applyAlignment="1" applyProtection="1">
      <alignment horizontal="center" vertical="top" wrapText="1"/>
      <protection locked="0"/>
    </xf>
    <xf numFmtId="1" fontId="9" fillId="0" borderId="10"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2" fontId="8" fillId="0" borderId="1" xfId="1" applyNumberFormat="1" applyFont="1" applyBorder="1" applyAlignment="1" applyProtection="1">
      <alignment horizontal="left" vertical="top"/>
      <protection locked="0"/>
    </xf>
    <xf numFmtId="0" fontId="23" fillId="0" borderId="9" xfId="8" applyBorder="1" applyAlignment="1" applyProtection="1">
      <alignment horizontal="left"/>
      <protection locked="0"/>
    </xf>
    <xf numFmtId="0" fontId="9" fillId="0" borderId="23" xfId="1" applyFont="1" applyBorder="1" applyAlignment="1" applyProtection="1">
      <alignment horizontal="left"/>
      <protection locked="0"/>
    </xf>
    <xf numFmtId="0" fontId="9" fillId="0" borderId="10" xfId="1" applyFont="1" applyBorder="1" applyAlignment="1" applyProtection="1">
      <alignment horizontal="left"/>
      <protection locked="0"/>
    </xf>
    <xf numFmtId="0" fontId="9" fillId="0" borderId="9" xfId="1" applyFont="1" applyBorder="1" applyAlignment="1" applyProtection="1">
      <alignment horizontal="left"/>
      <protection locked="0"/>
    </xf>
    <xf numFmtId="14" fontId="14" fillId="0" borderId="1" xfId="1" applyNumberFormat="1" applyFont="1" applyBorder="1" applyAlignment="1" applyProtection="1">
      <alignment horizontal="left" vertical="top" wrapText="1"/>
      <protection locked="0"/>
    </xf>
    <xf numFmtId="0" fontId="10" fillId="0" borderId="1" xfId="1" applyFont="1" applyBorder="1" applyAlignment="1" applyProtection="1">
      <alignment vertical="top"/>
      <protection locked="0"/>
    </xf>
    <xf numFmtId="0" fontId="14" fillId="0" borderId="7" xfId="1" applyFont="1" applyBorder="1" applyAlignment="1" applyProtection="1">
      <alignment horizontal="left" vertical="top" wrapText="1"/>
      <protection locked="0"/>
    </xf>
    <xf numFmtId="0" fontId="14" fillId="2" borderId="9" xfId="1" applyFont="1" applyFill="1" applyBorder="1" applyAlignment="1" applyProtection="1">
      <alignment horizontal="left" vertical="top" wrapText="1"/>
      <protection locked="0"/>
    </xf>
    <xf numFmtId="0" fontId="14" fillId="2" borderId="23" xfId="1" applyFont="1" applyFill="1" applyBorder="1" applyAlignment="1" applyProtection="1">
      <alignment horizontal="left" vertical="top" wrapText="1"/>
      <protection locked="0"/>
    </xf>
    <xf numFmtId="0" fontId="14" fillId="2" borderId="10" xfId="1" applyFont="1" applyFill="1" applyBorder="1" applyAlignment="1" applyProtection="1">
      <alignment horizontal="left" vertical="top" wrapText="1"/>
      <protection locked="0"/>
    </xf>
    <xf numFmtId="0" fontId="14" fillId="0" borderId="7"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wrapText="1"/>
      <protection locked="0"/>
    </xf>
    <xf numFmtId="0" fontId="14" fillId="0" borderId="3" xfId="1" applyFont="1" applyBorder="1" applyAlignment="1" applyProtection="1">
      <alignment horizontal="left" vertical="top"/>
      <protection locked="0"/>
    </xf>
    <xf numFmtId="0" fontId="0" fillId="3" borderId="1" xfId="0" applyFill="1" applyBorder="1" applyAlignment="1">
      <alignment horizontal="center" wrapText="1"/>
    </xf>
    <xf numFmtId="0" fontId="11" fillId="0" borderId="1" xfId="0" applyFont="1" applyBorder="1" applyAlignment="1">
      <alignment horizontal="center"/>
    </xf>
    <xf numFmtId="0" fontId="11"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1.jp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358588</xdr:colOff>
      <xdr:row>193</xdr:row>
      <xdr:rowOff>134869</xdr:rowOff>
    </xdr:from>
    <xdr:to>
      <xdr:col>7</xdr:col>
      <xdr:colOff>585422</xdr:colOff>
      <xdr:row>212</xdr:row>
      <xdr:rowOff>89007</xdr:rowOff>
    </xdr:to>
    <xdr:pic>
      <xdr:nvPicPr>
        <xdr:cNvPr id="20" name="Picture 19">
          <a:extLst>
            <a:ext uri="{FF2B5EF4-FFF2-40B4-BE49-F238E27FC236}">
              <a16:creationId xmlns=""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58588" y="45070457"/>
          <a:ext cx="6199569" cy="3786551"/>
        </a:xfrm>
        <a:prstGeom prst="rect">
          <a:avLst/>
        </a:prstGeom>
        <a:ln>
          <a:solidFill>
            <a:schemeClr val="tx1"/>
          </a:solidFill>
        </a:ln>
      </xdr:spPr>
    </xdr:pic>
    <xdr:clientData/>
  </xdr:twoCellAnchor>
  <xdr:twoCellAnchor editAs="oneCell">
    <xdr:from>
      <xdr:col>0</xdr:col>
      <xdr:colOff>358588</xdr:colOff>
      <xdr:row>174</xdr:row>
      <xdr:rowOff>29883</xdr:rowOff>
    </xdr:from>
    <xdr:to>
      <xdr:col>7</xdr:col>
      <xdr:colOff>585421</xdr:colOff>
      <xdr:row>192</xdr:row>
      <xdr:rowOff>175908</xdr:rowOff>
    </xdr:to>
    <xdr:pic>
      <xdr:nvPicPr>
        <xdr:cNvPr id="21" name="Picture 20">
          <a:extLst>
            <a:ext uri="{FF2B5EF4-FFF2-40B4-BE49-F238E27FC236}">
              <a16:creationId xmlns="" xmlns:a16="http://schemas.microsoft.com/office/drawing/2014/main" id="{00000000-0008-0000-0000-00001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58588" y="39519412"/>
          <a:ext cx="6180892" cy="3642261"/>
        </a:xfrm>
        <a:prstGeom prst="rect">
          <a:avLst/>
        </a:prstGeom>
        <a:ln>
          <a:solidFill>
            <a:schemeClr val="tx1"/>
          </a:solidFill>
        </a:ln>
      </xdr:spPr>
    </xdr:pic>
    <xdr:clientData/>
  </xdr:twoCellAnchor>
  <xdr:twoCellAnchor>
    <xdr:from>
      <xdr:col>0</xdr:col>
      <xdr:colOff>66675</xdr:colOff>
      <xdr:row>135</xdr:row>
      <xdr:rowOff>85724</xdr:rowOff>
    </xdr:from>
    <xdr:to>
      <xdr:col>7</xdr:col>
      <xdr:colOff>761054</xdr:colOff>
      <xdr:row>170</xdr:row>
      <xdr:rowOff>124916</xdr:rowOff>
    </xdr:to>
    <xdr:grpSp>
      <xdr:nvGrpSpPr>
        <xdr:cNvPr id="4" name="Group 3"/>
        <xdr:cNvGrpSpPr/>
      </xdr:nvGrpSpPr>
      <xdr:grpSpPr>
        <a:xfrm>
          <a:off x="66675" y="32765999"/>
          <a:ext cx="6247454" cy="7030542"/>
          <a:chOff x="66675" y="32765999"/>
          <a:chExt cx="6247454" cy="7030542"/>
        </a:xfrm>
      </xdr:grpSpPr>
      <xdr:pic>
        <xdr:nvPicPr>
          <xdr:cNvPr id="18" name="Picture 17" descr="https://vsjcllp.vsjadon.com/upload/insp-243244-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186380" y="38082590"/>
            <a:ext cx="2271445" cy="171227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3244-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66675" y="32778699"/>
            <a:ext cx="3929659" cy="2962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3244-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828675" y="35845750"/>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3244-847.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086225" y="32765999"/>
            <a:ext cx="2227904" cy="2962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244-849.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762375" y="3583305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3244-9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99013" y="38084270"/>
            <a:ext cx="2279857" cy="171227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160020</xdr:colOff>
      <xdr:row>0</xdr:row>
      <xdr:rowOff>160020</xdr:rowOff>
    </xdr:from>
    <xdr:to>
      <xdr:col>6</xdr:col>
      <xdr:colOff>418807</xdr:colOff>
      <xdr:row>20</xdr:row>
      <xdr:rowOff>102420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8280" y="160020"/>
          <a:ext cx="2697187"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683559</xdr:colOff>
      <xdr:row>10</xdr:row>
      <xdr:rowOff>156882</xdr:rowOff>
    </xdr:from>
    <xdr:to>
      <xdr:col>5</xdr:col>
      <xdr:colOff>470648</xdr:colOff>
      <xdr:row>32</xdr:row>
      <xdr:rowOff>56029</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83559" y="1692088"/>
          <a:ext cx="5961530" cy="4090147"/>
        </a:xfrm>
        <a:prstGeom prst="rect">
          <a:avLst/>
        </a:prstGeom>
        <a:ln>
          <a:solidFill>
            <a:schemeClr val="tx1"/>
          </a:solidFill>
        </a:ln>
      </xdr:spPr>
    </xdr:pic>
    <xdr:clientData/>
  </xdr:twoCellAnchor>
  <xdr:twoCellAnchor editAs="oneCell">
    <xdr:from>
      <xdr:col>0</xdr:col>
      <xdr:colOff>694765</xdr:colOff>
      <xdr:row>33</xdr:row>
      <xdr:rowOff>78440</xdr:rowOff>
    </xdr:from>
    <xdr:to>
      <xdr:col>5</xdr:col>
      <xdr:colOff>459442</xdr:colOff>
      <xdr:row>47</xdr:row>
      <xdr:rowOff>145675</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694765" y="5995146"/>
          <a:ext cx="5939118" cy="273423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K3SjFNsgfNJiCrrh8?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3"/>
  <sheetViews>
    <sheetView tabSelected="1" showWhiteSpace="0" view="pageBreakPreview" zoomScaleNormal="100" zoomScaleSheetLayoutView="100" zoomScalePageLayoutView="85" workbookViewId="0">
      <selection activeCell="L24" sqref="L24"/>
    </sheetView>
  </sheetViews>
  <sheetFormatPr defaultColWidth="9.140625" defaultRowHeight="15.75" x14ac:dyDescent="0.25"/>
  <cols>
    <col min="1" max="1" width="11.42578125" style="20" customWidth="1"/>
    <col min="2" max="2" width="11.140625" style="20" customWidth="1"/>
    <col min="3" max="3" width="12.7109375" style="20" customWidth="1"/>
    <col min="4" max="4" width="12.85546875" style="20" customWidth="1"/>
    <col min="5" max="7" width="11.7109375" style="20" customWidth="1"/>
    <col min="8" max="8" width="12.42578125" style="20"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8" ht="46.5" customHeight="1" x14ac:dyDescent="0.25">
      <c r="A1" s="115" t="s">
        <v>228</v>
      </c>
      <c r="B1" s="115"/>
      <c r="C1" s="115"/>
      <c r="D1" s="115"/>
      <c r="E1" s="115"/>
      <c r="F1" s="115"/>
      <c r="G1" s="115"/>
      <c r="H1" s="115"/>
    </row>
    <row r="2" spans="1:8" ht="16.5" customHeight="1" x14ac:dyDescent="0.25">
      <c r="A2" s="82" t="s">
        <v>0</v>
      </c>
      <c r="B2" s="82"/>
      <c r="C2" s="82"/>
      <c r="D2" s="82"/>
      <c r="E2" s="82"/>
      <c r="F2" s="82"/>
      <c r="G2" s="82"/>
      <c r="H2" s="82"/>
    </row>
    <row r="3" spans="1:8" x14ac:dyDescent="0.25">
      <c r="A3" s="77" t="s">
        <v>1</v>
      </c>
      <c r="B3" s="77"/>
      <c r="C3" s="77"/>
      <c r="D3" s="77"/>
      <c r="E3" s="116" t="str">
        <f ca="1">TEXT(TODAY(),"DD/MM/YYYY")</f>
        <v>09/08/2025</v>
      </c>
      <c r="F3" s="116"/>
      <c r="G3" s="116"/>
      <c r="H3" s="116"/>
    </row>
    <row r="4" spans="1:8" ht="15" customHeight="1" x14ac:dyDescent="0.25">
      <c r="A4" s="77" t="s">
        <v>2</v>
      </c>
      <c r="B4" s="77"/>
      <c r="C4" s="77"/>
      <c r="D4" s="77"/>
      <c r="E4" s="118" t="s">
        <v>161</v>
      </c>
      <c r="F4" s="118"/>
      <c r="G4" s="118"/>
      <c r="H4" s="118"/>
    </row>
    <row r="5" spans="1:8" x14ac:dyDescent="0.25">
      <c r="A5" s="77" t="s">
        <v>3</v>
      </c>
      <c r="B5" s="77"/>
      <c r="C5" s="77"/>
      <c r="D5" s="77"/>
      <c r="E5" s="116" t="s">
        <v>240</v>
      </c>
      <c r="F5" s="116"/>
      <c r="G5" s="116"/>
      <c r="H5" s="116"/>
    </row>
    <row r="6" spans="1:8" ht="16.5" customHeight="1" x14ac:dyDescent="0.25">
      <c r="A6" s="77" t="s">
        <v>4</v>
      </c>
      <c r="B6" s="77"/>
      <c r="C6" s="77"/>
      <c r="D6" s="77"/>
      <c r="E6" s="78" t="s">
        <v>184</v>
      </c>
      <c r="F6" s="78"/>
      <c r="G6" s="78"/>
      <c r="H6" s="78"/>
    </row>
    <row r="7" spans="1:8" ht="15" customHeight="1" x14ac:dyDescent="0.25">
      <c r="A7" s="77" t="s">
        <v>5</v>
      </c>
      <c r="B7" s="77"/>
      <c r="C7" s="77"/>
      <c r="D7" s="77"/>
      <c r="E7" s="78" t="str">
        <f>E6</f>
        <v>M/s. Neo Pharma Private Limited</v>
      </c>
      <c r="F7" s="78"/>
      <c r="G7" s="78"/>
      <c r="H7" s="78"/>
    </row>
    <row r="8" spans="1:8" x14ac:dyDescent="0.25">
      <c r="A8" s="77" t="s">
        <v>6</v>
      </c>
      <c r="B8" s="77"/>
      <c r="C8" s="77"/>
      <c r="D8" s="77"/>
      <c r="E8" s="117" t="s">
        <v>162</v>
      </c>
      <c r="F8" s="117"/>
      <c r="G8" s="117"/>
      <c r="H8" s="117"/>
    </row>
    <row r="9" spans="1:8" x14ac:dyDescent="0.25">
      <c r="A9" s="77" t="s">
        <v>229</v>
      </c>
      <c r="B9" s="77"/>
      <c r="C9" s="77"/>
      <c r="D9" s="77"/>
      <c r="E9" s="77" t="s">
        <v>163</v>
      </c>
      <c r="F9" s="77"/>
      <c r="G9" s="77"/>
      <c r="H9" s="77"/>
    </row>
    <row r="10" spans="1:8" x14ac:dyDescent="0.25">
      <c r="A10" s="77" t="s">
        <v>235</v>
      </c>
      <c r="B10" s="77"/>
      <c r="C10" s="77"/>
      <c r="D10" s="77"/>
      <c r="E10" s="77" t="s">
        <v>236</v>
      </c>
      <c r="F10" s="77"/>
      <c r="G10" s="77"/>
      <c r="H10" s="77"/>
    </row>
    <row r="11" spans="1:8" x14ac:dyDescent="0.25">
      <c r="A11" s="100" t="s">
        <v>7</v>
      </c>
      <c r="B11" s="100"/>
      <c r="C11" s="100"/>
      <c r="D11" s="100"/>
      <c r="E11" s="100" t="s">
        <v>117</v>
      </c>
      <c r="F11" s="100"/>
      <c r="G11" s="100"/>
      <c r="H11" s="100"/>
    </row>
    <row r="12" spans="1:8" x14ac:dyDescent="0.25">
      <c r="A12" s="77" t="s">
        <v>8</v>
      </c>
      <c r="B12" s="77"/>
      <c r="C12" s="77"/>
      <c r="D12" s="77"/>
      <c r="E12" s="99" t="s">
        <v>193</v>
      </c>
      <c r="F12" s="99"/>
      <c r="G12" s="99"/>
      <c r="H12" s="99"/>
    </row>
    <row r="13" spans="1:8" x14ac:dyDescent="0.25">
      <c r="A13" s="77" t="s">
        <v>9</v>
      </c>
      <c r="B13" s="77"/>
      <c r="C13" s="77"/>
      <c r="D13" s="77"/>
      <c r="E13" s="99" t="s">
        <v>243</v>
      </c>
      <c r="F13" s="100"/>
      <c r="G13" s="100"/>
      <c r="H13" s="100"/>
    </row>
    <row r="14" spans="1:8" ht="49.9" customHeight="1" x14ac:dyDescent="0.25">
      <c r="A14" s="78" t="s">
        <v>10</v>
      </c>
      <c r="B14" s="78"/>
      <c r="C14" s="78" t="s">
        <v>165</v>
      </c>
      <c r="D14" s="78"/>
      <c r="E14" s="78"/>
      <c r="F14" s="78"/>
      <c r="G14" s="78"/>
      <c r="H14" s="78"/>
    </row>
    <row r="15" spans="1:8" ht="15.75" customHeight="1" x14ac:dyDescent="0.25">
      <c r="A15" s="99" t="s">
        <v>194</v>
      </c>
      <c r="B15" s="99"/>
      <c r="C15" s="99" t="s">
        <v>164</v>
      </c>
      <c r="D15" s="99"/>
      <c r="E15" s="99"/>
      <c r="F15" s="99"/>
      <c r="G15" s="99"/>
      <c r="H15" s="99"/>
    </row>
    <row r="16" spans="1:8" ht="15.75" customHeight="1" x14ac:dyDescent="0.25">
      <c r="A16" s="78" t="s">
        <v>11</v>
      </c>
      <c r="B16" s="78"/>
      <c r="C16" s="100" t="s">
        <v>171</v>
      </c>
      <c r="D16" s="100"/>
      <c r="E16" s="78" t="s">
        <v>107</v>
      </c>
      <c r="F16" s="78"/>
      <c r="G16" s="99" t="s">
        <v>166</v>
      </c>
      <c r="H16" s="99"/>
    </row>
    <row r="17" spans="1:8" x14ac:dyDescent="0.25">
      <c r="A17" s="77" t="s">
        <v>13</v>
      </c>
      <c r="B17" s="77"/>
      <c r="C17" s="99" t="s">
        <v>170</v>
      </c>
      <c r="D17" s="99"/>
      <c r="E17" s="78" t="s">
        <v>12</v>
      </c>
      <c r="F17" s="78"/>
      <c r="G17" s="121" t="s">
        <v>167</v>
      </c>
      <c r="H17" s="121"/>
    </row>
    <row r="18" spans="1:8" x14ac:dyDescent="0.25">
      <c r="A18" s="77" t="s">
        <v>108</v>
      </c>
      <c r="B18" s="77"/>
      <c r="C18" s="99" t="s">
        <v>168</v>
      </c>
      <c r="D18" s="99"/>
      <c r="E18" s="78" t="s">
        <v>14</v>
      </c>
      <c r="F18" s="78"/>
      <c r="G18" s="99">
        <v>400101</v>
      </c>
      <c r="H18" s="99"/>
    </row>
    <row r="19" spans="1:8" ht="32.25" customHeight="1" x14ac:dyDescent="0.25">
      <c r="A19" s="77" t="s">
        <v>15</v>
      </c>
      <c r="B19" s="77"/>
      <c r="C19" s="113" t="s">
        <v>172</v>
      </c>
      <c r="D19" s="113"/>
      <c r="E19" s="99" t="s">
        <v>16</v>
      </c>
      <c r="F19" s="99"/>
      <c r="G19" s="99" t="s">
        <v>169</v>
      </c>
      <c r="H19" s="99"/>
    </row>
    <row r="20" spans="1:8" x14ac:dyDescent="0.25">
      <c r="A20" s="78" t="s">
        <v>113</v>
      </c>
      <c r="B20" s="78"/>
      <c r="C20" s="78"/>
      <c r="D20" s="78"/>
      <c r="E20" s="100" t="s">
        <v>17</v>
      </c>
      <c r="F20" s="100"/>
      <c r="G20" s="100"/>
      <c r="H20" s="100"/>
    </row>
    <row r="21" spans="1:8" ht="15" customHeight="1" x14ac:dyDescent="0.25">
      <c r="A21" s="78" t="s">
        <v>18</v>
      </c>
      <c r="B21" s="78"/>
      <c r="C21" s="78"/>
      <c r="D21" s="78"/>
      <c r="E21" s="99" t="s">
        <v>19</v>
      </c>
      <c r="F21" s="99"/>
      <c r="G21" s="99"/>
      <c r="H21" s="99"/>
    </row>
    <row r="22" spans="1:8" ht="15" customHeight="1" x14ac:dyDescent="0.25">
      <c r="A22" s="77" t="s">
        <v>20</v>
      </c>
      <c r="B22" s="77"/>
      <c r="C22" s="77"/>
      <c r="D22" s="77"/>
      <c r="E22" s="99" t="s">
        <v>173</v>
      </c>
      <c r="F22" s="99"/>
      <c r="G22" s="99"/>
      <c r="H22" s="99"/>
    </row>
    <row r="23" spans="1:8" x14ac:dyDescent="0.25">
      <c r="A23" s="77" t="s">
        <v>21</v>
      </c>
      <c r="B23" s="77"/>
      <c r="C23" s="77"/>
      <c r="D23" s="77"/>
      <c r="E23" s="99" t="s">
        <v>22</v>
      </c>
      <c r="F23" s="99"/>
      <c r="G23" s="99"/>
      <c r="H23" s="99"/>
    </row>
    <row r="24" spans="1:8" x14ac:dyDescent="0.25">
      <c r="A24" s="77" t="s">
        <v>23</v>
      </c>
      <c r="B24" s="77"/>
      <c r="C24" s="77"/>
      <c r="D24" s="77"/>
      <c r="E24" s="99" t="s">
        <v>174</v>
      </c>
      <c r="F24" s="99"/>
      <c r="G24" s="99"/>
      <c r="H24" s="99"/>
    </row>
    <row r="25" spans="1:8" x14ac:dyDescent="0.25">
      <c r="A25" s="77" t="s">
        <v>24</v>
      </c>
      <c r="B25" s="77"/>
      <c r="C25" s="77"/>
      <c r="D25" s="77"/>
      <c r="E25" s="99" t="s">
        <v>25</v>
      </c>
      <c r="F25" s="99"/>
      <c r="G25" s="99"/>
      <c r="H25" s="99"/>
    </row>
    <row r="26" spans="1:8" x14ac:dyDescent="0.25">
      <c r="A26" s="77" t="s">
        <v>119</v>
      </c>
      <c r="B26" s="77"/>
      <c r="C26" s="77"/>
      <c r="D26" s="77"/>
      <c r="E26" s="99" t="s">
        <v>120</v>
      </c>
      <c r="F26" s="99"/>
      <c r="G26" s="99"/>
      <c r="H26" s="99"/>
    </row>
    <row r="27" spans="1:8" ht="15" customHeight="1" x14ac:dyDescent="0.25">
      <c r="A27" s="78" t="s">
        <v>34</v>
      </c>
      <c r="B27" s="78"/>
      <c r="C27" s="78"/>
      <c r="D27" s="78"/>
      <c r="E27" s="118" t="s">
        <v>182</v>
      </c>
      <c r="F27" s="118"/>
      <c r="G27" s="118"/>
      <c r="H27" s="118"/>
    </row>
    <row r="28" spans="1:8" x14ac:dyDescent="0.25">
      <c r="A28" s="78" t="s">
        <v>132</v>
      </c>
      <c r="B28" s="78"/>
      <c r="C28" s="78"/>
      <c r="D28" s="78"/>
      <c r="E28" s="78" t="s">
        <v>35</v>
      </c>
      <c r="F28" s="78"/>
      <c r="G28" s="78"/>
      <c r="H28" s="78"/>
    </row>
    <row r="29" spans="1:8" s="12" customFormat="1" x14ac:dyDescent="0.25">
      <c r="A29" s="120" t="s">
        <v>133</v>
      </c>
      <c r="B29" s="120"/>
      <c r="C29" s="119" t="s">
        <v>30</v>
      </c>
      <c r="D29" s="119"/>
      <c r="E29" s="119"/>
      <c r="F29" s="119" t="s">
        <v>32</v>
      </c>
      <c r="G29" s="119"/>
      <c r="H29" s="119"/>
    </row>
    <row r="30" spans="1:8" s="12" customFormat="1" x14ac:dyDescent="0.25">
      <c r="A30" s="114" t="s">
        <v>26</v>
      </c>
      <c r="B30" s="114" t="s">
        <v>31</v>
      </c>
      <c r="C30" s="74" t="s">
        <v>31</v>
      </c>
      <c r="D30" s="74"/>
      <c r="E30" s="74"/>
      <c r="F30" s="74" t="s">
        <v>176</v>
      </c>
      <c r="G30" s="74"/>
      <c r="H30" s="74"/>
    </row>
    <row r="31" spans="1:8" x14ac:dyDescent="0.25">
      <c r="A31" s="114" t="s">
        <v>27</v>
      </c>
      <c r="B31" s="114" t="s">
        <v>31</v>
      </c>
      <c r="C31" s="74" t="s">
        <v>31</v>
      </c>
      <c r="D31" s="74"/>
      <c r="E31" s="74"/>
      <c r="F31" s="74" t="s">
        <v>11</v>
      </c>
      <c r="G31" s="74"/>
      <c r="H31" s="74"/>
    </row>
    <row r="32" spans="1:8" s="12" customFormat="1" x14ac:dyDescent="0.25">
      <c r="A32" s="114" t="s">
        <v>29</v>
      </c>
      <c r="B32" s="114" t="s">
        <v>31</v>
      </c>
      <c r="C32" s="74" t="s">
        <v>31</v>
      </c>
      <c r="D32" s="74"/>
      <c r="E32" s="74"/>
      <c r="F32" s="74" t="s">
        <v>175</v>
      </c>
      <c r="G32" s="74"/>
      <c r="H32" s="74"/>
    </row>
    <row r="33" spans="1:9" x14ac:dyDescent="0.25">
      <c r="A33" s="114" t="s">
        <v>28</v>
      </c>
      <c r="B33" s="114" t="s">
        <v>31</v>
      </c>
      <c r="C33" s="74" t="s">
        <v>31</v>
      </c>
      <c r="D33" s="74"/>
      <c r="E33" s="74"/>
      <c r="F33" s="74" t="s">
        <v>171</v>
      </c>
      <c r="G33" s="74"/>
      <c r="H33" s="74"/>
    </row>
    <row r="34" spans="1:9" x14ac:dyDescent="0.25">
      <c r="A34" s="77" t="s">
        <v>33</v>
      </c>
      <c r="B34" s="77"/>
      <c r="C34" s="77"/>
      <c r="D34" s="77"/>
      <c r="E34" s="77"/>
      <c r="F34" s="77"/>
      <c r="G34" s="77"/>
      <c r="H34" s="77"/>
    </row>
    <row r="35" spans="1:9" ht="15.75" customHeight="1" x14ac:dyDescent="0.25">
      <c r="A35" s="117" t="s">
        <v>233</v>
      </c>
      <c r="B35" s="117"/>
      <c r="C35" s="137" t="s">
        <v>234</v>
      </c>
      <c r="D35" s="135"/>
      <c r="E35" s="135"/>
      <c r="F35" s="135"/>
      <c r="G35" s="135"/>
      <c r="H35" s="136"/>
    </row>
    <row r="36" spans="1:9" ht="15.75" customHeight="1" x14ac:dyDescent="0.25">
      <c r="A36" s="117" t="s">
        <v>231</v>
      </c>
      <c r="B36" s="117"/>
      <c r="C36" s="134" t="s">
        <v>230</v>
      </c>
      <c r="D36" s="135"/>
      <c r="E36" s="135"/>
      <c r="F36" s="135"/>
      <c r="G36" s="135"/>
      <c r="H36" s="136"/>
      <c r="I36" s="8" t="s">
        <v>232</v>
      </c>
    </row>
    <row r="37" spans="1:9" x14ac:dyDescent="0.25">
      <c r="A37" s="117" t="s">
        <v>36</v>
      </c>
      <c r="B37" s="117"/>
      <c r="C37" s="117"/>
      <c r="D37" s="117"/>
      <c r="E37" s="117"/>
      <c r="F37" s="117"/>
      <c r="G37" s="117"/>
      <c r="H37" s="117"/>
    </row>
    <row r="38" spans="1:9" x14ac:dyDescent="0.25">
      <c r="A38" s="77" t="s">
        <v>37</v>
      </c>
      <c r="B38" s="77"/>
      <c r="C38" s="77"/>
      <c r="D38" s="77"/>
      <c r="E38" s="123">
        <v>3763.4</v>
      </c>
      <c r="F38" s="123"/>
      <c r="G38" s="123"/>
      <c r="H38" s="123"/>
    </row>
    <row r="39" spans="1:9" x14ac:dyDescent="0.25">
      <c r="A39" s="77" t="s">
        <v>38</v>
      </c>
      <c r="B39" s="77"/>
      <c r="C39" s="77"/>
      <c r="D39" s="77"/>
      <c r="E39" s="122">
        <v>1</v>
      </c>
      <c r="F39" s="122"/>
      <c r="G39" s="122"/>
      <c r="H39" s="122"/>
    </row>
    <row r="40" spans="1:9" x14ac:dyDescent="0.25">
      <c r="A40" s="77" t="s">
        <v>39</v>
      </c>
      <c r="B40" s="77"/>
      <c r="C40" s="77"/>
      <c r="D40" s="77"/>
      <c r="E40" s="122">
        <f>E42/E38-E39</f>
        <v>3.00708933411277</v>
      </c>
      <c r="F40" s="122"/>
      <c r="G40" s="122"/>
      <c r="H40" s="122"/>
    </row>
    <row r="41" spans="1:9" x14ac:dyDescent="0.25">
      <c r="A41" s="77" t="s">
        <v>40</v>
      </c>
      <c r="B41" s="77"/>
      <c r="C41" s="77"/>
      <c r="D41" s="77"/>
      <c r="E41" s="122">
        <f>E39+E40</f>
        <v>4.00708933411277</v>
      </c>
      <c r="F41" s="122"/>
      <c r="G41" s="122"/>
      <c r="H41" s="122"/>
    </row>
    <row r="42" spans="1:9" x14ac:dyDescent="0.25">
      <c r="A42" s="77" t="s">
        <v>131</v>
      </c>
      <c r="B42" s="77"/>
      <c r="C42" s="77"/>
      <c r="D42" s="77"/>
      <c r="E42" s="133">
        <v>15080.28</v>
      </c>
      <c r="F42" s="133"/>
      <c r="G42" s="133"/>
      <c r="H42" s="133"/>
    </row>
    <row r="43" spans="1:9" x14ac:dyDescent="0.25">
      <c r="A43" s="100" t="s">
        <v>41</v>
      </c>
      <c r="B43" s="100"/>
      <c r="C43" s="100"/>
      <c r="D43" s="100"/>
      <c r="E43" s="100" t="s">
        <v>117</v>
      </c>
      <c r="F43" s="100"/>
      <c r="G43" s="100"/>
      <c r="H43" s="100"/>
    </row>
    <row r="44" spans="1:9" x14ac:dyDescent="0.25">
      <c r="A44" s="117" t="s">
        <v>42</v>
      </c>
      <c r="B44" s="117"/>
      <c r="C44" s="117"/>
      <c r="D44" s="117"/>
      <c r="E44" s="117"/>
      <c r="F44" s="117"/>
      <c r="G44" s="117"/>
      <c r="H44" s="117"/>
    </row>
    <row r="45" spans="1:9" ht="33" customHeight="1" x14ac:dyDescent="0.25">
      <c r="A45" s="78" t="s">
        <v>43</v>
      </c>
      <c r="B45" s="78"/>
      <c r="C45" s="93" t="s">
        <v>177</v>
      </c>
      <c r="D45" s="93"/>
      <c r="E45" s="93"/>
      <c r="F45" s="43" t="s">
        <v>44</v>
      </c>
      <c r="G45" s="138" t="s">
        <v>241</v>
      </c>
      <c r="H45" s="99"/>
    </row>
    <row r="46" spans="1:9" ht="31.5" customHeight="1" x14ac:dyDescent="0.25">
      <c r="A46" s="78" t="s">
        <v>45</v>
      </c>
      <c r="B46" s="78"/>
      <c r="C46" s="93" t="str">
        <f>C45</f>
        <v>P-5239/2020/(134A/3(PT) And 134A/4) R/S WARD/AKURLI R/S/337</v>
      </c>
      <c r="D46" s="93"/>
      <c r="E46" s="93"/>
      <c r="F46" s="43" t="s">
        <v>44</v>
      </c>
      <c r="G46" s="138" t="str">
        <f>G45</f>
        <v>07/07/2021.</v>
      </c>
      <c r="H46" s="138"/>
    </row>
    <row r="47" spans="1:9" s="11" customFormat="1" x14ac:dyDescent="0.25">
      <c r="A47" s="99" t="s">
        <v>46</v>
      </c>
      <c r="B47" s="99"/>
      <c r="C47" s="141" t="s">
        <v>178</v>
      </c>
      <c r="D47" s="142"/>
      <c r="E47" s="142"/>
      <c r="F47" s="142"/>
      <c r="G47" s="142"/>
      <c r="H47" s="143"/>
    </row>
    <row r="48" spans="1:9" s="11" customFormat="1" ht="81.75" customHeight="1" x14ac:dyDescent="0.25">
      <c r="A48" s="99"/>
      <c r="B48" s="99"/>
      <c r="C48" s="93" t="s">
        <v>202</v>
      </c>
      <c r="D48" s="93"/>
      <c r="E48" s="93"/>
      <c r="F48" s="14" t="s">
        <v>223</v>
      </c>
      <c r="G48" s="99" t="s">
        <v>224</v>
      </c>
      <c r="H48" s="99"/>
    </row>
    <row r="49" spans="1:11" s="11" customFormat="1" ht="99" customHeight="1" x14ac:dyDescent="0.25">
      <c r="A49" s="99"/>
      <c r="B49" s="99"/>
      <c r="C49" s="93" t="s">
        <v>222</v>
      </c>
      <c r="D49" s="93"/>
      <c r="E49" s="93"/>
      <c r="F49" s="14" t="s">
        <v>223</v>
      </c>
      <c r="G49" s="99" t="s">
        <v>225</v>
      </c>
      <c r="H49" s="99"/>
    </row>
    <row r="50" spans="1:11" x14ac:dyDescent="0.25">
      <c r="A50" s="96" t="s">
        <v>47</v>
      </c>
      <c r="B50" s="96"/>
      <c r="C50" s="97" t="s">
        <v>149</v>
      </c>
      <c r="D50" s="98"/>
      <c r="E50" s="98" t="s">
        <v>48</v>
      </c>
      <c r="F50" s="44" t="s">
        <v>44</v>
      </c>
      <c r="G50" s="94" t="s">
        <v>31</v>
      </c>
      <c r="H50" s="95"/>
    </row>
    <row r="51" spans="1:11" x14ac:dyDescent="0.25">
      <c r="A51" s="139" t="s">
        <v>50</v>
      </c>
      <c r="B51" s="139"/>
      <c r="C51" s="139"/>
      <c r="D51" s="139"/>
      <c r="E51" s="139"/>
      <c r="F51" s="139"/>
      <c r="G51" s="139"/>
      <c r="H51" s="139"/>
    </row>
    <row r="52" spans="1:11" x14ac:dyDescent="0.25">
      <c r="A52" s="78" t="s">
        <v>130</v>
      </c>
      <c r="B52" s="78"/>
      <c r="C52" s="78"/>
      <c r="D52" s="77">
        <f>E42</f>
        <v>15080.28</v>
      </c>
      <c r="E52" s="77"/>
      <c r="F52" s="77"/>
      <c r="G52" s="77"/>
      <c r="H52" s="77"/>
    </row>
    <row r="53" spans="1:11" x14ac:dyDescent="0.25">
      <c r="A53" s="99" t="s">
        <v>51</v>
      </c>
      <c r="B53" s="100"/>
      <c r="C53" s="100"/>
      <c r="D53" s="100" t="s">
        <v>201</v>
      </c>
      <c r="E53" s="100"/>
      <c r="F53" s="100"/>
      <c r="G53" s="100"/>
      <c r="H53" s="100"/>
    </row>
    <row r="54" spans="1:11" ht="49.9" customHeight="1" x14ac:dyDescent="0.25">
      <c r="A54" s="99" t="s">
        <v>52</v>
      </c>
      <c r="B54" s="100"/>
      <c r="C54" s="100"/>
      <c r="D54" s="99" t="s">
        <v>227</v>
      </c>
      <c r="E54" s="99"/>
      <c r="F54" s="99"/>
      <c r="G54" s="99"/>
      <c r="H54" s="99"/>
    </row>
    <row r="55" spans="1:11" ht="48" customHeight="1" x14ac:dyDescent="0.25">
      <c r="A55" s="99" t="s">
        <v>128</v>
      </c>
      <c r="B55" s="100"/>
      <c r="C55" s="100"/>
      <c r="D55" s="99" t="s">
        <v>226</v>
      </c>
      <c r="E55" s="99"/>
      <c r="F55" s="99"/>
      <c r="G55" s="99"/>
      <c r="H55" s="99"/>
    </row>
    <row r="56" spans="1:11" ht="15.75" customHeight="1" x14ac:dyDescent="0.25">
      <c r="A56" s="77" t="s">
        <v>49</v>
      </c>
      <c r="B56" s="77"/>
      <c r="C56" s="77"/>
      <c r="D56" s="78" t="s">
        <v>239</v>
      </c>
      <c r="E56" s="78"/>
      <c r="F56" s="78"/>
      <c r="G56" s="78"/>
      <c r="H56" s="78"/>
    </row>
    <row r="57" spans="1:11" ht="15.75" customHeight="1" x14ac:dyDescent="0.25">
      <c r="A57" s="77" t="s">
        <v>125</v>
      </c>
      <c r="B57" s="77"/>
      <c r="C57" s="77"/>
      <c r="D57" s="78" t="s">
        <v>126</v>
      </c>
      <c r="E57" s="78"/>
      <c r="F57" s="78"/>
      <c r="G57" s="78"/>
      <c r="H57" s="78"/>
    </row>
    <row r="58" spans="1:11" ht="15.75" customHeight="1" x14ac:dyDescent="0.25">
      <c r="A58" s="77" t="s">
        <v>127</v>
      </c>
      <c r="B58" s="77"/>
      <c r="C58" s="77"/>
      <c r="D58" s="78" t="s">
        <v>25</v>
      </c>
      <c r="E58" s="78"/>
      <c r="F58" s="78"/>
      <c r="G58" s="78"/>
      <c r="H58" s="78"/>
      <c r="J58" s="22"/>
      <c r="K58" s="22"/>
    </row>
    <row r="59" spans="1:11" ht="15.75" customHeight="1" thickBot="1" x14ac:dyDescent="0.3">
      <c r="A59" s="144" t="s">
        <v>124</v>
      </c>
      <c r="B59" s="144"/>
      <c r="C59" s="144"/>
      <c r="D59" s="140" t="s">
        <v>197</v>
      </c>
      <c r="E59" s="140"/>
      <c r="F59" s="140"/>
      <c r="G59" s="140"/>
      <c r="H59" s="140"/>
      <c r="J59" s="22"/>
      <c r="K59" s="22"/>
    </row>
    <row r="60" spans="1:11" ht="33.75" customHeight="1" x14ac:dyDescent="0.25">
      <c r="A60" s="108" t="s">
        <v>203</v>
      </c>
      <c r="B60" s="109"/>
      <c r="C60" s="110" t="str">
        <f>D55</f>
        <v>Ground/Stilt + 1st to 8th Podium(parking) + 9th Podium/Refuge/1st Amenity Floor + 10th Podium/2nd Amenity Floor + Service Floor + 40 Habitual Floor</v>
      </c>
      <c r="D60" s="111"/>
      <c r="E60" s="111"/>
      <c r="F60" s="111"/>
      <c r="G60" s="111"/>
      <c r="H60" s="112"/>
      <c r="I60" s="26" t="str">
        <f ca="1">(IF(C64=0,"Work not yet Started.",IF(D64=25%,"Piling work in process",IF(D64=50%,"Excavation work in process",IF(D64=100%,"Excavation work completed, ","0")))&amp;(IF(C65=0%,"",IF(C65=K66,"Footing work is process",IF(C65=K67,"Footing work Completed",IF(C65=K68,"1st Basement Completed",IF(C65=K69,"1st &amp; 2nd Basement Completed",IF(C65=K70,"1st to 3rd Basement Completed",IF(C65=K71,"1st to 4th Basement Completed",IF(C65=K72,"Plinth work is process",IF(C65=K73,"Plinth work completed","0")))))))))))&amp;(IF(C66&gt;0,", RCC upto "&amp;C66&amp;" Slab completed",""))&amp;(IF(C67&gt;0,", Brickwork upto "&amp;C67&amp;" Floor completed"," "))&amp;(IF(C68&gt;0,", Internal Plaster upto "&amp;C68&amp;" Floor completed"," "))&amp;(IF(C69&gt;0,", External Plaster upto "&amp;C69&amp;" Floor completed"," "))&amp;(IF(C70&gt;0,", Flooring upto "&amp;C70&amp;" Floor completed"," "))&amp;(IF(C71&gt;0,", Painting upto "&amp;C71&amp;" Floor completed"," "))&amp;(IF(C72&gt;0,", Finishing upto "&amp;C72&amp;" Floor completed"," ")))</f>
        <v xml:space="preserve">Excavation work completed, Footing work is process      </v>
      </c>
      <c r="J60" s="26"/>
      <c r="K60" s="27"/>
    </row>
    <row r="61" spans="1:11" ht="15.75" customHeight="1" x14ac:dyDescent="0.25">
      <c r="A61" s="25" t="s">
        <v>104</v>
      </c>
      <c r="B61" s="64">
        <v>0</v>
      </c>
      <c r="C61" s="64" t="s">
        <v>106</v>
      </c>
      <c r="D61" s="64">
        <v>1</v>
      </c>
      <c r="E61" s="64" t="s">
        <v>105</v>
      </c>
      <c r="F61" s="64">
        <v>10</v>
      </c>
      <c r="G61" s="64" t="s">
        <v>118</v>
      </c>
      <c r="H61" s="47">
        <f ca="1">--TRIM(RIGHT(SUBSTITUTE(LEFT(C60,_xlfn.AGGREGATE(16,6,FIND({0,1,2,3,4,5,6,7,8,9},C60,ROW(INDIRECT("1:"&amp;LEN(C60)))),1))," ",REPT(" ",LEN(C60))),LEN(C60)))</f>
        <v>40</v>
      </c>
      <c r="I61" s="22" t="s">
        <v>204</v>
      </c>
      <c r="J61" s="22"/>
      <c r="K61" s="28"/>
    </row>
    <row r="62" spans="1:11" x14ac:dyDescent="0.25">
      <c r="A62" s="103" t="s">
        <v>129</v>
      </c>
      <c r="B62" s="104"/>
      <c r="C62" s="105" t="str">
        <f ca="1">I60</f>
        <v xml:space="preserve">Excavation work completed, Footing work is process      </v>
      </c>
      <c r="D62" s="105"/>
      <c r="E62" s="105"/>
      <c r="F62" s="105"/>
      <c r="G62" s="105"/>
      <c r="H62" s="106"/>
      <c r="I62" s="22" t="s">
        <v>148</v>
      </c>
      <c r="J62" s="22"/>
      <c r="K62" s="28"/>
    </row>
    <row r="63" spans="1:11" ht="15.75" customHeight="1" x14ac:dyDescent="0.25">
      <c r="A63" s="67" t="s">
        <v>53</v>
      </c>
      <c r="B63" s="68"/>
      <c r="C63" s="48" t="s">
        <v>205</v>
      </c>
      <c r="D63" s="48" t="s">
        <v>121</v>
      </c>
      <c r="E63" s="68" t="s">
        <v>123</v>
      </c>
      <c r="F63" s="68"/>
      <c r="G63" s="68" t="s">
        <v>122</v>
      </c>
      <c r="H63" s="107"/>
      <c r="I63" s="55" t="s">
        <v>206</v>
      </c>
      <c r="K63" s="29">
        <f ca="1">H61*25%</f>
        <v>10</v>
      </c>
    </row>
    <row r="64" spans="1:11" ht="15.75" customHeight="1" x14ac:dyDescent="0.25">
      <c r="A64" s="67" t="s">
        <v>207</v>
      </c>
      <c r="B64" s="68"/>
      <c r="C64" s="50">
        <v>40</v>
      </c>
      <c r="D64" s="65">
        <f ca="1">((100/H61)*C64)/100</f>
        <v>1</v>
      </c>
      <c r="E64" s="69">
        <f ca="1">(IF(C62=I61,"100%",IF(C62=I62,"100%",(((C65/H61*10)+(40/(D61+F61+H61)*C66)+(7.5/(H61)*C67)+(7.5/(H61)*C68)+(10/H61*C69)+(10/H61*C70)+(5/H61*C71)+(5/H61*C72)+(5/H61*C73))/100))))</f>
        <v>2.5000000000000001E-2</v>
      </c>
      <c r="F64" s="69"/>
      <c r="G64" s="69">
        <f ca="1">((((C64/H61)*20)+((C65/H61)*25)+(30/(H61+F61+D61)*C66)+(5/H61*C67)+(5/H61*C68)+(5/H61*C69)+(5/H61*C70)+(0/H61*C71)+(0/H61*C72)+(5/H61*C73))/100)</f>
        <v>0.26250000000000001</v>
      </c>
      <c r="H64" s="71"/>
      <c r="I64" s="55" t="s">
        <v>142</v>
      </c>
      <c r="J64" s="30"/>
      <c r="K64" s="56">
        <f ca="1">H61*50%</f>
        <v>20</v>
      </c>
    </row>
    <row r="65" spans="1:11" ht="15.75" customHeight="1" x14ac:dyDescent="0.25">
      <c r="A65" s="67" t="s">
        <v>54</v>
      </c>
      <c r="B65" s="68"/>
      <c r="C65" s="50">
        <f ca="1">K66</f>
        <v>10</v>
      </c>
      <c r="D65" s="65">
        <f ca="1">((100/H61)*C65)/100</f>
        <v>0.25</v>
      </c>
      <c r="E65" s="69"/>
      <c r="F65" s="69"/>
      <c r="G65" s="69"/>
      <c r="H65" s="71"/>
      <c r="I65" s="55" t="s">
        <v>143</v>
      </c>
      <c r="J65" s="30"/>
      <c r="K65" s="56">
        <f ca="1">H61</f>
        <v>40</v>
      </c>
    </row>
    <row r="66" spans="1:11" ht="15.75" customHeight="1" x14ac:dyDescent="0.25">
      <c r="A66" s="73" t="s">
        <v>208</v>
      </c>
      <c r="B66" s="74"/>
      <c r="C66" s="50">
        <v>0</v>
      </c>
      <c r="D66" s="65">
        <f ca="1">((100/(D61+F61+H61))*C66)/100</f>
        <v>0</v>
      </c>
      <c r="E66" s="69"/>
      <c r="F66" s="69"/>
      <c r="G66" s="69"/>
      <c r="H66" s="71"/>
      <c r="I66" s="55" t="s">
        <v>144</v>
      </c>
      <c r="J66" s="30"/>
      <c r="K66" s="57">
        <f ca="1">(IF(B61=0,H61/4,(H61/(B61+4))))</f>
        <v>10</v>
      </c>
    </row>
    <row r="67" spans="1:11" ht="15.75" customHeight="1" x14ac:dyDescent="0.25">
      <c r="A67" s="67" t="s">
        <v>209</v>
      </c>
      <c r="B67" s="68" t="s">
        <v>210</v>
      </c>
      <c r="C67" s="49">
        <v>0</v>
      </c>
      <c r="D67" s="65">
        <f ca="1">((100/H61)*C67)/100</f>
        <v>0</v>
      </c>
      <c r="E67" s="69"/>
      <c r="F67" s="69"/>
      <c r="G67" s="69"/>
      <c r="H67" s="71"/>
      <c r="I67" s="55" t="s">
        <v>145</v>
      </c>
      <c r="J67" s="30"/>
      <c r="K67" s="57">
        <f ca="1">(IF(B61=0,H61/4+K66,(H61/(B61+4)+K66)))</f>
        <v>20</v>
      </c>
    </row>
    <row r="68" spans="1:11" ht="15.75" customHeight="1" x14ac:dyDescent="0.25">
      <c r="A68" s="67" t="s">
        <v>211</v>
      </c>
      <c r="B68" s="68" t="s">
        <v>210</v>
      </c>
      <c r="C68" s="49">
        <v>0</v>
      </c>
      <c r="D68" s="65">
        <f ca="1">((100/H61)*C68)/100</f>
        <v>0</v>
      </c>
      <c r="E68" s="69"/>
      <c r="F68" s="69"/>
      <c r="G68" s="69"/>
      <c r="H68" s="71"/>
      <c r="I68" s="55" t="s">
        <v>212</v>
      </c>
      <c r="J68" s="58"/>
      <c r="K68" s="57">
        <f>(IF(B61=0,0,(H61/(B61+4)+K67)))</f>
        <v>0</v>
      </c>
    </row>
    <row r="69" spans="1:11" ht="15.75" customHeight="1" x14ac:dyDescent="0.25">
      <c r="A69" s="67" t="s">
        <v>213</v>
      </c>
      <c r="B69" s="68" t="s">
        <v>214</v>
      </c>
      <c r="C69" s="49">
        <v>0</v>
      </c>
      <c r="D69" s="65">
        <f ca="1">((100/(H61))*C69)/100</f>
        <v>0</v>
      </c>
      <c r="E69" s="69"/>
      <c r="F69" s="69"/>
      <c r="G69" s="69"/>
      <c r="H69" s="71"/>
      <c r="I69" s="55" t="s">
        <v>215</v>
      </c>
      <c r="J69" s="58"/>
      <c r="K69" s="57">
        <f>(IF(B61&gt;1,(H61/(B61+4)+K68),0))</f>
        <v>0</v>
      </c>
    </row>
    <row r="70" spans="1:11" ht="15.75" customHeight="1" x14ac:dyDescent="0.25">
      <c r="A70" s="67" t="s">
        <v>216</v>
      </c>
      <c r="B70" s="68" t="s">
        <v>216</v>
      </c>
      <c r="C70" s="49">
        <v>0</v>
      </c>
      <c r="D70" s="65">
        <f ca="1">((100/H61)*C70)/100</f>
        <v>0</v>
      </c>
      <c r="E70" s="69"/>
      <c r="F70" s="69"/>
      <c r="G70" s="69"/>
      <c r="H70" s="71"/>
      <c r="I70" s="55" t="s">
        <v>217</v>
      </c>
      <c r="J70" s="59"/>
      <c r="K70" s="60">
        <f>(IF(B61&gt;2,(H61/(B61+4)+K69),0))</f>
        <v>0</v>
      </c>
    </row>
    <row r="71" spans="1:11" ht="15.75" customHeight="1" x14ac:dyDescent="0.25">
      <c r="A71" s="67" t="s">
        <v>218</v>
      </c>
      <c r="B71" s="68"/>
      <c r="C71" s="49">
        <v>0</v>
      </c>
      <c r="D71" s="65">
        <f ca="1">((100/H61)*C71)/100</f>
        <v>0</v>
      </c>
      <c r="E71" s="69"/>
      <c r="F71" s="69"/>
      <c r="G71" s="69"/>
      <c r="H71" s="71"/>
      <c r="I71" s="55" t="s">
        <v>219</v>
      </c>
      <c r="J71"/>
      <c r="K71" s="61">
        <f>(IF(B61&gt;3,(H61/(B61+4)+K70),0))</f>
        <v>0</v>
      </c>
    </row>
    <row r="72" spans="1:11" ht="15.75" customHeight="1" x14ac:dyDescent="0.25">
      <c r="A72" s="67" t="s">
        <v>220</v>
      </c>
      <c r="B72" s="68" t="s">
        <v>220</v>
      </c>
      <c r="C72" s="49">
        <v>0</v>
      </c>
      <c r="D72" s="65">
        <f ca="1">((100/(H61))*C72)/100</f>
        <v>0</v>
      </c>
      <c r="E72" s="69"/>
      <c r="F72" s="69"/>
      <c r="G72" s="69"/>
      <c r="H72" s="71"/>
      <c r="I72" s="55" t="s">
        <v>146</v>
      </c>
      <c r="J72" s="30"/>
      <c r="K72" s="57">
        <f ca="1">(IF(B61=0,H61/4+K67,(H61/(B61+4)+K67+MAX(0,K68-K67)+MAX(0,K69-K68)+MAX(0,K70-K69)+MAX(0,K71-K70))))</f>
        <v>30</v>
      </c>
    </row>
    <row r="73" spans="1:11" ht="15.75" customHeight="1" thickBot="1" x14ac:dyDescent="0.3">
      <c r="A73" s="75" t="s">
        <v>221</v>
      </c>
      <c r="B73" s="76"/>
      <c r="C73" s="51">
        <v>0</v>
      </c>
      <c r="D73" s="66">
        <f ca="1">((100/(H61))*C73)/100</f>
        <v>0</v>
      </c>
      <c r="E73" s="70"/>
      <c r="F73" s="70"/>
      <c r="G73" s="70"/>
      <c r="H73" s="72"/>
      <c r="I73" s="62" t="s">
        <v>147</v>
      </c>
      <c r="J73" s="31"/>
      <c r="K73" s="63">
        <f ca="1">(IF(B61=0,H61/4+K72,(H61/(B61+4)+K72)))</f>
        <v>40</v>
      </c>
    </row>
    <row r="74" spans="1:11" x14ac:dyDescent="0.25">
      <c r="A74" s="146" t="s">
        <v>192</v>
      </c>
      <c r="B74" s="146"/>
      <c r="C74" s="146"/>
      <c r="D74" s="146"/>
      <c r="E74" s="146"/>
      <c r="F74" s="146"/>
      <c r="G74" s="146"/>
      <c r="H74" s="146"/>
    </row>
    <row r="75" spans="1:11" x14ac:dyDescent="0.25">
      <c r="A75" s="77" t="s">
        <v>55</v>
      </c>
      <c r="B75" s="77"/>
      <c r="C75" s="77"/>
      <c r="D75" s="77"/>
      <c r="E75" s="77"/>
      <c r="F75" s="77"/>
      <c r="G75" s="77"/>
      <c r="H75" s="77"/>
    </row>
    <row r="76" spans="1:11" ht="15" customHeight="1" x14ac:dyDescent="0.25">
      <c r="A76" s="104" t="s">
        <v>109</v>
      </c>
      <c r="B76" s="104"/>
      <c r="C76" s="105" t="s">
        <v>110</v>
      </c>
      <c r="D76" s="105"/>
      <c r="E76" s="105"/>
      <c r="F76" s="105"/>
      <c r="G76" s="105"/>
      <c r="H76" s="105"/>
    </row>
    <row r="77" spans="1:11" x14ac:dyDescent="0.25">
      <c r="A77" s="117" t="s">
        <v>56</v>
      </c>
      <c r="B77" s="117"/>
      <c r="C77" s="117"/>
      <c r="D77" s="117"/>
      <c r="E77" s="117"/>
      <c r="F77" s="117"/>
      <c r="G77" s="117"/>
      <c r="H77" s="117"/>
    </row>
    <row r="78" spans="1:11" x14ac:dyDescent="0.25">
      <c r="A78" s="77" t="s">
        <v>111</v>
      </c>
      <c r="B78" s="77"/>
      <c r="C78" s="77"/>
      <c r="D78" s="77"/>
      <c r="E78" s="77"/>
      <c r="F78" s="98">
        <v>15000</v>
      </c>
      <c r="G78" s="98"/>
      <c r="H78" s="98"/>
    </row>
    <row r="79" spans="1:11" s="13" customFormat="1" hidden="1" x14ac:dyDescent="0.25">
      <c r="A79" s="77" t="s">
        <v>134</v>
      </c>
      <c r="B79" s="77"/>
      <c r="C79" s="77"/>
      <c r="D79" s="77"/>
      <c r="E79" s="77"/>
      <c r="F79" s="85" t="s">
        <v>31</v>
      </c>
      <c r="G79" s="85"/>
      <c r="H79" s="85"/>
    </row>
    <row r="80" spans="1:11" s="13" customFormat="1" hidden="1" x14ac:dyDescent="0.25">
      <c r="A80" s="77" t="s">
        <v>135</v>
      </c>
      <c r="B80" s="77"/>
      <c r="C80" s="77"/>
      <c r="D80" s="77"/>
      <c r="E80" s="77"/>
      <c r="F80" s="85" t="s">
        <v>31</v>
      </c>
      <c r="G80" s="85"/>
      <c r="H80" s="85"/>
    </row>
    <row r="81" spans="1:8" s="13" customFormat="1" hidden="1" x14ac:dyDescent="0.25">
      <c r="A81" s="77" t="s">
        <v>136</v>
      </c>
      <c r="B81" s="77"/>
      <c r="C81" s="77"/>
      <c r="D81" s="77"/>
      <c r="E81" s="77"/>
      <c r="F81" s="85" t="s">
        <v>31</v>
      </c>
      <c r="G81" s="85"/>
      <c r="H81" s="85"/>
    </row>
    <row r="82" spans="1:8" s="13" customFormat="1" hidden="1" x14ac:dyDescent="0.25">
      <c r="A82" s="77" t="s">
        <v>137</v>
      </c>
      <c r="B82" s="77"/>
      <c r="C82" s="77"/>
      <c r="D82" s="77"/>
      <c r="E82" s="77"/>
      <c r="F82" s="85" t="s">
        <v>31</v>
      </c>
      <c r="G82" s="85"/>
      <c r="H82" s="85"/>
    </row>
    <row r="83" spans="1:8" s="13" customFormat="1" hidden="1" x14ac:dyDescent="0.25">
      <c r="A83" s="77" t="s">
        <v>138</v>
      </c>
      <c r="B83" s="77"/>
      <c r="C83" s="77"/>
      <c r="D83" s="77"/>
      <c r="E83" s="77"/>
      <c r="F83" s="85" t="s">
        <v>31</v>
      </c>
      <c r="G83" s="85"/>
      <c r="H83" s="85"/>
    </row>
    <row r="84" spans="1:8" s="13" customFormat="1" hidden="1" x14ac:dyDescent="0.25">
      <c r="A84" s="77" t="s">
        <v>139</v>
      </c>
      <c r="B84" s="77"/>
      <c r="C84" s="77"/>
      <c r="D84" s="77"/>
      <c r="E84" s="77"/>
      <c r="F84" s="85" t="s">
        <v>31</v>
      </c>
      <c r="G84" s="85"/>
      <c r="H84" s="85"/>
    </row>
    <row r="85" spans="1:8" s="13" customFormat="1" hidden="1" x14ac:dyDescent="0.25">
      <c r="A85" s="77" t="s">
        <v>140</v>
      </c>
      <c r="B85" s="77"/>
      <c r="C85" s="77"/>
      <c r="D85" s="77"/>
      <c r="E85" s="77"/>
      <c r="F85" s="85" t="s">
        <v>31</v>
      </c>
      <c r="G85" s="85"/>
      <c r="H85" s="85"/>
    </row>
    <row r="86" spans="1:8" s="13" customFormat="1" hidden="1" x14ac:dyDescent="0.25">
      <c r="A86" s="77" t="s">
        <v>141</v>
      </c>
      <c r="B86" s="77"/>
      <c r="C86" s="77"/>
      <c r="D86" s="77"/>
      <c r="E86" s="77"/>
      <c r="F86" s="85" t="s">
        <v>31</v>
      </c>
      <c r="G86" s="85"/>
      <c r="H86" s="85"/>
    </row>
    <row r="87" spans="1:8" x14ac:dyDescent="0.25">
      <c r="A87" s="77" t="s">
        <v>57</v>
      </c>
      <c r="B87" s="77"/>
      <c r="C87" s="77"/>
      <c r="D87" s="77"/>
      <c r="E87" s="77"/>
      <c r="F87" s="93" t="s">
        <v>183</v>
      </c>
      <c r="G87" s="93"/>
      <c r="H87" s="93"/>
    </row>
    <row r="88" spans="1:8" s="9" customFormat="1" x14ac:dyDescent="0.25">
      <c r="A88" s="117" t="s">
        <v>58</v>
      </c>
      <c r="B88" s="117"/>
      <c r="C88" s="117"/>
      <c r="D88" s="117"/>
      <c r="E88" s="117"/>
      <c r="F88" s="85">
        <f>F78*0.8</f>
        <v>12000</v>
      </c>
      <c r="G88" s="85"/>
      <c r="H88" s="85"/>
    </row>
    <row r="89" spans="1:8" s="1" customFormat="1" x14ac:dyDescent="0.25">
      <c r="A89" s="145" t="s">
        <v>103</v>
      </c>
      <c r="B89" s="145"/>
      <c r="C89" s="145"/>
      <c r="D89" s="145"/>
      <c r="E89" s="145"/>
      <c r="F89" s="145"/>
      <c r="G89" s="145"/>
      <c r="H89" s="145"/>
    </row>
    <row r="90" spans="1:8" s="1" customFormat="1" x14ac:dyDescent="0.25">
      <c r="A90" s="131" t="s">
        <v>59</v>
      </c>
      <c r="B90" s="131"/>
      <c r="C90" s="15" t="s">
        <v>115</v>
      </c>
      <c r="D90" s="132" t="s">
        <v>60</v>
      </c>
      <c r="E90" s="132"/>
      <c r="F90" s="131" t="s">
        <v>61</v>
      </c>
      <c r="G90" s="131"/>
      <c r="H90" s="131"/>
    </row>
    <row r="91" spans="1:8" s="1" customFormat="1" x14ac:dyDescent="0.25">
      <c r="A91" s="130" t="s">
        <v>82</v>
      </c>
      <c r="B91" s="130"/>
      <c r="C91" s="16">
        <f>COUNT(D104:D111)*17+COUNT(D113:D118)*2</f>
        <v>148</v>
      </c>
      <c r="D91" s="126">
        <f>SUM(D104:D111)*17+SUM(D113:D118)*2</f>
        <v>90306.515520000001</v>
      </c>
      <c r="E91" s="126"/>
      <c r="F91" s="127">
        <f>SUM(F104:F111)*17+SUM(F113:F118)*2</f>
        <v>144490.42483199999</v>
      </c>
      <c r="G91" s="128"/>
      <c r="H91" s="129"/>
    </row>
    <row r="92" spans="1:8" s="9" customFormat="1" x14ac:dyDescent="0.25">
      <c r="A92" s="82" t="s">
        <v>64</v>
      </c>
      <c r="B92" s="82"/>
      <c r="C92" s="82"/>
      <c r="D92" s="82"/>
      <c r="E92" s="82"/>
      <c r="F92" s="82"/>
      <c r="G92" s="82"/>
      <c r="H92" s="82"/>
    </row>
    <row r="93" spans="1:8" x14ac:dyDescent="0.25">
      <c r="A93" s="82" t="s">
        <v>65</v>
      </c>
      <c r="B93" s="82"/>
      <c r="C93" s="82"/>
      <c r="D93" s="82"/>
      <c r="E93" s="82"/>
      <c r="F93" s="82"/>
      <c r="G93" s="82"/>
      <c r="H93" s="82"/>
    </row>
    <row r="94" spans="1:8" ht="47.25" customHeight="1" x14ac:dyDescent="0.25">
      <c r="A94" s="84" t="s">
        <v>112</v>
      </c>
      <c r="B94" s="84"/>
      <c r="C94" s="24" t="s">
        <v>66</v>
      </c>
      <c r="D94" s="24" t="s">
        <v>67</v>
      </c>
      <c r="E94" s="17" t="s">
        <v>68</v>
      </c>
      <c r="F94" s="24" t="s">
        <v>69</v>
      </c>
      <c r="G94" s="84" t="s">
        <v>70</v>
      </c>
      <c r="H94" s="84"/>
    </row>
    <row r="95" spans="1:8" s="2" customFormat="1" x14ac:dyDescent="0.25">
      <c r="A95" s="92" t="s">
        <v>189</v>
      </c>
      <c r="B95" s="92"/>
      <c r="C95" s="92"/>
      <c r="D95" s="92"/>
      <c r="E95" s="92"/>
      <c r="F95" s="92"/>
      <c r="G95" s="92"/>
      <c r="H95" s="92"/>
    </row>
    <row r="96" spans="1:8" s="2" customFormat="1" x14ac:dyDescent="0.25">
      <c r="A96" s="92" t="s">
        <v>185</v>
      </c>
      <c r="B96" s="92"/>
      <c r="C96" s="92"/>
      <c r="D96" s="92"/>
      <c r="E96" s="92"/>
      <c r="F96" s="92"/>
      <c r="G96" s="92"/>
      <c r="H96" s="92"/>
    </row>
    <row r="97" spans="1:10" s="2" customFormat="1" x14ac:dyDescent="0.25">
      <c r="A97" s="92" t="s">
        <v>186</v>
      </c>
      <c r="B97" s="92"/>
      <c r="C97" s="92"/>
      <c r="D97" s="92"/>
      <c r="E97" s="92"/>
      <c r="F97" s="92"/>
      <c r="G97" s="92"/>
      <c r="H97" s="92"/>
    </row>
    <row r="98" spans="1:10" s="2" customFormat="1" x14ac:dyDescent="0.25">
      <c r="A98" s="92" t="s">
        <v>187</v>
      </c>
      <c r="B98" s="92"/>
      <c r="C98" s="92"/>
      <c r="D98" s="92"/>
      <c r="E98" s="92"/>
      <c r="F98" s="92"/>
      <c r="G98" s="92"/>
      <c r="H98" s="92"/>
    </row>
    <row r="99" spans="1:10" s="2" customFormat="1" x14ac:dyDescent="0.25">
      <c r="A99" s="92" t="s">
        <v>188</v>
      </c>
      <c r="B99" s="92"/>
      <c r="C99" s="92"/>
      <c r="D99" s="92"/>
      <c r="E99" s="92"/>
      <c r="F99" s="92"/>
      <c r="G99" s="92"/>
      <c r="H99" s="92"/>
    </row>
    <row r="100" spans="1:10" s="2" customFormat="1" x14ac:dyDescent="0.25">
      <c r="A100" s="92" t="s">
        <v>190</v>
      </c>
      <c r="B100" s="92"/>
      <c r="C100" s="92"/>
      <c r="D100" s="92"/>
      <c r="E100" s="92"/>
      <c r="F100" s="92"/>
      <c r="G100" s="92"/>
      <c r="H100" s="92"/>
    </row>
    <row r="101" spans="1:10" s="2" customFormat="1" x14ac:dyDescent="0.25">
      <c r="A101" s="92" t="s">
        <v>179</v>
      </c>
      <c r="B101" s="92"/>
      <c r="C101" s="92"/>
      <c r="D101" s="92"/>
      <c r="E101" s="92"/>
      <c r="F101" s="92"/>
      <c r="G101" s="92"/>
      <c r="H101" s="92"/>
    </row>
    <row r="102" spans="1:10" s="2" customFormat="1" x14ac:dyDescent="0.25">
      <c r="A102" s="92" t="s">
        <v>191</v>
      </c>
      <c r="B102" s="92"/>
      <c r="C102" s="92"/>
      <c r="D102" s="92"/>
      <c r="E102" s="92"/>
      <c r="F102" s="92"/>
      <c r="G102" s="92"/>
      <c r="H102" s="92"/>
    </row>
    <row r="103" spans="1:10" s="2" customFormat="1" x14ac:dyDescent="0.25">
      <c r="A103" s="92" t="s">
        <v>198</v>
      </c>
      <c r="B103" s="92"/>
      <c r="C103" s="92"/>
      <c r="D103" s="92"/>
      <c r="E103" s="92"/>
      <c r="F103" s="92"/>
      <c r="G103" s="92"/>
      <c r="H103" s="92"/>
    </row>
    <row r="104" spans="1:10" s="2" customFormat="1" x14ac:dyDescent="0.25">
      <c r="A104" s="83">
        <v>1</v>
      </c>
      <c r="B104" s="83"/>
      <c r="C104" s="23" t="s">
        <v>180</v>
      </c>
      <c r="D104" s="23">
        <f>58.14*10.764</f>
        <v>625.81895999999995</v>
      </c>
      <c r="E104" s="23">
        <v>0</v>
      </c>
      <c r="F104" s="23">
        <f>D104*1.6+E104</f>
        <v>1001.310336</v>
      </c>
      <c r="G104" s="86" t="str">
        <f>A103</f>
        <v>1st to 5th, 7th to 12th, 14th to 19th Floor For Residential</v>
      </c>
      <c r="H104" s="87"/>
      <c r="I104" s="54">
        <f t="shared" ref="I104" si="0">15500000/F104</f>
        <v>15479.716370370115</v>
      </c>
      <c r="J104" s="2">
        <f>22000/1.6</f>
        <v>13750</v>
      </c>
    </row>
    <row r="105" spans="1:10" s="2" customFormat="1" x14ac:dyDescent="0.25">
      <c r="A105" s="83">
        <v>2</v>
      </c>
      <c r="B105" s="83"/>
      <c r="C105" s="23" t="s">
        <v>181</v>
      </c>
      <c r="D105" s="23">
        <f>41.58*10.764</f>
        <v>447.56711999999993</v>
      </c>
      <c r="E105" s="23">
        <v>0</v>
      </c>
      <c r="F105" s="23">
        <f t="shared" ref="F105:F118" si="1">D105*1.6+E105</f>
        <v>716.10739199999989</v>
      </c>
      <c r="G105" s="88"/>
      <c r="H105" s="89"/>
      <c r="I105" s="54">
        <f>10100000/F105</f>
        <v>14104.029804512898</v>
      </c>
    </row>
    <row r="106" spans="1:10" s="2" customFormat="1" x14ac:dyDescent="0.25">
      <c r="A106" s="83">
        <v>3</v>
      </c>
      <c r="B106" s="83"/>
      <c r="C106" s="23" t="s">
        <v>180</v>
      </c>
      <c r="D106" s="23">
        <f>64.85*10.764</f>
        <v>698.04539999999986</v>
      </c>
      <c r="E106" s="23">
        <v>0</v>
      </c>
      <c r="F106" s="23">
        <f t="shared" si="1"/>
        <v>1116.8726399999998</v>
      </c>
      <c r="G106" s="88"/>
      <c r="H106" s="89"/>
      <c r="I106" s="54">
        <f>15500000/F106</f>
        <v>13878.037159187643</v>
      </c>
    </row>
    <row r="107" spans="1:10" s="2" customFormat="1" x14ac:dyDescent="0.25">
      <c r="A107" s="83">
        <v>4</v>
      </c>
      <c r="B107" s="83"/>
      <c r="C107" s="23" t="s">
        <v>180</v>
      </c>
      <c r="D107" s="23">
        <f t="shared" ref="D107:D108" si="2">58.14*10.764</f>
        <v>625.81895999999995</v>
      </c>
      <c r="E107" s="23">
        <v>0</v>
      </c>
      <c r="F107" s="23">
        <f t="shared" si="1"/>
        <v>1001.310336</v>
      </c>
      <c r="G107" s="88"/>
      <c r="H107" s="89"/>
      <c r="I107" s="54">
        <f t="shared" ref="I107:I111" si="3">15500000/F107</f>
        <v>15479.716370370115</v>
      </c>
    </row>
    <row r="108" spans="1:10" s="2" customFormat="1" x14ac:dyDescent="0.25">
      <c r="A108" s="83">
        <v>5</v>
      </c>
      <c r="B108" s="83"/>
      <c r="C108" s="23" t="s">
        <v>180</v>
      </c>
      <c r="D108" s="23">
        <f t="shared" si="2"/>
        <v>625.81895999999995</v>
      </c>
      <c r="E108" s="23">
        <v>0</v>
      </c>
      <c r="F108" s="23">
        <f t="shared" si="1"/>
        <v>1001.310336</v>
      </c>
      <c r="G108" s="88"/>
      <c r="H108" s="89"/>
      <c r="I108" s="54">
        <f t="shared" si="3"/>
        <v>15479.716370370115</v>
      </c>
    </row>
    <row r="109" spans="1:10" s="2" customFormat="1" x14ac:dyDescent="0.25">
      <c r="A109" s="83">
        <v>6</v>
      </c>
      <c r="B109" s="83"/>
      <c r="C109" s="23" t="s">
        <v>180</v>
      </c>
      <c r="D109" s="23">
        <f>64.85*10.764</f>
        <v>698.04539999999986</v>
      </c>
      <c r="E109" s="23">
        <v>0</v>
      </c>
      <c r="F109" s="23">
        <f t="shared" si="1"/>
        <v>1116.8726399999998</v>
      </c>
      <c r="G109" s="88"/>
      <c r="H109" s="89"/>
      <c r="I109" s="54">
        <f t="shared" si="3"/>
        <v>13878.037159187643</v>
      </c>
    </row>
    <row r="110" spans="1:10" s="2" customFormat="1" x14ac:dyDescent="0.25">
      <c r="A110" s="83">
        <v>7</v>
      </c>
      <c r="B110" s="83"/>
      <c r="C110" s="23" t="s">
        <v>181</v>
      </c>
      <c r="D110" s="23">
        <f>41.58*10.764</f>
        <v>447.56711999999993</v>
      </c>
      <c r="E110" s="23">
        <v>0</v>
      </c>
      <c r="F110" s="23">
        <f t="shared" si="1"/>
        <v>716.10739199999989</v>
      </c>
      <c r="G110" s="88"/>
      <c r="H110" s="89"/>
      <c r="I110" s="54"/>
    </row>
    <row r="111" spans="1:10" s="2" customFormat="1" x14ac:dyDescent="0.25">
      <c r="A111" s="83">
        <v>8</v>
      </c>
      <c r="B111" s="83"/>
      <c r="C111" s="23" t="s">
        <v>180</v>
      </c>
      <c r="D111" s="23">
        <f>65.56*10.764</f>
        <v>705.68783999999994</v>
      </c>
      <c r="E111" s="23">
        <v>0</v>
      </c>
      <c r="F111" s="23">
        <f t="shared" si="1"/>
        <v>1129.1005439999999</v>
      </c>
      <c r="G111" s="90"/>
      <c r="H111" s="91"/>
      <c r="I111" s="54">
        <f t="shared" si="3"/>
        <v>13727.741149684542</v>
      </c>
    </row>
    <row r="112" spans="1:10" s="2" customFormat="1" x14ac:dyDescent="0.25">
      <c r="A112" s="92" t="s">
        <v>199</v>
      </c>
      <c r="B112" s="92"/>
      <c r="C112" s="92"/>
      <c r="D112" s="92"/>
      <c r="E112" s="92"/>
      <c r="F112" s="92"/>
      <c r="G112" s="92"/>
      <c r="H112" s="92"/>
      <c r="I112" s="54"/>
    </row>
    <row r="113" spans="1:9" s="2" customFormat="1" x14ac:dyDescent="0.25">
      <c r="A113" s="83">
        <v>1</v>
      </c>
      <c r="B113" s="83"/>
      <c r="C113" s="23" t="s">
        <v>180</v>
      </c>
      <c r="D113" s="23">
        <f>58.14*10.764</f>
        <v>625.81895999999995</v>
      </c>
      <c r="E113" s="23">
        <v>0</v>
      </c>
      <c r="F113" s="23">
        <f t="shared" si="1"/>
        <v>1001.310336</v>
      </c>
      <c r="G113" s="86" t="str">
        <f>A112</f>
        <v>6th, 13th Floor For Residential</v>
      </c>
      <c r="H113" s="87"/>
      <c r="I113" s="54">
        <f t="shared" ref="I113" si="4">15500000/F113</f>
        <v>15479.716370370115</v>
      </c>
    </row>
    <row r="114" spans="1:9" s="2" customFormat="1" x14ac:dyDescent="0.25">
      <c r="A114" s="83">
        <v>2</v>
      </c>
      <c r="B114" s="83"/>
      <c r="C114" s="23" t="s">
        <v>181</v>
      </c>
      <c r="D114" s="23">
        <f>41.58*10.764</f>
        <v>447.56711999999993</v>
      </c>
      <c r="E114" s="23">
        <v>0</v>
      </c>
      <c r="F114" s="23">
        <f t="shared" si="1"/>
        <v>716.10739199999989</v>
      </c>
      <c r="G114" s="88"/>
      <c r="H114" s="89"/>
      <c r="I114" s="54">
        <f>10100000/F114</f>
        <v>14104.029804512898</v>
      </c>
    </row>
    <row r="115" spans="1:9" s="2" customFormat="1" x14ac:dyDescent="0.25">
      <c r="A115" s="83">
        <v>3</v>
      </c>
      <c r="B115" s="83"/>
      <c r="C115" s="23" t="s">
        <v>180</v>
      </c>
      <c r="D115" s="23">
        <f>64.85*10.764</f>
        <v>698.04539999999986</v>
      </c>
      <c r="E115" s="23">
        <v>0</v>
      </c>
      <c r="F115" s="23">
        <f t="shared" si="1"/>
        <v>1116.8726399999998</v>
      </c>
      <c r="G115" s="88"/>
      <c r="H115" s="89"/>
      <c r="I115" s="54">
        <f>15500000/F115</f>
        <v>13878.037159187643</v>
      </c>
    </row>
    <row r="116" spans="1:9" s="2" customFormat="1" x14ac:dyDescent="0.25">
      <c r="A116" s="83">
        <v>4</v>
      </c>
      <c r="B116" s="83"/>
      <c r="C116" s="23" t="s">
        <v>180</v>
      </c>
      <c r="D116" s="23">
        <f t="shared" ref="D116:D117" si="5">58.14*10.764</f>
        <v>625.81895999999995</v>
      </c>
      <c r="E116" s="23">
        <v>0</v>
      </c>
      <c r="F116" s="23">
        <f t="shared" si="1"/>
        <v>1001.310336</v>
      </c>
      <c r="G116" s="88"/>
      <c r="H116" s="89"/>
      <c r="I116" s="54">
        <f t="shared" ref="I116:I118" si="6">15500000/F116</f>
        <v>15479.716370370115</v>
      </c>
    </row>
    <row r="117" spans="1:9" s="2" customFormat="1" x14ac:dyDescent="0.25">
      <c r="A117" s="83">
        <v>5</v>
      </c>
      <c r="B117" s="83"/>
      <c r="C117" s="23" t="s">
        <v>180</v>
      </c>
      <c r="D117" s="23">
        <f t="shared" si="5"/>
        <v>625.81895999999995</v>
      </c>
      <c r="E117" s="23">
        <v>0</v>
      </c>
      <c r="F117" s="23">
        <f t="shared" si="1"/>
        <v>1001.310336</v>
      </c>
      <c r="G117" s="88"/>
      <c r="H117" s="89"/>
      <c r="I117" s="54">
        <f t="shared" si="6"/>
        <v>15479.716370370115</v>
      </c>
    </row>
    <row r="118" spans="1:9" s="2" customFormat="1" x14ac:dyDescent="0.25">
      <c r="A118" s="83">
        <v>6</v>
      </c>
      <c r="B118" s="83"/>
      <c r="C118" s="23" t="s">
        <v>180</v>
      </c>
      <c r="D118" s="23">
        <f>64.85*10.764</f>
        <v>698.04539999999986</v>
      </c>
      <c r="E118" s="23">
        <v>0</v>
      </c>
      <c r="F118" s="23">
        <f t="shared" si="1"/>
        <v>1116.8726399999998</v>
      </c>
      <c r="G118" s="88"/>
      <c r="H118" s="89"/>
      <c r="I118" s="54">
        <f t="shared" si="6"/>
        <v>13878.037159187643</v>
      </c>
    </row>
    <row r="119" spans="1:9" s="2" customFormat="1" x14ac:dyDescent="0.25">
      <c r="A119" s="83">
        <v>7</v>
      </c>
      <c r="B119" s="83"/>
      <c r="C119" s="86" t="s">
        <v>200</v>
      </c>
      <c r="D119" s="101"/>
      <c r="E119" s="101"/>
      <c r="F119" s="87"/>
      <c r="G119" s="88"/>
      <c r="H119" s="89"/>
    </row>
    <row r="120" spans="1:9" s="2" customFormat="1" x14ac:dyDescent="0.25">
      <c r="A120" s="83">
        <v>8</v>
      </c>
      <c r="B120" s="83"/>
      <c r="C120" s="90"/>
      <c r="D120" s="102"/>
      <c r="E120" s="102"/>
      <c r="F120" s="91"/>
      <c r="G120" s="90"/>
      <c r="H120" s="91"/>
    </row>
    <row r="121" spans="1:9" s="1" customFormat="1" x14ac:dyDescent="0.25">
      <c r="A121" s="79" t="s">
        <v>80</v>
      </c>
      <c r="B121" s="79"/>
      <c r="C121" s="79"/>
      <c r="D121" s="79"/>
      <c r="E121" s="79"/>
      <c r="F121" s="79"/>
      <c r="G121" s="79"/>
      <c r="H121" s="79"/>
    </row>
    <row r="122" spans="1:9" s="10" customFormat="1" ht="193.5" customHeight="1" x14ac:dyDescent="0.25">
      <c r="A122" s="80" t="s">
        <v>237</v>
      </c>
      <c r="B122" s="80"/>
      <c r="C122" s="80"/>
      <c r="D122" s="80"/>
      <c r="E122" s="80"/>
      <c r="F122" s="80"/>
      <c r="G122" s="80"/>
      <c r="H122" s="80"/>
    </row>
    <row r="123" spans="1:9" x14ac:dyDescent="0.25">
      <c r="A123" s="81" t="s">
        <v>71</v>
      </c>
      <c r="B123" s="81"/>
      <c r="C123" s="81"/>
      <c r="D123" s="81"/>
      <c r="E123" s="81"/>
      <c r="F123" s="81"/>
      <c r="G123" s="81"/>
      <c r="H123" s="81"/>
    </row>
    <row r="124" spans="1:9" x14ac:dyDescent="0.25">
      <c r="A124" s="77" t="s">
        <v>72</v>
      </c>
      <c r="B124" s="77"/>
      <c r="C124" s="77"/>
      <c r="D124" s="77"/>
      <c r="E124" s="77"/>
      <c r="F124" s="77"/>
      <c r="G124" s="77"/>
      <c r="H124" s="77"/>
    </row>
    <row r="125" spans="1:9" ht="15.75" customHeight="1" x14ac:dyDescent="0.25">
      <c r="A125" s="81" t="s">
        <v>73</v>
      </c>
      <c r="B125" s="81"/>
      <c r="C125" s="81"/>
      <c r="D125" s="81"/>
      <c r="E125" s="81"/>
      <c r="F125" s="81"/>
      <c r="G125" s="81"/>
      <c r="H125" s="81"/>
    </row>
    <row r="126" spans="1:9" x14ac:dyDescent="0.25">
      <c r="A126" s="77" t="s">
        <v>74</v>
      </c>
      <c r="B126" s="77"/>
      <c r="C126" s="77"/>
      <c r="D126" s="77"/>
      <c r="E126" s="77"/>
      <c r="F126" s="77"/>
      <c r="G126" s="77"/>
      <c r="H126" s="77"/>
    </row>
    <row r="127" spans="1:9" x14ac:dyDescent="0.25">
      <c r="A127" s="77" t="s">
        <v>75</v>
      </c>
      <c r="B127" s="77"/>
      <c r="C127" s="77"/>
      <c r="D127" s="77"/>
      <c r="E127" s="77"/>
      <c r="F127" s="77"/>
      <c r="G127" s="77"/>
      <c r="H127" s="77"/>
    </row>
    <row r="128" spans="1:9" x14ac:dyDescent="0.25">
      <c r="A128" s="77" t="s">
        <v>76</v>
      </c>
      <c r="B128" s="77"/>
      <c r="C128" s="77"/>
      <c r="D128" s="77"/>
      <c r="E128" s="77"/>
      <c r="F128" s="77"/>
      <c r="G128" s="77"/>
      <c r="H128" s="77"/>
    </row>
    <row r="129" spans="1:8" ht="35.25" customHeight="1" x14ac:dyDescent="0.25">
      <c r="A129" s="78" t="s">
        <v>77</v>
      </c>
      <c r="B129" s="78"/>
      <c r="C129" s="78"/>
      <c r="D129" s="78"/>
      <c r="E129" s="78"/>
      <c r="F129" s="78"/>
      <c r="G129" s="78"/>
      <c r="H129" s="78"/>
    </row>
    <row r="130" spans="1:8" x14ac:dyDescent="0.25">
      <c r="A130" s="125" t="s">
        <v>114</v>
      </c>
      <c r="B130" s="125"/>
      <c r="C130" s="125" t="s">
        <v>242</v>
      </c>
      <c r="D130" s="125"/>
      <c r="E130" s="125" t="s">
        <v>150</v>
      </c>
      <c r="F130" s="125"/>
      <c r="G130" s="125" t="s">
        <v>238</v>
      </c>
      <c r="H130" s="125"/>
    </row>
    <row r="131" spans="1:8" x14ac:dyDescent="0.25">
      <c r="A131" s="124" t="s">
        <v>116</v>
      </c>
      <c r="B131" s="124"/>
      <c r="C131" s="124"/>
      <c r="D131" s="124"/>
      <c r="E131" s="124"/>
      <c r="F131" s="124"/>
      <c r="G131" s="124"/>
      <c r="H131" s="124"/>
    </row>
    <row r="132" spans="1:8" x14ac:dyDescent="0.25">
      <c r="A132" s="124"/>
      <c r="B132" s="124"/>
      <c r="C132" s="124"/>
      <c r="D132" s="124"/>
      <c r="E132" s="124"/>
      <c r="F132" s="124"/>
      <c r="G132" s="124"/>
      <c r="H132" s="124"/>
    </row>
    <row r="133" spans="1:8" x14ac:dyDescent="0.25">
      <c r="A133" s="124"/>
      <c r="B133" s="124"/>
      <c r="C133" s="124"/>
      <c r="D133" s="124"/>
      <c r="E133" s="124"/>
      <c r="F133" s="124"/>
      <c r="G133" s="124"/>
      <c r="H133" s="124"/>
    </row>
    <row r="134" spans="1:8" x14ac:dyDescent="0.25">
      <c r="A134" s="124"/>
      <c r="B134" s="124"/>
      <c r="C134" s="124"/>
      <c r="D134" s="124"/>
      <c r="E134" s="124"/>
      <c r="F134" s="124"/>
      <c r="G134" s="124"/>
      <c r="H134" s="124"/>
    </row>
    <row r="135" spans="1:8" x14ac:dyDescent="0.25">
      <c r="A135" s="18" t="s">
        <v>78</v>
      </c>
      <c r="B135" s="19"/>
      <c r="C135" s="19"/>
      <c r="D135" s="18" t="str">
        <f>E8</f>
        <v>Kalpataru Elegante</v>
      </c>
      <c r="F135" s="19"/>
      <c r="G135" s="19"/>
      <c r="H135" s="19"/>
    </row>
    <row r="136" spans="1:8" x14ac:dyDescent="0.25">
      <c r="A136" s="19"/>
      <c r="B136" s="19"/>
      <c r="C136" s="19"/>
      <c r="D136" s="19"/>
      <c r="E136" s="19"/>
      <c r="F136" s="19"/>
      <c r="G136" s="19"/>
      <c r="H136" s="19"/>
    </row>
    <row r="137" spans="1:8" x14ac:dyDescent="0.25">
      <c r="A137" s="19"/>
      <c r="B137" s="19"/>
      <c r="C137" s="19"/>
      <c r="D137" s="19"/>
      <c r="E137" s="19"/>
      <c r="F137" s="19"/>
      <c r="G137" s="19"/>
      <c r="H137" s="19"/>
    </row>
    <row r="138" spans="1:8" ht="15" customHeight="1" x14ac:dyDescent="0.25"/>
    <row r="173" spans="1:1" x14ac:dyDescent="0.25">
      <c r="A173" s="21" t="s">
        <v>79</v>
      </c>
    </row>
  </sheetData>
  <mergeCells count="228">
    <mergeCell ref="F86:H86"/>
    <mergeCell ref="A89:H89"/>
    <mergeCell ref="A74:H74"/>
    <mergeCell ref="A77:H77"/>
    <mergeCell ref="A78:E78"/>
    <mergeCell ref="F78:H78"/>
    <mergeCell ref="A75:H75"/>
    <mergeCell ref="A76:B76"/>
    <mergeCell ref="C76:H76"/>
    <mergeCell ref="A84:E84"/>
    <mergeCell ref="F84:H84"/>
    <mergeCell ref="A85:E85"/>
    <mergeCell ref="F85:H85"/>
    <mergeCell ref="A81:E81"/>
    <mergeCell ref="F81:H81"/>
    <mergeCell ref="F80:H80"/>
    <mergeCell ref="A79:E79"/>
    <mergeCell ref="F79:H79"/>
    <mergeCell ref="A80:E80"/>
    <mergeCell ref="A82:E82"/>
    <mergeCell ref="F83:H83"/>
    <mergeCell ref="A86:E86"/>
    <mergeCell ref="A44:H44"/>
    <mergeCell ref="G45:H45"/>
    <mergeCell ref="A51:H51"/>
    <mergeCell ref="A52:C52"/>
    <mergeCell ref="A35:B35"/>
    <mergeCell ref="A36:B36"/>
    <mergeCell ref="D59:H59"/>
    <mergeCell ref="G46:H46"/>
    <mergeCell ref="A56:C56"/>
    <mergeCell ref="D56:H56"/>
    <mergeCell ref="C45:E45"/>
    <mergeCell ref="C48:E48"/>
    <mergeCell ref="G48:H48"/>
    <mergeCell ref="C47:H47"/>
    <mergeCell ref="A57:C57"/>
    <mergeCell ref="D57:H57"/>
    <mergeCell ref="A59:C59"/>
    <mergeCell ref="A53:C53"/>
    <mergeCell ref="D53:H53"/>
    <mergeCell ref="D52:H52"/>
    <mergeCell ref="A47:B49"/>
    <mergeCell ref="C49:E49"/>
    <mergeCell ref="G49:H49"/>
    <mergeCell ref="A46:B46"/>
    <mergeCell ref="C30:E30"/>
    <mergeCell ref="A31:B31"/>
    <mergeCell ref="C31:E31"/>
    <mergeCell ref="A32:B32"/>
    <mergeCell ref="C32:E32"/>
    <mergeCell ref="C33:E33"/>
    <mergeCell ref="E41:H41"/>
    <mergeCell ref="E42:H42"/>
    <mergeCell ref="E43:H43"/>
    <mergeCell ref="A41:D41"/>
    <mergeCell ref="A42:D42"/>
    <mergeCell ref="A43:D43"/>
    <mergeCell ref="A40:D40"/>
    <mergeCell ref="E40:H40"/>
    <mergeCell ref="C36:H36"/>
    <mergeCell ref="C35:H35"/>
    <mergeCell ref="A131:H134"/>
    <mergeCell ref="A130:B130"/>
    <mergeCell ref="E130:F130"/>
    <mergeCell ref="C130:D130"/>
    <mergeCell ref="G130:H130"/>
    <mergeCell ref="A87:E87"/>
    <mergeCell ref="F87:H87"/>
    <mergeCell ref="A88:E88"/>
    <mergeCell ref="F88:H88"/>
    <mergeCell ref="D91:E91"/>
    <mergeCell ref="F91:H91"/>
    <mergeCell ref="A94:B94"/>
    <mergeCell ref="A95:H95"/>
    <mergeCell ref="A91:B91"/>
    <mergeCell ref="A92:H92"/>
    <mergeCell ref="A90:B90"/>
    <mergeCell ref="D90:E90"/>
    <mergeCell ref="A96:H96"/>
    <mergeCell ref="A97:H97"/>
    <mergeCell ref="A98:H98"/>
    <mergeCell ref="A102:H102"/>
    <mergeCell ref="F90:H90"/>
    <mergeCell ref="A101:H101"/>
    <mergeCell ref="A99:H99"/>
    <mergeCell ref="A100:H100"/>
    <mergeCell ref="A103:H103"/>
    <mergeCell ref="A17:B17"/>
    <mergeCell ref="C17:D17"/>
    <mergeCell ref="E17:F17"/>
    <mergeCell ref="G17:H17"/>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6:B16"/>
    <mergeCell ref="C16:D16"/>
    <mergeCell ref="E16:F16"/>
    <mergeCell ref="G16:H16"/>
    <mergeCell ref="A29:B29"/>
    <mergeCell ref="A1:H1"/>
    <mergeCell ref="A2:H2"/>
    <mergeCell ref="A3:D3"/>
    <mergeCell ref="E3:H3"/>
    <mergeCell ref="A4:D4"/>
    <mergeCell ref="A8:D8"/>
    <mergeCell ref="E8:H8"/>
    <mergeCell ref="A10:D10"/>
    <mergeCell ref="E10:H10"/>
    <mergeCell ref="E4:H4"/>
    <mergeCell ref="A9:D9"/>
    <mergeCell ref="E9:H9"/>
    <mergeCell ref="A60:B60"/>
    <mergeCell ref="C60:H60"/>
    <mergeCell ref="E24:H24"/>
    <mergeCell ref="E23:H23"/>
    <mergeCell ref="A25:D25"/>
    <mergeCell ref="E25:H25"/>
    <mergeCell ref="A22:D22"/>
    <mergeCell ref="E22:H22"/>
    <mergeCell ref="A18:B18"/>
    <mergeCell ref="C18:D18"/>
    <mergeCell ref="E18:F18"/>
    <mergeCell ref="G18:H18"/>
    <mergeCell ref="A19:B19"/>
    <mergeCell ref="C19:D19"/>
    <mergeCell ref="E19:F19"/>
    <mergeCell ref="G19:H19"/>
    <mergeCell ref="A20:D20"/>
    <mergeCell ref="E20:H20"/>
    <mergeCell ref="A21:D21"/>
    <mergeCell ref="E21:H21"/>
    <mergeCell ref="A30:B30"/>
    <mergeCell ref="A23:D23"/>
    <mergeCell ref="A24:D24"/>
    <mergeCell ref="D55:H55"/>
    <mergeCell ref="C46:E46"/>
    <mergeCell ref="A45:B45"/>
    <mergeCell ref="G50:H50"/>
    <mergeCell ref="A50:B50"/>
    <mergeCell ref="C50:E50"/>
    <mergeCell ref="A55:C55"/>
    <mergeCell ref="D54:H54"/>
    <mergeCell ref="A54:C54"/>
    <mergeCell ref="A125:H125"/>
    <mergeCell ref="A113:B113"/>
    <mergeCell ref="G113:H120"/>
    <mergeCell ref="A114:B114"/>
    <mergeCell ref="A115:B115"/>
    <mergeCell ref="A116:B116"/>
    <mergeCell ref="A117:B117"/>
    <mergeCell ref="A118:B118"/>
    <mergeCell ref="A119:B119"/>
    <mergeCell ref="A120:B120"/>
    <mergeCell ref="C119:F120"/>
    <mergeCell ref="A62:B62"/>
    <mergeCell ref="C62:H62"/>
    <mergeCell ref="A63:B63"/>
    <mergeCell ref="E63:F63"/>
    <mergeCell ref="G63:H63"/>
    <mergeCell ref="A126:H126"/>
    <mergeCell ref="A127:H127"/>
    <mergeCell ref="A128:H128"/>
    <mergeCell ref="A129:H129"/>
    <mergeCell ref="A58:C58"/>
    <mergeCell ref="D58:H58"/>
    <mergeCell ref="A121:H121"/>
    <mergeCell ref="A122:H122"/>
    <mergeCell ref="A123:H123"/>
    <mergeCell ref="A124:H124"/>
    <mergeCell ref="A93:H93"/>
    <mergeCell ref="A104:B104"/>
    <mergeCell ref="A105:B105"/>
    <mergeCell ref="A106:B106"/>
    <mergeCell ref="A107:B107"/>
    <mergeCell ref="A108:B108"/>
    <mergeCell ref="A109:B109"/>
    <mergeCell ref="A110:B110"/>
    <mergeCell ref="A111:B111"/>
    <mergeCell ref="G94:H94"/>
    <mergeCell ref="F82:H82"/>
    <mergeCell ref="A83:E83"/>
    <mergeCell ref="G104:H111"/>
    <mergeCell ref="A112:H112"/>
    <mergeCell ref="A64:B64"/>
    <mergeCell ref="E64:F73"/>
    <mergeCell ref="G64:H73"/>
    <mergeCell ref="A65:B65"/>
    <mergeCell ref="A66:B66"/>
    <mergeCell ref="A67:B67"/>
    <mergeCell ref="A68:B68"/>
    <mergeCell ref="A69:B69"/>
    <mergeCell ref="A70:B70"/>
    <mergeCell ref="A71:B71"/>
    <mergeCell ref="A72:B72"/>
    <mergeCell ref="A73:B73"/>
  </mergeCells>
  <hyperlinks>
    <hyperlink ref="C36"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3" manualBreakCount="3">
    <brk id="59" max="7" man="1"/>
    <brk id="134" max="16383" man="1"/>
    <brk id="17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9" workbookViewId="0">
      <selection activeCell="D32" sqref="D32"/>
    </sheetView>
  </sheetViews>
  <sheetFormatPr defaultRowHeight="15" x14ac:dyDescent="0.25"/>
  <cols>
    <col min="2" max="2" width="12.28515625" customWidth="1"/>
  </cols>
  <sheetData>
    <row r="2" spans="1:12" x14ac:dyDescent="0.25">
      <c r="B2" s="3" t="s">
        <v>81</v>
      </c>
      <c r="C2" s="147"/>
      <c r="D2" s="147"/>
    </row>
    <row r="3" spans="1:12" x14ac:dyDescent="0.25">
      <c r="D3" s="4"/>
      <c r="E3" s="4"/>
      <c r="F3" s="4"/>
      <c r="G3" s="4"/>
      <c r="H3" s="4"/>
      <c r="I3" s="4"/>
    </row>
    <row r="4" spans="1:12" x14ac:dyDescent="0.25">
      <c r="A4" s="3" t="s">
        <v>82</v>
      </c>
      <c r="B4" s="5" t="s">
        <v>83</v>
      </c>
      <c r="C4" s="148" t="s">
        <v>84</v>
      </c>
      <c r="D4" s="148"/>
      <c r="E4" s="148"/>
      <c r="F4" s="6"/>
      <c r="G4" s="148" t="s">
        <v>85</v>
      </c>
      <c r="H4" s="148"/>
      <c r="I4" s="148"/>
      <c r="J4" s="148" t="s">
        <v>86</v>
      </c>
      <c r="K4" s="148"/>
      <c r="L4" s="148"/>
    </row>
    <row r="5" spans="1:12" x14ac:dyDescent="0.25">
      <c r="A5" s="3">
        <v>202</v>
      </c>
      <c r="B5" s="5"/>
      <c r="C5" s="5" t="s">
        <v>87</v>
      </c>
      <c r="D5" s="5" t="s">
        <v>88</v>
      </c>
      <c r="E5" s="5" t="s">
        <v>62</v>
      </c>
      <c r="F5" s="5"/>
      <c r="G5" s="5" t="s">
        <v>87</v>
      </c>
      <c r="H5" s="5" t="s">
        <v>88</v>
      </c>
      <c r="I5" s="5" t="s">
        <v>62</v>
      </c>
      <c r="J5" s="5" t="s">
        <v>87</v>
      </c>
      <c r="K5" s="5" t="s">
        <v>88</v>
      </c>
      <c r="L5" s="5" t="s">
        <v>62</v>
      </c>
    </row>
    <row r="6" spans="1:12" x14ac:dyDescent="0.25">
      <c r="B6" s="7" t="s">
        <v>89</v>
      </c>
      <c r="C6" s="7">
        <v>3.05</v>
      </c>
      <c r="D6" s="7">
        <v>5.2</v>
      </c>
      <c r="E6" s="7">
        <f>C6*D6</f>
        <v>15.86</v>
      </c>
      <c r="F6" s="7" t="s">
        <v>90</v>
      </c>
      <c r="G6" s="7"/>
      <c r="H6" s="7"/>
      <c r="I6" s="7">
        <f>G6*H6</f>
        <v>0</v>
      </c>
      <c r="J6" s="7"/>
      <c r="K6" s="7"/>
      <c r="L6" s="7">
        <f>J6*K6</f>
        <v>0</v>
      </c>
    </row>
    <row r="7" spans="1:12" x14ac:dyDescent="0.25">
      <c r="B7" s="7"/>
      <c r="C7" s="7"/>
      <c r="D7" s="7"/>
      <c r="E7" s="7">
        <f t="shared" ref="E7:E33" si="0">C7*D7</f>
        <v>0</v>
      </c>
      <c r="F7" s="7" t="s">
        <v>91</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92</v>
      </c>
      <c r="C9" s="7">
        <v>2.2999999999999998</v>
      </c>
      <c r="D9" s="7">
        <v>2.5049999999999999</v>
      </c>
      <c r="E9" s="7">
        <f t="shared" si="0"/>
        <v>5.761499999999999</v>
      </c>
      <c r="F9" s="7" t="s">
        <v>90</v>
      </c>
      <c r="G9" s="7"/>
      <c r="H9" s="7"/>
      <c r="I9" s="7">
        <f t="shared" si="1"/>
        <v>0</v>
      </c>
      <c r="J9" s="7"/>
      <c r="K9" s="7"/>
      <c r="L9" s="7">
        <f t="shared" si="2"/>
        <v>0</v>
      </c>
    </row>
    <row r="10" spans="1:12" x14ac:dyDescent="0.25">
      <c r="B10" s="7"/>
      <c r="C10" s="7"/>
      <c r="D10" s="7"/>
      <c r="E10" s="7">
        <f t="shared" si="0"/>
        <v>0</v>
      </c>
      <c r="F10" s="7" t="s">
        <v>91</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93</v>
      </c>
      <c r="C13" s="7">
        <v>3.05</v>
      </c>
      <c r="D13" s="7">
        <v>3.3</v>
      </c>
      <c r="E13" s="7">
        <f t="shared" si="0"/>
        <v>10.065</v>
      </c>
      <c r="F13" s="7" t="s">
        <v>90</v>
      </c>
      <c r="G13" s="7"/>
      <c r="H13" s="7"/>
      <c r="I13" s="7">
        <f t="shared" si="1"/>
        <v>0</v>
      </c>
      <c r="J13" s="7"/>
      <c r="K13" s="7"/>
      <c r="L13" s="7">
        <f t="shared" si="2"/>
        <v>0</v>
      </c>
    </row>
    <row r="14" spans="1:12" x14ac:dyDescent="0.25">
      <c r="B14" s="7"/>
      <c r="C14" s="7"/>
      <c r="D14" s="7"/>
      <c r="E14" s="7">
        <f t="shared" si="0"/>
        <v>0</v>
      </c>
      <c r="F14" s="7" t="s">
        <v>91</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94</v>
      </c>
      <c r="C17" s="7">
        <v>4.25</v>
      </c>
      <c r="D17" s="7">
        <v>3.05</v>
      </c>
      <c r="E17" s="7">
        <f t="shared" si="0"/>
        <v>12.962499999999999</v>
      </c>
      <c r="F17" s="7" t="s">
        <v>90</v>
      </c>
      <c r="G17" s="7"/>
      <c r="H17" s="7"/>
      <c r="I17" s="7">
        <f t="shared" si="1"/>
        <v>0</v>
      </c>
      <c r="J17" s="7"/>
      <c r="K17" s="7"/>
      <c r="L17" s="7">
        <f t="shared" si="2"/>
        <v>0</v>
      </c>
    </row>
    <row r="18" spans="2:12" x14ac:dyDescent="0.25">
      <c r="B18" s="7"/>
      <c r="C18" s="7"/>
      <c r="D18" s="7"/>
      <c r="E18" s="7">
        <f t="shared" si="0"/>
        <v>0</v>
      </c>
      <c r="F18" s="7" t="s">
        <v>91</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94</v>
      </c>
      <c r="C20" s="7"/>
      <c r="D20" s="7"/>
      <c r="E20" s="7">
        <f t="shared" si="0"/>
        <v>0</v>
      </c>
      <c r="F20" s="7" t="s">
        <v>90</v>
      </c>
      <c r="G20" s="7"/>
      <c r="H20" s="7"/>
      <c r="I20" s="7">
        <f t="shared" si="1"/>
        <v>0</v>
      </c>
      <c r="J20" s="7"/>
      <c r="K20" s="7"/>
      <c r="L20" s="7">
        <f t="shared" si="2"/>
        <v>0</v>
      </c>
    </row>
    <row r="21" spans="2:12" x14ac:dyDescent="0.25">
      <c r="B21" s="7"/>
      <c r="C21" s="7"/>
      <c r="D21" s="7"/>
      <c r="E21" s="7">
        <f t="shared" si="0"/>
        <v>0</v>
      </c>
      <c r="F21" s="7" t="s">
        <v>91</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95</v>
      </c>
      <c r="C23" s="7">
        <v>1.3</v>
      </c>
      <c r="D23" s="7">
        <v>2.2999999999999998</v>
      </c>
      <c r="E23" s="7">
        <f t="shared" si="0"/>
        <v>2.9899999999999998</v>
      </c>
      <c r="F23" s="7" t="s">
        <v>96</v>
      </c>
      <c r="G23" s="7"/>
      <c r="H23" s="7"/>
      <c r="I23" s="7">
        <f t="shared" si="1"/>
        <v>0</v>
      </c>
      <c r="J23" s="7"/>
      <c r="K23" s="7"/>
      <c r="L23" s="7">
        <f t="shared" si="2"/>
        <v>0</v>
      </c>
    </row>
    <row r="24" spans="2:12" x14ac:dyDescent="0.25">
      <c r="B24" s="7" t="s">
        <v>97</v>
      </c>
      <c r="C24" s="7">
        <v>2.2999999999999998</v>
      </c>
      <c r="D24" s="7">
        <v>1.37</v>
      </c>
      <c r="E24" s="7">
        <f t="shared" si="0"/>
        <v>3.1509999999999998</v>
      </c>
      <c r="F24" s="7" t="s">
        <v>96</v>
      </c>
      <c r="G24" s="7"/>
      <c r="H24" s="7"/>
      <c r="I24" s="7">
        <f t="shared" si="1"/>
        <v>0</v>
      </c>
      <c r="J24" s="7"/>
      <c r="K24" s="7"/>
      <c r="L24" s="7">
        <f t="shared" si="2"/>
        <v>0</v>
      </c>
    </row>
    <row r="25" spans="2:12" x14ac:dyDescent="0.25">
      <c r="B25" s="7" t="s">
        <v>98</v>
      </c>
      <c r="C25" s="7"/>
      <c r="D25" s="7"/>
      <c r="E25" s="7">
        <f t="shared" si="0"/>
        <v>0</v>
      </c>
      <c r="F25" s="7" t="s">
        <v>96</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99</v>
      </c>
      <c r="C27" s="7">
        <v>2.4500000000000002</v>
      </c>
      <c r="D27" s="7">
        <v>1</v>
      </c>
      <c r="E27" s="7">
        <f t="shared" si="0"/>
        <v>2.4500000000000002</v>
      </c>
      <c r="F27" s="7"/>
      <c r="G27" s="7"/>
      <c r="H27" s="7"/>
      <c r="I27" s="7">
        <f t="shared" si="1"/>
        <v>0</v>
      </c>
      <c r="J27" s="7"/>
      <c r="K27" s="7"/>
      <c r="L27" s="7">
        <f t="shared" si="2"/>
        <v>0</v>
      </c>
    </row>
    <row r="28" spans="2:12" x14ac:dyDescent="0.25">
      <c r="B28" s="7" t="s">
        <v>100</v>
      </c>
      <c r="C28" s="7">
        <v>1.6</v>
      </c>
      <c r="D28" s="7">
        <v>0.83</v>
      </c>
      <c r="E28" s="7">
        <f t="shared" si="0"/>
        <v>1.3280000000000001</v>
      </c>
      <c r="F28" s="7"/>
      <c r="G28" s="7"/>
      <c r="H28" s="7"/>
      <c r="I28" s="7">
        <f t="shared" si="1"/>
        <v>0</v>
      </c>
      <c r="J28" s="7"/>
      <c r="K28" s="7"/>
      <c r="L28" s="7">
        <f t="shared" si="2"/>
        <v>0</v>
      </c>
    </row>
    <row r="29" spans="2:12" x14ac:dyDescent="0.25">
      <c r="B29" s="7" t="s">
        <v>101</v>
      </c>
      <c r="C29" s="7"/>
      <c r="D29" s="7"/>
      <c r="E29" s="7">
        <f t="shared" si="0"/>
        <v>0</v>
      </c>
      <c r="F29" s="7"/>
      <c r="G29" s="7"/>
      <c r="H29" s="7"/>
      <c r="I29" s="7">
        <f t="shared" si="1"/>
        <v>0</v>
      </c>
      <c r="J29" s="7"/>
      <c r="K29" s="7"/>
      <c r="L29" s="7">
        <f t="shared" si="2"/>
        <v>0</v>
      </c>
    </row>
    <row r="30" spans="2:12" x14ac:dyDescent="0.25">
      <c r="B30" s="7" t="s">
        <v>102</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63</v>
      </c>
      <c r="C34" s="7"/>
      <c r="D34" s="7">
        <f>E34*10.764</f>
        <v>587.3699519999999</v>
      </c>
      <c r="E34" s="7">
        <f>SUM(E6:E33)</f>
        <v>54.567999999999998</v>
      </c>
      <c r="F34" s="7"/>
      <c r="G34" s="7"/>
      <c r="H34" s="7">
        <f>I34*10.764</f>
        <v>0</v>
      </c>
      <c r="I34" s="7">
        <f>SUM(I6:I33)</f>
        <v>0</v>
      </c>
      <c r="J34" s="7"/>
      <c r="K34" s="7">
        <f>L34*10.764</f>
        <v>0</v>
      </c>
      <c r="L34" s="7">
        <f>SUM(L6:L33)</f>
        <v>0</v>
      </c>
    </row>
    <row r="36" spans="2:12" x14ac:dyDescent="0.25">
      <c r="D36">
        <f>D34+H34</f>
        <v>587.3699519999999</v>
      </c>
      <c r="E36">
        <f>E34+I34</f>
        <v>54.567999999999998</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C26" sqref="C26"/>
    </sheetView>
  </sheetViews>
  <sheetFormatPr defaultRowHeight="15" x14ac:dyDescent="0.25"/>
  <cols>
    <col min="1" max="1" width="10.28515625" bestFit="1" customWidth="1"/>
  </cols>
  <sheetData>
    <row r="2" spans="1:2" x14ac:dyDescent="0.25">
      <c r="A2" s="42">
        <v>44177</v>
      </c>
      <c r="B2" s="32" t="s">
        <v>160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85" zoomScaleNormal="85" workbookViewId="0">
      <selection activeCell="E7" sqref="E7:E8"/>
    </sheetView>
  </sheetViews>
  <sheetFormatPr defaultColWidth="8.7109375" defaultRowHeight="15" x14ac:dyDescent="0.25"/>
  <cols>
    <col min="1" max="1" width="10.5703125" style="32" bestFit="1" customWidth="1"/>
    <col min="2" max="2" width="22.140625" style="32" customWidth="1"/>
    <col min="3" max="3" width="37" style="32" customWidth="1"/>
    <col min="4" max="5" width="11.42578125" style="32" customWidth="1"/>
    <col min="6" max="6" width="14" style="32" customWidth="1"/>
    <col min="7" max="7" width="20" style="32" customWidth="1"/>
    <col min="8" max="8" width="16.42578125" style="32" customWidth="1"/>
    <col min="9" max="16384" width="8.7109375" style="32"/>
  </cols>
  <sheetData>
    <row r="1" spans="1:9" ht="15" customHeight="1" x14ac:dyDescent="0.25">
      <c r="A1" s="42">
        <v>44177</v>
      </c>
      <c r="B1" s="32" t="s">
        <v>160</v>
      </c>
    </row>
    <row r="2" spans="1:9" ht="15" customHeight="1" x14ac:dyDescent="0.25">
      <c r="A2" s="33"/>
      <c r="B2" s="33"/>
      <c r="C2" s="33"/>
      <c r="D2" s="33"/>
      <c r="E2" s="33"/>
      <c r="F2" s="33"/>
      <c r="G2" s="33"/>
      <c r="H2" s="33"/>
    </row>
    <row r="3" spans="1:9" ht="15.75" customHeight="1" x14ac:dyDescent="0.25">
      <c r="A3" s="33"/>
      <c r="B3" s="149" t="s">
        <v>151</v>
      </c>
      <c r="C3" s="149"/>
      <c r="D3" s="149"/>
      <c r="E3" s="149"/>
      <c r="F3" s="149"/>
      <c r="G3" s="149"/>
      <c r="H3" s="149"/>
    </row>
    <row r="4" spans="1:9" x14ac:dyDescent="0.25">
      <c r="A4" s="33"/>
      <c r="B4" s="34" t="s">
        <v>152</v>
      </c>
      <c r="C4" s="34" t="s">
        <v>153</v>
      </c>
      <c r="D4" s="34" t="s">
        <v>82</v>
      </c>
      <c r="E4" s="34" t="s">
        <v>154</v>
      </c>
      <c r="F4" s="34" t="s">
        <v>158</v>
      </c>
      <c r="G4" s="34" t="s">
        <v>159</v>
      </c>
      <c r="H4" s="34" t="s">
        <v>155</v>
      </c>
    </row>
    <row r="5" spans="1:9" ht="15" customHeight="1" x14ac:dyDescent="0.25">
      <c r="A5" s="33"/>
      <c r="B5" s="53" t="s">
        <v>195</v>
      </c>
      <c r="C5" s="52" t="s">
        <v>162</v>
      </c>
      <c r="D5" s="46" t="s">
        <v>181</v>
      </c>
      <c r="E5" s="36">
        <v>448</v>
      </c>
      <c r="F5" s="37">
        <v>640</v>
      </c>
      <c r="G5" s="37">
        <f>H5/F5</f>
        <v>15781.25</v>
      </c>
      <c r="H5" s="38">
        <v>10100000</v>
      </c>
    </row>
    <row r="6" spans="1:9" x14ac:dyDescent="0.25">
      <c r="A6" s="33"/>
      <c r="B6" s="53" t="s">
        <v>195</v>
      </c>
      <c r="C6" s="45" t="s">
        <v>162</v>
      </c>
      <c r="D6" s="46" t="s">
        <v>180</v>
      </c>
      <c r="E6" s="36">
        <v>706</v>
      </c>
      <c r="F6" s="37">
        <v>1001</v>
      </c>
      <c r="G6" s="37">
        <f>H6/F6</f>
        <v>15584.415584415585</v>
      </c>
      <c r="H6" s="38">
        <v>15600000</v>
      </c>
    </row>
    <row r="7" spans="1:9" x14ac:dyDescent="0.25">
      <c r="A7" s="33"/>
      <c r="B7" s="53" t="s">
        <v>196</v>
      </c>
      <c r="C7" s="45" t="s">
        <v>162</v>
      </c>
      <c r="D7" s="46" t="s">
        <v>181</v>
      </c>
      <c r="E7" s="36">
        <v>448</v>
      </c>
      <c r="F7" s="37">
        <v>640</v>
      </c>
      <c r="G7" s="37">
        <f t="shared" ref="G7:G8" si="0">H7/F7</f>
        <v>17656.25</v>
      </c>
      <c r="H7" s="38">
        <v>11300000</v>
      </c>
    </row>
    <row r="8" spans="1:9" x14ac:dyDescent="0.25">
      <c r="A8" s="33"/>
      <c r="B8" s="53" t="s">
        <v>196</v>
      </c>
      <c r="C8" s="45" t="s">
        <v>162</v>
      </c>
      <c r="D8" s="46" t="s">
        <v>180</v>
      </c>
      <c r="E8" s="36">
        <v>706</v>
      </c>
      <c r="F8" s="37">
        <v>1001</v>
      </c>
      <c r="G8" s="37">
        <f t="shared" si="0"/>
        <v>15484.515484515485</v>
      </c>
      <c r="H8" s="38">
        <v>15500000</v>
      </c>
    </row>
    <row r="9" spans="1:9" ht="15" customHeight="1" x14ac:dyDescent="0.25">
      <c r="A9" s="33"/>
      <c r="B9" s="39" t="s">
        <v>156</v>
      </c>
      <c r="C9" s="36"/>
      <c r="D9" s="36"/>
      <c r="E9" s="36"/>
      <c r="F9" s="36"/>
      <c r="G9" s="40">
        <f>AVERAGE(G5:G6)</f>
        <v>15682.832792207791</v>
      </c>
      <c r="H9" s="36"/>
    </row>
    <row r="10" spans="1:9" ht="15" customHeight="1" x14ac:dyDescent="0.25">
      <c r="B10" s="39" t="s">
        <v>157</v>
      </c>
      <c r="C10" s="36"/>
      <c r="D10" s="36"/>
      <c r="E10" s="36"/>
      <c r="F10" s="41"/>
      <c r="G10" s="39">
        <v>14800</v>
      </c>
      <c r="H10" s="39"/>
      <c r="I10" s="35"/>
    </row>
    <row r="11" spans="1:9" ht="15" customHeight="1" x14ac:dyDescent="0.25"/>
    <row r="12" spans="1:9" ht="15" customHeight="1" x14ac:dyDescent="0.25"/>
    <row r="13"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2025-08-09T09:30:29Z</cp:lastPrinted>
  <dcterms:created xsi:type="dcterms:W3CDTF">2019-07-16T09:29:46Z</dcterms:created>
  <dcterms:modified xsi:type="dcterms:W3CDTF">2025-08-09T09:31:41Z</dcterms:modified>
</cp:coreProperties>
</file>