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Aug 25\Dump\DUMP\"/>
    </mc:Choice>
  </mc:AlternateContent>
  <bookViews>
    <workbookView xWindow="0" yWindow="0" windowWidth="20490" windowHeight="7755"/>
  </bookViews>
  <sheets>
    <sheet name="Report (2)" sheetId="1" r:id="rId1"/>
    <sheet name="Sheet1" sheetId="5" r:id="rId2"/>
    <sheet name="C%" sheetId="2" r:id="rId3"/>
    <sheet name="Flat detail" sheetId="3" r:id="rId4"/>
    <sheet name="Note" sheetId="4" r:id="rId5"/>
  </sheets>
  <definedNames>
    <definedName name="_xlnm.Print_Area" localSheetId="0">'Report (2)'!$A$1:$J$432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5" i="1" l="1"/>
  <c r="C97" i="1" s="1"/>
  <c r="C96" i="1" l="1"/>
  <c r="C81" i="1" l="1"/>
  <c r="C67" i="1"/>
  <c r="C68" i="1" l="1"/>
  <c r="C69" i="1"/>
  <c r="C46" i="1"/>
  <c r="C13" i="1"/>
  <c r="O94" i="1" l="1"/>
  <c r="Q81" i="1"/>
  <c r="P67" i="1"/>
  <c r="M115" i="1" l="1"/>
  <c r="M114" i="1"/>
  <c r="F3" i="1" l="1"/>
  <c r="D331" i="1" l="1"/>
  <c r="D289" i="1"/>
  <c r="K130" i="1" l="1"/>
  <c r="D332" i="1"/>
  <c r="G332" i="1" s="1"/>
  <c r="G331" i="1"/>
  <c r="D330" i="1"/>
  <c r="G330" i="1" s="1"/>
  <c r="D329" i="1"/>
  <c r="G329" i="1" s="1"/>
  <c r="D328" i="1"/>
  <c r="G328" i="1" s="1"/>
  <c r="H327" i="1"/>
  <c r="D327" i="1"/>
  <c r="G327" i="1" s="1"/>
  <c r="D325" i="1"/>
  <c r="G325" i="1" s="1"/>
  <c r="D323" i="1"/>
  <c r="G323" i="1" s="1"/>
  <c r="D322" i="1"/>
  <c r="G322" i="1" s="1"/>
  <c r="D321" i="1"/>
  <c r="G321" i="1" s="1"/>
  <c r="H320" i="1"/>
  <c r="D320" i="1"/>
  <c r="G320" i="1" s="1"/>
  <c r="D318" i="1"/>
  <c r="G318" i="1" s="1"/>
  <c r="D317" i="1"/>
  <c r="G317" i="1" s="1"/>
  <c r="D316" i="1"/>
  <c r="G316" i="1" s="1"/>
  <c r="D315" i="1"/>
  <c r="G315" i="1" s="1"/>
  <c r="D314" i="1"/>
  <c r="G314" i="1" s="1"/>
  <c r="D313" i="1"/>
  <c r="G313" i="1" s="1"/>
  <c r="D311" i="1"/>
  <c r="G311" i="1" s="1"/>
  <c r="D310" i="1"/>
  <c r="G310" i="1" s="1"/>
  <c r="D309" i="1"/>
  <c r="G309" i="1" s="1"/>
  <c r="D308" i="1"/>
  <c r="G308" i="1" s="1"/>
  <c r="D307" i="1"/>
  <c r="G307" i="1" s="1"/>
  <c r="D306" i="1"/>
  <c r="G306" i="1" s="1"/>
  <c r="H313" i="1"/>
  <c r="H306" i="1"/>
  <c r="F303" i="1"/>
  <c r="F304" i="1"/>
  <c r="F302" i="1"/>
  <c r="D304" i="1"/>
  <c r="D303" i="1"/>
  <c r="D302" i="1"/>
  <c r="D301" i="1"/>
  <c r="G301" i="1" s="1"/>
  <c r="D300" i="1"/>
  <c r="G300" i="1" s="1"/>
  <c r="H299" i="1"/>
  <c r="D299" i="1"/>
  <c r="G299" i="1" s="1"/>
  <c r="D295" i="1"/>
  <c r="D294" i="1"/>
  <c r="D293" i="1"/>
  <c r="D292" i="1"/>
  <c r="D297" i="1"/>
  <c r="D290" i="1"/>
  <c r="D288" i="1"/>
  <c r="D287" i="1"/>
  <c r="D286" i="1"/>
  <c r="D285" i="1"/>
  <c r="D283" i="1"/>
  <c r="D281" i="1"/>
  <c r="D280" i="1"/>
  <c r="D279" i="1"/>
  <c r="D278" i="1"/>
  <c r="D276" i="1"/>
  <c r="D275" i="1"/>
  <c r="D274" i="1"/>
  <c r="D273" i="1"/>
  <c r="D272" i="1"/>
  <c r="D271" i="1"/>
  <c r="D269" i="1"/>
  <c r="D268" i="1"/>
  <c r="D267" i="1"/>
  <c r="D266" i="1"/>
  <c r="D265" i="1"/>
  <c r="D264" i="1"/>
  <c r="D262" i="1"/>
  <c r="D260" i="1"/>
  <c r="D259" i="1"/>
  <c r="D258" i="1"/>
  <c r="D257" i="1"/>
  <c r="D254" i="1"/>
  <c r="D255" i="1"/>
  <c r="D253" i="1"/>
  <c r="D252" i="1"/>
  <c r="D251" i="1"/>
  <c r="D250" i="1"/>
  <c r="D248" i="1"/>
  <c r="D247" i="1"/>
  <c r="D246" i="1"/>
  <c r="D244" i="1"/>
  <c r="D243" i="1"/>
  <c r="D242" i="1"/>
  <c r="H246" i="1"/>
  <c r="H242" i="1"/>
  <c r="G303" i="1" l="1"/>
  <c r="C130" i="1"/>
  <c r="G304" i="1"/>
  <c r="D131" i="1"/>
  <c r="C131" i="1"/>
  <c r="D130" i="1"/>
  <c r="G302" i="1"/>
  <c r="D235" i="1"/>
  <c r="G235" i="1" s="1"/>
  <c r="D233" i="1"/>
  <c r="G233" i="1" s="1"/>
  <c r="D232" i="1"/>
  <c r="G232" i="1" s="1"/>
  <c r="D231" i="1"/>
  <c r="G231" i="1" s="1"/>
  <c r="H230" i="1"/>
  <c r="D230" i="1"/>
  <c r="G230" i="1" s="1"/>
  <c r="D228" i="1"/>
  <c r="G228" i="1" s="1"/>
  <c r="D227" i="1"/>
  <c r="G227" i="1" s="1"/>
  <c r="D226" i="1"/>
  <c r="G226" i="1" s="1"/>
  <c r="D225" i="1"/>
  <c r="G225" i="1" s="1"/>
  <c r="D224" i="1"/>
  <c r="G224" i="1" s="1"/>
  <c r="H223" i="1"/>
  <c r="D223" i="1"/>
  <c r="G223" i="1" s="1"/>
  <c r="D221" i="1"/>
  <c r="D219" i="1"/>
  <c r="D218" i="1"/>
  <c r="D217" i="1"/>
  <c r="D216" i="1"/>
  <c r="D214" i="1"/>
  <c r="D213" i="1"/>
  <c r="D212" i="1"/>
  <c r="D209" i="1"/>
  <c r="D211" i="1"/>
  <c r="D210" i="1"/>
  <c r="D207" i="1"/>
  <c r="D206" i="1"/>
  <c r="D205" i="1"/>
  <c r="D203" i="1"/>
  <c r="D202" i="1"/>
  <c r="D201" i="1"/>
  <c r="D194" i="1"/>
  <c r="G194" i="1" s="1"/>
  <c r="D192" i="1"/>
  <c r="G192" i="1" s="1"/>
  <c r="D191" i="1"/>
  <c r="G191" i="1" s="1"/>
  <c r="D190" i="1"/>
  <c r="G190" i="1" s="1"/>
  <c r="H189" i="1"/>
  <c r="D189" i="1"/>
  <c r="G189" i="1" s="1"/>
  <c r="D187" i="1"/>
  <c r="G187" i="1" s="1"/>
  <c r="D186" i="1"/>
  <c r="G186" i="1" s="1"/>
  <c r="D185" i="1"/>
  <c r="G185" i="1" s="1"/>
  <c r="D184" i="1"/>
  <c r="G184" i="1" s="1"/>
  <c r="D183" i="1"/>
  <c r="G183" i="1" s="1"/>
  <c r="H182" i="1"/>
  <c r="D182" i="1"/>
  <c r="G182" i="1" s="1"/>
  <c r="D180" i="1"/>
  <c r="D178" i="1"/>
  <c r="D177" i="1"/>
  <c r="D176" i="1"/>
  <c r="D175" i="1"/>
  <c r="D173" i="1"/>
  <c r="D172" i="1"/>
  <c r="D171" i="1"/>
  <c r="D170" i="1"/>
  <c r="D169" i="1"/>
  <c r="D168" i="1"/>
  <c r="D166" i="1"/>
  <c r="D165" i="1"/>
  <c r="D164" i="1"/>
  <c r="D160" i="1"/>
  <c r="D161" i="1"/>
  <c r="D162" i="1"/>
  <c r="D157" i="1"/>
  <c r="D156" i="1"/>
  <c r="D154" i="1"/>
  <c r="D153" i="1"/>
  <c r="D152" i="1"/>
  <c r="D151" i="1"/>
  <c r="D150" i="1"/>
  <c r="D139" i="1"/>
  <c r="D140" i="1"/>
  <c r="D141" i="1"/>
  <c r="D142" i="1"/>
  <c r="D143" i="1"/>
  <c r="D144" i="1"/>
  <c r="G144" i="1" s="1"/>
  <c r="D145" i="1"/>
  <c r="D146" i="1"/>
  <c r="D147" i="1"/>
  <c r="D148" i="1"/>
  <c r="H46" i="1"/>
  <c r="C129" i="1" l="1"/>
  <c r="D128" i="1"/>
  <c r="D129" i="1"/>
  <c r="C128" i="1"/>
  <c r="C123" i="1"/>
  <c r="C124" i="1"/>
  <c r="D123" i="1"/>
  <c r="H150" i="1"/>
  <c r="H139" i="1"/>
  <c r="M85" i="1"/>
  <c r="K157" i="1"/>
  <c r="K156" i="1"/>
  <c r="K155" i="1"/>
  <c r="K154" i="1"/>
  <c r="K153" i="1"/>
  <c r="K152" i="1"/>
  <c r="K151" i="1"/>
  <c r="K150" i="1"/>
  <c r="I75" i="1"/>
  <c r="C132" i="1" l="1"/>
  <c r="D132" i="1"/>
  <c r="M79" i="1"/>
  <c r="D87" i="1"/>
  <c r="D83" i="1"/>
  <c r="D86" i="1"/>
  <c r="D82" i="1"/>
  <c r="M78" i="1"/>
  <c r="D81" i="1"/>
  <c r="D85" i="1"/>
  <c r="M80" i="1"/>
  <c r="D78" i="1"/>
  <c r="D84" i="1"/>
  <c r="D80" i="1"/>
  <c r="M77" i="1"/>
  <c r="D124" i="1"/>
  <c r="D125" i="1" s="1"/>
  <c r="G148" i="1"/>
  <c r="L145" i="1"/>
  <c r="G147" i="1"/>
  <c r="D133" i="1" l="1"/>
  <c r="M81" i="1"/>
  <c r="M99" i="1"/>
  <c r="M71" i="1"/>
  <c r="I89" i="1"/>
  <c r="I61" i="1"/>
  <c r="M82" i="1" l="1"/>
  <c r="M83" i="1" s="1"/>
  <c r="M84" i="1" s="1"/>
  <c r="M92" i="1"/>
  <c r="D101" i="1"/>
  <c r="D99" i="1"/>
  <c r="D97" i="1"/>
  <c r="D95" i="1"/>
  <c r="M93" i="1"/>
  <c r="M91" i="1"/>
  <c r="M94" i="1"/>
  <c r="M95" i="1" s="1"/>
  <c r="D100" i="1"/>
  <c r="D98" i="1"/>
  <c r="D96" i="1"/>
  <c r="D94" i="1"/>
  <c r="M64" i="1"/>
  <c r="D73" i="1"/>
  <c r="D71" i="1"/>
  <c r="D69" i="1"/>
  <c r="D67" i="1"/>
  <c r="M65" i="1"/>
  <c r="M63" i="1"/>
  <c r="M66" i="1"/>
  <c r="D72" i="1"/>
  <c r="D70" i="1"/>
  <c r="D68" i="1"/>
  <c r="D66" i="1"/>
  <c r="M96" i="1" l="1"/>
  <c r="M97" i="1" s="1"/>
  <c r="M98" i="1" s="1"/>
  <c r="M86" i="1"/>
  <c r="M87" i="1" s="1"/>
  <c r="C79" i="1" s="1"/>
  <c r="H78" i="1" s="1"/>
  <c r="C92" i="1"/>
  <c r="D92" i="1" s="1"/>
  <c r="M67" i="1"/>
  <c r="D64" i="1"/>
  <c r="H64" i="1"/>
  <c r="M100" i="1" l="1"/>
  <c r="M101" i="1" s="1"/>
  <c r="C93" i="1" s="1"/>
  <c r="D93" i="1" s="1"/>
  <c r="M68" i="1"/>
  <c r="M69" i="1" s="1"/>
  <c r="M70" i="1" s="1"/>
  <c r="K74" i="1"/>
  <c r="C76" i="1" s="1"/>
  <c r="F78" i="1" s="1"/>
  <c r="D79" i="1"/>
  <c r="B2" i="5"/>
  <c r="B3" i="5" s="1"/>
  <c r="B4" i="5" s="1"/>
  <c r="B5" i="5" s="1"/>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K88" i="1" l="1"/>
  <c r="C90" i="1" s="1"/>
  <c r="F92" i="1" s="1"/>
  <c r="H92" i="1"/>
  <c r="M72" i="1"/>
  <c r="F40" i="1"/>
  <c r="M73" i="1" l="1"/>
  <c r="D65" i="1" s="1"/>
  <c r="H292" i="1"/>
  <c r="H285" i="1"/>
  <c r="H278" i="1"/>
  <c r="H271" i="1"/>
  <c r="H264" i="1"/>
  <c r="H257" i="1"/>
  <c r="H250" i="1"/>
  <c r="H216" i="1"/>
  <c r="H209" i="1"/>
  <c r="H175" i="1"/>
  <c r="H168" i="1"/>
  <c r="G297" i="1"/>
  <c r="G295" i="1"/>
  <c r="G294" i="1"/>
  <c r="G293" i="1"/>
  <c r="G292" i="1"/>
  <c r="G290" i="1"/>
  <c r="G289" i="1"/>
  <c r="G288" i="1"/>
  <c r="G269" i="1"/>
  <c r="G255" i="1"/>
  <c r="G254" i="1"/>
  <c r="G287" i="1"/>
  <c r="G286" i="1"/>
  <c r="G285" i="1"/>
  <c r="G283" i="1"/>
  <c r="G281" i="1"/>
  <c r="G280" i="1"/>
  <c r="G279" i="1"/>
  <c r="G278" i="1"/>
  <c r="G276" i="1"/>
  <c r="G275" i="1"/>
  <c r="G274" i="1"/>
  <c r="G273" i="1"/>
  <c r="G272" i="1"/>
  <c r="G271" i="1"/>
  <c r="G265" i="1"/>
  <c r="G268" i="1"/>
  <c r="G267" i="1"/>
  <c r="G266" i="1"/>
  <c r="G264" i="1"/>
  <c r="G253" i="1"/>
  <c r="G262" i="1"/>
  <c r="G260" i="1"/>
  <c r="G259" i="1"/>
  <c r="G258" i="1"/>
  <c r="G257" i="1"/>
  <c r="G251" i="1"/>
  <c r="G250" i="1"/>
  <c r="G252" i="1"/>
  <c r="G221" i="1"/>
  <c r="G219" i="1"/>
  <c r="G218" i="1"/>
  <c r="G217" i="1"/>
  <c r="G216" i="1"/>
  <c r="G214" i="1"/>
  <c r="P214" i="1" s="1"/>
  <c r="G213" i="1"/>
  <c r="P213" i="1" s="1"/>
  <c r="G212" i="1"/>
  <c r="G211" i="1"/>
  <c r="P211" i="1" s="1"/>
  <c r="G210" i="1"/>
  <c r="G209" i="1"/>
  <c r="P209" i="1" s="1"/>
  <c r="G207" i="1"/>
  <c r="G206" i="1"/>
  <c r="G205" i="1"/>
  <c r="G203" i="1"/>
  <c r="G202" i="1"/>
  <c r="G201" i="1"/>
  <c r="G248" i="1"/>
  <c r="G246" i="1"/>
  <c r="G244" i="1"/>
  <c r="G243" i="1"/>
  <c r="G242" i="1"/>
  <c r="G180" i="1"/>
  <c r="G178" i="1"/>
  <c r="G177" i="1"/>
  <c r="G176" i="1"/>
  <c r="G175" i="1"/>
  <c r="G173" i="1"/>
  <c r="G172" i="1"/>
  <c r="G171" i="1"/>
  <c r="G170" i="1"/>
  <c r="G169" i="1"/>
  <c r="G168" i="1"/>
  <c r="G166" i="1"/>
  <c r="G165" i="1"/>
  <c r="G164" i="1"/>
  <c r="G162" i="1"/>
  <c r="G161" i="1"/>
  <c r="G160" i="1"/>
  <c r="G247" i="1"/>
  <c r="G157" i="1"/>
  <c r="G156" i="1"/>
  <c r="G155" i="1"/>
  <c r="G154" i="1"/>
  <c r="G153" i="1"/>
  <c r="G152" i="1"/>
  <c r="G151" i="1"/>
  <c r="G150" i="1"/>
  <c r="G146" i="1"/>
  <c r="G145" i="1"/>
  <c r="G143" i="1"/>
  <c r="G142" i="1"/>
  <c r="G141" i="1"/>
  <c r="G140" i="1"/>
  <c r="G139" i="1"/>
  <c r="K60" i="1" l="1"/>
  <c r="C62" i="1" s="1"/>
  <c r="F64" i="1" s="1"/>
  <c r="G129" i="1"/>
  <c r="G124" i="1"/>
  <c r="G131" i="1"/>
  <c r="G130" i="1"/>
  <c r="G128" i="1"/>
  <c r="G123" i="1"/>
  <c r="G125" i="1" s="1"/>
  <c r="O210" i="1"/>
  <c r="P210" i="1"/>
  <c r="N213" i="1"/>
  <c r="K213" i="1"/>
  <c r="L213" i="1"/>
  <c r="M213" i="1" s="1"/>
  <c r="L211" i="1"/>
  <c r="M211" i="1" s="1"/>
  <c r="N211" i="1"/>
  <c r="K211" i="1"/>
  <c r="N210" i="1"/>
  <c r="L210" i="1"/>
  <c r="M210" i="1" s="1"/>
  <c r="K210" i="1"/>
  <c r="N214" i="1"/>
  <c r="L214" i="1"/>
  <c r="M214" i="1" s="1"/>
  <c r="K214" i="1"/>
  <c r="B7" i="2"/>
  <c r="G132" i="1" l="1"/>
  <c r="G133" i="1" s="1"/>
  <c r="G15" i="2"/>
  <c r="G16" i="2" s="1"/>
  <c r="C15" i="2" s="1"/>
  <c r="H15" i="2"/>
  <c r="B16" i="2" s="1"/>
  <c r="D6" i="2"/>
  <c r="C5" i="2"/>
  <c r="B12" i="2" s="1"/>
  <c r="D349" i="1"/>
  <c r="C125" i="1"/>
  <c r="C133" i="1" s="1"/>
  <c r="G120" i="1"/>
  <c r="F41" i="1"/>
  <c r="D51" i="1" s="1"/>
  <c r="F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<sst xmlns="http://schemas.openxmlformats.org/spreadsheetml/2006/main" count="632" uniqueCount="314">
  <si>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</si>
  <si>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</si>
  <si>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</si>
  <si>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</si>
  <si>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</si>
  <si>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</si>
  <si>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</si>
  <si>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</si>
  <si>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</si>
  <si>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</si>
  <si>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</si>
  <si>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</si>
  <si>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</si>
  <si>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</si>
  <si>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</si>
  <si>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</si>
  <si>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</si>
  <si>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</si>
  <si>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</si>
  <si>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</si>
  <si>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</si>
  <si>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</si>
  <si>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</si>
  <si>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</si>
  <si>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</si>
  <si>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</si>
  <si>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</si>
  <si>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</si>
  <si>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</si>
  <si>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</si>
  <si>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</si>
  <si>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</si>
  <si>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</si>
  <si>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</si>
  <si>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</si>
  <si>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</si>
  <si>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</si>
  <si>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</si>
  <si>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</si>
  <si>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</si>
  <si>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</si>
  <si>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</si>
  <si>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</si>
  <si>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</si>
  <si>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</si>
  <si>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</si>
  <si>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</si>
  <si>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</si>
  <si>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</si>
  <si>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</si>
  <si>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</si>
  <si>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</si>
  <si>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</si>
  <si>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</si>
  <si>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Date of approval: </t>
  </si>
  <si>
    <t>Expected Completion</t>
  </si>
  <si>
    <t>Building wise Construction details</t>
  </si>
  <si>
    <t>Approved area of the building in Sq.Mt</t>
  </si>
  <si>
    <t>Approved no of units</t>
  </si>
  <si>
    <t>Approved no of Floors</t>
  </si>
  <si>
    <t xml:space="preserve">Construction details:                                                                  </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</si>
  <si>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</si>
  <si>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</si>
  <si>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</si>
  <si>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</si>
  <si>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</si>
  <si>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</si>
  <si>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</si>
  <si>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</si>
  <si>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</si>
  <si>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</si>
  <si>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</si>
  <si>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</si>
  <si>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</si>
  <si>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</si>
  <si>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</si>
  <si>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</si>
  <si>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</si>
  <si>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</si>
  <si>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</si>
  <si>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</si>
  <si>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</si>
  <si>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</si>
  <si>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</si>
  <si>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</si>
  <si>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</si>
  <si>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</si>
  <si>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</si>
  <si>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</si>
  <si>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</si>
  <si>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</si>
  <si>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</si>
  <si>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</si>
  <si>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</si>
  <si>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</si>
  <si>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</si>
  <si>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</si>
  <si>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</si>
  <si>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</si>
  <si>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</si>
  <si>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</si>
  <si>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</si>
  <si>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</si>
  <si>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</si>
  <si>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</si>
  <si>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</si>
  <si>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</si>
  <si>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</si>
  <si>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</si>
  <si>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</si>
  <si>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</si>
  <si>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</si>
  <si>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</si>
  <si>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</si>
  <si>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</si>
  <si>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</si>
  <si>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</si>
  <si>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</si>
  <si>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</si>
  <si>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</si>
  <si>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</si>
  <si>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</si>
  <si>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</si>
  <si>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</si>
  <si>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</si>
  <si>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</si>
  <si>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</si>
  <si>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</si>
  <si>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</si>
  <si>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</si>
  <si>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</si>
  <si>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</si>
  <si>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</si>
  <si>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</si>
  <si>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</si>
  <si>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</si>
  <si>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</si>
  <si>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</si>
  <si>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</si>
  <si>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</si>
  <si>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</si>
  <si>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</si>
  <si>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</si>
  <si>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</si>
  <si>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Commercial Area Details :</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</si>
  <si>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</si>
  <si>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</si>
  <si>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</si>
  <si>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</si>
  <si>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</si>
  <si>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</si>
  <si>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</si>
  <si>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</si>
  <si>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</si>
  <si>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</si>
  <si>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</si>
  <si>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</si>
  <si>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</si>
  <si>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</si>
  <si>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</si>
  <si>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</si>
  <si>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</si>
  <si>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</si>
  <si>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</si>
  <si>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</si>
  <si>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</si>
  <si>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</si>
  <si>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</si>
  <si>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</si>
  <si>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</si>
  <si>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</si>
  <si>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</si>
  <si>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Checked By</t>
  </si>
  <si>
    <t>Axis Goregaon</t>
  </si>
  <si>
    <t>M/s.Ashank Macbricks Private Limited</t>
  </si>
  <si>
    <t>Godrej Exquisite</t>
  </si>
  <si>
    <t>Tower 1, 2 &amp; 3</t>
  </si>
  <si>
    <t>Survey No</t>
  </si>
  <si>
    <t>206/2, 141/5</t>
  </si>
  <si>
    <t>Kavesar</t>
  </si>
  <si>
    <t>Thane</t>
  </si>
  <si>
    <t>About 10.3Km from Thane Railway Station</t>
  </si>
  <si>
    <t>Hotel Jalaja</t>
  </si>
  <si>
    <t>Ghodbunder Road</t>
  </si>
  <si>
    <t>Hotel</t>
  </si>
  <si>
    <t>Building</t>
  </si>
  <si>
    <t>Open Plot</t>
  </si>
  <si>
    <t>Tower No.1</t>
  </si>
  <si>
    <t>Ground Floor is for Parking &amp; Commercial</t>
  </si>
  <si>
    <t>Shop</t>
  </si>
  <si>
    <t>Tower No.2</t>
  </si>
  <si>
    <t>Ground Floor is for Parking</t>
  </si>
  <si>
    <t>Tower No.3</t>
  </si>
  <si>
    <t>Office</t>
  </si>
  <si>
    <t>1st Podium Floor For Parking &amp; Commercial (Part Amenities)</t>
  </si>
  <si>
    <t>1st, 2nd &amp; 3rd Podium Floor For Parking</t>
  </si>
  <si>
    <t>2nd &amp; 3rd Podium Floor For Parking</t>
  </si>
  <si>
    <t>Stilt Floor For Parking &amp; Residential</t>
  </si>
  <si>
    <t>3BHK</t>
  </si>
  <si>
    <t>2BHK</t>
  </si>
  <si>
    <t>1st Floor For Parking &amp; Residential</t>
  </si>
  <si>
    <t xml:space="preserve">2nd, 4th To 6th, 8th To 11th, 13th To 16th, 18th To 21st, 23rd To 26th, 28th To 31 Floor </t>
  </si>
  <si>
    <t>Refuge Area</t>
  </si>
  <si>
    <t xml:space="preserve">2nd, 4th To 6th, 8th To 11th, 13th, 14th Floor </t>
  </si>
  <si>
    <t xml:space="preserve">3rd, 7th &amp; 12th Floor </t>
  </si>
  <si>
    <t>1BHK</t>
  </si>
  <si>
    <t xml:space="preserve">15th Floor </t>
  </si>
  <si>
    <t xml:space="preserve">16th, 18th &amp; 19th Floor </t>
  </si>
  <si>
    <t xml:space="preserve">17th Floor </t>
  </si>
  <si>
    <t>20th, 21st, 23rd To 26th, 28th To 31st Floor</t>
  </si>
  <si>
    <t>Stilt Floor</t>
  </si>
  <si>
    <t>1st Floor</t>
  </si>
  <si>
    <t>Tower No.1 - Shop</t>
  </si>
  <si>
    <t>Tower No.1 - Office</t>
  </si>
  <si>
    <t>Residential + Commercial</t>
  </si>
  <si>
    <t>03 Buildings</t>
  </si>
  <si>
    <t>Recommended rate of the Office Per Sq. Ft. ( on Saleable area)</t>
  </si>
  <si>
    <t>Please ask the person who will be going for the Godrej Exquisite site visit to coordinate with Mr. Veerayya : 9820363516 who will be available at the site and will provide the date and time when they can visit the site and meet him for details.</t>
  </si>
  <si>
    <t>Stilt Floor (Stilt Apartment Level) For Parking &amp; Residential</t>
  </si>
  <si>
    <t>Corpus Amount</t>
  </si>
  <si>
    <t>Water Connection Charges</t>
  </si>
  <si>
    <t>Electricity Connection Charges</t>
  </si>
  <si>
    <t>Legal Charges</t>
  </si>
  <si>
    <t>Share Money</t>
  </si>
  <si>
    <t>Gas Connection Charges</t>
  </si>
  <si>
    <t>Recommended rate of the Shop Per Sq. Ft. (on Saleable area)</t>
  </si>
  <si>
    <t>Approved Plan, CC, Cost sheet</t>
  </si>
  <si>
    <t>27/01/2021.</t>
  </si>
  <si>
    <t>Asmi</t>
  </si>
  <si>
    <t>Cost sheet Palas</t>
  </si>
  <si>
    <r>
      <t xml:space="preserve">Unit No.
</t>
    </r>
    <r>
      <rPr>
        <b/>
        <sz val="10"/>
        <color indexed="8"/>
        <rFont val="Times New Roman"/>
        <family val="1"/>
      </rPr>
      <t>(Builder area sheet)</t>
    </r>
  </si>
  <si>
    <r>
      <t xml:space="preserve">Unit No.
</t>
    </r>
    <r>
      <rPr>
        <b/>
        <sz val="10"/>
        <color indexed="8"/>
        <rFont val="Times New Roman"/>
        <family val="1"/>
      </rPr>
      <t>(Approved Plan)</t>
    </r>
  </si>
  <si>
    <t>Wheather the construction is as per approved Building plan : U/C</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</si>
  <si>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</si>
  <si>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</si>
  <si>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</si>
  <si>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</si>
  <si>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</si>
  <si>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</si>
  <si>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</si>
  <si>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</si>
  <si>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</si>
  <si>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</si>
  <si>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</si>
  <si>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</si>
  <si>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</si>
  <si>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</si>
  <si>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</si>
  <si>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</si>
  <si>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</si>
  <si>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</si>
  <si>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</si>
  <si>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</si>
  <si>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</si>
  <si>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</si>
  <si>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</si>
  <si>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</si>
  <si>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</si>
  <si>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3rd, 7th, 12th, 17th, 22nd, 27th &amp; 32nd Floor (Part Refuge Area)</t>
  </si>
  <si>
    <t>22nd, 27th &amp; 32nd Floor (Part Refuge Area)</t>
  </si>
  <si>
    <t>Thane West</t>
  </si>
  <si>
    <t>Tower 1, 2 &amp; 3 - G + 1st Podium +2nd Podium + 3rd Podium + Stilt + 1st to 38th Floor + Recreational Floor + 39th Floor</t>
  </si>
  <si>
    <t>Tower 1 = G + 1st Podium +2nd Podium + 3rd Podium + Stilt + 1st to 38th Floor + Recreational Floor + 39th Floor</t>
  </si>
  <si>
    <t>Tower 2 = G + 1st Podium +2nd Podium + 3rd Podium + Stilt + 1st to 38th Floor + Recreational Floor + 39th Floor</t>
  </si>
  <si>
    <t>Tower 3 = G + 1st Podium +2nd Podium + 3rd Podium + Stilt + 1st to 38th Floor + Recreational Floor + 39th Floor</t>
  </si>
  <si>
    <t>5A</t>
  </si>
  <si>
    <t>5B</t>
  </si>
  <si>
    <t>33rd to 36th &amp; 38th Floor</t>
  </si>
  <si>
    <t>37th Floor (Part Refuge Area)</t>
  </si>
  <si>
    <t>Recreational Floor Between 38th &amp; 39th Floor</t>
  </si>
  <si>
    <t>39th Floor For Fitness Center</t>
  </si>
  <si>
    <t>4 - ESW</t>
  </si>
  <si>
    <t>5 - ESW</t>
  </si>
  <si>
    <t>6 - ESW</t>
  </si>
  <si>
    <t xml:space="preserve">33rd Floor </t>
  </si>
  <si>
    <t>34th &amp; 35th Floor</t>
  </si>
  <si>
    <t>36th Floor</t>
  </si>
  <si>
    <t>38th Floor</t>
  </si>
  <si>
    <t>Tower No.3 Sale Flats</t>
  </si>
  <si>
    <t>Tower No.3 ESW Flats</t>
  </si>
  <si>
    <t>Tower No.1 Sale Flats</t>
  </si>
  <si>
    <t>Tower No.2 Sale Flats</t>
  </si>
  <si>
    <t xml:space="preserve">Metro Develepment Cess </t>
  </si>
  <si>
    <t xml:space="preserve">Maintenance Charges for 12 months </t>
  </si>
  <si>
    <t>Floor Rise per Sq.ft (on Saleable area)</t>
  </si>
  <si>
    <t>Ajay Songare</t>
  </si>
  <si>
    <t>12000 to 13000</t>
  </si>
  <si>
    <t>Sanket</t>
  </si>
  <si>
    <t>65/- per Sq.ft from 2nd Floor</t>
  </si>
  <si>
    <t>Development Charges</t>
  </si>
  <si>
    <t>Location Link</t>
  </si>
  <si>
    <t>https://goo.gl/maps/ccaVkccqPdNdFk628</t>
  </si>
  <si>
    <t>Office No. 1031, Wing J, Akshar Business Park, Plot No. 03 Sector 25, Near APMC Market,
Vashi, Navi Mumbai, Maharashtra 400703 TEL: 022-46090378/79/80                                                                                             E mail : vsjcapf@gmail.com. Web site : www.vsjadon.com</t>
  </si>
  <si>
    <t>Grand Total</t>
  </si>
  <si>
    <t>19.2518454,72.9710406</t>
  </si>
  <si>
    <t xml:space="preserve">Sale Flats = 613, ESW Flats = 47, Shop = 10, Office = 08 </t>
  </si>
  <si>
    <t>Projected life of the structure:</t>
  </si>
  <si>
    <t>60 Years After Completion</t>
  </si>
  <si>
    <t xml:space="preserve">Quality of construction: </t>
  </si>
  <si>
    <t>Under Construction</t>
  </si>
  <si>
    <t xml:space="preserve">Material laying at Site: </t>
  </si>
  <si>
    <t>Steel, Cement, Aggregate, etc</t>
  </si>
  <si>
    <t>Proposed no of Floors</t>
  </si>
  <si>
    <t>VP/S06/0310/18TMC/TD-DP/TPS/
3948/22</t>
  </si>
  <si>
    <t>As per RERA- 30/09/2026</t>
  </si>
  <si>
    <t xml:space="preserve">S06/0310/18 TMC/TDD/4449/23
</t>
  </si>
  <si>
    <t xml:space="preserve">Commencement Certificate No.
Valid Up to:  </t>
  </si>
  <si>
    <t>Tower 1, 2 &amp; 3 = G + 1st Podium +2nd Podium + 3rd Podium + Stilt + 1st to 38th Floor + Recreational Floor + 39th Floor</t>
  </si>
  <si>
    <t xml:space="preserve">TMCB/PO/2024/APL/00096
Tower 1 = Gr + 1st Podium Floor
</t>
  </si>
  <si>
    <t>Part O. Certificate No.: 
Approved upto :</t>
  </si>
  <si>
    <t xml:space="preserve">1. Construction work was in process at the time of visit. Internal visit was not allowed.
2. We considered Saleable area as per our calculation
3. We considered Carpet area as per Approved Plan.
4. We considered Gross carpet area = Net carpet + Enclose balcony + C.B Area + E.P Area.
5. We have considered rate by verifying it from market inquire.
6. Car parking is subjected to authentic documentation.
7. We have updated revised Approved Plans (on 28/02/2022).
8. We have updated revised CC (on 06/05/2024).
9. Part OC updated for Tower 1 Gr + 1st Podium Floor on 22/08/2024.
10. Tower No. 1 = RCC, brick, and plaster work is completed of the ground floor; it can be considered that 90% of the work is complete of the ground floor.
8. On site we meet Miss. Kinjal Panchal(CRM) - 9920967216.
8. Tower No.3 = Stilt &amp; 1st Floor plan not provided to us. So, we have not mentioned its area details in report.
</t>
  </si>
  <si>
    <t>Veerayya 9820363516</t>
  </si>
  <si>
    <t>Shruti Tathare</t>
  </si>
  <si>
    <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</si>
</sst>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8"/>
      <name val="Calibri"/>
      <family val="2"/>
    </font>
    <font>
      <sz val="11"/>
      <name val="Times New Roman"/>
      <family val="1"/>
    </font>
    <font>
      <b/>
      <sz val="10"/>
      <color indexed="8"/>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21" fillId="0" borderId="0" applyNumberFormat="0" applyFill="0" applyBorder="0" applyAlignment="0" applyProtection="0"/>
  </cellStyleXfs>
  <cellXfs count="261">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3"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0" fontId="15" fillId="0" borderId="0" xfId="0" applyFont="1"/>
    <xf numFmtId="1" fontId="7" fillId="0" borderId="4" xfId="0" applyNumberFormat="1" applyFont="1" applyBorder="1" applyAlignment="1">
      <alignment horizontal="center" vertical="center"/>
    </xf>
    <xf numFmtId="1" fontId="7" fillId="0" borderId="0" xfId="1" applyNumberFormat="1" applyFont="1" applyAlignment="1">
      <alignment horizontal="center" vertical="center"/>
    </xf>
    <xf numFmtId="1" fontId="7" fillId="0" borderId="0" xfId="1" applyNumberFormat="1" applyFont="1"/>
    <xf numFmtId="0" fontId="7" fillId="0" borderId="17" xfId="1" applyFont="1" applyBorder="1" applyProtection="1">
      <protection hidden="1"/>
    </xf>
    <xf numFmtId="0" fontId="7" fillId="0" borderId="18" xfId="1" applyFont="1" applyBorder="1" applyProtection="1">
      <protection hidden="1"/>
    </xf>
    <xf numFmtId="0" fontId="13" fillId="0" borderId="19"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0" xfId="1" applyFont="1" applyProtection="1">
      <protection hidden="1"/>
    </xf>
    <xf numFmtId="0" fontId="7" fillId="0" borderId="21" xfId="1" applyFont="1" applyBorder="1" applyProtection="1">
      <protection hidden="1"/>
    </xf>
    <xf numFmtId="0" fontId="16" fillId="0" borderId="0" xfId="0" applyFont="1" applyProtection="1">
      <protection hidden="1"/>
    </xf>
    <xf numFmtId="0" fontId="7" fillId="0" borderId="21" xfId="1" applyFont="1" applyBorder="1"/>
    <xf numFmtId="9" fontId="16" fillId="0" borderId="0" xfId="0" applyNumberFormat="1" applyFont="1" applyProtection="1">
      <protection hidden="1"/>
    </xf>
    <xf numFmtId="0" fontId="16" fillId="0" borderId="21" xfId="0" applyFont="1" applyBorder="1" applyProtection="1">
      <protection hidden="1"/>
    </xf>
    <xf numFmtId="1" fontId="0" fillId="0" borderId="21" xfId="0" applyNumberFormat="1" applyBorder="1"/>
    <xf numFmtId="1" fontId="0" fillId="0" borderId="0" xfId="0" applyNumberFormat="1"/>
    <xf numFmtId="164" fontId="0" fillId="0" borderId="0" xfId="0" applyNumberFormat="1"/>
    <xf numFmtId="1" fontId="0" fillId="0" borderId="21" xfId="0" applyNumberFormat="1" applyBorder="1" applyAlignment="1">
      <alignment horizontal="right"/>
    </xf>
    <xf numFmtId="0" fontId="0" fillId="0" borderId="21" xfId="0" applyBorder="1"/>
    <xf numFmtId="0" fontId="16" fillId="0" borderId="25" xfId="0" applyFont="1" applyBorder="1" applyProtection="1">
      <protection hidden="1"/>
    </xf>
    <xf numFmtId="9" fontId="16" fillId="0" borderId="25" xfId="0" applyNumberFormat="1" applyFont="1" applyBorder="1" applyProtection="1">
      <protection hidden="1"/>
    </xf>
    <xf numFmtId="1" fontId="0" fillId="0" borderId="26" xfId="0" applyNumberFormat="1" applyBorder="1"/>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14" fontId="7" fillId="0" borderId="0" xfId="1" applyNumberFormat="1" applyFont="1"/>
    <xf numFmtId="0" fontId="10" fillId="0" borderId="13" xfId="0" applyFont="1" applyBorder="1" applyAlignment="1">
      <alignment horizontal="center" vertical="center"/>
    </xf>
    <xf numFmtId="0" fontId="10" fillId="0" borderId="29" xfId="0" applyFont="1" applyBorder="1" applyAlignment="1">
      <alignment horizontal="center" vertical="center"/>
    </xf>
    <xf numFmtId="0" fontId="8" fillId="0" borderId="4" xfId="1" applyFont="1" applyBorder="1" applyAlignment="1">
      <alignment horizontal="left" vertical="top" wrapText="1"/>
    </xf>
    <xf numFmtId="0" fontId="13" fillId="0" borderId="4" xfId="1" applyFont="1" applyBorder="1" applyAlignment="1" applyProtection="1">
      <alignment horizontal="center" vertical="top" wrapText="1"/>
      <protection locked="0"/>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1" fontId="14" fillId="0" borderId="5" xfId="0" applyNumberFormat="1" applyFont="1" applyBorder="1" applyAlignment="1">
      <alignment horizontal="center" vertical="top" wrapText="1"/>
    </xf>
    <xf numFmtId="1" fontId="14" fillId="0" borderId="6" xfId="0" applyNumberFormat="1" applyFont="1" applyBorder="1" applyAlignment="1">
      <alignment horizontal="center" vertical="top" wrapText="1"/>
    </xf>
    <xf numFmtId="1" fontId="14" fillId="0" borderId="7" xfId="0" applyNumberFormat="1" applyFont="1" applyBorder="1" applyAlignment="1">
      <alignment horizontal="center" vertical="top" wrapText="1"/>
    </xf>
    <xf numFmtId="1" fontId="8" fillId="0" borderId="5"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1" fontId="8" fillId="0" borderId="7" xfId="0" applyNumberFormat="1" applyFont="1" applyBorder="1" applyAlignment="1">
      <alignment horizontal="center" vertical="top" wrapText="1"/>
    </xf>
    <xf numFmtId="0" fontId="8" fillId="0" borderId="8" xfId="1" applyFont="1" applyBorder="1" applyAlignment="1">
      <alignment horizontal="center" vertical="top"/>
    </xf>
    <xf numFmtId="0" fontId="8" fillId="0" borderId="9" xfId="1" applyFont="1" applyBorder="1" applyAlignment="1">
      <alignment horizontal="center" vertical="top"/>
    </xf>
    <xf numFmtId="0" fontId="8" fillId="0" borderId="10" xfId="1" applyFont="1" applyBorder="1" applyAlignment="1">
      <alignment horizontal="center" vertical="top"/>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9" fontId="13" fillId="2" borderId="4" xfId="1" applyNumberFormat="1" applyFont="1" applyFill="1" applyBorder="1" applyAlignment="1" applyProtection="1">
      <alignment horizontal="center" vertical="center" wrapText="1"/>
      <protection hidden="1"/>
    </xf>
    <xf numFmtId="0" fontId="13" fillId="0" borderId="22" xfId="1" applyFont="1" applyBorder="1" applyAlignment="1" applyProtection="1">
      <alignment horizontal="center" vertical="top" wrapText="1"/>
      <protection locked="0"/>
    </xf>
    <xf numFmtId="0" fontId="13" fillId="0" borderId="23" xfId="1" applyFont="1" applyBorder="1" applyAlignment="1" applyProtection="1">
      <alignment horizontal="center"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3" fillId="0" borderId="19"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9" fontId="13" fillId="2" borderId="23" xfId="1" applyNumberFormat="1" applyFont="1" applyFill="1" applyBorder="1" applyAlignment="1" applyProtection="1">
      <alignment horizontal="center" vertical="center" wrapText="1"/>
      <protection hidden="1"/>
    </xf>
    <xf numFmtId="9" fontId="13" fillId="2" borderId="20"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0" fontId="14" fillId="0" borderId="14" xfId="1" applyFont="1" applyBorder="1" applyAlignment="1" applyProtection="1">
      <alignment horizontal="center" vertical="top" wrapText="1"/>
      <protection locked="0"/>
    </xf>
    <xf numFmtId="0" fontId="14" fillId="0" borderId="15" xfId="1" applyFont="1" applyBorder="1" applyAlignment="1" applyProtection="1">
      <alignment horizontal="center" vertical="top" wrapText="1"/>
      <protection locked="0"/>
    </xf>
    <xf numFmtId="0" fontId="13" fillId="0" borderId="4"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4" fillId="0" borderId="19" xfId="1" applyFont="1" applyBorder="1" applyAlignment="1" applyProtection="1">
      <alignment horizontal="left" vertical="top"/>
      <protection locked="0"/>
    </xf>
    <xf numFmtId="0" fontId="14" fillId="0" borderId="4" xfId="1" applyFont="1" applyBorder="1" applyAlignment="1" applyProtection="1">
      <alignment horizontal="left" vertical="top"/>
      <protection locked="0"/>
    </xf>
    <xf numFmtId="0" fontId="14" fillId="0" borderId="4"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3" fillId="0" borderId="19" xfId="1" applyFont="1" applyBorder="1" applyAlignment="1" applyProtection="1">
      <alignment horizontal="center" vertical="top"/>
      <protection locked="0"/>
    </xf>
    <xf numFmtId="1" fontId="4" fillId="0" borderId="5" xfId="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0" borderId="7" xfId="1" applyNumberFormat="1" applyFont="1" applyBorder="1" applyAlignment="1">
      <alignment horizontal="center" vertical="center" wrapText="1"/>
    </xf>
    <xf numFmtId="1" fontId="4" fillId="0" borderId="11" xfId="1" applyNumberFormat="1" applyFont="1" applyBorder="1" applyAlignment="1">
      <alignment horizontal="center" vertical="center" wrapText="1"/>
    </xf>
    <xf numFmtId="1" fontId="4" fillId="0" borderId="0" xfId="1" applyNumberFormat="1" applyFont="1" applyAlignment="1">
      <alignment horizontal="center" vertical="center" wrapText="1"/>
    </xf>
    <xf numFmtId="1" fontId="4" fillId="0" borderId="12" xfId="1" applyNumberFormat="1" applyFont="1" applyBorder="1" applyAlignment="1">
      <alignment horizontal="center" vertical="center" wrapText="1"/>
    </xf>
    <xf numFmtId="1" fontId="4" fillId="0" borderId="8" xfId="1" applyNumberFormat="1" applyFont="1" applyBorder="1" applyAlignment="1">
      <alignment horizontal="center" vertical="center" wrapText="1"/>
    </xf>
    <xf numFmtId="1" fontId="4" fillId="0" borderId="9" xfId="1" applyNumberFormat="1" applyFont="1" applyBorder="1" applyAlignment="1">
      <alignment horizontal="center" vertical="center" wrapText="1"/>
    </xf>
    <xf numFmtId="1" fontId="4" fillId="0" borderId="10" xfId="1" applyNumberFormat="1" applyFont="1" applyBorder="1" applyAlignment="1">
      <alignment horizontal="center" vertical="center" wrapText="1"/>
    </xf>
    <xf numFmtId="1" fontId="6" fillId="0" borderId="2"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6" fillId="0" borderId="12"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1" fontId="8"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64" fontId="6" fillId="0" borderId="1" xfId="1" applyNumberFormat="1" applyFont="1" applyBorder="1" applyAlignment="1">
      <alignment horizontal="left" vertical="top"/>
    </xf>
    <xf numFmtId="164" fontId="6" fillId="0" borderId="2" xfId="1" applyNumberFormat="1" applyFont="1" applyBorder="1" applyAlignment="1">
      <alignment horizontal="left" vertical="top"/>
    </xf>
    <xf numFmtId="164" fontId="6" fillId="0" borderId="3" xfId="1" applyNumberFormat="1" applyFont="1" applyBorder="1" applyAlignment="1">
      <alignment horizontal="left" vertical="top"/>
    </xf>
    <xf numFmtId="0" fontId="13" fillId="0" borderId="3" xfId="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13" fillId="2" borderId="1" xfId="1" applyFont="1" applyFill="1" applyBorder="1" applyAlignment="1">
      <alignment horizontal="left" vertical="top"/>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1" fontId="8" fillId="0" borderId="27" xfId="0" applyNumberFormat="1" applyFont="1" applyBorder="1" applyAlignment="1">
      <alignment horizontal="center" vertical="center" wrapText="1"/>
    </xf>
    <xf numFmtId="1" fontId="8" fillId="0" borderId="28" xfId="0" applyNumberFormat="1" applyFont="1" applyBorder="1" applyAlignment="1">
      <alignment horizontal="center" vertical="center" wrapText="1"/>
    </xf>
    <xf numFmtId="1" fontId="14" fillId="0" borderId="30" xfId="0" applyNumberFormat="1" applyFont="1" applyBorder="1" applyAlignment="1">
      <alignment horizontal="center" vertical="top" wrapText="1"/>
    </xf>
    <xf numFmtId="1" fontId="14" fillId="0" borderId="28" xfId="0" applyNumberFormat="1" applyFont="1" applyBorder="1" applyAlignment="1">
      <alignment horizontal="center" vertical="top" wrapText="1"/>
    </xf>
    <xf numFmtId="1" fontId="14" fillId="0" borderId="31" xfId="0" applyNumberFormat="1" applyFont="1" applyBorder="1" applyAlignment="1">
      <alignment horizontal="center" vertical="top" wrapText="1"/>
    </xf>
    <xf numFmtId="1" fontId="8" fillId="0" borderId="30" xfId="0" applyNumberFormat="1" applyFont="1" applyBorder="1" applyAlignment="1">
      <alignment horizontal="center" vertical="top" wrapText="1"/>
    </xf>
    <xf numFmtId="1" fontId="8" fillId="0" borderId="28" xfId="0" applyNumberFormat="1" applyFont="1" applyBorder="1" applyAlignment="1">
      <alignment horizontal="center" vertical="top" wrapText="1"/>
    </xf>
    <xf numFmtId="1" fontId="8" fillId="0" borderId="32"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1" fontId="8" fillId="0" borderId="2" xfId="1" applyNumberFormat="1" applyFont="1" applyBorder="1" applyAlignment="1">
      <alignment horizontal="center"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14" fontId="8" fillId="0" borderId="4" xfId="1" applyNumberFormat="1" applyFont="1" applyBorder="1" applyAlignment="1">
      <alignment horizontal="left" vertical="top" wrapText="1"/>
    </xf>
    <xf numFmtId="0" fontId="8" fillId="0" borderId="4" xfId="1" applyFont="1" applyBorder="1" applyAlignment="1">
      <alignment horizontal="left" vertical="top" wrapText="1"/>
    </xf>
    <xf numFmtId="0" fontId="8" fillId="0" borderId="4" xfId="1" applyFont="1" applyBorder="1" applyAlignment="1">
      <alignment horizontal="left" vertical="top"/>
    </xf>
    <xf numFmtId="164" fontId="6" fillId="0" borderId="1" xfId="1" applyNumberFormat="1" applyFont="1" applyBorder="1" applyAlignment="1">
      <alignment horizontal="left" vertical="top" wrapText="1"/>
    </xf>
    <xf numFmtId="164" fontId="6" fillId="0" borderId="2" xfId="1" applyNumberFormat="1" applyFont="1" applyBorder="1" applyAlignment="1">
      <alignment horizontal="left" vertical="top" wrapText="1"/>
    </xf>
    <xf numFmtId="164" fontId="6" fillId="0" borderId="3" xfId="1" applyNumberFormat="1" applyFont="1" applyBorder="1" applyAlignment="1">
      <alignment horizontal="left" vertical="top" wrapText="1"/>
    </xf>
    <xf numFmtId="14" fontId="6" fillId="0" borderId="1" xfId="1" applyNumberFormat="1" applyFont="1" applyBorder="1" applyAlignment="1">
      <alignment horizontal="left" vertical="top"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6" fillId="0" borderId="10" xfId="1" applyFont="1" applyBorder="1" applyAlignment="1">
      <alignment horizontal="left" vertical="top" wrapText="1"/>
    </xf>
    <xf numFmtId="14" fontId="6" fillId="2" borderId="1" xfId="1" applyNumberFormat="1" applyFont="1" applyFill="1" applyBorder="1" applyAlignment="1">
      <alignment horizontal="left" vertical="top"/>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21" fillId="0" borderId="1" xfId="5" applyBorder="1" applyAlignment="1">
      <alignment horizontal="left" vertical="top"/>
    </xf>
    <xf numFmtId="0" fontId="13" fillId="0" borderId="4" xfId="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4" xfId="1" applyFont="1" applyBorder="1" applyAlignment="1">
      <alignment horizontal="left" vertical="top"/>
    </xf>
    <xf numFmtId="0" fontId="6" fillId="2" borderId="4" xfId="1" applyFont="1" applyFill="1" applyBorder="1" applyAlignment="1">
      <alignment horizontal="left" vertical="top"/>
    </xf>
    <xf numFmtId="0" fontId="6" fillId="0" borderId="4" xfId="1" applyFont="1" applyBorder="1" applyAlignment="1">
      <alignment horizontal="left" vertical="top" wrapText="1"/>
    </xf>
    <xf numFmtId="0" fontId="6" fillId="0" borderId="6"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19" fillId="0" borderId="4" xfId="1" applyFont="1" applyBorder="1" applyAlignment="1">
      <alignment horizontal="center" vertical="top" wrapText="1"/>
    </xf>
    <xf numFmtId="0" fontId="13"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3" fontId="13" fillId="2" borderId="1" xfId="1" applyNumberFormat="1" applyFont="1" applyFill="1" applyBorder="1" applyAlignment="1">
      <alignment horizontal="left" vertical="top"/>
    </xf>
    <xf numFmtId="0" fontId="6" fillId="2" borderId="1" xfId="1" applyFont="1" applyFill="1" applyBorder="1" applyAlignment="1">
      <alignment horizontal="left" vertical="top"/>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4" fillId="0" borderId="1"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6" fillId="0" borderId="4" xfId="0" applyFont="1" applyBorder="1" applyAlignment="1">
      <alignment horizontal="center"/>
    </xf>
    <xf numFmtId="0" fontId="16" fillId="3"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xf numFmtId="0" fontId="16" fillId="0" borderId="0" xfId="0" applyFont="1" applyAlignment="1">
      <alignment horizontal="left" vertical="top" wrapText="1"/>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327660</xdr:colOff>
      <xdr:row>410</xdr:row>
      <xdr:rowOff>172902</xdr:rowOff>
    </xdr:from>
    <xdr:to>
      <xdr:col>8</xdr:col>
      <xdr:colOff>501358</xdr:colOff>
      <xdr:row>429</xdr:row>
      <xdr:rowOff>5035</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27660" y="73560226"/>
          <a:ext cx="5967139" cy="3664545"/>
        </a:xfrm>
        <a:prstGeom prst="rect">
          <a:avLst/>
        </a:prstGeom>
        <a:ln>
          <a:solidFill>
            <a:schemeClr val="tx1"/>
          </a:solidFill>
        </a:ln>
      </xdr:spPr>
    </xdr:pic>
    <xdr:clientData/>
  </xdr:twoCellAnchor>
  <xdr:twoCellAnchor editAs="oneCell">
    <xdr:from>
      <xdr:col>0</xdr:col>
      <xdr:colOff>332299</xdr:colOff>
      <xdr:row>391</xdr:row>
      <xdr:rowOff>182551</xdr:rowOff>
    </xdr:from>
    <xdr:to>
      <xdr:col>8</xdr:col>
      <xdr:colOff>505997</xdr:colOff>
      <xdr:row>410</xdr:row>
      <xdr:rowOff>18271</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32299" y="83941591"/>
          <a:ext cx="5728678" cy="3600000"/>
        </a:xfrm>
        <a:prstGeom prst="rect">
          <a:avLst/>
        </a:prstGeom>
        <a:ln>
          <a:solidFill>
            <a:schemeClr val="tx1"/>
          </a:solidFill>
        </a:ln>
      </xdr:spPr>
    </xdr:pic>
    <xdr:clientData/>
  </xdr:twoCellAnchor>
  <xdr:twoCellAnchor>
    <xdr:from>
      <xdr:col>16</xdr:col>
      <xdr:colOff>333375</xdr:colOff>
      <xdr:row>348</xdr:row>
      <xdr:rowOff>38100</xdr:rowOff>
    </xdr:from>
    <xdr:to>
      <xdr:col>19</xdr:col>
      <xdr:colOff>104775</xdr:colOff>
      <xdr:row>351</xdr:row>
      <xdr:rowOff>9525</xdr:rowOff>
    </xdr:to>
    <xdr:sp macro="" textlink="">
      <xdr:nvSpPr>
        <xdr:cNvPr id="16" name="Rectangle 15">
          <a:extLst>
            <a:ext uri="{FF2B5EF4-FFF2-40B4-BE49-F238E27FC236}">
              <a16:creationId xmlns="" xmlns:a16="http://schemas.microsoft.com/office/drawing/2014/main" id="{00000000-0008-0000-0000-000010000000}"/>
            </a:ext>
          </a:extLst>
        </xdr:cNvPr>
        <xdr:cNvSpPr/>
      </xdr:nvSpPr>
      <xdr:spPr>
        <a:xfrm>
          <a:off x="10696575" y="73066275"/>
          <a:ext cx="1600200"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400" b="1">
              <a:ln>
                <a:noFill/>
              </a:ln>
              <a:solidFill>
                <a:srgbClr val="C00000"/>
              </a:solidFill>
            </a:rPr>
            <a:t>T2</a:t>
          </a:r>
        </a:p>
      </xdr:txBody>
    </xdr:sp>
    <xdr:clientData/>
  </xdr:twoCellAnchor>
  <xdr:oneCellAnchor>
    <xdr:from>
      <xdr:col>13</xdr:col>
      <xdr:colOff>87630</xdr:colOff>
      <xdr:row>349</xdr:row>
      <xdr:rowOff>163830</xdr:rowOff>
    </xdr:from>
    <xdr:ext cx="415948" cy="374141"/>
    <xdr:sp macro="" textlink="">
      <xdr:nvSpPr>
        <xdr:cNvPr id="11" name="TextBox 10">
          <a:extLst>
            <a:ext uri="{FF2B5EF4-FFF2-40B4-BE49-F238E27FC236}">
              <a16:creationId xmlns="" xmlns:a16="http://schemas.microsoft.com/office/drawing/2014/main" id="{1C793A45-F93D-702C-3449-19C5E32AA68B}"/>
            </a:ext>
          </a:extLst>
        </xdr:cNvPr>
        <xdr:cNvSpPr txBox="1"/>
      </xdr:nvSpPr>
      <xdr:spPr>
        <a:xfrm>
          <a:off x="8374380" y="76268580"/>
          <a:ext cx="41594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T1</a:t>
          </a:r>
        </a:p>
      </xdr:txBody>
    </xdr:sp>
    <xdr:clientData/>
  </xdr:oneCellAnchor>
  <xdr:oneCellAnchor>
    <xdr:from>
      <xdr:col>14</xdr:col>
      <xdr:colOff>582930</xdr:colOff>
      <xdr:row>349</xdr:row>
      <xdr:rowOff>186690</xdr:rowOff>
    </xdr:from>
    <xdr:ext cx="415948" cy="374141"/>
    <xdr:sp macro="" textlink="">
      <xdr:nvSpPr>
        <xdr:cNvPr id="12" name="TextBox 11">
          <a:extLst>
            <a:ext uri="{FF2B5EF4-FFF2-40B4-BE49-F238E27FC236}">
              <a16:creationId xmlns="" xmlns:a16="http://schemas.microsoft.com/office/drawing/2014/main" id="{DBDE14FB-4F4B-4BC9-BFCB-37175AB429C8}"/>
            </a:ext>
          </a:extLst>
        </xdr:cNvPr>
        <xdr:cNvSpPr txBox="1"/>
      </xdr:nvSpPr>
      <xdr:spPr>
        <a:xfrm>
          <a:off x="9479280" y="76291440"/>
          <a:ext cx="41594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T2</a:t>
          </a:r>
        </a:p>
      </xdr:txBody>
    </xdr:sp>
    <xdr:clientData/>
  </xdr:oneCellAnchor>
  <xdr:oneCellAnchor>
    <xdr:from>
      <xdr:col>18</xdr:col>
      <xdr:colOff>102870</xdr:colOff>
      <xdr:row>350</xdr:row>
      <xdr:rowOff>40005</xdr:rowOff>
    </xdr:from>
    <xdr:ext cx="415948" cy="374141"/>
    <xdr:sp macro="" textlink="">
      <xdr:nvSpPr>
        <xdr:cNvPr id="13" name="TextBox 12">
          <a:extLst>
            <a:ext uri="{FF2B5EF4-FFF2-40B4-BE49-F238E27FC236}">
              <a16:creationId xmlns="" xmlns:a16="http://schemas.microsoft.com/office/drawing/2014/main" id="{F2CD8CE8-513A-4662-9EEA-3A5FE1B02BE0}"/>
            </a:ext>
          </a:extLst>
        </xdr:cNvPr>
        <xdr:cNvSpPr txBox="1"/>
      </xdr:nvSpPr>
      <xdr:spPr>
        <a:xfrm>
          <a:off x="11685270" y="76344780"/>
          <a:ext cx="41594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solidFill>
                <a:srgbClr val="FFFF00"/>
              </a:solidFill>
            </a:rPr>
            <a:t>T3</a:t>
          </a:r>
        </a:p>
      </xdr:txBody>
    </xdr:sp>
    <xdr:clientData/>
  </xdr:oneCellAnchor>
  <xdr:twoCellAnchor>
    <xdr:from>
      <xdr:col>0</xdr:col>
      <xdr:colOff>66675</xdr:colOff>
      <xdr:row>349</xdr:row>
      <xdr:rowOff>95250</xdr:rowOff>
    </xdr:from>
    <xdr:to>
      <xdr:col>9</xdr:col>
      <xdr:colOff>160988</xdr:colOff>
      <xdr:row>380</xdr:row>
      <xdr:rowOff>193087</xdr:rowOff>
    </xdr:to>
    <xdr:grpSp>
      <xdr:nvGrpSpPr>
        <xdr:cNvPr id="15" name="Group 14"/>
        <xdr:cNvGrpSpPr/>
      </xdr:nvGrpSpPr>
      <xdr:grpSpPr>
        <a:xfrm>
          <a:off x="66675" y="76200000"/>
          <a:ext cx="6190313" cy="6289087"/>
          <a:chOff x="66675" y="76200000"/>
          <a:chExt cx="6190313" cy="6289087"/>
        </a:xfrm>
      </xdr:grpSpPr>
      <xdr:grpSp>
        <xdr:nvGrpSpPr>
          <xdr:cNvPr id="14" name="Group 13"/>
          <xdr:cNvGrpSpPr/>
        </xdr:nvGrpSpPr>
        <xdr:grpSpPr>
          <a:xfrm>
            <a:off x="66675" y="76200000"/>
            <a:ext cx="6190313" cy="6289087"/>
            <a:chOff x="66675" y="76200000"/>
            <a:chExt cx="6190313" cy="6289087"/>
          </a:xfrm>
        </xdr:grpSpPr>
        <xdr:pic>
          <xdr:nvPicPr>
            <xdr:cNvPr id="26" name="Picture 25" descr="https://vsjcllp.vsjadon.com/upload/insp-243245-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638675" y="803243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3245-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95251" y="76200000"/>
              <a:ext cx="3018658" cy="40290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3245-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66675" y="803243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45-847.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00401" y="76200000"/>
              <a:ext cx="3018658" cy="40290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245-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781175" y="80329087"/>
              <a:ext cx="277177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2" name="TextBox 41">
            <a:extLst>
              <a:ext uri="{FF2B5EF4-FFF2-40B4-BE49-F238E27FC236}">
                <a16:creationId xmlns="" xmlns:a16="http://schemas.microsoft.com/office/drawing/2014/main" id="{1C793A45-F93D-702C-3449-19C5E32AA68B}"/>
              </a:ext>
            </a:extLst>
          </xdr:cNvPr>
          <xdr:cNvSpPr txBox="1"/>
        </xdr:nvSpPr>
        <xdr:spPr>
          <a:xfrm>
            <a:off x="2362200" y="76238100"/>
            <a:ext cx="41594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T1</a:t>
            </a:r>
          </a:p>
        </xdr:txBody>
      </xdr:sp>
      <xdr:sp macro="" textlink="">
        <xdr:nvSpPr>
          <xdr:cNvPr id="43" name="TextBox 42">
            <a:extLst>
              <a:ext uri="{FF2B5EF4-FFF2-40B4-BE49-F238E27FC236}">
                <a16:creationId xmlns="" xmlns:a16="http://schemas.microsoft.com/office/drawing/2014/main" id="{1C793A45-F93D-702C-3449-19C5E32AA68B}"/>
              </a:ext>
            </a:extLst>
          </xdr:cNvPr>
          <xdr:cNvSpPr txBox="1"/>
        </xdr:nvSpPr>
        <xdr:spPr>
          <a:xfrm>
            <a:off x="647700" y="77752575"/>
            <a:ext cx="41594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T3</a:t>
            </a:r>
          </a:p>
        </xdr:txBody>
      </xdr:sp>
      <xdr:sp macro="" textlink="">
        <xdr:nvSpPr>
          <xdr:cNvPr id="44" name="TextBox 43">
            <a:extLst>
              <a:ext uri="{FF2B5EF4-FFF2-40B4-BE49-F238E27FC236}">
                <a16:creationId xmlns="" xmlns:a16="http://schemas.microsoft.com/office/drawing/2014/main" id="{1C793A45-F93D-702C-3449-19C5E32AA68B}"/>
              </a:ext>
            </a:extLst>
          </xdr:cNvPr>
          <xdr:cNvSpPr txBox="1"/>
        </xdr:nvSpPr>
        <xdr:spPr>
          <a:xfrm>
            <a:off x="1190625" y="76819125"/>
            <a:ext cx="41594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T2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294337</xdr:colOff>
      <xdr:row>38</xdr:row>
      <xdr:rowOff>64500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048125" y="3429000"/>
          <a:ext cx="1618312" cy="2160000"/>
        </a:xfrm>
        <a:prstGeom prst="rect">
          <a:avLst/>
        </a:prstGeom>
        <a:ln>
          <a:solidFill>
            <a:schemeClr val="tx1"/>
          </a:solidFill>
        </a:ln>
      </xdr:spPr>
    </xdr:pic>
    <xdr:clientData/>
  </xdr:twoCellAnchor>
  <xdr:twoCellAnchor editAs="oneCell">
    <xdr:from>
      <xdr:col>7</xdr:col>
      <xdr:colOff>471704</xdr:colOff>
      <xdr:row>27</xdr:row>
      <xdr:rowOff>0</xdr:rowOff>
    </xdr:from>
    <xdr:to>
      <xdr:col>9</xdr:col>
      <xdr:colOff>365991</xdr:colOff>
      <xdr:row>38</xdr:row>
      <xdr:rowOff>64500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843804" y="34290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23</xdr:col>
      <xdr:colOff>207924</xdr:colOff>
      <xdr:row>43</xdr:row>
      <xdr:rowOff>75286</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09725" y="952500"/>
          <a:ext cx="13009524" cy="7314286"/>
        </a:xfrm>
        <a:prstGeom prst="rect">
          <a:avLst/>
        </a:prstGeom>
      </xdr:spPr>
    </xdr:pic>
    <xdr:clientData/>
  </xdr:twoCellAnchor>
  <xdr:twoCellAnchor editAs="oneCell">
    <xdr:from>
      <xdr:col>4</xdr:col>
      <xdr:colOff>19051</xdr:colOff>
      <xdr:row>43</xdr:row>
      <xdr:rowOff>180975</xdr:rowOff>
    </xdr:from>
    <xdr:to>
      <xdr:col>14</xdr:col>
      <xdr:colOff>326176</xdr:colOff>
      <xdr:row>62</xdr:row>
      <xdr:rowOff>161475</xdr:rowOff>
    </xdr:to>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847976" y="8372475"/>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caVkccqPdNdFk628"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1"/>
  <sheetViews>
    <sheetView tabSelected="1" view="pageBreakPreview" topLeftCell="A349" zoomScaleNormal="100" zoomScaleSheetLayoutView="100" workbookViewId="0">
      <selection activeCell="A208" sqref="A208:XFD208"/>
    </sheetView>
  </sheetViews>
  <sheetFormatPr defaultRowHeight="15.75" x14ac:dyDescent="0.25"/>
  <cols>
    <col min="1" max="1" width="10.28515625" style="12" customWidth="1"/>
    <col min="2" max="2" width="13.140625" style="12" customWidth="1"/>
    <col min="3" max="3" width="14.140625" style="12" customWidth="1"/>
    <col min="4" max="4" width="7.28515625" style="12" customWidth="1"/>
    <col min="5" max="5" width="5.5703125" style="12" customWidth="1"/>
    <col min="6" max="6" width="9.85546875" style="12" customWidth="1"/>
    <col min="7" max="7" width="10.140625" style="12" customWidth="1"/>
    <col min="8" max="8" width="10.5703125" style="12" customWidth="1"/>
    <col min="9" max="9" width="10.42578125" style="12" customWidth="1"/>
    <col min="10" max="10" width="3.28515625" style="12" customWidth="1"/>
    <col min="11" max="12" width="9.140625" style="12"/>
    <col min="13" max="13" width="11.28515625" style="12" bestFit="1" customWidth="1"/>
    <col min="14" max="15" width="9.140625" style="12"/>
    <col min="16" max="16" width="12.85546875" style="12" bestFit="1" customWidth="1"/>
    <col min="17" max="254" width="9.140625" style="12"/>
    <col min="255" max="255" width="8.7109375" style="12" customWidth="1"/>
    <col min="256" max="256" width="9.85546875" style="12" customWidth="1"/>
    <col min="257" max="257" width="14.42578125" style="12" customWidth="1"/>
    <col min="258" max="258" width="7.28515625" style="12" customWidth="1"/>
    <col min="259" max="259" width="5.5703125" style="12" customWidth="1"/>
    <col min="260" max="260" width="9" style="12" customWidth="1"/>
    <col min="261" max="262" width="9.85546875" style="12" customWidth="1"/>
    <col min="263" max="263" width="11.140625" style="12" customWidth="1"/>
    <col min="264" max="264" width="2.85546875" style="12" customWidth="1"/>
    <col min="265" max="265" width="3.5703125" style="12" customWidth="1"/>
    <col min="266" max="510" width="9.140625" style="12"/>
    <col min="511" max="511" width="8.7109375" style="12" customWidth="1"/>
    <col min="512" max="512" width="9.85546875" style="12" customWidth="1"/>
    <col min="513" max="513" width="14.42578125" style="12" customWidth="1"/>
    <col min="514" max="514" width="7.28515625" style="12" customWidth="1"/>
    <col min="515" max="515" width="5.5703125" style="12" customWidth="1"/>
    <col min="516" max="516" width="9" style="12" customWidth="1"/>
    <col min="517" max="518" width="9.85546875" style="12" customWidth="1"/>
    <col min="519" max="519" width="11.140625" style="12" customWidth="1"/>
    <col min="520" max="520" width="2.85546875" style="12" customWidth="1"/>
    <col min="521" max="521" width="3.5703125" style="12" customWidth="1"/>
    <col min="522" max="766" width="9.140625" style="12"/>
    <col min="767" max="767" width="8.7109375" style="12" customWidth="1"/>
    <col min="768" max="768" width="9.85546875" style="12" customWidth="1"/>
    <col min="769" max="769" width="14.42578125" style="12" customWidth="1"/>
    <col min="770" max="770" width="7.28515625" style="12" customWidth="1"/>
    <col min="771" max="771" width="5.5703125" style="12" customWidth="1"/>
    <col min="772" max="772" width="9" style="12" customWidth="1"/>
    <col min="773" max="774" width="9.85546875" style="12" customWidth="1"/>
    <col min="775" max="775" width="11.140625" style="12" customWidth="1"/>
    <col min="776" max="776" width="2.85546875" style="12" customWidth="1"/>
    <col min="777" max="777" width="3.5703125" style="12" customWidth="1"/>
    <col min="778" max="1022" width="9.140625" style="12"/>
    <col min="1023" max="1023" width="8.7109375" style="12" customWidth="1"/>
    <col min="1024" max="1024" width="9.85546875" style="12" customWidth="1"/>
    <col min="1025" max="1025" width="14.42578125" style="12" customWidth="1"/>
    <col min="1026" max="1026" width="7.28515625" style="12" customWidth="1"/>
    <col min="1027" max="1027" width="5.5703125" style="12" customWidth="1"/>
    <col min="1028" max="1028" width="9" style="12" customWidth="1"/>
    <col min="1029" max="1030" width="9.85546875" style="12" customWidth="1"/>
    <col min="1031" max="1031" width="11.140625" style="12" customWidth="1"/>
    <col min="1032" max="1032" width="2.85546875" style="12" customWidth="1"/>
    <col min="1033" max="1033" width="3.5703125" style="12" customWidth="1"/>
    <col min="1034" max="1278" width="9.140625" style="12"/>
    <col min="1279" max="1279" width="8.7109375" style="12" customWidth="1"/>
    <col min="1280" max="1280" width="9.85546875" style="12" customWidth="1"/>
    <col min="1281" max="1281" width="14.42578125" style="12" customWidth="1"/>
    <col min="1282" max="1282" width="7.28515625" style="12" customWidth="1"/>
    <col min="1283" max="1283" width="5.5703125" style="12" customWidth="1"/>
    <col min="1284" max="1284" width="9" style="12" customWidth="1"/>
    <col min="1285" max="1286" width="9.85546875" style="12" customWidth="1"/>
    <col min="1287" max="1287" width="11.140625" style="12" customWidth="1"/>
    <col min="1288" max="1288" width="2.85546875" style="12" customWidth="1"/>
    <col min="1289" max="1289" width="3.5703125" style="12" customWidth="1"/>
    <col min="1290" max="1534" width="9.140625" style="12"/>
    <col min="1535" max="1535" width="8.7109375" style="12" customWidth="1"/>
    <col min="1536" max="1536" width="9.85546875" style="12" customWidth="1"/>
    <col min="1537" max="1537" width="14.42578125" style="12" customWidth="1"/>
    <col min="1538" max="1538" width="7.28515625" style="12" customWidth="1"/>
    <col min="1539" max="1539" width="5.5703125" style="12" customWidth="1"/>
    <col min="1540" max="1540" width="9" style="12" customWidth="1"/>
    <col min="1541" max="1542" width="9.85546875" style="12" customWidth="1"/>
    <col min="1543" max="1543" width="11.140625" style="12" customWidth="1"/>
    <col min="1544" max="1544" width="2.85546875" style="12" customWidth="1"/>
    <col min="1545" max="1545" width="3.5703125" style="12" customWidth="1"/>
    <col min="1546" max="1790" width="9.140625" style="12"/>
    <col min="1791" max="1791" width="8.7109375" style="12" customWidth="1"/>
    <col min="1792" max="1792" width="9.85546875" style="12" customWidth="1"/>
    <col min="1793" max="1793" width="14.42578125" style="12" customWidth="1"/>
    <col min="1794" max="1794" width="7.28515625" style="12" customWidth="1"/>
    <col min="1795" max="1795" width="5.5703125" style="12" customWidth="1"/>
    <col min="1796" max="1796" width="9" style="12" customWidth="1"/>
    <col min="1797" max="1798" width="9.85546875" style="12" customWidth="1"/>
    <col min="1799" max="1799" width="11.140625" style="12" customWidth="1"/>
    <col min="1800" max="1800" width="2.85546875" style="12" customWidth="1"/>
    <col min="1801" max="1801" width="3.5703125" style="12" customWidth="1"/>
    <col min="1802" max="2046" width="9.140625" style="12"/>
    <col min="2047" max="2047" width="8.7109375" style="12" customWidth="1"/>
    <col min="2048" max="2048" width="9.85546875" style="12" customWidth="1"/>
    <col min="2049" max="2049" width="14.42578125" style="12" customWidth="1"/>
    <col min="2050" max="2050" width="7.28515625" style="12" customWidth="1"/>
    <col min="2051" max="2051" width="5.5703125" style="12" customWidth="1"/>
    <col min="2052" max="2052" width="9" style="12" customWidth="1"/>
    <col min="2053" max="2054" width="9.85546875" style="12" customWidth="1"/>
    <col min="2055" max="2055" width="11.140625" style="12" customWidth="1"/>
    <col min="2056" max="2056" width="2.85546875" style="12" customWidth="1"/>
    <col min="2057" max="2057" width="3.5703125" style="12" customWidth="1"/>
    <col min="2058" max="2302" width="9.140625" style="12"/>
    <col min="2303" max="2303" width="8.7109375" style="12" customWidth="1"/>
    <col min="2304" max="2304" width="9.85546875" style="12" customWidth="1"/>
    <col min="2305" max="2305" width="14.42578125" style="12" customWidth="1"/>
    <col min="2306" max="2306" width="7.28515625" style="12" customWidth="1"/>
    <col min="2307" max="2307" width="5.5703125" style="12" customWidth="1"/>
    <col min="2308" max="2308" width="9" style="12" customWidth="1"/>
    <col min="2309" max="2310" width="9.85546875" style="12" customWidth="1"/>
    <col min="2311" max="2311" width="11.140625" style="12" customWidth="1"/>
    <col min="2312" max="2312" width="2.85546875" style="12" customWidth="1"/>
    <col min="2313" max="2313" width="3.5703125" style="12" customWidth="1"/>
    <col min="2314" max="2558" width="9.140625" style="12"/>
    <col min="2559" max="2559" width="8.7109375" style="12" customWidth="1"/>
    <col min="2560" max="2560" width="9.85546875" style="12" customWidth="1"/>
    <col min="2561" max="2561" width="14.42578125" style="12" customWidth="1"/>
    <col min="2562" max="2562" width="7.28515625" style="12" customWidth="1"/>
    <col min="2563" max="2563" width="5.5703125" style="12" customWidth="1"/>
    <col min="2564" max="2564" width="9" style="12" customWidth="1"/>
    <col min="2565" max="2566" width="9.85546875" style="12" customWidth="1"/>
    <col min="2567" max="2567" width="11.140625" style="12" customWidth="1"/>
    <col min="2568" max="2568" width="2.85546875" style="12" customWidth="1"/>
    <col min="2569" max="2569" width="3.5703125" style="12" customWidth="1"/>
    <col min="2570" max="2814" width="9.140625" style="12"/>
    <col min="2815" max="2815" width="8.7109375" style="12" customWidth="1"/>
    <col min="2816" max="2816" width="9.85546875" style="12" customWidth="1"/>
    <col min="2817" max="2817" width="14.42578125" style="12" customWidth="1"/>
    <col min="2818" max="2818" width="7.28515625" style="12" customWidth="1"/>
    <col min="2819" max="2819" width="5.5703125" style="12" customWidth="1"/>
    <col min="2820" max="2820" width="9" style="12" customWidth="1"/>
    <col min="2821" max="2822" width="9.85546875" style="12" customWidth="1"/>
    <col min="2823" max="2823" width="11.140625" style="12" customWidth="1"/>
    <col min="2824" max="2824" width="2.85546875" style="12" customWidth="1"/>
    <col min="2825" max="2825" width="3.5703125" style="12" customWidth="1"/>
    <col min="2826" max="3070" width="9.140625" style="12"/>
    <col min="3071" max="3071" width="8.7109375" style="12" customWidth="1"/>
    <col min="3072" max="3072" width="9.85546875" style="12" customWidth="1"/>
    <col min="3073" max="3073" width="14.42578125" style="12" customWidth="1"/>
    <col min="3074" max="3074" width="7.28515625" style="12" customWidth="1"/>
    <col min="3075" max="3075" width="5.5703125" style="12" customWidth="1"/>
    <col min="3076" max="3076" width="9" style="12" customWidth="1"/>
    <col min="3077" max="3078" width="9.85546875" style="12" customWidth="1"/>
    <col min="3079" max="3079" width="11.140625" style="12" customWidth="1"/>
    <col min="3080" max="3080" width="2.85546875" style="12" customWidth="1"/>
    <col min="3081" max="3081" width="3.5703125" style="12" customWidth="1"/>
    <col min="3082" max="3326" width="9.140625" style="12"/>
    <col min="3327" max="3327" width="8.7109375" style="12" customWidth="1"/>
    <col min="3328" max="3328" width="9.85546875" style="12" customWidth="1"/>
    <col min="3329" max="3329" width="14.42578125" style="12" customWidth="1"/>
    <col min="3330" max="3330" width="7.28515625" style="12" customWidth="1"/>
    <col min="3331" max="3331" width="5.5703125" style="12" customWidth="1"/>
    <col min="3332" max="3332" width="9" style="12" customWidth="1"/>
    <col min="3333" max="3334" width="9.85546875" style="12" customWidth="1"/>
    <col min="3335" max="3335" width="11.140625" style="12" customWidth="1"/>
    <col min="3336" max="3336" width="2.85546875" style="12" customWidth="1"/>
    <col min="3337" max="3337" width="3.5703125" style="12" customWidth="1"/>
    <col min="3338" max="3582" width="9.140625" style="12"/>
    <col min="3583" max="3583" width="8.7109375" style="12" customWidth="1"/>
    <col min="3584" max="3584" width="9.85546875" style="12" customWidth="1"/>
    <col min="3585" max="3585" width="14.42578125" style="12" customWidth="1"/>
    <col min="3586" max="3586" width="7.28515625" style="12" customWidth="1"/>
    <col min="3587" max="3587" width="5.5703125" style="12" customWidth="1"/>
    <col min="3588" max="3588" width="9" style="12" customWidth="1"/>
    <col min="3589" max="3590" width="9.85546875" style="12" customWidth="1"/>
    <col min="3591" max="3591" width="11.140625" style="12" customWidth="1"/>
    <col min="3592" max="3592" width="2.85546875" style="12" customWidth="1"/>
    <col min="3593" max="3593" width="3.5703125" style="12" customWidth="1"/>
    <col min="3594" max="3838" width="9.140625" style="12"/>
    <col min="3839" max="3839" width="8.7109375" style="12" customWidth="1"/>
    <col min="3840" max="3840" width="9.85546875" style="12" customWidth="1"/>
    <col min="3841" max="3841" width="14.42578125" style="12" customWidth="1"/>
    <col min="3842" max="3842" width="7.28515625" style="12" customWidth="1"/>
    <col min="3843" max="3843" width="5.5703125" style="12" customWidth="1"/>
    <col min="3844" max="3844" width="9" style="12" customWidth="1"/>
    <col min="3845" max="3846" width="9.85546875" style="12" customWidth="1"/>
    <col min="3847" max="3847" width="11.140625" style="12" customWidth="1"/>
    <col min="3848" max="3848" width="2.85546875" style="12" customWidth="1"/>
    <col min="3849" max="3849" width="3.5703125" style="12" customWidth="1"/>
    <col min="3850" max="4094" width="9.140625" style="12"/>
    <col min="4095" max="4095" width="8.7109375" style="12" customWidth="1"/>
    <col min="4096" max="4096" width="9.85546875" style="12" customWidth="1"/>
    <col min="4097" max="4097" width="14.42578125" style="12" customWidth="1"/>
    <col min="4098" max="4098" width="7.28515625" style="12" customWidth="1"/>
    <col min="4099" max="4099" width="5.5703125" style="12" customWidth="1"/>
    <col min="4100" max="4100" width="9" style="12" customWidth="1"/>
    <col min="4101" max="4102" width="9.85546875" style="12" customWidth="1"/>
    <col min="4103" max="4103" width="11.140625" style="12" customWidth="1"/>
    <col min="4104" max="4104" width="2.85546875" style="12" customWidth="1"/>
    <col min="4105" max="4105" width="3.5703125" style="12" customWidth="1"/>
    <col min="4106" max="4350" width="9.140625" style="12"/>
    <col min="4351" max="4351" width="8.7109375" style="12" customWidth="1"/>
    <col min="4352" max="4352" width="9.85546875" style="12" customWidth="1"/>
    <col min="4353" max="4353" width="14.42578125" style="12" customWidth="1"/>
    <col min="4354" max="4354" width="7.28515625" style="12" customWidth="1"/>
    <col min="4355" max="4355" width="5.5703125" style="12" customWidth="1"/>
    <col min="4356" max="4356" width="9" style="12" customWidth="1"/>
    <col min="4357" max="4358" width="9.85546875" style="12" customWidth="1"/>
    <col min="4359" max="4359" width="11.140625" style="12" customWidth="1"/>
    <col min="4360" max="4360" width="2.85546875" style="12" customWidth="1"/>
    <col min="4361" max="4361" width="3.5703125" style="12" customWidth="1"/>
    <col min="4362" max="4606" width="9.140625" style="12"/>
    <col min="4607" max="4607" width="8.7109375" style="12" customWidth="1"/>
    <col min="4608" max="4608" width="9.85546875" style="12" customWidth="1"/>
    <col min="4609" max="4609" width="14.42578125" style="12" customWidth="1"/>
    <col min="4610" max="4610" width="7.28515625" style="12" customWidth="1"/>
    <col min="4611" max="4611" width="5.5703125" style="12" customWidth="1"/>
    <col min="4612" max="4612" width="9" style="12" customWidth="1"/>
    <col min="4613" max="4614" width="9.85546875" style="12" customWidth="1"/>
    <col min="4615" max="4615" width="11.140625" style="12" customWidth="1"/>
    <col min="4616" max="4616" width="2.85546875" style="12" customWidth="1"/>
    <col min="4617" max="4617" width="3.5703125" style="12" customWidth="1"/>
    <col min="4618" max="4862" width="9.140625" style="12"/>
    <col min="4863" max="4863" width="8.7109375" style="12" customWidth="1"/>
    <col min="4864" max="4864" width="9.85546875" style="12" customWidth="1"/>
    <col min="4865" max="4865" width="14.42578125" style="12" customWidth="1"/>
    <col min="4866" max="4866" width="7.28515625" style="12" customWidth="1"/>
    <col min="4867" max="4867" width="5.5703125" style="12" customWidth="1"/>
    <col min="4868" max="4868" width="9" style="12" customWidth="1"/>
    <col min="4869" max="4870" width="9.85546875" style="12" customWidth="1"/>
    <col min="4871" max="4871" width="11.140625" style="12" customWidth="1"/>
    <col min="4872" max="4872" width="2.85546875" style="12" customWidth="1"/>
    <col min="4873" max="4873" width="3.5703125" style="12" customWidth="1"/>
    <col min="4874" max="5118" width="9.140625" style="12"/>
    <col min="5119" max="5119" width="8.7109375" style="12" customWidth="1"/>
    <col min="5120" max="5120" width="9.85546875" style="12" customWidth="1"/>
    <col min="5121" max="5121" width="14.42578125" style="12" customWidth="1"/>
    <col min="5122" max="5122" width="7.28515625" style="12" customWidth="1"/>
    <col min="5123" max="5123" width="5.5703125" style="12" customWidth="1"/>
    <col min="5124" max="5124" width="9" style="12" customWidth="1"/>
    <col min="5125" max="5126" width="9.85546875" style="12" customWidth="1"/>
    <col min="5127" max="5127" width="11.140625" style="12" customWidth="1"/>
    <col min="5128" max="5128" width="2.85546875" style="12" customWidth="1"/>
    <col min="5129" max="5129" width="3.5703125" style="12" customWidth="1"/>
    <col min="5130" max="5374" width="9.140625" style="12"/>
    <col min="5375" max="5375" width="8.7109375" style="12" customWidth="1"/>
    <col min="5376" max="5376" width="9.85546875" style="12" customWidth="1"/>
    <col min="5377" max="5377" width="14.42578125" style="12" customWidth="1"/>
    <col min="5378" max="5378" width="7.28515625" style="12" customWidth="1"/>
    <col min="5379" max="5379" width="5.5703125" style="12" customWidth="1"/>
    <col min="5380" max="5380" width="9" style="12" customWidth="1"/>
    <col min="5381" max="5382" width="9.85546875" style="12" customWidth="1"/>
    <col min="5383" max="5383" width="11.140625" style="12" customWidth="1"/>
    <col min="5384" max="5384" width="2.85546875" style="12" customWidth="1"/>
    <col min="5385" max="5385" width="3.5703125" style="12" customWidth="1"/>
    <col min="5386" max="5630" width="9.140625" style="12"/>
    <col min="5631" max="5631" width="8.7109375" style="12" customWidth="1"/>
    <col min="5632" max="5632" width="9.85546875" style="12" customWidth="1"/>
    <col min="5633" max="5633" width="14.42578125" style="12" customWidth="1"/>
    <col min="5634" max="5634" width="7.28515625" style="12" customWidth="1"/>
    <col min="5635" max="5635" width="5.5703125" style="12" customWidth="1"/>
    <col min="5636" max="5636" width="9" style="12" customWidth="1"/>
    <col min="5637" max="5638" width="9.85546875" style="12" customWidth="1"/>
    <col min="5639" max="5639" width="11.140625" style="12" customWidth="1"/>
    <col min="5640" max="5640" width="2.85546875" style="12" customWidth="1"/>
    <col min="5641" max="5641" width="3.5703125" style="12" customWidth="1"/>
    <col min="5642" max="5886" width="9.140625" style="12"/>
    <col min="5887" max="5887" width="8.7109375" style="12" customWidth="1"/>
    <col min="5888" max="5888" width="9.85546875" style="12" customWidth="1"/>
    <col min="5889" max="5889" width="14.42578125" style="12" customWidth="1"/>
    <col min="5890" max="5890" width="7.28515625" style="12" customWidth="1"/>
    <col min="5891" max="5891" width="5.5703125" style="12" customWidth="1"/>
    <col min="5892" max="5892" width="9" style="12" customWidth="1"/>
    <col min="5893" max="5894" width="9.85546875" style="12" customWidth="1"/>
    <col min="5895" max="5895" width="11.140625" style="12" customWidth="1"/>
    <col min="5896" max="5896" width="2.85546875" style="12" customWidth="1"/>
    <col min="5897" max="5897" width="3.5703125" style="12" customWidth="1"/>
    <col min="5898" max="6142" width="9.140625" style="12"/>
    <col min="6143" max="6143" width="8.7109375" style="12" customWidth="1"/>
    <col min="6144" max="6144" width="9.85546875" style="12" customWidth="1"/>
    <col min="6145" max="6145" width="14.42578125" style="12" customWidth="1"/>
    <col min="6146" max="6146" width="7.28515625" style="12" customWidth="1"/>
    <col min="6147" max="6147" width="5.5703125" style="12" customWidth="1"/>
    <col min="6148" max="6148" width="9" style="12" customWidth="1"/>
    <col min="6149" max="6150" width="9.85546875" style="12" customWidth="1"/>
    <col min="6151" max="6151" width="11.140625" style="12" customWidth="1"/>
    <col min="6152" max="6152" width="2.85546875" style="12" customWidth="1"/>
    <col min="6153" max="6153" width="3.5703125" style="12" customWidth="1"/>
    <col min="6154" max="6398" width="9.140625" style="12"/>
    <col min="6399" max="6399" width="8.7109375" style="12" customWidth="1"/>
    <col min="6400" max="6400" width="9.85546875" style="12" customWidth="1"/>
    <col min="6401" max="6401" width="14.42578125" style="12" customWidth="1"/>
    <col min="6402" max="6402" width="7.28515625" style="12" customWidth="1"/>
    <col min="6403" max="6403" width="5.5703125" style="12" customWidth="1"/>
    <col min="6404" max="6404" width="9" style="12" customWidth="1"/>
    <col min="6405" max="6406" width="9.85546875" style="12" customWidth="1"/>
    <col min="6407" max="6407" width="11.140625" style="12" customWidth="1"/>
    <col min="6408" max="6408" width="2.85546875" style="12" customWidth="1"/>
    <col min="6409" max="6409" width="3.5703125" style="12" customWidth="1"/>
    <col min="6410" max="6654" width="9.140625" style="12"/>
    <col min="6655" max="6655" width="8.7109375" style="12" customWidth="1"/>
    <col min="6656" max="6656" width="9.85546875" style="12" customWidth="1"/>
    <col min="6657" max="6657" width="14.42578125" style="12" customWidth="1"/>
    <col min="6658" max="6658" width="7.28515625" style="12" customWidth="1"/>
    <col min="6659" max="6659" width="5.5703125" style="12" customWidth="1"/>
    <col min="6660" max="6660" width="9" style="12" customWidth="1"/>
    <col min="6661" max="6662" width="9.85546875" style="12" customWidth="1"/>
    <col min="6663" max="6663" width="11.140625" style="12" customWidth="1"/>
    <col min="6664" max="6664" width="2.85546875" style="12" customWidth="1"/>
    <col min="6665" max="6665" width="3.5703125" style="12" customWidth="1"/>
    <col min="6666" max="6910" width="9.140625" style="12"/>
    <col min="6911" max="6911" width="8.7109375" style="12" customWidth="1"/>
    <col min="6912" max="6912" width="9.85546875" style="12" customWidth="1"/>
    <col min="6913" max="6913" width="14.42578125" style="12" customWidth="1"/>
    <col min="6914" max="6914" width="7.28515625" style="12" customWidth="1"/>
    <col min="6915" max="6915" width="5.5703125" style="12" customWidth="1"/>
    <col min="6916" max="6916" width="9" style="12" customWidth="1"/>
    <col min="6917" max="6918" width="9.85546875" style="12" customWidth="1"/>
    <col min="6919" max="6919" width="11.140625" style="12" customWidth="1"/>
    <col min="6920" max="6920" width="2.85546875" style="12" customWidth="1"/>
    <col min="6921" max="6921" width="3.5703125" style="12" customWidth="1"/>
    <col min="6922" max="7166" width="9.140625" style="12"/>
    <col min="7167" max="7167" width="8.7109375" style="12" customWidth="1"/>
    <col min="7168" max="7168" width="9.85546875" style="12" customWidth="1"/>
    <col min="7169" max="7169" width="14.42578125" style="12" customWidth="1"/>
    <col min="7170" max="7170" width="7.28515625" style="12" customWidth="1"/>
    <col min="7171" max="7171" width="5.5703125" style="12" customWidth="1"/>
    <col min="7172" max="7172" width="9" style="12" customWidth="1"/>
    <col min="7173" max="7174" width="9.85546875" style="12" customWidth="1"/>
    <col min="7175" max="7175" width="11.140625" style="12" customWidth="1"/>
    <col min="7176" max="7176" width="2.85546875" style="12" customWidth="1"/>
    <col min="7177" max="7177" width="3.5703125" style="12" customWidth="1"/>
    <col min="7178" max="7422" width="9.140625" style="12"/>
    <col min="7423" max="7423" width="8.7109375" style="12" customWidth="1"/>
    <col min="7424" max="7424" width="9.85546875" style="12" customWidth="1"/>
    <col min="7425" max="7425" width="14.42578125" style="12" customWidth="1"/>
    <col min="7426" max="7426" width="7.28515625" style="12" customWidth="1"/>
    <col min="7427" max="7427" width="5.5703125" style="12" customWidth="1"/>
    <col min="7428" max="7428" width="9" style="12" customWidth="1"/>
    <col min="7429" max="7430" width="9.85546875" style="12" customWidth="1"/>
    <col min="7431" max="7431" width="11.140625" style="12" customWidth="1"/>
    <col min="7432" max="7432" width="2.85546875" style="12" customWidth="1"/>
    <col min="7433" max="7433" width="3.5703125" style="12" customWidth="1"/>
    <col min="7434" max="7678" width="9.140625" style="12"/>
    <col min="7679" max="7679" width="8.7109375" style="12" customWidth="1"/>
    <col min="7680" max="7680" width="9.85546875" style="12" customWidth="1"/>
    <col min="7681" max="7681" width="14.42578125" style="12" customWidth="1"/>
    <col min="7682" max="7682" width="7.28515625" style="12" customWidth="1"/>
    <col min="7683" max="7683" width="5.5703125" style="12" customWidth="1"/>
    <col min="7684" max="7684" width="9" style="12" customWidth="1"/>
    <col min="7685" max="7686" width="9.85546875" style="12" customWidth="1"/>
    <col min="7687" max="7687" width="11.140625" style="12" customWidth="1"/>
    <col min="7688" max="7688" width="2.85546875" style="12" customWidth="1"/>
    <col min="7689" max="7689" width="3.5703125" style="12" customWidth="1"/>
    <col min="7690" max="7934" width="9.140625" style="12"/>
    <col min="7935" max="7935" width="8.7109375" style="12" customWidth="1"/>
    <col min="7936" max="7936" width="9.85546875" style="12" customWidth="1"/>
    <col min="7937" max="7937" width="14.42578125" style="12" customWidth="1"/>
    <col min="7938" max="7938" width="7.28515625" style="12" customWidth="1"/>
    <col min="7939" max="7939" width="5.5703125" style="12" customWidth="1"/>
    <col min="7940" max="7940" width="9" style="12" customWidth="1"/>
    <col min="7941" max="7942" width="9.85546875" style="12" customWidth="1"/>
    <col min="7943" max="7943" width="11.140625" style="12" customWidth="1"/>
    <col min="7944" max="7944" width="2.85546875" style="12" customWidth="1"/>
    <col min="7945" max="7945" width="3.5703125" style="12" customWidth="1"/>
    <col min="7946" max="8190" width="9.140625" style="12"/>
    <col min="8191" max="8191" width="8.7109375" style="12" customWidth="1"/>
    <col min="8192" max="8192" width="9.85546875" style="12" customWidth="1"/>
    <col min="8193" max="8193" width="14.42578125" style="12" customWidth="1"/>
    <col min="8194" max="8194" width="7.28515625" style="12" customWidth="1"/>
    <col min="8195" max="8195" width="5.5703125" style="12" customWidth="1"/>
    <col min="8196" max="8196" width="9" style="12" customWidth="1"/>
    <col min="8197" max="8198" width="9.85546875" style="12" customWidth="1"/>
    <col min="8199" max="8199" width="11.140625" style="12" customWidth="1"/>
    <col min="8200" max="8200" width="2.85546875" style="12" customWidth="1"/>
    <col min="8201" max="8201" width="3.5703125" style="12" customWidth="1"/>
    <col min="8202" max="8446" width="9.140625" style="12"/>
    <col min="8447" max="8447" width="8.7109375" style="12" customWidth="1"/>
    <col min="8448" max="8448" width="9.85546875" style="12" customWidth="1"/>
    <col min="8449" max="8449" width="14.42578125" style="12" customWidth="1"/>
    <col min="8450" max="8450" width="7.28515625" style="12" customWidth="1"/>
    <col min="8451" max="8451" width="5.5703125" style="12" customWidth="1"/>
    <col min="8452" max="8452" width="9" style="12" customWidth="1"/>
    <col min="8453" max="8454" width="9.85546875" style="12" customWidth="1"/>
    <col min="8455" max="8455" width="11.140625" style="12" customWidth="1"/>
    <col min="8456" max="8456" width="2.85546875" style="12" customWidth="1"/>
    <col min="8457" max="8457" width="3.5703125" style="12" customWidth="1"/>
    <col min="8458" max="8702" width="9.140625" style="12"/>
    <col min="8703" max="8703" width="8.7109375" style="12" customWidth="1"/>
    <col min="8704" max="8704" width="9.85546875" style="12" customWidth="1"/>
    <col min="8705" max="8705" width="14.42578125" style="12" customWidth="1"/>
    <col min="8706" max="8706" width="7.28515625" style="12" customWidth="1"/>
    <col min="8707" max="8707" width="5.5703125" style="12" customWidth="1"/>
    <col min="8708" max="8708" width="9" style="12" customWidth="1"/>
    <col min="8709" max="8710" width="9.85546875" style="12" customWidth="1"/>
    <col min="8711" max="8711" width="11.140625" style="12" customWidth="1"/>
    <col min="8712" max="8712" width="2.85546875" style="12" customWidth="1"/>
    <col min="8713" max="8713" width="3.5703125" style="12" customWidth="1"/>
    <col min="8714" max="8958" width="9.140625" style="12"/>
    <col min="8959" max="8959" width="8.7109375" style="12" customWidth="1"/>
    <col min="8960" max="8960" width="9.85546875" style="12" customWidth="1"/>
    <col min="8961" max="8961" width="14.42578125" style="12" customWidth="1"/>
    <col min="8962" max="8962" width="7.28515625" style="12" customWidth="1"/>
    <col min="8963" max="8963" width="5.5703125" style="12" customWidth="1"/>
    <col min="8964" max="8964" width="9" style="12" customWidth="1"/>
    <col min="8965" max="8966" width="9.85546875" style="12" customWidth="1"/>
    <col min="8967" max="8967" width="11.140625" style="12" customWidth="1"/>
    <col min="8968" max="8968" width="2.85546875" style="12" customWidth="1"/>
    <col min="8969" max="8969" width="3.5703125" style="12" customWidth="1"/>
    <col min="8970" max="9214" width="9.140625" style="12"/>
    <col min="9215" max="9215" width="8.7109375" style="12" customWidth="1"/>
    <col min="9216" max="9216" width="9.85546875" style="12" customWidth="1"/>
    <col min="9217" max="9217" width="14.42578125" style="12" customWidth="1"/>
    <col min="9218" max="9218" width="7.28515625" style="12" customWidth="1"/>
    <col min="9219" max="9219" width="5.5703125" style="12" customWidth="1"/>
    <col min="9220" max="9220" width="9" style="12" customWidth="1"/>
    <col min="9221" max="9222" width="9.85546875" style="12" customWidth="1"/>
    <col min="9223" max="9223" width="11.140625" style="12" customWidth="1"/>
    <col min="9224" max="9224" width="2.85546875" style="12" customWidth="1"/>
    <col min="9225" max="9225" width="3.5703125" style="12" customWidth="1"/>
    <col min="9226" max="9470" width="9.140625" style="12"/>
    <col min="9471" max="9471" width="8.7109375" style="12" customWidth="1"/>
    <col min="9472" max="9472" width="9.85546875" style="12" customWidth="1"/>
    <col min="9473" max="9473" width="14.42578125" style="12" customWidth="1"/>
    <col min="9474" max="9474" width="7.28515625" style="12" customWidth="1"/>
    <col min="9475" max="9475" width="5.5703125" style="12" customWidth="1"/>
    <col min="9476" max="9476" width="9" style="12" customWidth="1"/>
    <col min="9477" max="9478" width="9.85546875" style="12" customWidth="1"/>
    <col min="9479" max="9479" width="11.140625" style="12" customWidth="1"/>
    <col min="9480" max="9480" width="2.85546875" style="12" customWidth="1"/>
    <col min="9481" max="9481" width="3.5703125" style="12" customWidth="1"/>
    <col min="9482" max="9726" width="9.140625" style="12"/>
    <col min="9727" max="9727" width="8.7109375" style="12" customWidth="1"/>
    <col min="9728" max="9728" width="9.85546875" style="12" customWidth="1"/>
    <col min="9729" max="9729" width="14.42578125" style="12" customWidth="1"/>
    <col min="9730" max="9730" width="7.28515625" style="12" customWidth="1"/>
    <col min="9731" max="9731" width="5.5703125" style="12" customWidth="1"/>
    <col min="9732" max="9732" width="9" style="12" customWidth="1"/>
    <col min="9733" max="9734" width="9.85546875" style="12" customWidth="1"/>
    <col min="9735" max="9735" width="11.140625" style="12" customWidth="1"/>
    <col min="9736" max="9736" width="2.85546875" style="12" customWidth="1"/>
    <col min="9737" max="9737" width="3.5703125" style="12" customWidth="1"/>
    <col min="9738" max="9982" width="9.140625" style="12"/>
    <col min="9983" max="9983" width="8.7109375" style="12" customWidth="1"/>
    <col min="9984" max="9984" width="9.85546875" style="12" customWidth="1"/>
    <col min="9985" max="9985" width="14.42578125" style="12" customWidth="1"/>
    <col min="9986" max="9986" width="7.28515625" style="12" customWidth="1"/>
    <col min="9987" max="9987" width="5.5703125" style="12" customWidth="1"/>
    <col min="9988" max="9988" width="9" style="12" customWidth="1"/>
    <col min="9989" max="9990" width="9.85546875" style="12" customWidth="1"/>
    <col min="9991" max="9991" width="11.140625" style="12" customWidth="1"/>
    <col min="9992" max="9992" width="2.85546875" style="12" customWidth="1"/>
    <col min="9993" max="9993" width="3.5703125" style="12" customWidth="1"/>
    <col min="9994" max="10238" width="9.140625" style="12"/>
    <col min="10239" max="10239" width="8.7109375" style="12" customWidth="1"/>
    <col min="10240" max="10240" width="9.85546875" style="12" customWidth="1"/>
    <col min="10241" max="10241" width="14.42578125" style="12" customWidth="1"/>
    <col min="10242" max="10242" width="7.28515625" style="12" customWidth="1"/>
    <col min="10243" max="10243" width="5.5703125" style="12" customWidth="1"/>
    <col min="10244" max="10244" width="9" style="12" customWidth="1"/>
    <col min="10245" max="10246" width="9.85546875" style="12" customWidth="1"/>
    <col min="10247" max="10247" width="11.140625" style="12" customWidth="1"/>
    <col min="10248" max="10248" width="2.85546875" style="12" customWidth="1"/>
    <col min="10249" max="10249" width="3.5703125" style="12" customWidth="1"/>
    <col min="10250" max="10494" width="9.140625" style="12"/>
    <col min="10495" max="10495" width="8.7109375" style="12" customWidth="1"/>
    <col min="10496" max="10496" width="9.85546875" style="12" customWidth="1"/>
    <col min="10497" max="10497" width="14.42578125" style="12" customWidth="1"/>
    <col min="10498" max="10498" width="7.28515625" style="12" customWidth="1"/>
    <col min="10499" max="10499" width="5.5703125" style="12" customWidth="1"/>
    <col min="10500" max="10500" width="9" style="12" customWidth="1"/>
    <col min="10501" max="10502" width="9.85546875" style="12" customWidth="1"/>
    <col min="10503" max="10503" width="11.140625" style="12" customWidth="1"/>
    <col min="10504" max="10504" width="2.85546875" style="12" customWidth="1"/>
    <col min="10505" max="10505" width="3.5703125" style="12" customWidth="1"/>
    <col min="10506" max="10750" width="9.140625" style="12"/>
    <col min="10751" max="10751" width="8.7109375" style="12" customWidth="1"/>
    <col min="10752" max="10752" width="9.85546875" style="12" customWidth="1"/>
    <col min="10753" max="10753" width="14.42578125" style="12" customWidth="1"/>
    <col min="10754" max="10754" width="7.28515625" style="12" customWidth="1"/>
    <col min="10755" max="10755" width="5.5703125" style="12" customWidth="1"/>
    <col min="10756" max="10756" width="9" style="12" customWidth="1"/>
    <col min="10757" max="10758" width="9.85546875" style="12" customWidth="1"/>
    <col min="10759" max="10759" width="11.140625" style="12" customWidth="1"/>
    <col min="10760" max="10760" width="2.85546875" style="12" customWidth="1"/>
    <col min="10761" max="10761" width="3.5703125" style="12" customWidth="1"/>
    <col min="10762" max="11006" width="9.140625" style="12"/>
    <col min="11007" max="11007" width="8.7109375" style="12" customWidth="1"/>
    <col min="11008" max="11008" width="9.85546875" style="12" customWidth="1"/>
    <col min="11009" max="11009" width="14.42578125" style="12" customWidth="1"/>
    <col min="11010" max="11010" width="7.28515625" style="12" customWidth="1"/>
    <col min="11011" max="11011" width="5.5703125" style="12" customWidth="1"/>
    <col min="11012" max="11012" width="9" style="12" customWidth="1"/>
    <col min="11013" max="11014" width="9.85546875" style="12" customWidth="1"/>
    <col min="11015" max="11015" width="11.140625" style="12" customWidth="1"/>
    <col min="11016" max="11016" width="2.85546875" style="12" customWidth="1"/>
    <col min="11017" max="11017" width="3.5703125" style="12" customWidth="1"/>
    <col min="11018" max="11262" width="9.140625" style="12"/>
    <col min="11263" max="11263" width="8.7109375" style="12" customWidth="1"/>
    <col min="11264" max="11264" width="9.85546875" style="12" customWidth="1"/>
    <col min="11265" max="11265" width="14.42578125" style="12" customWidth="1"/>
    <col min="11266" max="11266" width="7.28515625" style="12" customWidth="1"/>
    <col min="11267" max="11267" width="5.5703125" style="12" customWidth="1"/>
    <col min="11268" max="11268" width="9" style="12" customWidth="1"/>
    <col min="11269" max="11270" width="9.85546875" style="12" customWidth="1"/>
    <col min="11271" max="11271" width="11.140625" style="12" customWidth="1"/>
    <col min="11272" max="11272" width="2.85546875" style="12" customWidth="1"/>
    <col min="11273" max="11273" width="3.5703125" style="12" customWidth="1"/>
    <col min="11274" max="11518" width="9.140625" style="12"/>
    <col min="11519" max="11519" width="8.7109375" style="12" customWidth="1"/>
    <col min="11520" max="11520" width="9.85546875" style="12" customWidth="1"/>
    <col min="11521" max="11521" width="14.42578125" style="12" customWidth="1"/>
    <col min="11522" max="11522" width="7.28515625" style="12" customWidth="1"/>
    <col min="11523" max="11523" width="5.5703125" style="12" customWidth="1"/>
    <col min="11524" max="11524" width="9" style="12" customWidth="1"/>
    <col min="11525" max="11526" width="9.85546875" style="12" customWidth="1"/>
    <col min="11527" max="11527" width="11.140625" style="12" customWidth="1"/>
    <col min="11528" max="11528" width="2.85546875" style="12" customWidth="1"/>
    <col min="11529" max="11529" width="3.5703125" style="12" customWidth="1"/>
    <col min="11530" max="11774" width="9.140625" style="12"/>
    <col min="11775" max="11775" width="8.7109375" style="12" customWidth="1"/>
    <col min="11776" max="11776" width="9.85546875" style="12" customWidth="1"/>
    <col min="11777" max="11777" width="14.42578125" style="12" customWidth="1"/>
    <col min="11778" max="11778" width="7.28515625" style="12" customWidth="1"/>
    <col min="11779" max="11779" width="5.5703125" style="12" customWidth="1"/>
    <col min="11780" max="11780" width="9" style="12" customWidth="1"/>
    <col min="11781" max="11782" width="9.85546875" style="12" customWidth="1"/>
    <col min="11783" max="11783" width="11.140625" style="12" customWidth="1"/>
    <col min="11784" max="11784" width="2.85546875" style="12" customWidth="1"/>
    <col min="11785" max="11785" width="3.5703125" style="12" customWidth="1"/>
    <col min="11786" max="12030" width="9.140625" style="12"/>
    <col min="12031" max="12031" width="8.7109375" style="12" customWidth="1"/>
    <col min="12032" max="12032" width="9.85546875" style="12" customWidth="1"/>
    <col min="12033" max="12033" width="14.42578125" style="12" customWidth="1"/>
    <col min="12034" max="12034" width="7.28515625" style="12" customWidth="1"/>
    <col min="12035" max="12035" width="5.5703125" style="12" customWidth="1"/>
    <col min="12036" max="12036" width="9" style="12" customWidth="1"/>
    <col min="12037" max="12038" width="9.85546875" style="12" customWidth="1"/>
    <col min="12039" max="12039" width="11.140625" style="12" customWidth="1"/>
    <col min="12040" max="12040" width="2.85546875" style="12" customWidth="1"/>
    <col min="12041" max="12041" width="3.5703125" style="12" customWidth="1"/>
    <col min="12042" max="12286" width="9.140625" style="12"/>
    <col min="12287" max="12287" width="8.7109375" style="12" customWidth="1"/>
    <col min="12288" max="12288" width="9.85546875" style="12" customWidth="1"/>
    <col min="12289" max="12289" width="14.42578125" style="12" customWidth="1"/>
    <col min="12290" max="12290" width="7.28515625" style="12" customWidth="1"/>
    <col min="12291" max="12291" width="5.5703125" style="12" customWidth="1"/>
    <col min="12292" max="12292" width="9" style="12" customWidth="1"/>
    <col min="12293" max="12294" width="9.85546875" style="12" customWidth="1"/>
    <col min="12295" max="12295" width="11.140625" style="12" customWidth="1"/>
    <col min="12296" max="12296" width="2.85546875" style="12" customWidth="1"/>
    <col min="12297" max="12297" width="3.5703125" style="12" customWidth="1"/>
    <col min="12298" max="12542" width="9.140625" style="12"/>
    <col min="12543" max="12543" width="8.7109375" style="12" customWidth="1"/>
    <col min="12544" max="12544" width="9.85546875" style="12" customWidth="1"/>
    <col min="12545" max="12545" width="14.42578125" style="12" customWidth="1"/>
    <col min="12546" max="12546" width="7.28515625" style="12" customWidth="1"/>
    <col min="12547" max="12547" width="5.5703125" style="12" customWidth="1"/>
    <col min="12548" max="12548" width="9" style="12" customWidth="1"/>
    <col min="12549" max="12550" width="9.85546875" style="12" customWidth="1"/>
    <col min="12551" max="12551" width="11.140625" style="12" customWidth="1"/>
    <col min="12552" max="12552" width="2.85546875" style="12" customWidth="1"/>
    <col min="12553" max="12553" width="3.5703125" style="12" customWidth="1"/>
    <col min="12554" max="12798" width="9.140625" style="12"/>
    <col min="12799" max="12799" width="8.7109375" style="12" customWidth="1"/>
    <col min="12800" max="12800" width="9.85546875" style="12" customWidth="1"/>
    <col min="12801" max="12801" width="14.42578125" style="12" customWidth="1"/>
    <col min="12802" max="12802" width="7.28515625" style="12" customWidth="1"/>
    <col min="12803" max="12803" width="5.5703125" style="12" customWidth="1"/>
    <col min="12804" max="12804" width="9" style="12" customWidth="1"/>
    <col min="12805" max="12806" width="9.85546875" style="12" customWidth="1"/>
    <col min="12807" max="12807" width="11.140625" style="12" customWidth="1"/>
    <col min="12808" max="12808" width="2.85546875" style="12" customWidth="1"/>
    <col min="12809" max="12809" width="3.5703125" style="12" customWidth="1"/>
    <col min="12810" max="13054" width="9.140625" style="12"/>
    <col min="13055" max="13055" width="8.7109375" style="12" customWidth="1"/>
    <col min="13056" max="13056" width="9.85546875" style="12" customWidth="1"/>
    <col min="13057" max="13057" width="14.42578125" style="12" customWidth="1"/>
    <col min="13058" max="13058" width="7.28515625" style="12" customWidth="1"/>
    <col min="13059" max="13059" width="5.5703125" style="12" customWidth="1"/>
    <col min="13060" max="13060" width="9" style="12" customWidth="1"/>
    <col min="13061" max="13062" width="9.85546875" style="12" customWidth="1"/>
    <col min="13063" max="13063" width="11.140625" style="12" customWidth="1"/>
    <col min="13064" max="13064" width="2.85546875" style="12" customWidth="1"/>
    <col min="13065" max="13065" width="3.5703125" style="12" customWidth="1"/>
    <col min="13066" max="13310" width="9.140625" style="12"/>
    <col min="13311" max="13311" width="8.7109375" style="12" customWidth="1"/>
    <col min="13312" max="13312" width="9.85546875" style="12" customWidth="1"/>
    <col min="13313" max="13313" width="14.42578125" style="12" customWidth="1"/>
    <col min="13314" max="13314" width="7.28515625" style="12" customWidth="1"/>
    <col min="13315" max="13315" width="5.5703125" style="12" customWidth="1"/>
    <col min="13316" max="13316" width="9" style="12" customWidth="1"/>
    <col min="13317" max="13318" width="9.85546875" style="12" customWidth="1"/>
    <col min="13319" max="13319" width="11.140625" style="12" customWidth="1"/>
    <col min="13320" max="13320" width="2.85546875" style="12" customWidth="1"/>
    <col min="13321" max="13321" width="3.5703125" style="12" customWidth="1"/>
    <col min="13322" max="13566" width="9.140625" style="12"/>
    <col min="13567" max="13567" width="8.7109375" style="12" customWidth="1"/>
    <col min="13568" max="13568" width="9.85546875" style="12" customWidth="1"/>
    <col min="13569" max="13569" width="14.42578125" style="12" customWidth="1"/>
    <col min="13570" max="13570" width="7.28515625" style="12" customWidth="1"/>
    <col min="13571" max="13571" width="5.5703125" style="12" customWidth="1"/>
    <col min="13572" max="13572" width="9" style="12" customWidth="1"/>
    <col min="13573" max="13574" width="9.85546875" style="12" customWidth="1"/>
    <col min="13575" max="13575" width="11.140625" style="12" customWidth="1"/>
    <col min="13576" max="13576" width="2.85546875" style="12" customWidth="1"/>
    <col min="13577" max="13577" width="3.5703125" style="12" customWidth="1"/>
    <col min="13578" max="13822" width="9.140625" style="12"/>
    <col min="13823" max="13823" width="8.7109375" style="12" customWidth="1"/>
    <col min="13824" max="13824" width="9.85546875" style="12" customWidth="1"/>
    <col min="13825" max="13825" width="14.42578125" style="12" customWidth="1"/>
    <col min="13826" max="13826" width="7.28515625" style="12" customWidth="1"/>
    <col min="13827" max="13827" width="5.5703125" style="12" customWidth="1"/>
    <col min="13828" max="13828" width="9" style="12" customWidth="1"/>
    <col min="13829" max="13830" width="9.85546875" style="12" customWidth="1"/>
    <col min="13831" max="13831" width="11.140625" style="12" customWidth="1"/>
    <col min="13832" max="13832" width="2.85546875" style="12" customWidth="1"/>
    <col min="13833" max="13833" width="3.5703125" style="12" customWidth="1"/>
    <col min="13834" max="14078" width="9.140625" style="12"/>
    <col min="14079" max="14079" width="8.7109375" style="12" customWidth="1"/>
    <col min="14080" max="14080" width="9.85546875" style="12" customWidth="1"/>
    <col min="14081" max="14081" width="14.42578125" style="12" customWidth="1"/>
    <col min="14082" max="14082" width="7.28515625" style="12" customWidth="1"/>
    <col min="14083" max="14083" width="5.5703125" style="12" customWidth="1"/>
    <col min="14084" max="14084" width="9" style="12" customWidth="1"/>
    <col min="14085" max="14086" width="9.85546875" style="12" customWidth="1"/>
    <col min="14087" max="14087" width="11.140625" style="12" customWidth="1"/>
    <col min="14088" max="14088" width="2.85546875" style="12" customWidth="1"/>
    <col min="14089" max="14089" width="3.5703125" style="12" customWidth="1"/>
    <col min="14090" max="14334" width="9.140625" style="12"/>
    <col min="14335" max="14335" width="8.7109375" style="12" customWidth="1"/>
    <col min="14336" max="14336" width="9.85546875" style="12" customWidth="1"/>
    <col min="14337" max="14337" width="14.42578125" style="12" customWidth="1"/>
    <col min="14338" max="14338" width="7.28515625" style="12" customWidth="1"/>
    <col min="14339" max="14339" width="5.5703125" style="12" customWidth="1"/>
    <col min="14340" max="14340" width="9" style="12" customWidth="1"/>
    <col min="14341" max="14342" width="9.85546875" style="12" customWidth="1"/>
    <col min="14343" max="14343" width="11.140625" style="12" customWidth="1"/>
    <col min="14344" max="14344" width="2.85546875" style="12" customWidth="1"/>
    <col min="14345" max="14345" width="3.5703125" style="12" customWidth="1"/>
    <col min="14346" max="14590" width="9.140625" style="12"/>
    <col min="14591" max="14591" width="8.7109375" style="12" customWidth="1"/>
    <col min="14592" max="14592" width="9.85546875" style="12" customWidth="1"/>
    <col min="14593" max="14593" width="14.42578125" style="12" customWidth="1"/>
    <col min="14594" max="14594" width="7.28515625" style="12" customWidth="1"/>
    <col min="14595" max="14595" width="5.5703125" style="12" customWidth="1"/>
    <col min="14596" max="14596" width="9" style="12" customWidth="1"/>
    <col min="14597" max="14598" width="9.85546875" style="12" customWidth="1"/>
    <col min="14599" max="14599" width="11.140625" style="12" customWidth="1"/>
    <col min="14600" max="14600" width="2.85546875" style="12" customWidth="1"/>
    <col min="14601" max="14601" width="3.5703125" style="12" customWidth="1"/>
    <col min="14602" max="14846" width="9.140625" style="12"/>
    <col min="14847" max="14847" width="8.7109375" style="12" customWidth="1"/>
    <col min="14848" max="14848" width="9.85546875" style="12" customWidth="1"/>
    <col min="14849" max="14849" width="14.42578125" style="12" customWidth="1"/>
    <col min="14850" max="14850" width="7.28515625" style="12" customWidth="1"/>
    <col min="14851" max="14851" width="5.5703125" style="12" customWidth="1"/>
    <col min="14852" max="14852" width="9" style="12" customWidth="1"/>
    <col min="14853" max="14854" width="9.85546875" style="12" customWidth="1"/>
    <col min="14855" max="14855" width="11.140625" style="12" customWidth="1"/>
    <col min="14856" max="14856" width="2.85546875" style="12" customWidth="1"/>
    <col min="14857" max="14857" width="3.5703125" style="12" customWidth="1"/>
    <col min="14858" max="15102" width="9.140625" style="12"/>
    <col min="15103" max="15103" width="8.7109375" style="12" customWidth="1"/>
    <col min="15104" max="15104" width="9.85546875" style="12" customWidth="1"/>
    <col min="15105" max="15105" width="14.42578125" style="12" customWidth="1"/>
    <col min="15106" max="15106" width="7.28515625" style="12" customWidth="1"/>
    <col min="15107" max="15107" width="5.5703125" style="12" customWidth="1"/>
    <col min="15108" max="15108" width="9" style="12" customWidth="1"/>
    <col min="15109" max="15110" width="9.85546875" style="12" customWidth="1"/>
    <col min="15111" max="15111" width="11.140625" style="12" customWidth="1"/>
    <col min="15112" max="15112" width="2.85546875" style="12" customWidth="1"/>
    <col min="15113" max="15113" width="3.5703125" style="12" customWidth="1"/>
    <col min="15114" max="15358" width="9.140625" style="12"/>
    <col min="15359" max="15359" width="8.7109375" style="12" customWidth="1"/>
    <col min="15360" max="15360" width="9.85546875" style="12" customWidth="1"/>
    <col min="15361" max="15361" width="14.42578125" style="12" customWidth="1"/>
    <col min="15362" max="15362" width="7.28515625" style="12" customWidth="1"/>
    <col min="15363" max="15363" width="5.5703125" style="12" customWidth="1"/>
    <col min="15364" max="15364" width="9" style="12" customWidth="1"/>
    <col min="15365" max="15366" width="9.85546875" style="12" customWidth="1"/>
    <col min="15367" max="15367" width="11.140625" style="12" customWidth="1"/>
    <col min="15368" max="15368" width="2.85546875" style="12" customWidth="1"/>
    <col min="15369" max="15369" width="3.5703125" style="12" customWidth="1"/>
    <col min="15370" max="15614" width="9.140625" style="12"/>
    <col min="15615" max="15615" width="8.7109375" style="12" customWidth="1"/>
    <col min="15616" max="15616" width="9.85546875" style="12" customWidth="1"/>
    <col min="15617" max="15617" width="14.42578125" style="12" customWidth="1"/>
    <col min="15618" max="15618" width="7.28515625" style="12" customWidth="1"/>
    <col min="15619" max="15619" width="5.5703125" style="12" customWidth="1"/>
    <col min="15620" max="15620" width="9" style="12" customWidth="1"/>
    <col min="15621" max="15622" width="9.85546875" style="12" customWidth="1"/>
    <col min="15623" max="15623" width="11.140625" style="12" customWidth="1"/>
    <col min="15624" max="15624" width="2.85546875" style="12" customWidth="1"/>
    <col min="15625" max="15625" width="3.5703125" style="12" customWidth="1"/>
    <col min="15626" max="15870" width="9.140625" style="12"/>
    <col min="15871" max="15871" width="8.7109375" style="12" customWidth="1"/>
    <col min="15872" max="15872" width="9.85546875" style="12" customWidth="1"/>
    <col min="15873" max="15873" width="14.42578125" style="12" customWidth="1"/>
    <col min="15874" max="15874" width="7.28515625" style="12" customWidth="1"/>
    <col min="15875" max="15875" width="5.5703125" style="12" customWidth="1"/>
    <col min="15876" max="15876" width="9" style="12" customWidth="1"/>
    <col min="15877" max="15878" width="9.85546875" style="12" customWidth="1"/>
    <col min="15879" max="15879" width="11.140625" style="12" customWidth="1"/>
    <col min="15880" max="15880" width="2.85546875" style="12" customWidth="1"/>
    <col min="15881" max="15881" width="3.5703125" style="12" customWidth="1"/>
    <col min="15882" max="16126" width="9.140625" style="12"/>
    <col min="16127" max="16127" width="8.7109375" style="12" customWidth="1"/>
    <col min="16128" max="16128" width="9.85546875" style="12" customWidth="1"/>
    <col min="16129" max="16129" width="14.42578125" style="12" customWidth="1"/>
    <col min="16130" max="16130" width="7.28515625" style="12" customWidth="1"/>
    <col min="16131" max="16131" width="5.5703125" style="12" customWidth="1"/>
    <col min="16132" max="16132" width="9" style="12" customWidth="1"/>
    <col min="16133" max="16134" width="9.85546875" style="12" customWidth="1"/>
    <col min="16135" max="16135" width="11.140625" style="12" customWidth="1"/>
    <col min="16136" max="16136" width="2.85546875" style="12" customWidth="1"/>
    <col min="16137" max="16137" width="3.5703125" style="12" customWidth="1"/>
    <col min="16138" max="16384" width="9.140625" style="12"/>
  </cols>
  <sheetData>
    <row r="1" spans="1:10" ht="46.5" customHeight="1" x14ac:dyDescent="0.25">
      <c r="A1" s="216" t="s">
        <v>292</v>
      </c>
      <c r="B1" s="217"/>
      <c r="C1" s="217"/>
      <c r="D1" s="217"/>
      <c r="E1" s="217"/>
      <c r="F1" s="217"/>
      <c r="G1" s="217"/>
      <c r="H1" s="217"/>
      <c r="I1" s="217"/>
      <c r="J1" s="218"/>
    </row>
    <row r="2" spans="1:10" ht="16.5" customHeight="1" x14ac:dyDescent="0.25">
      <c r="A2" s="80" t="s">
        <v>0</v>
      </c>
      <c r="B2" s="81"/>
      <c r="C2" s="81"/>
      <c r="D2" s="81"/>
      <c r="E2" s="81"/>
      <c r="F2" s="81"/>
      <c r="G2" s="81"/>
      <c r="H2" s="81"/>
      <c r="I2" s="81"/>
      <c r="J2" s="82"/>
    </row>
    <row r="3" spans="1:10" x14ac:dyDescent="0.25">
      <c r="A3" s="131" t="s">
        <v>1</v>
      </c>
      <c r="B3" s="132"/>
      <c r="C3" s="132"/>
      <c r="D3" s="132"/>
      <c r="E3" s="133"/>
      <c r="F3" s="219" t="str">
        <f ca="1">TEXT(TODAY(),"DD/MM/YYYY")</f>
        <v>12/08/2025</v>
      </c>
      <c r="G3" s="220"/>
      <c r="H3" s="220"/>
      <c r="I3" s="220"/>
      <c r="J3" s="221"/>
    </row>
    <row r="4" spans="1:10" ht="15" customHeight="1" x14ac:dyDescent="0.25">
      <c r="A4" s="131" t="s">
        <v>2</v>
      </c>
      <c r="B4" s="132"/>
      <c r="C4" s="132"/>
      <c r="D4" s="132"/>
      <c r="E4" s="133"/>
      <c r="F4" s="203" t="s">
        <v>173</v>
      </c>
      <c r="G4" s="204"/>
      <c r="H4" s="204"/>
      <c r="I4" s="204"/>
      <c r="J4" s="205"/>
    </row>
    <row r="5" spans="1:10" x14ac:dyDescent="0.25">
      <c r="A5" s="131" t="s">
        <v>3</v>
      </c>
      <c r="B5" s="132"/>
      <c r="C5" s="132"/>
      <c r="D5" s="132"/>
      <c r="E5" s="133"/>
      <c r="F5" s="219">
        <v>45880</v>
      </c>
      <c r="G5" s="220"/>
      <c r="H5" s="220"/>
      <c r="I5" s="220"/>
      <c r="J5" s="221"/>
    </row>
    <row r="6" spans="1:10" ht="16.5" customHeight="1" x14ac:dyDescent="0.25">
      <c r="A6" s="131" t="s">
        <v>4</v>
      </c>
      <c r="B6" s="132"/>
      <c r="C6" s="132"/>
      <c r="D6" s="132"/>
      <c r="E6" s="133"/>
      <c r="F6" s="134" t="s">
        <v>174</v>
      </c>
      <c r="G6" s="135"/>
      <c r="H6" s="135"/>
      <c r="I6" s="135"/>
      <c r="J6" s="136"/>
    </row>
    <row r="7" spans="1:10" ht="15" customHeight="1" x14ac:dyDescent="0.25">
      <c r="A7" s="131" t="s">
        <v>5</v>
      </c>
      <c r="B7" s="132"/>
      <c r="C7" s="132"/>
      <c r="D7" s="132"/>
      <c r="E7" s="133"/>
      <c r="F7" s="134" t="str">
        <f>F6</f>
        <v>M/s.Ashank Macbricks Private Limited</v>
      </c>
      <c r="G7" s="135"/>
      <c r="H7" s="135"/>
      <c r="I7" s="135"/>
      <c r="J7" s="136"/>
    </row>
    <row r="8" spans="1:10" x14ac:dyDescent="0.25">
      <c r="A8" s="131" t="s">
        <v>6</v>
      </c>
      <c r="B8" s="132"/>
      <c r="C8" s="132"/>
      <c r="D8" s="132"/>
      <c r="E8" s="133"/>
      <c r="F8" s="151" t="s">
        <v>175</v>
      </c>
      <c r="G8" s="152"/>
      <c r="H8" s="152"/>
      <c r="I8" s="152"/>
      <c r="J8" s="153"/>
    </row>
    <row r="9" spans="1:10" x14ac:dyDescent="0.25">
      <c r="A9" s="131" t="s">
        <v>7</v>
      </c>
      <c r="B9" s="132"/>
      <c r="C9" s="132"/>
      <c r="D9" s="132"/>
      <c r="E9" s="133"/>
      <c r="F9" s="131" t="s">
        <v>311</v>
      </c>
      <c r="G9" s="132"/>
      <c r="H9" s="132"/>
      <c r="I9" s="132"/>
      <c r="J9" s="133"/>
    </row>
    <row r="10" spans="1:10" x14ac:dyDescent="0.25">
      <c r="A10" s="131" t="s">
        <v>8</v>
      </c>
      <c r="B10" s="132"/>
      <c r="C10" s="132"/>
      <c r="D10" s="132"/>
      <c r="E10" s="133"/>
      <c r="F10" s="137" t="s">
        <v>176</v>
      </c>
      <c r="G10" s="138"/>
      <c r="H10" s="138"/>
      <c r="I10" s="138"/>
      <c r="J10" s="150"/>
    </row>
    <row r="11" spans="1:10" ht="16.5" customHeight="1" x14ac:dyDescent="0.25">
      <c r="A11" s="131" t="s">
        <v>9</v>
      </c>
      <c r="B11" s="132"/>
      <c r="C11" s="132"/>
      <c r="D11" s="132"/>
      <c r="E11" s="133"/>
      <c r="F11" s="139" t="s">
        <v>226</v>
      </c>
      <c r="G11" s="140"/>
      <c r="H11" s="140"/>
      <c r="I11" s="140"/>
      <c r="J11" s="141"/>
    </row>
    <row r="12" spans="1:10" x14ac:dyDescent="0.25">
      <c r="A12" s="131" t="s">
        <v>171</v>
      </c>
      <c r="B12" s="132"/>
      <c r="C12" s="132"/>
      <c r="D12" s="132"/>
      <c r="E12" s="133"/>
      <c r="F12" s="131" t="s">
        <v>313</v>
      </c>
      <c r="G12" s="132"/>
      <c r="H12" s="132"/>
      <c r="I12" s="132"/>
      <c r="J12" s="133"/>
    </row>
    <row r="13" spans="1:10" ht="35.25" customHeight="1" x14ac:dyDescent="0.25">
      <c r="A13" s="208" t="s">
        <v>10</v>
      </c>
      <c r="B13" s="208"/>
      <c r="C13" s="134" t="str">
        <f>CONCATENATE((IF(OR(F8="",F8="NA"),"",F8)),", ",(IF(OR(A14="",A14="NA"),"",A14)),".",(IF(OR(C14="",C14="NA"),"",C14)),", ",(IF(OR(C15="",C15="NA"),"",C15)),", ",(IF(OR(H15="",H15="NA"),"",H15)),", ",(IF(OR(H16="",H16="NA"),"",H16))," - ",(IF(OR(H17="",H17="NA"),"",H17)),".")</f>
        <v>Godrej Exquisite, Survey No.206/2, 141/5, Ghodbunder Road, Kavesar, Thane - 400607.</v>
      </c>
      <c r="D13" s="135"/>
      <c r="E13" s="135"/>
      <c r="F13" s="135"/>
      <c r="G13" s="135"/>
      <c r="H13" s="135"/>
      <c r="I13" s="135"/>
      <c r="J13" s="136"/>
    </row>
    <row r="14" spans="1:10" ht="15.75" customHeight="1" x14ac:dyDescent="0.25">
      <c r="A14" s="134" t="s">
        <v>177</v>
      </c>
      <c r="B14" s="136"/>
      <c r="C14" s="139" t="s">
        <v>178</v>
      </c>
      <c r="D14" s="140"/>
      <c r="E14" s="140"/>
      <c r="F14" s="140"/>
      <c r="G14" s="140"/>
      <c r="H14" s="140"/>
      <c r="I14" s="140"/>
      <c r="J14" s="141"/>
    </row>
    <row r="15" spans="1:10" ht="15.75" customHeight="1" x14ac:dyDescent="0.25">
      <c r="A15" s="134" t="s">
        <v>11</v>
      </c>
      <c r="B15" s="136"/>
      <c r="C15" s="202" t="s">
        <v>183</v>
      </c>
      <c r="D15" s="202"/>
      <c r="E15" s="202"/>
      <c r="F15" s="195" t="s">
        <v>133</v>
      </c>
      <c r="G15" s="196"/>
      <c r="H15" s="139" t="s">
        <v>179</v>
      </c>
      <c r="I15" s="140"/>
      <c r="J15" s="141"/>
    </row>
    <row r="16" spans="1:10" x14ac:dyDescent="0.25">
      <c r="A16" s="206" t="s">
        <v>13</v>
      </c>
      <c r="B16" s="206"/>
      <c r="C16" s="202" t="s">
        <v>260</v>
      </c>
      <c r="D16" s="202"/>
      <c r="E16" s="202"/>
      <c r="F16" s="195" t="s">
        <v>12</v>
      </c>
      <c r="G16" s="196"/>
      <c r="H16" s="233" t="s">
        <v>180</v>
      </c>
      <c r="I16" s="233"/>
      <c r="J16" s="233"/>
    </row>
    <row r="17" spans="1:10" x14ac:dyDescent="0.25">
      <c r="A17" s="206" t="s">
        <v>134</v>
      </c>
      <c r="B17" s="206"/>
      <c r="C17" s="139" t="s">
        <v>180</v>
      </c>
      <c r="D17" s="140"/>
      <c r="E17" s="141"/>
      <c r="F17" s="195" t="s">
        <v>14</v>
      </c>
      <c r="G17" s="196"/>
      <c r="H17" s="139">
        <v>400607</v>
      </c>
      <c r="I17" s="140"/>
      <c r="J17" s="141"/>
    </row>
    <row r="18" spans="1:10" ht="32.25" customHeight="1" x14ac:dyDescent="0.25">
      <c r="A18" s="206" t="s">
        <v>15</v>
      </c>
      <c r="B18" s="206"/>
      <c r="C18" s="207" t="s">
        <v>182</v>
      </c>
      <c r="D18" s="207"/>
      <c r="E18" s="207"/>
      <c r="F18" s="208" t="s">
        <v>16</v>
      </c>
      <c r="G18" s="208"/>
      <c r="H18" s="140" t="s">
        <v>181</v>
      </c>
      <c r="I18" s="140"/>
      <c r="J18" s="141"/>
    </row>
    <row r="19" spans="1:10" ht="15" customHeight="1" x14ac:dyDescent="0.25">
      <c r="A19" s="195" t="s">
        <v>145</v>
      </c>
      <c r="B19" s="209"/>
      <c r="C19" s="209"/>
      <c r="D19" s="209"/>
      <c r="E19" s="196"/>
      <c r="F19" s="210" t="s">
        <v>17</v>
      </c>
      <c r="G19" s="211"/>
      <c r="H19" s="211"/>
      <c r="I19" s="211"/>
      <c r="J19" s="212"/>
    </row>
    <row r="20" spans="1:10" ht="18.75" customHeight="1" x14ac:dyDescent="0.25">
      <c r="A20" s="178"/>
      <c r="B20" s="179"/>
      <c r="C20" s="179"/>
      <c r="D20" s="179"/>
      <c r="E20" s="197"/>
      <c r="F20" s="213"/>
      <c r="G20" s="214"/>
      <c r="H20" s="214"/>
      <c r="I20" s="214"/>
      <c r="J20" s="215"/>
    </row>
    <row r="21" spans="1:10" ht="15" customHeight="1" x14ac:dyDescent="0.25">
      <c r="A21" s="195" t="s">
        <v>18</v>
      </c>
      <c r="B21" s="209"/>
      <c r="C21" s="209"/>
      <c r="D21" s="209"/>
      <c r="E21" s="196"/>
      <c r="F21" s="195" t="s">
        <v>19</v>
      </c>
      <c r="G21" s="209"/>
      <c r="H21" s="209"/>
      <c r="I21" s="209"/>
      <c r="J21" s="196"/>
    </row>
    <row r="22" spans="1:10" x14ac:dyDescent="0.25">
      <c r="A22" s="178"/>
      <c r="B22" s="179"/>
      <c r="C22" s="179"/>
      <c r="D22" s="179"/>
      <c r="E22" s="197"/>
      <c r="F22" s="178"/>
      <c r="G22" s="179"/>
      <c r="H22" s="179"/>
      <c r="I22" s="179"/>
      <c r="J22" s="197"/>
    </row>
    <row r="23" spans="1:10" ht="15" customHeight="1" x14ac:dyDescent="0.25">
      <c r="A23" s="131" t="s">
        <v>20</v>
      </c>
      <c r="B23" s="132"/>
      <c r="C23" s="132"/>
      <c r="D23" s="132"/>
      <c r="E23" s="133"/>
      <c r="F23" s="203" t="s">
        <v>21</v>
      </c>
      <c r="G23" s="204"/>
      <c r="H23" s="204"/>
      <c r="I23" s="204"/>
      <c r="J23" s="205"/>
    </row>
    <row r="24" spans="1:10" x14ac:dyDescent="0.25">
      <c r="A24" s="131" t="s">
        <v>22</v>
      </c>
      <c r="B24" s="132"/>
      <c r="C24" s="132"/>
      <c r="D24" s="132"/>
      <c r="E24" s="133"/>
      <c r="F24" s="203" t="s">
        <v>23</v>
      </c>
      <c r="G24" s="204"/>
      <c r="H24" s="204"/>
      <c r="I24" s="204"/>
      <c r="J24" s="205"/>
    </row>
    <row r="25" spans="1:10" ht="15" customHeight="1" x14ac:dyDescent="0.25">
      <c r="A25" s="131" t="s">
        <v>24</v>
      </c>
      <c r="B25" s="132"/>
      <c r="C25" s="132"/>
      <c r="D25" s="132"/>
      <c r="E25" s="133"/>
      <c r="F25" s="203" t="s">
        <v>25</v>
      </c>
      <c r="G25" s="204"/>
      <c r="H25" s="204"/>
      <c r="I25" s="204"/>
      <c r="J25" s="205"/>
    </row>
    <row r="26" spans="1:10" x14ac:dyDescent="0.25">
      <c r="A26" s="131" t="s">
        <v>26</v>
      </c>
      <c r="B26" s="132"/>
      <c r="C26" s="132"/>
      <c r="D26" s="132"/>
      <c r="E26" s="133"/>
      <c r="F26" s="203" t="s">
        <v>27</v>
      </c>
      <c r="G26" s="204"/>
      <c r="H26" s="204"/>
      <c r="I26" s="204"/>
      <c r="J26" s="205"/>
    </row>
    <row r="27" spans="1:10" x14ac:dyDescent="0.25">
      <c r="A27" s="234" t="s">
        <v>28</v>
      </c>
      <c r="B27" s="235"/>
      <c r="C27" s="234" t="s">
        <v>29</v>
      </c>
      <c r="D27" s="235"/>
      <c r="E27" s="234" t="s">
        <v>30</v>
      </c>
      <c r="F27" s="235"/>
      <c r="G27" s="234" t="s">
        <v>32</v>
      </c>
      <c r="H27" s="235"/>
      <c r="I27" s="234" t="s">
        <v>31</v>
      </c>
      <c r="J27" s="235"/>
    </row>
    <row r="28" spans="1:10" x14ac:dyDescent="0.25">
      <c r="A28" s="236" t="s">
        <v>33</v>
      </c>
      <c r="B28" s="237"/>
      <c r="C28" s="236" t="s">
        <v>34</v>
      </c>
      <c r="D28" s="237"/>
      <c r="E28" s="236" t="s">
        <v>34</v>
      </c>
      <c r="F28" s="237"/>
      <c r="G28" s="236" t="s">
        <v>34</v>
      </c>
      <c r="H28" s="237"/>
      <c r="I28" s="236" t="s">
        <v>34</v>
      </c>
      <c r="J28" s="237"/>
    </row>
    <row r="29" spans="1:10" x14ac:dyDescent="0.25">
      <c r="A29" s="236" t="s">
        <v>35</v>
      </c>
      <c r="B29" s="237"/>
      <c r="C29" s="199" t="s">
        <v>186</v>
      </c>
      <c r="D29" s="200"/>
      <c r="E29" s="199" t="s">
        <v>11</v>
      </c>
      <c r="F29" s="200"/>
      <c r="G29" s="199" t="s">
        <v>184</v>
      </c>
      <c r="H29" s="200"/>
      <c r="I29" s="199" t="s">
        <v>185</v>
      </c>
      <c r="J29" s="200"/>
    </row>
    <row r="30" spans="1:10" x14ac:dyDescent="0.25">
      <c r="A30" s="131" t="s">
        <v>36</v>
      </c>
      <c r="B30" s="132"/>
      <c r="C30" s="132"/>
      <c r="D30" s="132"/>
      <c r="E30" s="132"/>
      <c r="F30" s="132"/>
      <c r="G30" s="132"/>
      <c r="H30" s="132"/>
      <c r="I30" s="132"/>
      <c r="J30" s="133"/>
    </row>
    <row r="31" spans="1:10" x14ac:dyDescent="0.25">
      <c r="A31" s="131" t="s">
        <v>37</v>
      </c>
      <c r="B31" s="132"/>
      <c r="C31" s="132"/>
      <c r="D31" s="132"/>
      <c r="E31" s="132"/>
      <c r="F31" s="132"/>
      <c r="G31" s="132"/>
      <c r="H31" s="132"/>
      <c r="I31" s="132"/>
      <c r="J31" s="133"/>
    </row>
    <row r="32" spans="1:10" x14ac:dyDescent="0.25">
      <c r="A32" s="131" t="s">
        <v>38</v>
      </c>
      <c r="B32" s="133"/>
      <c r="C32" s="151" t="s">
        <v>294</v>
      </c>
      <c r="D32" s="152"/>
      <c r="E32" s="152"/>
      <c r="F32" s="152"/>
      <c r="G32" s="152"/>
      <c r="H32" s="152"/>
      <c r="I32" s="152"/>
      <c r="J32" s="153"/>
    </row>
    <row r="33" spans="1:10" x14ac:dyDescent="0.25">
      <c r="A33" s="131" t="s">
        <v>290</v>
      </c>
      <c r="B33" s="133"/>
      <c r="C33" s="201" t="s">
        <v>291</v>
      </c>
      <c r="D33" s="132"/>
      <c r="E33" s="132"/>
      <c r="F33" s="132"/>
      <c r="G33" s="132"/>
      <c r="H33" s="132"/>
      <c r="I33" s="132"/>
      <c r="J33" s="133"/>
    </row>
    <row r="34" spans="1:10" x14ac:dyDescent="0.25">
      <c r="A34" s="151" t="s">
        <v>39</v>
      </c>
      <c r="B34" s="152"/>
      <c r="C34" s="152"/>
      <c r="D34" s="152"/>
      <c r="E34" s="152"/>
      <c r="F34" s="152"/>
      <c r="G34" s="152"/>
      <c r="H34" s="152"/>
      <c r="I34" s="152"/>
      <c r="J34" s="153"/>
    </row>
    <row r="35" spans="1:10" ht="15" customHeight="1" x14ac:dyDescent="0.25">
      <c r="A35" s="134" t="s">
        <v>40</v>
      </c>
      <c r="B35" s="135"/>
      <c r="C35" s="135"/>
      <c r="D35" s="135"/>
      <c r="E35" s="136"/>
      <c r="F35" s="238" t="s">
        <v>214</v>
      </c>
      <c r="G35" s="239"/>
      <c r="H35" s="239"/>
      <c r="I35" s="239"/>
      <c r="J35" s="240"/>
    </row>
    <row r="36" spans="1:10" ht="15" customHeight="1" x14ac:dyDescent="0.25">
      <c r="A36" s="178" t="s">
        <v>41</v>
      </c>
      <c r="B36" s="179"/>
      <c r="C36" s="179"/>
      <c r="D36" s="179"/>
      <c r="E36" s="179"/>
      <c r="F36" s="134" t="s">
        <v>42</v>
      </c>
      <c r="G36" s="135"/>
      <c r="H36" s="135"/>
      <c r="I36" s="135"/>
      <c r="J36" s="136"/>
    </row>
    <row r="37" spans="1:10" x14ac:dyDescent="0.25">
      <c r="A37" s="151" t="s">
        <v>43</v>
      </c>
      <c r="B37" s="152"/>
      <c r="C37" s="152"/>
      <c r="D37" s="152"/>
      <c r="E37" s="152"/>
      <c r="F37" s="152"/>
      <c r="G37" s="152"/>
      <c r="H37" s="152"/>
      <c r="I37" s="152"/>
      <c r="J37" s="153"/>
    </row>
    <row r="38" spans="1:10" x14ac:dyDescent="0.25">
      <c r="A38" s="131" t="s">
        <v>44</v>
      </c>
      <c r="B38" s="132"/>
      <c r="C38" s="132"/>
      <c r="D38" s="132"/>
      <c r="E38" s="133"/>
      <c r="F38" s="183">
        <v>12089.57</v>
      </c>
      <c r="G38" s="184"/>
      <c r="H38" s="184"/>
      <c r="I38" s="184"/>
      <c r="J38" s="185"/>
    </row>
    <row r="39" spans="1:10" x14ac:dyDescent="0.25">
      <c r="A39" s="131" t="s">
        <v>45</v>
      </c>
      <c r="B39" s="132"/>
      <c r="C39" s="132"/>
      <c r="D39" s="132"/>
      <c r="E39" s="133"/>
      <c r="F39" s="147">
        <v>1</v>
      </c>
      <c r="G39" s="148"/>
      <c r="H39" s="148"/>
      <c r="I39" s="148"/>
      <c r="J39" s="149"/>
    </row>
    <row r="40" spans="1:10" x14ac:dyDescent="0.25">
      <c r="A40" s="131" t="s">
        <v>46</v>
      </c>
      <c r="B40" s="132"/>
      <c r="C40" s="132"/>
      <c r="D40" s="132"/>
      <c r="E40" s="133"/>
      <c r="F40" s="147">
        <f>F42/F38-F39</f>
        <v>2</v>
      </c>
      <c r="G40" s="148"/>
      <c r="H40" s="148"/>
      <c r="I40" s="148"/>
      <c r="J40" s="149"/>
    </row>
    <row r="41" spans="1:10" x14ac:dyDescent="0.25">
      <c r="A41" s="131" t="s">
        <v>47</v>
      </c>
      <c r="B41" s="132"/>
      <c r="C41" s="132"/>
      <c r="D41" s="132"/>
      <c r="E41" s="133"/>
      <c r="F41" s="147">
        <f>F39+F40</f>
        <v>3</v>
      </c>
      <c r="G41" s="148"/>
      <c r="H41" s="148"/>
      <c r="I41" s="148"/>
      <c r="J41" s="149"/>
    </row>
    <row r="42" spans="1:10" x14ac:dyDescent="0.25">
      <c r="A42" s="131" t="s">
        <v>48</v>
      </c>
      <c r="B42" s="132"/>
      <c r="C42" s="132"/>
      <c r="D42" s="132"/>
      <c r="E42" s="133"/>
      <c r="F42" s="147">
        <v>36268.71</v>
      </c>
      <c r="G42" s="148"/>
      <c r="H42" s="148"/>
      <c r="I42" s="148"/>
      <c r="J42" s="149"/>
    </row>
    <row r="43" spans="1:10" x14ac:dyDescent="0.25">
      <c r="A43" s="131" t="s">
        <v>49</v>
      </c>
      <c r="B43" s="132"/>
      <c r="C43" s="132"/>
      <c r="D43" s="132"/>
      <c r="E43" s="133"/>
      <c r="F43" s="137" t="s">
        <v>215</v>
      </c>
      <c r="G43" s="138"/>
      <c r="H43" s="138"/>
      <c r="I43" s="138"/>
      <c r="J43" s="150"/>
    </row>
    <row r="44" spans="1:10" x14ac:dyDescent="0.25">
      <c r="A44" s="151" t="s">
        <v>50</v>
      </c>
      <c r="B44" s="152"/>
      <c r="C44" s="152"/>
      <c r="D44" s="152"/>
      <c r="E44" s="152"/>
      <c r="F44" s="152"/>
      <c r="G44" s="152"/>
      <c r="H44" s="152"/>
      <c r="I44" s="152"/>
      <c r="J44" s="153"/>
    </row>
    <row r="45" spans="1:10" ht="30.75" customHeight="1" x14ac:dyDescent="0.25">
      <c r="A45" s="134" t="s">
        <v>51</v>
      </c>
      <c r="B45" s="136"/>
      <c r="C45" s="192" t="s">
        <v>303</v>
      </c>
      <c r="D45" s="193"/>
      <c r="E45" s="193"/>
      <c r="F45" s="194"/>
      <c r="G45" s="20" t="s">
        <v>52</v>
      </c>
      <c r="H45" s="186">
        <v>44601</v>
      </c>
      <c r="I45" s="135"/>
      <c r="J45" s="136"/>
    </row>
    <row r="46" spans="1:10" ht="33" customHeight="1" x14ac:dyDescent="0.25">
      <c r="A46" s="134" t="s">
        <v>53</v>
      </c>
      <c r="B46" s="136"/>
      <c r="C46" s="187" t="str">
        <f>C45</f>
        <v>VP/S06/0310/18TMC/TD-DP/TPS/
3948/22</v>
      </c>
      <c r="D46" s="188"/>
      <c r="E46" s="188"/>
      <c r="F46" s="189"/>
      <c r="G46" s="20" t="s">
        <v>52</v>
      </c>
      <c r="H46" s="186">
        <f>H45</f>
        <v>44601</v>
      </c>
      <c r="I46" s="135"/>
      <c r="J46" s="136"/>
    </row>
    <row r="47" spans="1:10" ht="30" customHeight="1" x14ac:dyDescent="0.25">
      <c r="A47" s="195" t="s">
        <v>306</v>
      </c>
      <c r="B47" s="196"/>
      <c r="C47" s="187" t="s">
        <v>305</v>
      </c>
      <c r="D47" s="190"/>
      <c r="E47" s="190"/>
      <c r="F47" s="191"/>
      <c r="G47" s="13" t="s">
        <v>52</v>
      </c>
      <c r="H47" s="198">
        <v>45139</v>
      </c>
      <c r="I47" s="190"/>
      <c r="J47" s="191"/>
    </row>
    <row r="48" spans="1:10" ht="30.75" customHeight="1" x14ac:dyDescent="0.25">
      <c r="A48" s="178"/>
      <c r="B48" s="197"/>
      <c r="C48" s="187" t="s">
        <v>307</v>
      </c>
      <c r="D48" s="188"/>
      <c r="E48" s="188"/>
      <c r="F48" s="188"/>
      <c r="G48" s="188"/>
      <c r="H48" s="188"/>
      <c r="I48" s="188"/>
      <c r="J48" s="189"/>
    </row>
    <row r="49" spans="1:13" ht="31.5" x14ac:dyDescent="0.25">
      <c r="A49" s="181" t="s">
        <v>309</v>
      </c>
      <c r="B49" s="182"/>
      <c r="C49" s="181" t="s">
        <v>308</v>
      </c>
      <c r="D49" s="181"/>
      <c r="E49" s="181"/>
      <c r="F49" s="181"/>
      <c r="G49" s="65" t="s">
        <v>54</v>
      </c>
      <c r="H49" s="180">
        <v>45358</v>
      </c>
      <c r="I49" s="181"/>
      <c r="J49" s="181"/>
    </row>
    <row r="50" spans="1:13" x14ac:dyDescent="0.25">
      <c r="A50" s="251" t="s">
        <v>56</v>
      </c>
      <c r="B50" s="252"/>
      <c r="C50" s="252"/>
      <c r="D50" s="252"/>
      <c r="E50" s="252"/>
      <c r="F50" s="252"/>
      <c r="G50" s="252"/>
      <c r="H50" s="252"/>
      <c r="I50" s="252"/>
      <c r="J50" s="253"/>
    </row>
    <row r="51" spans="1:13" x14ac:dyDescent="0.25">
      <c r="A51" s="131" t="s">
        <v>57</v>
      </c>
      <c r="B51" s="132"/>
      <c r="C51" s="133"/>
      <c r="D51" s="131">
        <f>F42</f>
        <v>36268.71</v>
      </c>
      <c r="E51" s="132"/>
      <c r="F51" s="132"/>
      <c r="G51" s="132"/>
      <c r="H51" s="132"/>
      <c r="I51" s="132"/>
      <c r="J51" s="133"/>
    </row>
    <row r="52" spans="1:13" x14ac:dyDescent="0.25">
      <c r="A52" s="131" t="s">
        <v>58</v>
      </c>
      <c r="B52" s="132"/>
      <c r="C52" s="133"/>
      <c r="D52" s="134" t="s">
        <v>295</v>
      </c>
      <c r="E52" s="135"/>
      <c r="F52" s="135"/>
      <c r="G52" s="135"/>
      <c r="H52" s="135"/>
      <c r="I52" s="135"/>
      <c r="J52" s="136"/>
    </row>
    <row r="53" spans="1:13" ht="31.5" customHeight="1" x14ac:dyDescent="0.25">
      <c r="A53" s="131" t="s">
        <v>59</v>
      </c>
      <c r="B53" s="132"/>
      <c r="C53" s="133"/>
      <c r="D53" s="134" t="s">
        <v>261</v>
      </c>
      <c r="E53" s="135"/>
      <c r="F53" s="135"/>
      <c r="G53" s="135"/>
      <c r="H53" s="135"/>
      <c r="I53" s="135"/>
      <c r="J53" s="136"/>
    </row>
    <row r="54" spans="1:13" ht="31.5" customHeight="1" x14ac:dyDescent="0.25">
      <c r="A54" s="131" t="s">
        <v>302</v>
      </c>
      <c r="B54" s="132"/>
      <c r="C54" s="133"/>
      <c r="D54" s="134" t="s">
        <v>261</v>
      </c>
      <c r="E54" s="135"/>
      <c r="F54" s="135"/>
      <c r="G54" s="135"/>
      <c r="H54" s="135"/>
      <c r="I54" s="135"/>
      <c r="J54" s="136"/>
    </row>
    <row r="55" spans="1:13" ht="15.75" customHeight="1" x14ac:dyDescent="0.25">
      <c r="A55" s="131" t="s">
        <v>55</v>
      </c>
      <c r="B55" s="132"/>
      <c r="C55" s="133"/>
      <c r="D55" s="134" t="s">
        <v>304</v>
      </c>
      <c r="E55" s="135"/>
      <c r="F55" s="135"/>
      <c r="G55" s="135"/>
      <c r="H55" s="135"/>
      <c r="I55" s="135"/>
      <c r="J55" s="136"/>
    </row>
    <row r="56" spans="1:13" ht="15.75" customHeight="1" x14ac:dyDescent="0.25">
      <c r="A56" s="137" t="s">
        <v>298</v>
      </c>
      <c r="B56" s="138"/>
      <c r="C56" s="138"/>
      <c r="D56" s="139" t="s">
        <v>299</v>
      </c>
      <c r="E56" s="140"/>
      <c r="F56" s="140"/>
      <c r="G56" s="140"/>
      <c r="H56" s="140"/>
      <c r="I56" s="140"/>
      <c r="J56" s="141"/>
    </row>
    <row r="57" spans="1:13" ht="15.75" customHeight="1" x14ac:dyDescent="0.25">
      <c r="A57" s="137" t="s">
        <v>296</v>
      </c>
      <c r="B57" s="138"/>
      <c r="C57" s="138"/>
      <c r="D57" s="139" t="s">
        <v>297</v>
      </c>
      <c r="E57" s="140"/>
      <c r="F57" s="140"/>
      <c r="G57" s="140"/>
      <c r="H57" s="140"/>
      <c r="I57" s="140"/>
      <c r="J57" s="141"/>
    </row>
    <row r="58" spans="1:13" x14ac:dyDescent="0.25">
      <c r="A58" s="137" t="s">
        <v>300</v>
      </c>
      <c r="B58" s="138"/>
      <c r="C58" s="138"/>
      <c r="D58" s="139" t="s">
        <v>301</v>
      </c>
      <c r="E58" s="140"/>
      <c r="F58" s="140"/>
      <c r="G58" s="140"/>
      <c r="H58" s="140"/>
      <c r="I58" s="140"/>
      <c r="J58" s="141"/>
    </row>
    <row r="59" spans="1:13" ht="15" customHeight="1" thickBot="1" x14ac:dyDescent="0.3">
      <c r="A59" s="248" t="s">
        <v>60</v>
      </c>
      <c r="B59" s="249"/>
      <c r="C59" s="249"/>
      <c r="D59" s="249"/>
      <c r="E59" s="249"/>
      <c r="F59" s="249"/>
      <c r="G59" s="249"/>
      <c r="H59" s="249"/>
      <c r="I59" s="249"/>
      <c r="J59" s="250"/>
    </row>
    <row r="60" spans="1:13" customFormat="1" ht="30.75" customHeight="1" x14ac:dyDescent="0.25">
      <c r="A60" s="103" t="s">
        <v>233</v>
      </c>
      <c r="B60" s="104"/>
      <c r="C60" s="96" t="s">
        <v>262</v>
      </c>
      <c r="D60" s="96"/>
      <c r="E60" s="96"/>
      <c r="F60" s="96"/>
      <c r="G60" s="96"/>
      <c r="H60" s="96"/>
      <c r="I60" s="96"/>
      <c r="J60" s="97"/>
      <c r="K60" s="40" t="str">
        <f ca="1">(IF(C64=0,"Work not yet Started.",IF(D64=25%,"Piling work in process",IF(D64=50%,"Excavation work in process",IF(D64=100%,"Excavation work completed, ","0")))&amp;(IF(C65=0%,"",IF(C65=M66,"Footing work is process",IF(C65=M67,"Footing work Completed",IF(C65=M68,"1st Basement Completed",IF(C65=M69,"1st &amp; 2nd Basement Completed",IF(C65=M70,"1st to 3rd Basement Completed",IF(C65=M71,"1st to 4th Basement Completed",IF(C65=M72,"Plinth work is process",IF(C65=M73,"Plinth work completed","0")))))))))))&amp;(IF(C66&gt;0,", RCC upto "&amp;C66&amp;" Slab completed",""))&amp;(IF(C67&gt;0,", Brickwork upto "&amp;C67&amp;" Floor completed"," "))&amp;(IF(C68&gt;0,", Internal Plaster upto "&amp;C68&amp;" Floor completed"," "))&amp;(IF(C69&gt;0,", External Plaster upto "&amp;C69&amp;" Floor completed"," "))&amp;(IF(C70&gt;0,", Flooring upto "&amp;C70&amp;" Floor completed"," "))&amp;(IF(C71&gt;0,", Painting upto "&amp;C71&amp;" Floor completed"," "))&amp;(IF(C72&gt;0,", Finishing upto "&amp;C72&amp;" Floor completed"," ")))</f>
        <v>Excavation work completed, Plinth work completed, RCC upto 43 Slab completed, Brickwork upto 38 Floor completed, Internal Plaster upto 30.4 Floor completed, External Plaster upto 28.5 Floor completed, Flooring upto 1 Floor completed, Painting upto 1 Floor completed, Finishing upto 1 Floor completed</v>
      </c>
      <c r="L60" s="40"/>
      <c r="M60" s="41"/>
    </row>
    <row r="61" spans="1:13" customFormat="1" x14ac:dyDescent="0.25">
      <c r="A61" s="42" t="s">
        <v>129</v>
      </c>
      <c r="B61" s="43">
        <v>3</v>
      </c>
      <c r="C61" s="43" t="s">
        <v>131</v>
      </c>
      <c r="D61" s="43">
        <v>1</v>
      </c>
      <c r="E61" s="43" t="s">
        <v>130</v>
      </c>
      <c r="F61" s="105">
        <v>4</v>
      </c>
      <c r="G61" s="105"/>
      <c r="H61" s="43" t="s">
        <v>234</v>
      </c>
      <c r="I61" s="105">
        <f ca="1">--TRIM(RIGHT(SUBSTITUTE(LEFT(C60,_xlfn.AGGREGATE(16,6,FIND({0,1,2,3,4,5,6,7,8,9},C60,ROW(INDIRECT("1:"&amp;LEN(C60)))),1))," ",REPT(" ",LEN(C60))),LEN(C60)))</f>
        <v>39</v>
      </c>
      <c r="J61" s="106"/>
      <c r="K61" s="44" t="s">
        <v>235</v>
      </c>
      <c r="L61" s="44"/>
      <c r="M61" s="45"/>
    </row>
    <row r="62" spans="1:13" customFormat="1" ht="79.150000000000006" customHeight="1" x14ac:dyDescent="0.25">
      <c r="A62" s="107" t="s">
        <v>236</v>
      </c>
      <c r="B62" s="108"/>
      <c r="C62" s="109" t="str">
        <f ca="1">K60</f>
        <v>Excavation work completed, Plinth work completed, RCC upto 43 Slab completed, Brickwork upto 38 Floor completed, Internal Plaster upto 30.4 Floor completed, External Plaster upto 28.5 Floor completed, Flooring upto 1 Floor completed, Painting upto 1 Floor completed, Finishing upto 1 Floor completed</v>
      </c>
      <c r="D62" s="109"/>
      <c r="E62" s="109"/>
      <c r="F62" s="109"/>
      <c r="G62" s="109"/>
      <c r="H62" s="109"/>
      <c r="I62" s="109"/>
      <c r="J62" s="110"/>
      <c r="K62" s="44" t="s">
        <v>237</v>
      </c>
      <c r="L62" s="44"/>
      <c r="M62" s="45"/>
    </row>
    <row r="63" spans="1:13" customFormat="1" x14ac:dyDescent="0.25">
      <c r="A63" s="98" t="s">
        <v>61</v>
      </c>
      <c r="B63" s="66"/>
      <c r="C63" s="58" t="s">
        <v>238</v>
      </c>
      <c r="D63" s="66" t="s">
        <v>239</v>
      </c>
      <c r="E63" s="66"/>
      <c r="F63" s="66" t="s">
        <v>240</v>
      </c>
      <c r="G63" s="66"/>
      <c r="H63" s="66" t="s">
        <v>241</v>
      </c>
      <c r="I63" s="66"/>
      <c r="J63" s="99"/>
      <c r="K63" s="46" t="s">
        <v>242</v>
      </c>
      <c r="L63" s="12"/>
      <c r="M63" s="47">
        <f ca="1">I61*25%</f>
        <v>9.75</v>
      </c>
    </row>
    <row r="64" spans="1:13" customFormat="1" x14ac:dyDescent="0.25">
      <c r="A64" s="98" t="s">
        <v>243</v>
      </c>
      <c r="B64" s="66"/>
      <c r="C64" s="60">
        <v>39</v>
      </c>
      <c r="D64" s="93">
        <f ca="1">((100/I61)*C64)/100</f>
        <v>1.0000000000000002</v>
      </c>
      <c r="E64" s="93"/>
      <c r="F64" s="93">
        <f ca="1">(IF(C62=K61,"100%",IF(C62=K62,"100%",(((C65/I61*10)+(40/(D61+F61+I61)*C66)+(7.5/(I61)*C67)+(7.5/(I61)*C68)+(10/I61*C69)+(10/I61*C70)+(5/I61*C71)+(5/I61*C72)+(5/I61*C73))/100))))</f>
        <v>0.7006526806526806</v>
      </c>
      <c r="G64" s="93"/>
      <c r="H64" s="93">
        <f ca="1">((((C64/I61)*20)+((C65/I61)*25)+(30/(I61+F61+D61)*C66)+(5/I61*C67)+(5/I61*C68)+(5/I61*C69)+(5/I61*C70)+(0/I61*C71)+(0/I61*C72)+(5/I61*C73))/100)</f>
        <v>0.8686946386946387</v>
      </c>
      <c r="I64" s="93"/>
      <c r="J64" s="101"/>
      <c r="K64" s="46" t="s">
        <v>137</v>
      </c>
      <c r="L64" s="48"/>
      <c r="M64" s="49">
        <f ca="1">I61*50%</f>
        <v>19.5</v>
      </c>
    </row>
    <row r="65" spans="1:16" customFormat="1" x14ac:dyDescent="0.25">
      <c r="A65" s="98" t="s">
        <v>62</v>
      </c>
      <c r="B65" s="66"/>
      <c r="C65" s="60">
        <v>39</v>
      </c>
      <c r="D65" s="93">
        <f ca="1">((100/I61)*C65)/100</f>
        <v>1.0000000000000002</v>
      </c>
      <c r="E65" s="93"/>
      <c r="F65" s="93"/>
      <c r="G65" s="93"/>
      <c r="H65" s="93"/>
      <c r="I65" s="93"/>
      <c r="J65" s="101"/>
      <c r="K65" s="46" t="s">
        <v>138</v>
      </c>
      <c r="L65" s="48"/>
      <c r="M65" s="49">
        <f ca="1">I61</f>
        <v>39</v>
      </c>
    </row>
    <row r="66" spans="1:16" customFormat="1" x14ac:dyDescent="0.25">
      <c r="A66" s="111" t="s">
        <v>244</v>
      </c>
      <c r="B66" s="105"/>
      <c r="C66" s="60">
        <v>43</v>
      </c>
      <c r="D66" s="93">
        <f ca="1">((100/(D61+F61+I61))*C66)/100</f>
        <v>0.97727272727272729</v>
      </c>
      <c r="E66" s="93"/>
      <c r="F66" s="93"/>
      <c r="G66" s="93"/>
      <c r="H66" s="93"/>
      <c r="I66" s="93"/>
      <c r="J66" s="101"/>
      <c r="K66" s="46" t="s">
        <v>139</v>
      </c>
      <c r="L66" s="48"/>
      <c r="M66" s="50">
        <f ca="1">(IF(B61=0,I61/4,(I61/(B61+4))))</f>
        <v>5.5714285714285712</v>
      </c>
    </row>
    <row r="67" spans="1:16" customFormat="1" x14ac:dyDescent="0.25">
      <c r="A67" s="98" t="s">
        <v>245</v>
      </c>
      <c r="B67" s="66" t="s">
        <v>246</v>
      </c>
      <c r="C67" s="60">
        <f>C66-D61-F61</f>
        <v>38</v>
      </c>
      <c r="D67" s="93">
        <f ca="1">((100/I61)*C67)/100</f>
        <v>0.97435897435897445</v>
      </c>
      <c r="E67" s="93"/>
      <c r="F67" s="93"/>
      <c r="G67" s="93"/>
      <c r="H67" s="93"/>
      <c r="I67" s="93"/>
      <c r="J67" s="101"/>
      <c r="K67" s="46" t="s">
        <v>140</v>
      </c>
      <c r="L67" s="48"/>
      <c r="M67" s="50">
        <f ca="1">(IF(B61=0,I61/4+M66,(I61/(B61+4)+M66)))</f>
        <v>11.142857142857142</v>
      </c>
      <c r="P67">
        <f>39*0.13</f>
        <v>5.07</v>
      </c>
    </row>
    <row r="68" spans="1:16" customFormat="1" x14ac:dyDescent="0.25">
      <c r="A68" s="98" t="s">
        <v>247</v>
      </c>
      <c r="B68" s="66" t="s">
        <v>246</v>
      </c>
      <c r="C68" s="60">
        <f>C67*0.8</f>
        <v>30.400000000000002</v>
      </c>
      <c r="D68" s="93">
        <f ca="1">((100/I61)*C68)/100</f>
        <v>0.7794871794871796</v>
      </c>
      <c r="E68" s="93"/>
      <c r="F68" s="93"/>
      <c r="G68" s="93"/>
      <c r="H68" s="93"/>
      <c r="I68" s="93"/>
      <c r="J68" s="101"/>
      <c r="K68" s="46" t="s">
        <v>248</v>
      </c>
      <c r="L68" s="51"/>
      <c r="M68" s="50">
        <f ca="1">(IF(B61=0,0,(I61/(B61+4)+M67)))</f>
        <v>16.714285714285715</v>
      </c>
    </row>
    <row r="69" spans="1:16" customFormat="1" x14ac:dyDescent="0.25">
      <c r="A69" s="98" t="s">
        <v>249</v>
      </c>
      <c r="B69" s="66" t="s">
        <v>250</v>
      </c>
      <c r="C69" s="60">
        <f>C67*0.75</f>
        <v>28.5</v>
      </c>
      <c r="D69" s="93">
        <f ca="1">((100/(I61))*C69)/100</f>
        <v>0.73076923076923084</v>
      </c>
      <c r="E69" s="93"/>
      <c r="F69" s="93"/>
      <c r="G69" s="93"/>
      <c r="H69" s="93"/>
      <c r="I69" s="93"/>
      <c r="J69" s="101"/>
      <c r="K69" s="46" t="s">
        <v>251</v>
      </c>
      <c r="L69" s="51"/>
      <c r="M69" s="50">
        <f ca="1">(IF(B61&gt;1,(I61/(B61+4)+M68),0))</f>
        <v>22.285714285714285</v>
      </c>
    </row>
    <row r="70" spans="1:16" customFormat="1" x14ac:dyDescent="0.25">
      <c r="A70" s="98" t="s">
        <v>252</v>
      </c>
      <c r="B70" s="66" t="s">
        <v>252</v>
      </c>
      <c r="C70" s="59">
        <v>1</v>
      </c>
      <c r="D70" s="93">
        <f ca="1">((100/I61)*C70)/100</f>
        <v>2.5641025641025644E-2</v>
      </c>
      <c r="E70" s="93"/>
      <c r="F70" s="93"/>
      <c r="G70" s="93"/>
      <c r="H70" s="93"/>
      <c r="I70" s="93"/>
      <c r="J70" s="101"/>
      <c r="K70" s="46" t="s">
        <v>253</v>
      </c>
      <c r="L70" s="52"/>
      <c r="M70" s="53">
        <f ca="1">(IF(B61&gt;2,(I61/(B61+4)+M69),0))</f>
        <v>27.857142857142854</v>
      </c>
    </row>
    <row r="71" spans="1:16" customFormat="1" x14ac:dyDescent="0.25">
      <c r="A71" s="98" t="s">
        <v>254</v>
      </c>
      <c r="B71" s="66"/>
      <c r="C71" s="59">
        <v>1</v>
      </c>
      <c r="D71" s="93">
        <f ca="1">((100/I61)*C71)/100</f>
        <v>2.5641025641025644E-2</v>
      </c>
      <c r="E71" s="93"/>
      <c r="F71" s="93"/>
      <c r="G71" s="93"/>
      <c r="H71" s="93"/>
      <c r="I71" s="93"/>
      <c r="J71" s="101"/>
      <c r="K71" s="46" t="s">
        <v>255</v>
      </c>
      <c r="M71" s="54">
        <f>(IF(B61&gt;3,(I61/(B61+4)+M70),0))</f>
        <v>0</v>
      </c>
    </row>
    <row r="72" spans="1:16" customFormat="1" x14ac:dyDescent="0.25">
      <c r="A72" s="98" t="s">
        <v>256</v>
      </c>
      <c r="B72" s="66" t="s">
        <v>256</v>
      </c>
      <c r="C72" s="59">
        <v>1</v>
      </c>
      <c r="D72" s="93">
        <f ca="1">((100/(I61))*C72)/100</f>
        <v>2.5641025641025644E-2</v>
      </c>
      <c r="E72" s="93"/>
      <c r="F72" s="93"/>
      <c r="G72" s="93"/>
      <c r="H72" s="93"/>
      <c r="I72" s="93"/>
      <c r="J72" s="101"/>
      <c r="K72" s="46" t="s">
        <v>141</v>
      </c>
      <c r="L72" s="48"/>
      <c r="M72" s="50">
        <f ca="1">(IF(B61=0,I61/4+M67,(I61/(B61+4)+M67+MAX(0,M68-M67)+MAX(0,M69-M68)+MAX(0,M70-M69)+MAX(0,M71-M70))))</f>
        <v>33.428571428571431</v>
      </c>
    </row>
    <row r="73" spans="1:16" customFormat="1" ht="16.5" thickBot="1" x14ac:dyDescent="0.3">
      <c r="A73" s="94" t="s">
        <v>257</v>
      </c>
      <c r="B73" s="95"/>
      <c r="C73" s="61">
        <v>0</v>
      </c>
      <c r="D73" s="100">
        <f ca="1">((100/(I61))*C73)/100</f>
        <v>0</v>
      </c>
      <c r="E73" s="100"/>
      <c r="F73" s="100"/>
      <c r="G73" s="100"/>
      <c r="H73" s="100"/>
      <c r="I73" s="100"/>
      <c r="J73" s="102"/>
      <c r="K73" s="55" t="s">
        <v>142</v>
      </c>
      <c r="L73" s="56"/>
      <c r="M73" s="57">
        <f ca="1">(IF(B61=0,I61/4+M72,(I61/(B61+4)+M72)))</f>
        <v>39</v>
      </c>
    </row>
    <row r="74" spans="1:16" customFormat="1" ht="32.25" customHeight="1" x14ac:dyDescent="0.25">
      <c r="A74" s="103" t="s">
        <v>233</v>
      </c>
      <c r="B74" s="104"/>
      <c r="C74" s="96" t="s">
        <v>263</v>
      </c>
      <c r="D74" s="96"/>
      <c r="E74" s="96"/>
      <c r="F74" s="96"/>
      <c r="G74" s="96"/>
      <c r="H74" s="96"/>
      <c r="I74" s="96"/>
      <c r="J74" s="97"/>
      <c r="K74" s="40" t="str">
        <f ca="1">(IF(C78=0,"Work not yet Started.",IF(D78=25%,"Piling work in process",IF(D78=50%,"Excavation work in process",IF(D78=100%,"Excavation work completed, ","0")))&amp;(IF(C79=0%,"",IF(C79=M80,"Footing work is process",IF(C79=M81,"Footing work Completed",IF(C79=M82,"1st Basement Completed",IF(C79=M83,"1st &amp; 2nd Basement Completed",IF(C79=M84,"1st to 3rd Basement Completed",IF(C79=M85,"1st to 4th Basement Completed",IF(C79=M86,"Plinth work is process",IF(C79=M87,"Plinth work completed","0")))))))))))&amp;(IF(C80&gt;0,", RCC upto "&amp;C80&amp;" Slab completed",""))&amp;(IF(C81&gt;0,", Brickwork upto "&amp;C81&amp;" Floor completed"," "))&amp;(IF(C82&gt;0,", Internal Plaster upto "&amp;C82&amp;" Floor completed"," "))&amp;(IF(C83&gt;0,", External Plaster upto "&amp;C83&amp;" Floor completed"," "))&amp;(IF(C84&gt;0,", Flooring upto "&amp;C84&amp;" Floor completed"," "))&amp;(IF(C85&gt;0,", Painting upto "&amp;C85&amp;" Floor completed"," "))&amp;(IF(C86&gt;0,", Finishing upto "&amp;C86&amp;" Floor completed"," ")))</f>
        <v xml:space="preserve">Excavation work completed, Plinth work completed, RCC upto 44 Slab completed, Brickwork upto 39 Floor completed, Internal Plaster upto 35 Floor completed, External Plaster upto 31 Floor completed   </v>
      </c>
      <c r="L74" s="40"/>
      <c r="M74" s="41"/>
    </row>
    <row r="75" spans="1:16" customFormat="1" x14ac:dyDescent="0.25">
      <c r="A75" s="42" t="s">
        <v>129</v>
      </c>
      <c r="B75" s="43">
        <v>3</v>
      </c>
      <c r="C75" s="43" t="s">
        <v>131</v>
      </c>
      <c r="D75" s="43">
        <v>1</v>
      </c>
      <c r="E75" s="43" t="s">
        <v>130</v>
      </c>
      <c r="F75" s="105">
        <v>4</v>
      </c>
      <c r="G75" s="105"/>
      <c r="H75" s="43" t="s">
        <v>234</v>
      </c>
      <c r="I75" s="105">
        <f ca="1">--TRIM(RIGHT(SUBSTITUTE(LEFT(C74,_xlfn.AGGREGATE(16,6,FIND({0,1,2,3,4,5,6,7,8,9},C74,ROW(INDIRECT("1:"&amp;LEN(C74)))),1))," ",REPT(" ",LEN(C74))),LEN(C74)))</f>
        <v>39</v>
      </c>
      <c r="J75" s="106"/>
      <c r="K75" s="44" t="s">
        <v>235</v>
      </c>
      <c r="L75" s="44"/>
      <c r="M75" s="45"/>
    </row>
    <row r="76" spans="1:16" customFormat="1" ht="46.9" customHeight="1" x14ac:dyDescent="0.25">
      <c r="A76" s="107" t="s">
        <v>236</v>
      </c>
      <c r="B76" s="108"/>
      <c r="C76" s="109" t="str">
        <f ca="1">K74</f>
        <v xml:space="preserve">Excavation work completed, Plinth work completed, RCC upto 44 Slab completed, Brickwork upto 39 Floor completed, Internal Plaster upto 35 Floor completed, External Plaster upto 31 Floor completed   </v>
      </c>
      <c r="D76" s="109"/>
      <c r="E76" s="109"/>
      <c r="F76" s="109"/>
      <c r="G76" s="109"/>
      <c r="H76" s="109"/>
      <c r="I76" s="109"/>
      <c r="J76" s="110"/>
      <c r="K76" s="44" t="s">
        <v>237</v>
      </c>
      <c r="L76" s="44"/>
      <c r="M76" s="45"/>
    </row>
    <row r="77" spans="1:16" customFormat="1" x14ac:dyDescent="0.25">
      <c r="A77" s="98" t="s">
        <v>61</v>
      </c>
      <c r="B77" s="66"/>
      <c r="C77" s="58" t="s">
        <v>238</v>
      </c>
      <c r="D77" s="66" t="s">
        <v>239</v>
      </c>
      <c r="E77" s="66"/>
      <c r="F77" s="66" t="s">
        <v>240</v>
      </c>
      <c r="G77" s="66"/>
      <c r="H77" s="66" t="s">
        <v>241</v>
      </c>
      <c r="I77" s="66"/>
      <c r="J77" s="99"/>
      <c r="K77" s="46" t="s">
        <v>242</v>
      </c>
      <c r="L77" s="12"/>
      <c r="M77" s="47">
        <f ca="1">I75*25%</f>
        <v>9.75</v>
      </c>
    </row>
    <row r="78" spans="1:16" customFormat="1" x14ac:dyDescent="0.25">
      <c r="A78" s="98" t="s">
        <v>243</v>
      </c>
      <c r="B78" s="66"/>
      <c r="C78" s="60">
        <v>39</v>
      </c>
      <c r="D78" s="93">
        <f ca="1">((100/I75)*C78)/100</f>
        <v>1.0000000000000002</v>
      </c>
      <c r="E78" s="93"/>
      <c r="F78" s="93">
        <f ca="1">(IF(C76=K75,"100%",IF(C76=K76,"100%",(((C79/I75*10)+(40/(D75+F75+I75)*C80)+(7.5/(I75)*C81)+(7.5/(I75)*C82)+(10/I75*C83)+(10/I75*C84)+(5/I75*C85)+(5/I75*C86)+(5/I75*C87))/100))))</f>
        <v>0.72179487179487167</v>
      </c>
      <c r="G78" s="93"/>
      <c r="H78" s="93">
        <f ca="1">((((C78/I75)*20)+((C79/I75)*25)+(30/(I75+F75+D75)*C80)+(5/I75*C81)+(5/I75*C82)+(5/I75*C83)+(5/I75*C84)+(0/I75*C85)+(0/I75*C86)+(5/I75*C87))/100)</f>
        <v>0.88461538461538469</v>
      </c>
      <c r="I78" s="93"/>
      <c r="J78" s="101"/>
      <c r="K78" s="46" t="s">
        <v>137</v>
      </c>
      <c r="L78" s="48"/>
      <c r="M78" s="49">
        <f ca="1">I75*50%</f>
        <v>19.5</v>
      </c>
    </row>
    <row r="79" spans="1:16" customFormat="1" x14ac:dyDescent="0.25">
      <c r="A79" s="98" t="s">
        <v>62</v>
      </c>
      <c r="B79" s="66"/>
      <c r="C79" s="60">
        <f ca="1">M87</f>
        <v>39</v>
      </c>
      <c r="D79" s="93">
        <f ca="1">((100/I75)*C79)/100</f>
        <v>1.0000000000000002</v>
      </c>
      <c r="E79" s="93"/>
      <c r="F79" s="93"/>
      <c r="G79" s="93"/>
      <c r="H79" s="93"/>
      <c r="I79" s="93"/>
      <c r="J79" s="101"/>
      <c r="K79" s="46" t="s">
        <v>138</v>
      </c>
      <c r="L79" s="48"/>
      <c r="M79" s="49">
        <f ca="1">I75</f>
        <v>39</v>
      </c>
    </row>
    <row r="80" spans="1:16" customFormat="1" x14ac:dyDescent="0.25">
      <c r="A80" s="111" t="s">
        <v>244</v>
      </c>
      <c r="B80" s="105"/>
      <c r="C80" s="60">
        <v>44</v>
      </c>
      <c r="D80" s="93">
        <f ca="1">((100/(D75+F75+I75))*C80)/100</f>
        <v>1.0000000000000002</v>
      </c>
      <c r="E80" s="93"/>
      <c r="F80" s="93"/>
      <c r="G80" s="93"/>
      <c r="H80" s="93"/>
      <c r="I80" s="93"/>
      <c r="J80" s="101"/>
      <c r="K80" s="46" t="s">
        <v>139</v>
      </c>
      <c r="L80" s="48"/>
      <c r="M80" s="50">
        <f ca="1">(IF(B75=0,I75/4,(I75/(B75+4))))</f>
        <v>5.5714285714285712</v>
      </c>
    </row>
    <row r="81" spans="1:17" customFormat="1" x14ac:dyDescent="0.25">
      <c r="A81" s="98" t="s">
        <v>245</v>
      </c>
      <c r="B81" s="66" t="s">
        <v>246</v>
      </c>
      <c r="C81" s="60">
        <f>C80-D75-F75</f>
        <v>39</v>
      </c>
      <c r="D81" s="93">
        <f ca="1">((100/I75)*C81)/100</f>
        <v>1.0000000000000002</v>
      </c>
      <c r="E81" s="93"/>
      <c r="F81" s="93"/>
      <c r="G81" s="93"/>
      <c r="H81" s="93"/>
      <c r="I81" s="93"/>
      <c r="J81" s="101"/>
      <c r="K81" s="46" t="s">
        <v>140</v>
      </c>
      <c r="L81" s="48"/>
      <c r="M81" s="50">
        <f ca="1">(IF(B75=0,I75/4+M80,(I75/(B75+4)+M80)))</f>
        <v>11.142857142857142</v>
      </c>
      <c r="Q81">
        <f>39*0.6</f>
        <v>23.4</v>
      </c>
    </row>
    <row r="82" spans="1:17" customFormat="1" x14ac:dyDescent="0.25">
      <c r="A82" s="98" t="s">
        <v>247</v>
      </c>
      <c r="B82" s="66" t="s">
        <v>246</v>
      </c>
      <c r="C82" s="60">
        <v>35</v>
      </c>
      <c r="D82" s="93">
        <f ca="1">((100/I75)*C82)/100</f>
        <v>0.89743589743589747</v>
      </c>
      <c r="E82" s="93"/>
      <c r="F82" s="93"/>
      <c r="G82" s="93"/>
      <c r="H82" s="93"/>
      <c r="I82" s="93"/>
      <c r="J82" s="101"/>
      <c r="K82" s="46" t="s">
        <v>248</v>
      </c>
      <c r="L82" s="51"/>
      <c r="M82" s="50">
        <f ca="1">(IF(B75=0,0,(I75/(B75+4)+M81)))</f>
        <v>16.714285714285715</v>
      </c>
    </row>
    <row r="83" spans="1:17" customFormat="1" x14ac:dyDescent="0.25">
      <c r="A83" s="98" t="s">
        <v>249</v>
      </c>
      <c r="B83" s="66" t="s">
        <v>250</v>
      </c>
      <c r="C83" s="60">
        <v>31</v>
      </c>
      <c r="D83" s="93">
        <f ca="1">((100/(I75))*C83)/100</f>
        <v>0.79487179487179493</v>
      </c>
      <c r="E83" s="93"/>
      <c r="F83" s="93"/>
      <c r="G83" s="93"/>
      <c r="H83" s="93"/>
      <c r="I83" s="93"/>
      <c r="J83" s="101"/>
      <c r="K83" s="46" t="s">
        <v>251</v>
      </c>
      <c r="L83" s="51"/>
      <c r="M83" s="50">
        <f ca="1">(IF(B75&gt;1,(I75/(B75+4)+M82),0))</f>
        <v>22.285714285714285</v>
      </c>
    </row>
    <row r="84" spans="1:17" customFormat="1" x14ac:dyDescent="0.25">
      <c r="A84" s="98" t="s">
        <v>252</v>
      </c>
      <c r="B84" s="66" t="s">
        <v>252</v>
      </c>
      <c r="C84" s="59">
        <v>0</v>
      </c>
      <c r="D84" s="93">
        <f ca="1">((100/I75)*C84)/100</f>
        <v>0</v>
      </c>
      <c r="E84" s="93"/>
      <c r="F84" s="93"/>
      <c r="G84" s="93"/>
      <c r="H84" s="93"/>
      <c r="I84" s="93"/>
      <c r="J84" s="101"/>
      <c r="K84" s="46" t="s">
        <v>253</v>
      </c>
      <c r="L84" s="52"/>
      <c r="M84" s="53">
        <f ca="1">(IF(B75&gt;2,(I75/(B75+4)+M83),0))</f>
        <v>27.857142857142854</v>
      </c>
    </row>
    <row r="85" spans="1:17" customFormat="1" x14ac:dyDescent="0.25">
      <c r="A85" s="98" t="s">
        <v>254</v>
      </c>
      <c r="B85" s="66"/>
      <c r="C85" s="59">
        <v>0</v>
      </c>
      <c r="D85" s="93">
        <f ca="1">((100/I75)*C85)/100</f>
        <v>0</v>
      </c>
      <c r="E85" s="93"/>
      <c r="F85" s="93"/>
      <c r="G85" s="93"/>
      <c r="H85" s="93"/>
      <c r="I85" s="93"/>
      <c r="J85" s="101"/>
      <c r="K85" s="46" t="s">
        <v>255</v>
      </c>
      <c r="M85" s="54">
        <f>(IF(B75&gt;3,(I75/(B75+4)+M84),0))</f>
        <v>0</v>
      </c>
    </row>
    <row r="86" spans="1:17" customFormat="1" x14ac:dyDescent="0.25">
      <c r="A86" s="98" t="s">
        <v>256</v>
      </c>
      <c r="B86" s="66" t="s">
        <v>256</v>
      </c>
      <c r="C86" s="59">
        <v>0</v>
      </c>
      <c r="D86" s="93">
        <f ca="1">((100/(I75))*C86)/100</f>
        <v>0</v>
      </c>
      <c r="E86" s="93"/>
      <c r="F86" s="93"/>
      <c r="G86" s="93"/>
      <c r="H86" s="93"/>
      <c r="I86" s="93"/>
      <c r="J86" s="101"/>
      <c r="K86" s="46" t="s">
        <v>141</v>
      </c>
      <c r="L86" s="48"/>
      <c r="M86" s="50">
        <f ca="1">(IF(B75=0,I75/4+M81,(I75/(B75+4)+M81+MAX(0,M82-M81)+MAX(0,M83-M82)+MAX(0,M84-M83)+MAX(0,M85-M84))))</f>
        <v>33.428571428571431</v>
      </c>
    </row>
    <row r="87" spans="1:17" customFormat="1" ht="16.5" thickBot="1" x14ac:dyDescent="0.3">
      <c r="A87" s="94" t="s">
        <v>257</v>
      </c>
      <c r="B87" s="95"/>
      <c r="C87" s="61">
        <v>0</v>
      </c>
      <c r="D87" s="100">
        <f ca="1">((100/(I75))*C87)/100</f>
        <v>0</v>
      </c>
      <c r="E87" s="100"/>
      <c r="F87" s="100"/>
      <c r="G87" s="100"/>
      <c r="H87" s="100"/>
      <c r="I87" s="100"/>
      <c r="J87" s="102"/>
      <c r="K87" s="55" t="s">
        <v>142</v>
      </c>
      <c r="L87" s="56"/>
      <c r="M87" s="57">
        <f ca="1">(IF(B75=0,I75/4+M86,(I75/(B75+4)+M86)))</f>
        <v>39</v>
      </c>
    </row>
    <row r="88" spans="1:17" customFormat="1" ht="31.5" customHeight="1" x14ac:dyDescent="0.25">
      <c r="A88" s="103" t="s">
        <v>233</v>
      </c>
      <c r="B88" s="104"/>
      <c r="C88" s="96" t="s">
        <v>264</v>
      </c>
      <c r="D88" s="96"/>
      <c r="E88" s="96"/>
      <c r="F88" s="96"/>
      <c r="G88" s="96"/>
      <c r="H88" s="96"/>
      <c r="I88" s="96"/>
      <c r="J88" s="97"/>
      <c r="K88" s="40" t="str">
        <f ca="1">(IF(C92=0,"Work not yet Started.",IF(D92=25%,"Piling work in process",IF(D92=50%,"Excavation work in process",IF(D92=100%,"Excavation work completed, ","0")))&amp;(IF(C93=0%,"",IF(C93=M94,"Footing work is process",IF(C93=M95,"Footing work Completed",IF(C93=M96,"1st Basement Completed",IF(C93=M97,"1st &amp; 2nd Basement Completed",IF(C93=M98,"1st to 3rd Basement Completed",IF(C93=M99,"1st to 4th Basement Completed",IF(C93=M100,"Plinth work is process",IF(C93=M101,"Plinth work completed","0")))))))))))&amp;(IF(C94&gt;0,", RCC upto "&amp;C94&amp;" Slab completed",""))&amp;(IF(C95&gt;0,", Brickwork upto "&amp;C95&amp;" Floor completed"," "))&amp;(IF(C96&gt;0,", Internal Plaster upto "&amp;C96&amp;" Floor completed"," "))&amp;(IF(C97&gt;0,", External Plaster upto "&amp;C97&amp;" Floor completed"," "))&amp;(IF(C98&gt;0,", Flooring upto "&amp;C98&amp;" Floor completed"," "))&amp;(IF(C99&gt;0,", Painting upto "&amp;C99&amp;" Floor completed"," "))&amp;(IF(C100&gt;0,", Finishing upto "&amp;C100&amp;" Floor completed"," ")))</f>
        <v xml:space="preserve">Excavation work completed, Plinth work completed, RCC upto 32 Slab completed, Brickwork upto 27 Floor completed, Internal Plaster upto 20.25 Floor completed, External Plaster upto 18.9 Floor completed   </v>
      </c>
      <c r="L88" s="40"/>
      <c r="M88" s="41"/>
    </row>
    <row r="89" spans="1:17" customFormat="1" x14ac:dyDescent="0.25">
      <c r="A89" s="42" t="s">
        <v>129</v>
      </c>
      <c r="B89" s="43">
        <v>3</v>
      </c>
      <c r="C89" s="43" t="s">
        <v>131</v>
      </c>
      <c r="D89" s="43">
        <v>1</v>
      </c>
      <c r="E89" s="43" t="s">
        <v>130</v>
      </c>
      <c r="F89" s="105">
        <v>4</v>
      </c>
      <c r="G89" s="105"/>
      <c r="H89" s="43" t="s">
        <v>234</v>
      </c>
      <c r="I89" s="105">
        <f ca="1">--TRIM(RIGHT(SUBSTITUTE(LEFT(C88,_xlfn.AGGREGATE(16,6,FIND({0,1,2,3,4,5,6,7,8,9},C88,ROW(INDIRECT("1:"&amp;LEN(C88)))),1))," ",REPT(" ",LEN(C88))),LEN(C88)))</f>
        <v>39</v>
      </c>
      <c r="J89" s="106"/>
      <c r="K89" s="44" t="s">
        <v>235</v>
      </c>
      <c r="L89" s="44"/>
      <c r="M89" s="45"/>
    </row>
    <row r="90" spans="1:17" customFormat="1" ht="51" customHeight="1" x14ac:dyDescent="0.25">
      <c r="A90" s="107" t="s">
        <v>236</v>
      </c>
      <c r="B90" s="108"/>
      <c r="C90" s="109" t="str">
        <f ca="1">K88</f>
        <v xml:space="preserve">Excavation work completed, Plinth work completed, RCC upto 32 Slab completed, Brickwork upto 27 Floor completed, Internal Plaster upto 20.25 Floor completed, External Plaster upto 18.9 Floor completed   </v>
      </c>
      <c r="D90" s="109"/>
      <c r="E90" s="109"/>
      <c r="F90" s="109"/>
      <c r="G90" s="109"/>
      <c r="H90" s="109"/>
      <c r="I90" s="109"/>
      <c r="J90" s="110"/>
      <c r="K90" s="44" t="s">
        <v>237</v>
      </c>
      <c r="L90" s="44"/>
      <c r="M90" s="45"/>
    </row>
    <row r="91" spans="1:17" customFormat="1" x14ac:dyDescent="0.25">
      <c r="A91" s="98" t="s">
        <v>61</v>
      </c>
      <c r="B91" s="66"/>
      <c r="C91" s="58" t="s">
        <v>238</v>
      </c>
      <c r="D91" s="66" t="s">
        <v>239</v>
      </c>
      <c r="E91" s="66"/>
      <c r="F91" s="66" t="s">
        <v>240</v>
      </c>
      <c r="G91" s="66"/>
      <c r="H91" s="66" t="s">
        <v>241</v>
      </c>
      <c r="I91" s="66"/>
      <c r="J91" s="99"/>
      <c r="K91" s="46" t="s">
        <v>242</v>
      </c>
      <c r="L91" s="12"/>
      <c r="M91" s="47">
        <f ca="1">I89*25%</f>
        <v>9.75</v>
      </c>
    </row>
    <row r="92" spans="1:17" customFormat="1" x14ac:dyDescent="0.25">
      <c r="A92" s="98" t="s">
        <v>243</v>
      </c>
      <c r="B92" s="66"/>
      <c r="C92" s="59">
        <f ca="1">M93</f>
        <v>39</v>
      </c>
      <c r="D92" s="93">
        <f ca="1">((100/I89)*C92)/100</f>
        <v>1.0000000000000002</v>
      </c>
      <c r="E92" s="93"/>
      <c r="F92" s="93">
        <f ca="1">(IF(C90=K89,"100%",IF(C90=K90,"100%",(((C93/I89*10)+(40/(D89+F89+I89)*C94)+(7.5/(I89)*C95)+(7.5/(I89)*C96)+(10/I89*C97)+(10/I89*C98)+(5/I89*C99)+(5/I89*C100)+(5/I89*C101))/100))))</f>
        <v>0.53023601398601405</v>
      </c>
      <c r="G92" s="93"/>
      <c r="H92" s="93">
        <f ca="1">((((C92/I89)*20)+((C93/I89)*25)+(30/(I89+F89+D89)*C94)+(5/I89*C95)+(5/I89*C96)+(5/I89*C97)+(5/I89*C98)+(0/I89*C99)+(0/I89*C100)+(5/I89*C101))/100)</f>
        <v>0.75298951048951035</v>
      </c>
      <c r="I92" s="93"/>
      <c r="J92" s="101"/>
      <c r="K92" s="46" t="s">
        <v>137</v>
      </c>
      <c r="L92" s="48"/>
      <c r="M92" s="49">
        <f ca="1">I89*50%</f>
        <v>19.5</v>
      </c>
    </row>
    <row r="93" spans="1:17" customFormat="1" x14ac:dyDescent="0.25">
      <c r="A93" s="98" t="s">
        <v>62</v>
      </c>
      <c r="B93" s="66"/>
      <c r="C93" s="60">
        <f ca="1">M101</f>
        <v>39</v>
      </c>
      <c r="D93" s="93">
        <f ca="1">((100/I89)*C93)/100</f>
        <v>1.0000000000000002</v>
      </c>
      <c r="E93" s="93"/>
      <c r="F93" s="93"/>
      <c r="G93" s="93"/>
      <c r="H93" s="93"/>
      <c r="I93" s="93"/>
      <c r="J93" s="101"/>
      <c r="K93" s="46" t="s">
        <v>138</v>
      </c>
      <c r="L93" s="48"/>
      <c r="M93" s="49">
        <f ca="1">I89</f>
        <v>39</v>
      </c>
    </row>
    <row r="94" spans="1:17" customFormat="1" x14ac:dyDescent="0.25">
      <c r="A94" s="98" t="s">
        <v>244</v>
      </c>
      <c r="B94" s="66"/>
      <c r="C94" s="60">
        <v>32</v>
      </c>
      <c r="D94" s="93">
        <f ca="1">((100/(D89+F89+I89))*C94)/100</f>
        <v>0.72727272727272729</v>
      </c>
      <c r="E94" s="93"/>
      <c r="F94" s="93"/>
      <c r="G94" s="93"/>
      <c r="H94" s="93"/>
      <c r="I94" s="93"/>
      <c r="J94" s="101"/>
      <c r="K94" s="46" t="s">
        <v>139</v>
      </c>
      <c r="L94" s="48"/>
      <c r="M94" s="50">
        <f ca="1">(IF(B89=0,I89/4,(I89/(B89+4))))</f>
        <v>5.5714285714285712</v>
      </c>
      <c r="O94">
        <f>0.13*39</f>
        <v>5.07</v>
      </c>
    </row>
    <row r="95" spans="1:17" customFormat="1" x14ac:dyDescent="0.25">
      <c r="A95" s="98" t="s">
        <v>245</v>
      </c>
      <c r="B95" s="66" t="s">
        <v>246</v>
      </c>
      <c r="C95" s="60">
        <f>C94-D89-F89</f>
        <v>27</v>
      </c>
      <c r="D95" s="93">
        <f ca="1">((100/I89)*C95)/100</f>
        <v>0.6923076923076924</v>
      </c>
      <c r="E95" s="93"/>
      <c r="F95" s="93"/>
      <c r="G95" s="93"/>
      <c r="H95" s="93"/>
      <c r="I95" s="93"/>
      <c r="J95" s="101"/>
      <c r="K95" s="46" t="s">
        <v>140</v>
      </c>
      <c r="L95" s="48"/>
      <c r="M95" s="50">
        <f ca="1">(IF(B89=0,I89/4+M94,(I89/(B89+4)+M94)))</f>
        <v>11.142857142857142</v>
      </c>
    </row>
    <row r="96" spans="1:17" customFormat="1" x14ac:dyDescent="0.25">
      <c r="A96" s="98" t="s">
        <v>247</v>
      </c>
      <c r="B96" s="66" t="s">
        <v>246</v>
      </c>
      <c r="C96" s="60">
        <f>C95*0.75</f>
        <v>20.25</v>
      </c>
      <c r="D96" s="93">
        <f ca="1">((100/I89)*C96)/100</f>
        <v>0.51923076923076927</v>
      </c>
      <c r="E96" s="93"/>
      <c r="F96" s="93"/>
      <c r="G96" s="93"/>
      <c r="H96" s="93"/>
      <c r="I96" s="93"/>
      <c r="J96" s="101"/>
      <c r="K96" s="46" t="s">
        <v>248</v>
      </c>
      <c r="L96" s="51"/>
      <c r="M96" s="50">
        <f ca="1">(IF(B89=0,0,(I89/(B89+4)+M95)))</f>
        <v>16.714285714285715</v>
      </c>
    </row>
    <row r="97" spans="1:14" customFormat="1" x14ac:dyDescent="0.25">
      <c r="A97" s="98" t="s">
        <v>249</v>
      </c>
      <c r="B97" s="66" t="s">
        <v>250</v>
      </c>
      <c r="C97" s="60">
        <f>C95*0.7</f>
        <v>18.899999999999999</v>
      </c>
      <c r="D97" s="93">
        <f ca="1">((100/(I89))*C97)/100</f>
        <v>0.48461538461538461</v>
      </c>
      <c r="E97" s="93"/>
      <c r="F97" s="93"/>
      <c r="G97" s="93"/>
      <c r="H97" s="93"/>
      <c r="I97" s="93"/>
      <c r="J97" s="101"/>
      <c r="K97" s="46" t="s">
        <v>251</v>
      </c>
      <c r="L97" s="51"/>
      <c r="M97" s="50">
        <f ca="1">(IF(B89&gt;1,(I89/(B89+4)+M96),0))</f>
        <v>22.285714285714285</v>
      </c>
    </row>
    <row r="98" spans="1:14" customFormat="1" x14ac:dyDescent="0.25">
      <c r="A98" s="98" t="s">
        <v>252</v>
      </c>
      <c r="B98" s="66" t="s">
        <v>252</v>
      </c>
      <c r="C98" s="59">
        <v>0</v>
      </c>
      <c r="D98" s="93">
        <f ca="1">((100/I89)*C98)/100</f>
        <v>0</v>
      </c>
      <c r="E98" s="93"/>
      <c r="F98" s="93"/>
      <c r="G98" s="93"/>
      <c r="H98" s="93"/>
      <c r="I98" s="93"/>
      <c r="J98" s="101"/>
      <c r="K98" s="46" t="s">
        <v>253</v>
      </c>
      <c r="L98" s="52"/>
      <c r="M98" s="53">
        <f ca="1">(IF(B89&gt;2,(I89/(B89+4)+M97),0))</f>
        <v>27.857142857142854</v>
      </c>
    </row>
    <row r="99" spans="1:14" customFormat="1" x14ac:dyDescent="0.25">
      <c r="A99" s="98" t="s">
        <v>254</v>
      </c>
      <c r="B99" s="66"/>
      <c r="C99" s="59">
        <v>0</v>
      </c>
      <c r="D99" s="93">
        <f ca="1">((100/I89)*C99)/100</f>
        <v>0</v>
      </c>
      <c r="E99" s="93"/>
      <c r="F99" s="93"/>
      <c r="G99" s="93"/>
      <c r="H99" s="93"/>
      <c r="I99" s="93"/>
      <c r="J99" s="101"/>
      <c r="K99" s="46" t="s">
        <v>255</v>
      </c>
      <c r="M99" s="54">
        <f>(IF(B89&gt;3,(I89/(B89+4)+M98),0))</f>
        <v>0</v>
      </c>
    </row>
    <row r="100" spans="1:14" customFormat="1" x14ac:dyDescent="0.25">
      <c r="A100" s="98" t="s">
        <v>256</v>
      </c>
      <c r="B100" s="66" t="s">
        <v>256</v>
      </c>
      <c r="C100" s="59">
        <v>0</v>
      </c>
      <c r="D100" s="93">
        <f ca="1">((100/(I89))*C100)/100</f>
        <v>0</v>
      </c>
      <c r="E100" s="93"/>
      <c r="F100" s="93"/>
      <c r="G100" s="93"/>
      <c r="H100" s="93"/>
      <c r="I100" s="93"/>
      <c r="J100" s="101"/>
      <c r="K100" s="46" t="s">
        <v>141</v>
      </c>
      <c r="L100" s="48"/>
      <c r="M100" s="50">
        <f ca="1">(IF(B89=0,I89/4+M95,(I89/(B89+4)+M95+MAX(0,M96-M95)+MAX(0,M97-M96)+MAX(0,M98-M97)+MAX(0,M99-M98))))</f>
        <v>33.428571428571431</v>
      </c>
    </row>
    <row r="101" spans="1:14" customFormat="1" ht="16.5" thickBot="1" x14ac:dyDescent="0.3">
      <c r="A101" s="94" t="s">
        <v>257</v>
      </c>
      <c r="B101" s="95"/>
      <c r="C101" s="61">
        <v>0</v>
      </c>
      <c r="D101" s="100">
        <f ca="1">((100/(I89))*C101)/100</f>
        <v>0</v>
      </c>
      <c r="E101" s="100"/>
      <c r="F101" s="100"/>
      <c r="G101" s="100"/>
      <c r="H101" s="100"/>
      <c r="I101" s="100"/>
      <c r="J101" s="102"/>
      <c r="K101" s="55" t="s">
        <v>142</v>
      </c>
      <c r="L101" s="56"/>
      <c r="M101" s="57">
        <f ca="1">(IF(B89=0,I89/4+M100,(I89/(B89+4)+M100)))</f>
        <v>39</v>
      </c>
    </row>
    <row r="102" spans="1:14" x14ac:dyDescent="0.25">
      <c r="A102" s="137" t="s">
        <v>232</v>
      </c>
      <c r="B102" s="138"/>
      <c r="C102" s="138"/>
      <c r="D102" s="138"/>
      <c r="E102" s="138"/>
      <c r="F102" s="138"/>
      <c r="G102" s="138"/>
      <c r="H102" s="138"/>
      <c r="I102" s="138"/>
      <c r="J102" s="150"/>
    </row>
    <row r="103" spans="1:14" x14ac:dyDescent="0.25">
      <c r="A103" s="131" t="s">
        <v>67</v>
      </c>
      <c r="B103" s="132"/>
      <c r="C103" s="132"/>
      <c r="D103" s="132"/>
      <c r="E103" s="132"/>
      <c r="F103" s="132"/>
      <c r="G103" s="132"/>
      <c r="H103" s="132"/>
      <c r="I103" s="132"/>
      <c r="J103" s="133"/>
    </row>
    <row r="104" spans="1:14" ht="15" customHeight="1" x14ac:dyDescent="0.25">
      <c r="A104" s="246" t="s">
        <v>135</v>
      </c>
      <c r="B104" s="247"/>
      <c r="C104" s="248" t="s">
        <v>136</v>
      </c>
      <c r="D104" s="249"/>
      <c r="E104" s="249"/>
      <c r="F104" s="249"/>
      <c r="G104" s="249"/>
      <c r="H104" s="249"/>
      <c r="I104" s="249"/>
      <c r="J104" s="250"/>
    </row>
    <row r="105" spans="1:14" x14ac:dyDescent="0.25">
      <c r="A105" s="151" t="s">
        <v>68</v>
      </c>
      <c r="B105" s="152"/>
      <c r="C105" s="152"/>
      <c r="D105" s="152"/>
      <c r="E105" s="152"/>
      <c r="F105" s="152"/>
      <c r="G105" s="152"/>
      <c r="H105" s="152"/>
      <c r="I105" s="152"/>
      <c r="J105" s="153"/>
      <c r="L105" s="12" t="s">
        <v>286</v>
      </c>
      <c r="M105" s="62">
        <v>45016</v>
      </c>
      <c r="N105" s="12" t="s">
        <v>287</v>
      </c>
    </row>
    <row r="106" spans="1:14" x14ac:dyDescent="0.25">
      <c r="A106" s="137" t="s">
        <v>143</v>
      </c>
      <c r="B106" s="138"/>
      <c r="C106" s="138"/>
      <c r="D106" s="138"/>
      <c r="E106" s="138"/>
      <c r="F106" s="150"/>
      <c r="G106" s="243">
        <v>13000</v>
      </c>
      <c r="H106" s="244"/>
      <c r="I106" s="244"/>
      <c r="J106" s="245"/>
    </row>
    <row r="107" spans="1:14" x14ac:dyDescent="0.25">
      <c r="A107" s="137" t="s">
        <v>216</v>
      </c>
      <c r="B107" s="138"/>
      <c r="C107" s="138"/>
      <c r="D107" s="138"/>
      <c r="E107" s="138"/>
      <c r="F107" s="150"/>
      <c r="G107" s="154">
        <v>22000</v>
      </c>
      <c r="H107" s="155"/>
      <c r="I107" s="155"/>
      <c r="J107" s="156"/>
    </row>
    <row r="108" spans="1:14" x14ac:dyDescent="0.25">
      <c r="A108" s="137" t="s">
        <v>225</v>
      </c>
      <c r="B108" s="138"/>
      <c r="C108" s="138"/>
      <c r="D108" s="138"/>
      <c r="E108" s="138"/>
      <c r="F108" s="150"/>
      <c r="G108" s="154">
        <v>35000</v>
      </c>
      <c r="H108" s="155"/>
      <c r="I108" s="155"/>
      <c r="J108" s="156"/>
    </row>
    <row r="109" spans="1:14" x14ac:dyDescent="0.25">
      <c r="A109" s="137" t="s">
        <v>284</v>
      </c>
      <c r="B109" s="138"/>
      <c r="C109" s="138"/>
      <c r="D109" s="138"/>
      <c r="E109" s="138"/>
      <c r="F109" s="150"/>
      <c r="G109" s="241" t="s">
        <v>288</v>
      </c>
      <c r="H109" s="155"/>
      <c r="I109" s="155"/>
      <c r="J109" s="156"/>
    </row>
    <row r="110" spans="1:14" x14ac:dyDescent="0.25">
      <c r="A110" s="137" t="s">
        <v>219</v>
      </c>
      <c r="B110" s="138"/>
      <c r="C110" s="138"/>
      <c r="D110" s="138"/>
      <c r="E110" s="138"/>
      <c r="F110" s="150"/>
      <c r="G110" s="241">
        <v>100000</v>
      </c>
      <c r="H110" s="155"/>
      <c r="I110" s="155"/>
      <c r="J110" s="156"/>
    </row>
    <row r="111" spans="1:14" x14ac:dyDescent="0.25">
      <c r="A111" s="137" t="s">
        <v>220</v>
      </c>
      <c r="B111" s="138"/>
      <c r="C111" s="138"/>
      <c r="D111" s="138"/>
      <c r="E111" s="138"/>
      <c r="F111" s="150"/>
      <c r="G111" s="241">
        <v>25000</v>
      </c>
      <c r="H111" s="155"/>
      <c r="I111" s="155"/>
      <c r="J111" s="156"/>
    </row>
    <row r="112" spans="1:14" x14ac:dyDescent="0.25">
      <c r="A112" s="137" t="s">
        <v>289</v>
      </c>
      <c r="B112" s="138"/>
      <c r="C112" s="138"/>
      <c r="D112" s="138"/>
      <c r="E112" s="138"/>
      <c r="F112" s="150"/>
      <c r="G112" s="154">
        <v>184000</v>
      </c>
      <c r="H112" s="155"/>
      <c r="I112" s="155"/>
      <c r="J112" s="156"/>
    </row>
    <row r="113" spans="1:13" hidden="1" x14ac:dyDescent="0.25">
      <c r="A113" s="137" t="s">
        <v>223</v>
      </c>
      <c r="B113" s="138"/>
      <c r="C113" s="138"/>
      <c r="D113" s="138"/>
      <c r="E113" s="138"/>
      <c r="F113" s="150"/>
      <c r="G113" s="154">
        <v>600</v>
      </c>
      <c r="H113" s="155"/>
      <c r="I113" s="155"/>
      <c r="J113" s="156"/>
    </row>
    <row r="114" spans="1:13" hidden="1" x14ac:dyDescent="0.25">
      <c r="A114" s="137" t="s">
        <v>222</v>
      </c>
      <c r="B114" s="138"/>
      <c r="C114" s="138"/>
      <c r="D114" s="138"/>
      <c r="E114" s="138"/>
      <c r="F114" s="150"/>
      <c r="G114" s="241">
        <v>15000</v>
      </c>
      <c r="H114" s="155"/>
      <c r="I114" s="155"/>
      <c r="J114" s="156"/>
      <c r="M114" s="12">
        <f>5000000-2160000</f>
        <v>2840000</v>
      </c>
    </row>
    <row r="115" spans="1:13" x14ac:dyDescent="0.25">
      <c r="A115" s="137" t="s">
        <v>221</v>
      </c>
      <c r="B115" s="138"/>
      <c r="C115" s="138"/>
      <c r="D115" s="138"/>
      <c r="E115" s="138"/>
      <c r="F115" s="150"/>
      <c r="G115" s="241">
        <v>25000</v>
      </c>
      <c r="H115" s="155"/>
      <c r="I115" s="155"/>
      <c r="J115" s="156"/>
      <c r="M115" s="12">
        <f>2000000-160000</f>
        <v>1840000</v>
      </c>
    </row>
    <row r="116" spans="1:13" x14ac:dyDescent="0.25">
      <c r="A116" s="137" t="s">
        <v>224</v>
      </c>
      <c r="B116" s="138"/>
      <c r="C116" s="138"/>
      <c r="D116" s="138"/>
      <c r="E116" s="138"/>
      <c r="F116" s="150"/>
      <c r="G116" s="241">
        <v>15000</v>
      </c>
      <c r="H116" s="155"/>
      <c r="I116" s="155"/>
      <c r="J116" s="156"/>
    </row>
    <row r="117" spans="1:13" x14ac:dyDescent="0.25">
      <c r="A117" s="137" t="s">
        <v>282</v>
      </c>
      <c r="B117" s="138"/>
      <c r="C117" s="138"/>
      <c r="D117" s="138"/>
      <c r="E117" s="138"/>
      <c r="F117" s="150"/>
      <c r="G117" s="241">
        <v>36000</v>
      </c>
      <c r="H117" s="155"/>
      <c r="I117" s="155"/>
      <c r="J117" s="156"/>
      <c r="K117" s="39"/>
    </row>
    <row r="118" spans="1:13" x14ac:dyDescent="0.25">
      <c r="A118" s="137" t="s">
        <v>283</v>
      </c>
      <c r="B118" s="138"/>
      <c r="C118" s="138"/>
      <c r="D118" s="138"/>
      <c r="E118" s="138"/>
      <c r="F118" s="150"/>
      <c r="G118" s="241">
        <v>100000</v>
      </c>
      <c r="H118" s="155"/>
      <c r="I118" s="155"/>
      <c r="J118" s="156"/>
      <c r="K118" s="39"/>
      <c r="L118" s="39"/>
    </row>
    <row r="119" spans="1:13" x14ac:dyDescent="0.25">
      <c r="A119" s="131" t="s">
        <v>69</v>
      </c>
      <c r="B119" s="132"/>
      <c r="C119" s="132"/>
      <c r="D119" s="132"/>
      <c r="E119" s="132"/>
      <c r="F119" s="133"/>
      <c r="G119" s="187" t="s">
        <v>158</v>
      </c>
      <c r="H119" s="188"/>
      <c r="I119" s="188"/>
      <c r="J119" s="189"/>
    </row>
    <row r="120" spans="1:13" s="14" customFormat="1" x14ac:dyDescent="0.25">
      <c r="A120" s="151" t="s">
        <v>70</v>
      </c>
      <c r="B120" s="152"/>
      <c r="C120" s="152"/>
      <c r="D120" s="152"/>
      <c r="E120" s="152"/>
      <c r="F120" s="153"/>
      <c r="G120" s="242">
        <f>G106*0.8</f>
        <v>10400</v>
      </c>
      <c r="H120" s="190"/>
      <c r="I120" s="190"/>
      <c r="J120" s="191"/>
    </row>
    <row r="121" spans="1:13" s="1" customFormat="1" ht="15.75" customHeight="1" x14ac:dyDescent="0.25">
      <c r="A121" s="171" t="s">
        <v>144</v>
      </c>
      <c r="B121" s="172"/>
      <c r="C121" s="172"/>
      <c r="D121" s="172"/>
      <c r="E121" s="172"/>
      <c r="F121" s="172"/>
      <c r="G121" s="172"/>
      <c r="H121" s="172"/>
      <c r="I121" s="172"/>
      <c r="J121" s="173"/>
    </row>
    <row r="122" spans="1:13" s="1" customFormat="1" ht="15.75" customHeight="1" x14ac:dyDescent="0.25">
      <c r="A122" s="168" t="s">
        <v>71</v>
      </c>
      <c r="B122" s="170"/>
      <c r="C122" s="10" t="s">
        <v>168</v>
      </c>
      <c r="D122" s="165" t="s">
        <v>72</v>
      </c>
      <c r="E122" s="166"/>
      <c r="F122" s="167"/>
      <c r="G122" s="168" t="s">
        <v>73</v>
      </c>
      <c r="H122" s="169"/>
      <c r="I122" s="169"/>
      <c r="J122" s="170"/>
    </row>
    <row r="123" spans="1:13" s="1" customFormat="1" x14ac:dyDescent="0.25">
      <c r="A123" s="83" t="s">
        <v>212</v>
      </c>
      <c r="B123" s="84"/>
      <c r="C123" s="37">
        <f>COUNT(D139:E148)</f>
        <v>10</v>
      </c>
      <c r="D123" s="90">
        <f>SUM(D139:E148)</f>
        <v>10701.986981399998</v>
      </c>
      <c r="E123" s="91"/>
      <c r="F123" s="92"/>
      <c r="G123" s="90">
        <f>SUM(G139:G148)</f>
        <v>18193.377868380001</v>
      </c>
      <c r="H123" s="91"/>
      <c r="I123" s="91"/>
      <c r="J123" s="92"/>
    </row>
    <row r="124" spans="1:13" s="1" customFormat="1" x14ac:dyDescent="0.25">
      <c r="A124" s="83" t="s">
        <v>213</v>
      </c>
      <c r="B124" s="84"/>
      <c r="C124" s="37">
        <f>COUNT(D150:E157)</f>
        <v>8</v>
      </c>
      <c r="D124" s="90">
        <f>SUM(D150:E157)</f>
        <v>7966.9589922000005</v>
      </c>
      <c r="E124" s="91"/>
      <c r="F124" s="92"/>
      <c r="G124" s="90">
        <f>SUM(G150:G157)</f>
        <v>13543.830286739998</v>
      </c>
      <c r="H124" s="91"/>
      <c r="I124" s="91"/>
      <c r="J124" s="92"/>
    </row>
    <row r="125" spans="1:13" s="1" customFormat="1" x14ac:dyDescent="0.25">
      <c r="A125" s="171" t="s">
        <v>75</v>
      </c>
      <c r="B125" s="172"/>
      <c r="C125" s="10">
        <f>SUM(C123:C124)</f>
        <v>18</v>
      </c>
      <c r="D125" s="174">
        <f>SUM(D123:F124)</f>
        <v>18668.945973599999</v>
      </c>
      <c r="E125" s="175"/>
      <c r="F125" s="176"/>
      <c r="G125" s="168">
        <f>SUM(G123:J124)</f>
        <v>31737.208155119999</v>
      </c>
      <c r="H125" s="169"/>
      <c r="I125" s="169"/>
      <c r="J125" s="170"/>
    </row>
    <row r="126" spans="1:13" s="1" customFormat="1" x14ac:dyDescent="0.25">
      <c r="A126" s="171" t="s">
        <v>128</v>
      </c>
      <c r="B126" s="172"/>
      <c r="C126" s="172"/>
      <c r="D126" s="172"/>
      <c r="E126" s="172"/>
      <c r="F126" s="172"/>
      <c r="G126" s="172"/>
      <c r="H126" s="172"/>
      <c r="I126" s="172"/>
      <c r="J126" s="173"/>
    </row>
    <row r="127" spans="1:13" s="1" customFormat="1" x14ac:dyDescent="0.25">
      <c r="A127" s="168" t="s">
        <v>71</v>
      </c>
      <c r="B127" s="170"/>
      <c r="C127" s="10" t="s">
        <v>168</v>
      </c>
      <c r="D127" s="165" t="s">
        <v>72</v>
      </c>
      <c r="E127" s="166"/>
      <c r="F127" s="167"/>
      <c r="G127" s="168" t="s">
        <v>73</v>
      </c>
      <c r="H127" s="169"/>
      <c r="I127" s="169"/>
      <c r="J127" s="170"/>
    </row>
    <row r="128" spans="1:13" s="1" customFormat="1" x14ac:dyDescent="0.25">
      <c r="A128" s="83" t="s">
        <v>280</v>
      </c>
      <c r="B128" s="84"/>
      <c r="C128" s="11">
        <f>COUNT(D160:E162)+COUNT(D164:E166)+COUNT(D168:E173)*24+COUNT(D175:E178)*7+COUNT(D180)*7+COUNT(D182:E187)*5+COUNT(D189:E192)+COUNT(D194)</f>
        <v>220</v>
      </c>
      <c r="D128" s="90">
        <f>SUM(D160:E162)+SUM(D164:E166)+SUM(D168:E173)*24+SUM(D175:E178)*7+SUM(D180)*7+SUM(D182:E187)*5+SUM(D189:E192)+SUM(D194)</f>
        <v>159670.67336999997</v>
      </c>
      <c r="E128" s="91"/>
      <c r="F128" s="92"/>
      <c r="G128" s="90">
        <f>SUM(G160:G162)+SUM(G164:G166)+SUM(G168:G173)*24+SUM(G175:G178)*7+SUM(G180)*7+SUM(G182:G187)*5+SUM(G189:G192)+SUM(G194)</f>
        <v>255473.07739199998</v>
      </c>
      <c r="H128" s="91"/>
      <c r="I128" s="91"/>
      <c r="J128" s="92"/>
    </row>
    <row r="129" spans="1:11" s="1" customFormat="1" x14ac:dyDescent="0.25">
      <c r="A129" s="83" t="s">
        <v>281</v>
      </c>
      <c r="B129" s="84"/>
      <c r="C129" s="11">
        <f>COUNT(D201:E203)+COUNT(D205:E207)+COUNT(D209:E214)*24+COUNT(D216:E219)*7+COUNT(D221)*7+COUNT(D223:E228)*5+COUNT(D230:E233)+COUNT(D235)</f>
        <v>220</v>
      </c>
      <c r="D129" s="90">
        <f t="shared" ref="D129" si="0">SUM(D201:E203)+SUM(D205:E207)+SUM(D209:E214)*24+SUM(D216:E219)*7+SUM(D221)*7+SUM(D223:E228)*5+SUM(D230:E233)+SUM(D235)</f>
        <v>159670.67336999997</v>
      </c>
      <c r="E129" s="91"/>
      <c r="F129" s="92"/>
      <c r="G129" s="90">
        <f>SUM(G201:G203)+SUM(G205:G207)+SUM(G209:G214)*24+SUM(G216:G219)*7+SUM(G221)*7+SUM(G223:G228)*5+SUM(G230:G233)+SUM(G235)</f>
        <v>255473.07739199998</v>
      </c>
      <c r="H129" s="91"/>
      <c r="I129" s="91"/>
      <c r="J129" s="92"/>
    </row>
    <row r="130" spans="1:11" s="1" customFormat="1" x14ac:dyDescent="0.25">
      <c r="A130" s="83" t="s">
        <v>278</v>
      </c>
      <c r="B130" s="84"/>
      <c r="C130" s="11">
        <f>COUNT(D242:E244)+COUNT(D246:E248)+COUNT(D250:E252)*10+COUNT(D257:E259)*3+COUNT(D264:E266)+COUNT(D268:E269)+COUNT(D271:E276)*3+COUNT(D278:E281)+COUNT(D283)+COUNT(D285:E290)*10+COUNT(D292:E295)*3+COUNT(D297)*3+COUNT(D299:E301)+COUNT(D306:E308)*2+COUNT(D313:E316)+COUNT(D318)+COUNT(D320:E323)+COUNT(D325)+COUNT(D327:E332)</f>
        <v>173</v>
      </c>
      <c r="D130" s="90">
        <f>SUM(D242:E244)+SUM(D246:E248)+SUM(D250:E252)*10+SUM(D257:E259)*3+SUM(D264:E266)+SUM(D268:E269)+SUM(D271:E276)*3+SUM(D278:E281)+SUM(D283)+SUM(D285:E290)*10+SUM(D292:E295)*3+SUM(D297)*3+SUM(D299:E301)+SUM(D306:E308)*2+SUM(D313:E316)+SUM(D318)+SUM(D320:E323)+SUM(D325)+SUM(D327:E332)</f>
        <v>126556.59978000002</v>
      </c>
      <c r="E130" s="91"/>
      <c r="F130" s="92"/>
      <c r="G130" s="90">
        <f>SUM(G242:G244)+SUM(G246:G248)+SUM(G250:G252)*10+SUM(G257:G259)*3+SUM(G264:G266)+SUM(G268:G269)+SUM(G271:G276)*3+SUM(G278:G281)+SUM(G283)+SUM(G285:G290)*10+SUM(G292:G295)*3+SUM(G297)*3+SUM(G299:G301)+SUM(G306:G308)*2+SUM(G313:G316)+SUM(G318)+SUM(G320:G323)+SUM(G325)+SUM(G327:G332)</f>
        <v>202490.55964800005</v>
      </c>
      <c r="H130" s="91"/>
      <c r="I130" s="91"/>
      <c r="J130" s="92"/>
      <c r="K130" s="1">
        <f>179+6</f>
        <v>185</v>
      </c>
    </row>
    <row r="131" spans="1:11" s="1" customFormat="1" x14ac:dyDescent="0.25">
      <c r="A131" s="83" t="s">
        <v>279</v>
      </c>
      <c r="B131" s="84"/>
      <c r="C131" s="11">
        <f>COUNT(D253:E255)*10+COUNT(D260)*3+COUNT(D262)*3+COUNT(D267)+COUNT(D302:E304)+COUNT(D309:E311)*2+COUNT(D317)</f>
        <v>47</v>
      </c>
      <c r="D131" s="90">
        <f>SUM(D253:E255)*10+SUM(D260)*3+SUM(D262)*3+SUM(D267)+SUM(D302:E304)+SUM(D309:E311)*2+SUM(D317)</f>
        <v>23343.859889999996</v>
      </c>
      <c r="E131" s="91"/>
      <c r="F131" s="92"/>
      <c r="G131" s="90">
        <f>SUM(G253:G255)*10+SUM(G260)*3+SUM(G262)*3+SUM(G267)+SUM(G302:G304)+SUM(G309:G311)*2+SUM(G317)</f>
        <v>37750.596623999998</v>
      </c>
      <c r="H131" s="91"/>
      <c r="I131" s="91"/>
      <c r="J131" s="92"/>
    </row>
    <row r="132" spans="1:11" s="1" customFormat="1" ht="16.5" thickBot="1" x14ac:dyDescent="0.3">
      <c r="A132" s="69" t="s">
        <v>75</v>
      </c>
      <c r="B132" s="70"/>
      <c r="C132" s="63">
        <f>SUM(C128:C131)</f>
        <v>660</v>
      </c>
      <c r="D132" s="71">
        <f>SUM(D128:F131)</f>
        <v>469241.80641000002</v>
      </c>
      <c r="E132" s="72"/>
      <c r="F132" s="73"/>
      <c r="G132" s="74">
        <f>SUM(G128:J131)</f>
        <v>751187.31105599995</v>
      </c>
      <c r="H132" s="75"/>
      <c r="I132" s="75"/>
      <c r="J132" s="76"/>
    </row>
    <row r="133" spans="1:11" s="1" customFormat="1" ht="16.5" thickBot="1" x14ac:dyDescent="0.3">
      <c r="A133" s="157" t="s">
        <v>293</v>
      </c>
      <c r="B133" s="158"/>
      <c r="C133" s="64">
        <f>C125+C132</f>
        <v>678</v>
      </c>
      <c r="D133" s="159">
        <f>D125+D132</f>
        <v>487910.75238359999</v>
      </c>
      <c r="E133" s="160"/>
      <c r="F133" s="161"/>
      <c r="G133" s="162">
        <f>G125+G132</f>
        <v>782924.51921111997</v>
      </c>
      <c r="H133" s="163"/>
      <c r="I133" s="163"/>
      <c r="J133" s="164"/>
    </row>
    <row r="134" spans="1:11" s="14" customFormat="1" x14ac:dyDescent="0.25">
      <c r="A134" s="77" t="s">
        <v>76</v>
      </c>
      <c r="B134" s="78"/>
      <c r="C134" s="78"/>
      <c r="D134" s="78"/>
      <c r="E134" s="78"/>
      <c r="F134" s="78"/>
      <c r="G134" s="78"/>
      <c r="H134" s="78"/>
      <c r="I134" s="78"/>
      <c r="J134" s="79"/>
    </row>
    <row r="135" spans="1:11" x14ac:dyDescent="0.25">
      <c r="A135" s="80" t="s">
        <v>77</v>
      </c>
      <c r="B135" s="81"/>
      <c r="C135" s="81"/>
      <c r="D135" s="81"/>
      <c r="E135" s="81"/>
      <c r="F135" s="81"/>
      <c r="G135" s="81"/>
      <c r="H135" s="81"/>
      <c r="I135" s="81"/>
      <c r="J135" s="82"/>
    </row>
    <row r="136" spans="1:11" ht="43.5" customHeight="1" x14ac:dyDescent="0.25">
      <c r="A136" s="2" t="s">
        <v>231</v>
      </c>
      <c r="B136" s="2" t="s">
        <v>230</v>
      </c>
      <c r="C136" s="2" t="s">
        <v>78</v>
      </c>
      <c r="D136" s="85" t="s">
        <v>79</v>
      </c>
      <c r="E136" s="86"/>
      <c r="F136" s="15" t="s">
        <v>80</v>
      </c>
      <c r="G136" s="2" t="s">
        <v>81</v>
      </c>
      <c r="H136" s="85" t="s">
        <v>82</v>
      </c>
      <c r="I136" s="177"/>
      <c r="J136" s="86"/>
    </row>
    <row r="137" spans="1:11" s="3" customFormat="1" x14ac:dyDescent="0.25">
      <c r="A137" s="87" t="s">
        <v>187</v>
      </c>
      <c r="B137" s="88"/>
      <c r="C137" s="88"/>
      <c r="D137" s="88"/>
      <c r="E137" s="88"/>
      <c r="F137" s="88"/>
      <c r="G137" s="88"/>
      <c r="H137" s="88"/>
      <c r="I137" s="88"/>
      <c r="J137" s="89"/>
    </row>
    <row r="138" spans="1:11" s="3" customFormat="1" x14ac:dyDescent="0.25">
      <c r="A138" s="87" t="s">
        <v>188</v>
      </c>
      <c r="B138" s="88"/>
      <c r="C138" s="88"/>
      <c r="D138" s="88"/>
      <c r="E138" s="88"/>
      <c r="F138" s="88"/>
      <c r="G138" s="88"/>
      <c r="H138" s="88"/>
      <c r="I138" s="88"/>
      <c r="J138" s="89"/>
    </row>
    <row r="139" spans="1:11" s="3" customFormat="1" ht="15.75" customHeight="1" x14ac:dyDescent="0.25">
      <c r="A139" s="67">
        <v>1</v>
      </c>
      <c r="B139" s="68"/>
      <c r="C139" s="4" t="s">
        <v>189</v>
      </c>
      <c r="D139" s="67">
        <f>(7.675*10.97+2.5*1.4)*10.764</f>
        <v>943.94628899999998</v>
      </c>
      <c r="E139" s="68"/>
      <c r="F139" s="4">
        <v>0</v>
      </c>
      <c r="G139" s="4">
        <f>D139*1.7+F139</f>
        <v>1604.7086912999998</v>
      </c>
      <c r="H139" s="128" t="str">
        <f>A138</f>
        <v>Ground Floor is for Parking &amp; Commercial</v>
      </c>
      <c r="I139" s="122"/>
      <c r="J139" s="123"/>
    </row>
    <row r="140" spans="1:11" s="3" customFormat="1" x14ac:dyDescent="0.25">
      <c r="A140" s="67">
        <v>2</v>
      </c>
      <c r="B140" s="68"/>
      <c r="C140" s="4" t="s">
        <v>189</v>
      </c>
      <c r="D140" s="67">
        <f>4.75*13.07*10.764</f>
        <v>668.25603000000001</v>
      </c>
      <c r="E140" s="68"/>
      <c r="F140" s="4">
        <v>0</v>
      </c>
      <c r="G140" s="4">
        <f t="shared" ref="G140:G157" si="1">D140*1.7+F140</f>
        <v>1136.035251</v>
      </c>
      <c r="H140" s="129"/>
      <c r="I140" s="124"/>
      <c r="J140" s="125"/>
    </row>
    <row r="141" spans="1:11" s="3" customFormat="1" x14ac:dyDescent="0.25">
      <c r="A141" s="67">
        <v>3</v>
      </c>
      <c r="B141" s="68"/>
      <c r="C141" s="4" t="s">
        <v>189</v>
      </c>
      <c r="D141" s="67">
        <f>(6.5*13.37+7.65*4.85+3.85*3.05)*10.764</f>
        <v>1461.213</v>
      </c>
      <c r="E141" s="68"/>
      <c r="F141" s="4">
        <v>0</v>
      </c>
      <c r="G141" s="4">
        <f t="shared" si="1"/>
        <v>2484.0621000000001</v>
      </c>
      <c r="H141" s="129"/>
      <c r="I141" s="124"/>
      <c r="J141" s="125"/>
    </row>
    <row r="142" spans="1:11" s="3" customFormat="1" x14ac:dyDescent="0.25">
      <c r="A142" s="67">
        <v>4</v>
      </c>
      <c r="B142" s="68"/>
      <c r="C142" s="4" t="s">
        <v>189</v>
      </c>
      <c r="D142" s="67">
        <f>4.3*18.22*10.764</f>
        <v>843.31634399999984</v>
      </c>
      <c r="E142" s="68"/>
      <c r="F142" s="4">
        <v>0</v>
      </c>
      <c r="G142" s="4">
        <f t="shared" si="1"/>
        <v>1433.6377847999997</v>
      </c>
      <c r="H142" s="129"/>
      <c r="I142" s="124"/>
      <c r="J142" s="125"/>
    </row>
    <row r="143" spans="1:11" s="3" customFormat="1" x14ac:dyDescent="0.25">
      <c r="A143" s="67" t="s">
        <v>265</v>
      </c>
      <c r="B143" s="68"/>
      <c r="C143" s="4" t="s">
        <v>189</v>
      </c>
      <c r="D143" s="67">
        <f>(5.35*18.22)*10.764</f>
        <v>1049.2424279999998</v>
      </c>
      <c r="E143" s="68"/>
      <c r="F143" s="4">
        <v>0</v>
      </c>
      <c r="G143" s="4">
        <f t="shared" si="1"/>
        <v>1783.7121275999996</v>
      </c>
      <c r="H143" s="129"/>
      <c r="I143" s="124"/>
      <c r="J143" s="125"/>
    </row>
    <row r="144" spans="1:11" s="3" customFormat="1" x14ac:dyDescent="0.25">
      <c r="A144" s="67" t="s">
        <v>266</v>
      </c>
      <c r="B144" s="68"/>
      <c r="C144" s="4" t="s">
        <v>189</v>
      </c>
      <c r="D144" s="67">
        <f>(4.3*7.94+4.3*10.27)*10.764</f>
        <v>842.85349199999996</v>
      </c>
      <c r="E144" s="68"/>
      <c r="F144" s="4">
        <v>0</v>
      </c>
      <c r="G144" s="4">
        <f t="shared" ref="G144" si="2">D144*1.7+F144</f>
        <v>1432.8509363999999</v>
      </c>
      <c r="H144" s="129"/>
      <c r="I144" s="124"/>
      <c r="J144" s="125"/>
    </row>
    <row r="145" spans="1:12" s="3" customFormat="1" x14ac:dyDescent="0.25">
      <c r="A145" s="67">
        <v>6</v>
      </c>
      <c r="B145" s="68"/>
      <c r="C145" s="4" t="s">
        <v>189</v>
      </c>
      <c r="D145" s="67">
        <f>(4.3*6.49+32.04+8.3*2.7+8.9*8.65+3.9*2.88)*10.764</f>
        <v>1836.0585359999998</v>
      </c>
      <c r="E145" s="68"/>
      <c r="F145" s="4">
        <v>0</v>
      </c>
      <c r="G145" s="4">
        <f t="shared" si="1"/>
        <v>3121.2995111999994</v>
      </c>
      <c r="H145" s="129"/>
      <c r="I145" s="124"/>
      <c r="J145" s="125"/>
      <c r="L145" s="3">
        <f>(4.3*6.72+8.3*2.7+32.04+8.9*8.65+3.9*2.88)*10.764</f>
        <v>1846.7041320000001</v>
      </c>
    </row>
    <row r="146" spans="1:12" s="3" customFormat="1" x14ac:dyDescent="0.25">
      <c r="A146" s="67">
        <v>7</v>
      </c>
      <c r="B146" s="68"/>
      <c r="C146" s="4" t="s">
        <v>189</v>
      </c>
      <c r="D146" s="67">
        <f>(5.95*6.09+5.9*2.85+2.75*5.1)*10.764</f>
        <v>722.00068199999998</v>
      </c>
      <c r="E146" s="68"/>
      <c r="F146" s="4">
        <v>0</v>
      </c>
      <c r="G146" s="4">
        <f t="shared" si="1"/>
        <v>1227.4011593999999</v>
      </c>
      <c r="H146" s="129"/>
      <c r="I146" s="124"/>
      <c r="J146" s="125"/>
    </row>
    <row r="147" spans="1:12" s="3" customFormat="1" x14ac:dyDescent="0.25">
      <c r="A147" s="67">
        <v>8</v>
      </c>
      <c r="B147" s="68"/>
      <c r="C147" s="4" t="s">
        <v>189</v>
      </c>
      <c r="D147" s="67">
        <f>(6.42*2.45+10.13*7.54+5.43*1.25)*10.764</f>
        <v>1064.5240787999999</v>
      </c>
      <c r="E147" s="68"/>
      <c r="F147" s="4">
        <v>0</v>
      </c>
      <c r="G147" s="4">
        <f t="shared" ref="G147:G148" si="3">D147*1.7+F147</f>
        <v>1809.6909339599997</v>
      </c>
      <c r="H147" s="129"/>
      <c r="I147" s="124"/>
      <c r="J147" s="125"/>
    </row>
    <row r="148" spans="1:12" s="3" customFormat="1" x14ac:dyDescent="0.25">
      <c r="A148" s="67">
        <v>9</v>
      </c>
      <c r="B148" s="68"/>
      <c r="C148" s="4" t="s">
        <v>189</v>
      </c>
      <c r="D148" s="67">
        <f>(6.08*9.13+5.7*10.97)*10.764</f>
        <v>1270.5761015999999</v>
      </c>
      <c r="E148" s="68"/>
      <c r="F148" s="4">
        <v>0</v>
      </c>
      <c r="G148" s="4">
        <f t="shared" si="3"/>
        <v>2159.9793727199999</v>
      </c>
      <c r="H148" s="130"/>
      <c r="I148" s="126"/>
      <c r="J148" s="127"/>
    </row>
    <row r="149" spans="1:12" s="3" customFormat="1" x14ac:dyDescent="0.25">
      <c r="A149" s="87" t="s">
        <v>194</v>
      </c>
      <c r="B149" s="88"/>
      <c r="C149" s="88"/>
      <c r="D149" s="88"/>
      <c r="E149" s="88"/>
      <c r="F149" s="88"/>
      <c r="G149" s="88"/>
      <c r="H149" s="88"/>
      <c r="I149" s="88"/>
      <c r="J149" s="89"/>
    </row>
    <row r="150" spans="1:12" s="3" customFormat="1" ht="15.75" customHeight="1" x14ac:dyDescent="0.25">
      <c r="A150" s="67">
        <v>1</v>
      </c>
      <c r="B150" s="68"/>
      <c r="C150" s="4" t="s">
        <v>193</v>
      </c>
      <c r="D150" s="67">
        <f>(12.575*11.07+4.6*2.1+2.67*2.25)*10.764</f>
        <v>1667.0502809999998</v>
      </c>
      <c r="E150" s="68"/>
      <c r="F150" s="4">
        <v>0</v>
      </c>
      <c r="G150" s="4">
        <f t="shared" si="1"/>
        <v>2833.9854776999996</v>
      </c>
      <c r="H150" s="128" t="str">
        <f>A149</f>
        <v>1st Podium Floor For Parking &amp; Commercial (Part Amenities)</v>
      </c>
      <c r="I150" s="122"/>
      <c r="J150" s="123"/>
      <c r="K150" s="67">
        <f>(153.76)*10.764</f>
        <v>1655.0726399999999</v>
      </c>
      <c r="L150" s="68"/>
    </row>
    <row r="151" spans="1:12" s="3" customFormat="1" x14ac:dyDescent="0.25">
      <c r="A151" s="67">
        <v>2</v>
      </c>
      <c r="B151" s="68"/>
      <c r="C151" s="4" t="s">
        <v>193</v>
      </c>
      <c r="D151" s="67">
        <f>(10.9*18.32+3.9*3.05)*10.764</f>
        <v>2277.4794120000001</v>
      </c>
      <c r="E151" s="68"/>
      <c r="F151" s="4">
        <v>0</v>
      </c>
      <c r="G151" s="4">
        <f t="shared" si="1"/>
        <v>3871.7150004</v>
      </c>
      <c r="H151" s="129"/>
      <c r="I151" s="124"/>
      <c r="J151" s="125"/>
      <c r="K151" s="67">
        <f>(217.1)*10.764</f>
        <v>2336.8643999999999</v>
      </c>
      <c r="L151" s="68"/>
    </row>
    <row r="152" spans="1:12" s="3" customFormat="1" x14ac:dyDescent="0.25">
      <c r="A152" s="67">
        <v>3</v>
      </c>
      <c r="B152" s="68"/>
      <c r="C152" s="4" t="s">
        <v>193</v>
      </c>
      <c r="D152" s="67">
        <f>(4.64*4.46+13.33+3.15*3.48)*10.764</f>
        <v>484.23360960000002</v>
      </c>
      <c r="E152" s="68"/>
      <c r="F152" s="4">
        <v>0</v>
      </c>
      <c r="G152" s="4">
        <f t="shared" si="1"/>
        <v>823.19713632000003</v>
      </c>
      <c r="H152" s="129"/>
      <c r="I152" s="124"/>
      <c r="J152" s="125"/>
      <c r="K152" s="67">
        <f>(45.13)*10.764</f>
        <v>485.77931999999998</v>
      </c>
      <c r="L152" s="68"/>
    </row>
    <row r="153" spans="1:12" s="3" customFormat="1" x14ac:dyDescent="0.25">
      <c r="A153" s="67">
        <v>4</v>
      </c>
      <c r="B153" s="68"/>
      <c r="C153" s="4" t="s">
        <v>193</v>
      </c>
      <c r="D153" s="67">
        <f>(4.58*4.38+7.47)*10.764</f>
        <v>296.33722560000001</v>
      </c>
      <c r="E153" s="68"/>
      <c r="F153" s="4">
        <v>0</v>
      </c>
      <c r="G153" s="4">
        <f t="shared" si="1"/>
        <v>503.77328352000001</v>
      </c>
      <c r="H153" s="129"/>
      <c r="I153" s="124"/>
      <c r="J153" s="125"/>
      <c r="K153" s="67">
        <f>(27.72)*10.764</f>
        <v>298.37807999999995</v>
      </c>
      <c r="L153" s="68"/>
    </row>
    <row r="154" spans="1:12" s="3" customFormat="1" x14ac:dyDescent="0.25">
      <c r="A154" s="67">
        <v>5</v>
      </c>
      <c r="B154" s="68"/>
      <c r="C154" s="4" t="s">
        <v>193</v>
      </c>
      <c r="D154" s="67">
        <f>6.05*7.92*10.764</f>
        <v>515.76782399999991</v>
      </c>
      <c r="E154" s="68"/>
      <c r="F154" s="4">
        <v>0</v>
      </c>
      <c r="G154" s="4">
        <f t="shared" si="1"/>
        <v>876.80530079999983</v>
      </c>
      <c r="H154" s="129"/>
      <c r="I154" s="124"/>
      <c r="J154" s="125"/>
      <c r="K154" s="67">
        <f>(47.25)*10.764</f>
        <v>508.59899999999999</v>
      </c>
      <c r="L154" s="68"/>
    </row>
    <row r="155" spans="1:12" s="3" customFormat="1" x14ac:dyDescent="0.25">
      <c r="A155" s="67">
        <v>6</v>
      </c>
      <c r="B155" s="68"/>
      <c r="C155" s="4" t="s">
        <v>193</v>
      </c>
      <c r="D155" s="67">
        <v>2309.9543999999996</v>
      </c>
      <c r="E155" s="68"/>
      <c r="F155" s="4">
        <v>0</v>
      </c>
      <c r="G155" s="4">
        <f t="shared" si="1"/>
        <v>3926.9224799999993</v>
      </c>
      <c r="H155" s="129"/>
      <c r="I155" s="124"/>
      <c r="J155" s="125"/>
      <c r="K155" s="67">
        <f>(181.41)*10.764</f>
        <v>1952.6972399999997</v>
      </c>
      <c r="L155" s="68"/>
    </row>
    <row r="156" spans="1:12" s="3" customFormat="1" x14ac:dyDescent="0.25">
      <c r="A156" s="67">
        <v>7</v>
      </c>
      <c r="B156" s="68"/>
      <c r="C156" s="4" t="s">
        <v>193</v>
      </c>
      <c r="D156" s="67">
        <f>10.84*10.764</f>
        <v>116.68176</v>
      </c>
      <c r="E156" s="68"/>
      <c r="F156" s="4">
        <v>0</v>
      </c>
      <c r="G156" s="4">
        <f t="shared" si="1"/>
        <v>198.358992</v>
      </c>
      <c r="H156" s="129"/>
      <c r="I156" s="124"/>
      <c r="J156" s="125"/>
      <c r="K156" s="67">
        <f>(44.4)*10.764</f>
        <v>477.92159999999996</v>
      </c>
      <c r="L156" s="68"/>
    </row>
    <row r="157" spans="1:12" s="3" customFormat="1" x14ac:dyDescent="0.25">
      <c r="A157" s="67">
        <v>8</v>
      </c>
      <c r="B157" s="68"/>
      <c r="C157" s="4" t="s">
        <v>193</v>
      </c>
      <c r="D157" s="67">
        <f>27.82*10.764</f>
        <v>299.45447999999999</v>
      </c>
      <c r="E157" s="68"/>
      <c r="F157" s="4">
        <v>0</v>
      </c>
      <c r="G157" s="4">
        <f t="shared" si="1"/>
        <v>509.07261599999998</v>
      </c>
      <c r="H157" s="130"/>
      <c r="I157" s="126"/>
      <c r="J157" s="127"/>
      <c r="K157" s="67">
        <f>(27.82)*10.764</f>
        <v>299.45447999999999</v>
      </c>
      <c r="L157" s="68"/>
    </row>
    <row r="158" spans="1:12" s="3" customFormat="1" x14ac:dyDescent="0.25">
      <c r="A158" s="87" t="s">
        <v>196</v>
      </c>
      <c r="B158" s="88"/>
      <c r="C158" s="88"/>
      <c r="D158" s="88"/>
      <c r="E158" s="88"/>
      <c r="F158" s="88"/>
      <c r="G158" s="88"/>
      <c r="H158" s="88"/>
      <c r="I158" s="88"/>
      <c r="J158" s="89"/>
    </row>
    <row r="159" spans="1:12" s="3" customFormat="1" x14ac:dyDescent="0.25">
      <c r="A159" s="87" t="s">
        <v>218</v>
      </c>
      <c r="B159" s="88"/>
      <c r="C159" s="88"/>
      <c r="D159" s="88"/>
      <c r="E159" s="88"/>
      <c r="F159" s="88"/>
      <c r="G159" s="88"/>
      <c r="H159" s="88"/>
      <c r="I159" s="88"/>
      <c r="J159" s="89"/>
    </row>
    <row r="160" spans="1:12" s="3" customFormat="1" x14ac:dyDescent="0.25">
      <c r="A160" s="67">
        <v>1</v>
      </c>
      <c r="B160" s="68"/>
      <c r="C160" s="4" t="s">
        <v>198</v>
      </c>
      <c r="D160" s="67">
        <f>(1.525*2.3+3.15*5.15+1.1*2.375+3.3*2.325+3.05*3.05+3.175*3.35+3.05*3.35+1.1*1.375+(1.375*2.3+2.3*1.375+1.375*2.3)+(0.75*(2.325+3.05+3.05+3.15)))*10.764</f>
        <v>859.53231000000005</v>
      </c>
      <c r="E160" s="68"/>
      <c r="F160" s="4">
        <v>0</v>
      </c>
      <c r="G160" s="4">
        <f>D160*1.6+F160</f>
        <v>1375.2516960000003</v>
      </c>
      <c r="H160" s="128" t="s">
        <v>210</v>
      </c>
      <c r="I160" s="122"/>
      <c r="J160" s="123"/>
    </row>
    <row r="161" spans="1:10" s="3" customFormat="1" x14ac:dyDescent="0.25">
      <c r="A161" s="67">
        <v>2</v>
      </c>
      <c r="B161" s="68"/>
      <c r="C161" s="4" t="s">
        <v>199</v>
      </c>
      <c r="D161" s="67">
        <f>(3.05*3.35+3.05*6.35+2.15*2.6+3.05*3.05+0.9*2.15+(1.4*2.55+1.375*2.3)+(0.75*(3.05+3.05+2.15+3.05)))*10.764</f>
        <v>663.27767999999992</v>
      </c>
      <c r="E161" s="68"/>
      <c r="F161" s="4">
        <v>0</v>
      </c>
      <c r="G161" s="4">
        <f t="shared" ref="G161:G162" si="4">D161*1.6+F161</f>
        <v>1061.2442879999999</v>
      </c>
      <c r="H161" s="129"/>
      <c r="I161" s="124"/>
      <c r="J161" s="125"/>
    </row>
    <row r="162" spans="1:10" s="3" customFormat="1" x14ac:dyDescent="0.25">
      <c r="A162" s="67">
        <v>3</v>
      </c>
      <c r="B162" s="68"/>
      <c r="C162" s="4" t="s">
        <v>198</v>
      </c>
      <c r="D162" s="67">
        <f>(1.525*2.3+3.15*5.15+1.1*2.375+3.3*2.325+3.05*3.05+3.175*3.35+3.05*3.35+1.1*1.375+(1.375*2.3+2.3*1.375+1.375*2.3)+(0.75*(2.325+3.05+3.05+3.15)))*10.764</f>
        <v>859.53231000000005</v>
      </c>
      <c r="E162" s="68"/>
      <c r="F162" s="4">
        <v>0</v>
      </c>
      <c r="G162" s="4">
        <f t="shared" si="4"/>
        <v>1375.2516960000003</v>
      </c>
      <c r="H162" s="130"/>
      <c r="I162" s="126"/>
      <c r="J162" s="127"/>
    </row>
    <row r="163" spans="1:10" s="3" customFormat="1" x14ac:dyDescent="0.25">
      <c r="A163" s="87" t="s">
        <v>200</v>
      </c>
      <c r="B163" s="88"/>
      <c r="C163" s="88"/>
      <c r="D163" s="88"/>
      <c r="E163" s="88"/>
      <c r="F163" s="88"/>
      <c r="G163" s="88"/>
      <c r="H163" s="88"/>
      <c r="I163" s="88"/>
      <c r="J163" s="89"/>
    </row>
    <row r="164" spans="1:10" s="3" customFormat="1" x14ac:dyDescent="0.25">
      <c r="A164" s="67">
        <v>1</v>
      </c>
      <c r="B164" s="68"/>
      <c r="C164" s="4" t="s">
        <v>198</v>
      </c>
      <c r="D164" s="67">
        <f>(1.525*2.3+3.15*5.15+1.1*2.375+3.3*2.325+3.05*3.05+3.175*3.35+3.05*3.35+1.1*1.375+(1.375*2.3+2.3*1.375+1.375*2.3)+(0.75*(2.325+3.05+3.05+3.15)))*10.764</f>
        <v>859.53231000000005</v>
      </c>
      <c r="E164" s="68"/>
      <c r="F164" s="4">
        <v>0</v>
      </c>
      <c r="G164" s="4">
        <f>D164*1.6+F164</f>
        <v>1375.2516960000003</v>
      </c>
      <c r="H164" s="128" t="s">
        <v>211</v>
      </c>
      <c r="I164" s="122"/>
      <c r="J164" s="123"/>
    </row>
    <row r="165" spans="1:10" s="3" customFormat="1" x14ac:dyDescent="0.25">
      <c r="A165" s="67">
        <v>2</v>
      </c>
      <c r="B165" s="68"/>
      <c r="C165" s="4" t="s">
        <v>199</v>
      </c>
      <c r="D165" s="67">
        <f>(3.05*3.35+3.05*6.35+2.15*2.6+3.05*3.05+0.9*2.15+(1.4*2.55+1.375*2.3)+(0.75*(3.05+3.05+2.15+3.05)))*10.764</f>
        <v>663.27767999999992</v>
      </c>
      <c r="E165" s="68"/>
      <c r="F165" s="4">
        <v>0</v>
      </c>
      <c r="G165" s="4">
        <f t="shared" ref="G165:G166" si="5">D165*1.6+F165</f>
        <v>1061.2442879999999</v>
      </c>
      <c r="H165" s="129"/>
      <c r="I165" s="124"/>
      <c r="J165" s="125"/>
    </row>
    <row r="166" spans="1:10" s="3" customFormat="1" x14ac:dyDescent="0.25">
      <c r="A166" s="67">
        <v>3</v>
      </c>
      <c r="B166" s="68"/>
      <c r="C166" s="4" t="s">
        <v>198</v>
      </c>
      <c r="D166" s="67">
        <f>(1.525*2.3+3.15*5.15+1.1*2.375+3.3*2.325+3.05*3.05+3.175*3.35+3.05*3.35+1.1*1.375+(1.375*2.3+2.3*1.375+1.375*2.3)+(0.75*(2.325+3.05+3.05+3.15)))*10.764</f>
        <v>859.53231000000005</v>
      </c>
      <c r="E166" s="68"/>
      <c r="F166" s="4">
        <v>0</v>
      </c>
      <c r="G166" s="4">
        <f t="shared" si="5"/>
        <v>1375.2516960000003</v>
      </c>
      <c r="H166" s="130"/>
      <c r="I166" s="126"/>
      <c r="J166" s="127"/>
    </row>
    <row r="167" spans="1:10" s="3" customFormat="1" x14ac:dyDescent="0.25">
      <c r="A167" s="87" t="s">
        <v>201</v>
      </c>
      <c r="B167" s="88"/>
      <c r="C167" s="88"/>
      <c r="D167" s="88"/>
      <c r="E167" s="88"/>
      <c r="F167" s="88"/>
      <c r="G167" s="88"/>
      <c r="H167" s="88"/>
      <c r="I167" s="88"/>
      <c r="J167" s="89"/>
    </row>
    <row r="168" spans="1:10" s="3" customFormat="1" ht="15.75" customHeight="1" x14ac:dyDescent="0.25">
      <c r="A168" s="67">
        <v>1</v>
      </c>
      <c r="B168" s="68"/>
      <c r="C168" s="4" t="s">
        <v>198</v>
      </c>
      <c r="D168" s="67">
        <f>(1.525*2.3+3.15*5.15+1.1*2.375+3.3*2.325+3.05*3.05+3.175*3.35+3.05*3.35+1.1*1.375+(1.375*2.3+2.3*1.375+1.375*2.3)+(0.75*(2.325+3.05+3.05+3.15)))*10.764</f>
        <v>859.53231000000005</v>
      </c>
      <c r="E168" s="68"/>
      <c r="F168" s="4">
        <v>0</v>
      </c>
      <c r="G168" s="4">
        <f>D168*1.6+F168</f>
        <v>1375.2516960000003</v>
      </c>
      <c r="H168" s="112" t="str">
        <f>A167</f>
        <v xml:space="preserve">2nd, 4th To 6th, 8th To 11th, 13th To 16th, 18th To 21st, 23rd To 26th, 28th To 31 Floor </v>
      </c>
      <c r="I168" s="113"/>
      <c r="J168" s="114"/>
    </row>
    <row r="169" spans="1:10" s="3" customFormat="1" x14ac:dyDescent="0.25">
      <c r="A169" s="67">
        <v>2</v>
      </c>
      <c r="B169" s="68"/>
      <c r="C169" s="4" t="s">
        <v>199</v>
      </c>
      <c r="D169" s="67">
        <f>(3.05*3.35+3.05*6.35+2.15*2.6+3.05*3.05+0.9*2.15+(1.4*2.55+1.375*2.3)+(0.75*(3.05+3.05+2.15+3.05)))*10.764</f>
        <v>663.27767999999992</v>
      </c>
      <c r="E169" s="68"/>
      <c r="F169" s="4">
        <v>0</v>
      </c>
      <c r="G169" s="4">
        <f t="shared" ref="G169:G173" si="6">D169*1.6+F169</f>
        <v>1061.2442879999999</v>
      </c>
      <c r="H169" s="115"/>
      <c r="I169" s="116"/>
      <c r="J169" s="117"/>
    </row>
    <row r="170" spans="1:10" s="3" customFormat="1" ht="15.75" customHeight="1" x14ac:dyDescent="0.25">
      <c r="A170" s="67">
        <v>3</v>
      </c>
      <c r="B170" s="68"/>
      <c r="C170" s="4" t="s">
        <v>198</v>
      </c>
      <c r="D170" s="67">
        <f>(1.525*2.3+3.15*5.15+1.1*2.375+3.3*2.325+3.05*3.05+3.175*3.35+3.05*3.35+1.1*1.375+(1.375*2.3+2.3*1.375+1.375*2.3)+(0.75*(2.325+3.05+3.05+3.15)))*10.764</f>
        <v>859.53231000000005</v>
      </c>
      <c r="E170" s="68"/>
      <c r="F170" s="4">
        <v>0</v>
      </c>
      <c r="G170" s="4">
        <f t="shared" si="6"/>
        <v>1375.2516960000003</v>
      </c>
      <c r="H170" s="115"/>
      <c r="I170" s="116"/>
      <c r="J170" s="117"/>
    </row>
    <row r="171" spans="1:10" s="3" customFormat="1" ht="15.75" customHeight="1" x14ac:dyDescent="0.25">
      <c r="A171" s="67">
        <v>4</v>
      </c>
      <c r="B171" s="68"/>
      <c r="C171" s="4" t="s">
        <v>199</v>
      </c>
      <c r="D171" s="67">
        <f>(2.3*1.125+2.15*3.35+3.05*4.625+1.405*1+3.05*3.35+3.05*3.05+0.6*3.05+((1.375*2.3)*2)+(0.75*(3.05+2.15)))*10.764</f>
        <v>612.21595499999989</v>
      </c>
      <c r="E171" s="68"/>
      <c r="F171" s="4">
        <v>0</v>
      </c>
      <c r="G171" s="4">
        <f t="shared" si="6"/>
        <v>979.54552799999988</v>
      </c>
      <c r="H171" s="115"/>
      <c r="I171" s="116"/>
      <c r="J171" s="117"/>
    </row>
    <row r="172" spans="1:10" s="3" customFormat="1" ht="15.75" customHeight="1" x14ac:dyDescent="0.25">
      <c r="A172" s="67">
        <v>5</v>
      </c>
      <c r="B172" s="68"/>
      <c r="C172" s="4" t="s">
        <v>198</v>
      </c>
      <c r="D172" s="67">
        <f>(2.3*3+3.05*3.65+2.3*2.65+2.9*3.25+2.45*2.6+2.9*3.25+1*2.3+1*2.45+(2*(2.3*1.525))+(0.75*(2.45+3.05+2.3)))*10.764</f>
        <v>720.7843499999999</v>
      </c>
      <c r="E172" s="68"/>
      <c r="F172" s="4">
        <v>0</v>
      </c>
      <c r="G172" s="4">
        <f t="shared" si="6"/>
        <v>1153.25496</v>
      </c>
      <c r="H172" s="115"/>
      <c r="I172" s="116"/>
      <c r="J172" s="117"/>
    </row>
    <row r="173" spans="1:10" s="3" customFormat="1" ht="15.75" customHeight="1" x14ac:dyDescent="0.25">
      <c r="A173" s="67">
        <v>6</v>
      </c>
      <c r="B173" s="68"/>
      <c r="C173" s="4" t="s">
        <v>199</v>
      </c>
      <c r="D173" s="67">
        <f>(2.3*1.125+2.15*3.35+3.05*4.625+1.405*1+3.05*3.35+3.05*3.05+0.6*1.4+((1.375*2.3)*2)+0.15*0.6+(0.75*(3.05+2.15+3.05)))*10.764</f>
        <v>627.15100499999994</v>
      </c>
      <c r="E173" s="68"/>
      <c r="F173" s="4">
        <v>0</v>
      </c>
      <c r="G173" s="4">
        <f t="shared" si="6"/>
        <v>1003.441608</v>
      </c>
      <c r="H173" s="118"/>
      <c r="I173" s="119"/>
      <c r="J173" s="120"/>
    </row>
    <row r="174" spans="1:10" s="3" customFormat="1" x14ac:dyDescent="0.25">
      <c r="A174" s="87" t="s">
        <v>258</v>
      </c>
      <c r="B174" s="88"/>
      <c r="C174" s="88"/>
      <c r="D174" s="88"/>
      <c r="E174" s="88"/>
      <c r="F174" s="88"/>
      <c r="G174" s="88"/>
      <c r="H174" s="88"/>
      <c r="I174" s="88"/>
      <c r="J174" s="89"/>
    </row>
    <row r="175" spans="1:10" s="3" customFormat="1" ht="15.75" customHeight="1" x14ac:dyDescent="0.25">
      <c r="A175" s="67">
        <v>1</v>
      </c>
      <c r="B175" s="68"/>
      <c r="C175" s="4" t="s">
        <v>198</v>
      </c>
      <c r="D175" s="67">
        <f>(1.525*2.3+3.15*5.15+1.1*2.375+3.3*2.325+3.05*3.05+3.175*3.35+3.05*3.35+1.1*1.375+(1.375*2.3+2.3*1.375+1.375*2.3)+(0.75*(2.325+3.05+3.05+3.15)))*10.764</f>
        <v>859.53231000000005</v>
      </c>
      <c r="E175" s="68"/>
      <c r="F175" s="4">
        <v>0</v>
      </c>
      <c r="G175" s="4">
        <f>D175*1.6+F175</f>
        <v>1375.2516960000003</v>
      </c>
      <c r="H175" s="122" t="str">
        <f>A174</f>
        <v>3rd, 7th, 12th, 17th, 22nd, 27th &amp; 32nd Floor (Part Refuge Area)</v>
      </c>
      <c r="I175" s="122"/>
      <c r="J175" s="123"/>
    </row>
    <row r="176" spans="1:10" s="3" customFormat="1" ht="15.75" customHeight="1" x14ac:dyDescent="0.25">
      <c r="A176" s="67">
        <v>2</v>
      </c>
      <c r="B176" s="68"/>
      <c r="C176" s="4" t="s">
        <v>199</v>
      </c>
      <c r="D176" s="67">
        <f>(3.05*3.35+3.05*6.35+2.15*2.6+3.05*3.05+0.9*2.15+(1.4*2.55+1.375*2.3)+(0.75*(3.05+3.05+2.15+3.05)))*10.764</f>
        <v>663.27767999999992</v>
      </c>
      <c r="E176" s="68"/>
      <c r="F176" s="4">
        <v>0</v>
      </c>
      <c r="G176" s="4">
        <f t="shared" ref="G176:G178" si="7">D176*1.6+F176</f>
        <v>1061.2442879999999</v>
      </c>
      <c r="H176" s="124"/>
      <c r="I176" s="124"/>
      <c r="J176" s="125"/>
    </row>
    <row r="177" spans="1:10" s="3" customFormat="1" ht="15.75" customHeight="1" x14ac:dyDescent="0.25">
      <c r="A177" s="67">
        <v>3</v>
      </c>
      <c r="B177" s="68"/>
      <c r="C177" s="4" t="s">
        <v>198</v>
      </c>
      <c r="D177" s="67">
        <f>(1.525*2.3+3.15*5.15+1.1*2.375+3.3*2.325+3.05*3.05+3.175*3.35+3.05*3.35+1.1*1.375+(1.375*2.3+2.3*1.375+1.375*2.3)+(0.75*(2.325+3.05+3.05+3.15)))*10.764</f>
        <v>859.53231000000005</v>
      </c>
      <c r="E177" s="68"/>
      <c r="F177" s="4">
        <v>0</v>
      </c>
      <c r="G177" s="4">
        <f t="shared" si="7"/>
        <v>1375.2516960000003</v>
      </c>
      <c r="H177" s="124"/>
      <c r="I177" s="124"/>
      <c r="J177" s="125"/>
    </row>
    <row r="178" spans="1:10" s="3" customFormat="1" ht="15.75" customHeight="1" x14ac:dyDescent="0.25">
      <c r="A178" s="67">
        <v>4</v>
      </c>
      <c r="B178" s="68"/>
      <c r="C178" s="4" t="s">
        <v>199</v>
      </c>
      <c r="D178" s="67">
        <f>(2.3*1.125+2.15*3.35+3.05*4.625+1.405*1+3.05*3.35+3.05*3.05+0.6*3.05+((1.375*2.3)*2)+(0.75*(3.05+2.15)))*10.764</f>
        <v>612.21595499999989</v>
      </c>
      <c r="E178" s="68"/>
      <c r="F178" s="4">
        <v>0</v>
      </c>
      <c r="G178" s="4">
        <f t="shared" si="7"/>
        <v>979.54552799999988</v>
      </c>
      <c r="H178" s="124"/>
      <c r="I178" s="124"/>
      <c r="J178" s="125"/>
    </row>
    <row r="179" spans="1:10" s="3" customFormat="1" ht="15.75" customHeight="1" x14ac:dyDescent="0.25">
      <c r="A179" s="67">
        <v>5</v>
      </c>
      <c r="B179" s="68"/>
      <c r="C179" s="67" t="s">
        <v>202</v>
      </c>
      <c r="D179" s="121"/>
      <c r="E179" s="121"/>
      <c r="F179" s="121"/>
      <c r="G179" s="121"/>
      <c r="H179" s="124"/>
      <c r="I179" s="124"/>
      <c r="J179" s="125"/>
    </row>
    <row r="180" spans="1:10" s="3" customFormat="1" ht="15.75" customHeight="1" x14ac:dyDescent="0.25">
      <c r="A180" s="67">
        <v>6</v>
      </c>
      <c r="B180" s="68"/>
      <c r="C180" s="4" t="s">
        <v>199</v>
      </c>
      <c r="D180" s="67">
        <f>(2.3*1.125+2.15*3.35+3.05*4.625+1.405*1+3.05*3.35+3.05*3.05+0.6*1.4+((1.375*2.3)*2)+0.15*0.6+(0.75*(3.05+2.15+3.05)))*10.764</f>
        <v>627.15100499999994</v>
      </c>
      <c r="E180" s="68"/>
      <c r="F180" s="4">
        <v>0</v>
      </c>
      <c r="G180" s="4">
        <f t="shared" ref="G180" si="8">D180*1.6+F180</f>
        <v>1003.441608</v>
      </c>
      <c r="H180" s="126"/>
      <c r="I180" s="126"/>
      <c r="J180" s="127"/>
    </row>
    <row r="181" spans="1:10" s="3" customFormat="1" x14ac:dyDescent="0.25">
      <c r="A181" s="87" t="s">
        <v>267</v>
      </c>
      <c r="B181" s="88"/>
      <c r="C181" s="88"/>
      <c r="D181" s="88"/>
      <c r="E181" s="88"/>
      <c r="F181" s="88"/>
      <c r="G181" s="88"/>
      <c r="H181" s="88"/>
      <c r="I181" s="88"/>
      <c r="J181" s="89"/>
    </row>
    <row r="182" spans="1:10" s="3" customFormat="1" ht="15.75" customHeight="1" x14ac:dyDescent="0.25">
      <c r="A182" s="67">
        <v>1</v>
      </c>
      <c r="B182" s="68"/>
      <c r="C182" s="4" t="s">
        <v>198</v>
      </c>
      <c r="D182" s="67">
        <f>(1.525*2.3+3.15*5.15+1.1*2.375+3.3*2.325+3.05*3.05+3.175*3.35+3.05*3.35+1.1*1.375+(1.375*2.3+2.3*1.375+1.375*2.3)+(0.75*(2.325+3.05+3.05+3.15)))*10.764</f>
        <v>859.53231000000005</v>
      </c>
      <c r="E182" s="68"/>
      <c r="F182" s="4">
        <v>0</v>
      </c>
      <c r="G182" s="4">
        <f>D182*1.6+F182</f>
        <v>1375.2516960000003</v>
      </c>
      <c r="H182" s="112" t="str">
        <f>A181</f>
        <v>33rd to 36th &amp; 38th Floor</v>
      </c>
      <c r="I182" s="113"/>
      <c r="J182" s="114"/>
    </row>
    <row r="183" spans="1:10" s="3" customFormat="1" x14ac:dyDescent="0.25">
      <c r="A183" s="67">
        <v>2</v>
      </c>
      <c r="B183" s="68"/>
      <c r="C183" s="4" t="s">
        <v>199</v>
      </c>
      <c r="D183" s="67">
        <f>(3.05*3.35+3.05*6.35+2.15*2.6+3.05*3.05+0.9*2.15+(1.4*2.55+1.375*2.3)+(0.75*(3.05+3.05+2.15+3.05)))*10.764</f>
        <v>663.27767999999992</v>
      </c>
      <c r="E183" s="68"/>
      <c r="F183" s="4">
        <v>0</v>
      </c>
      <c r="G183" s="4">
        <f t="shared" ref="G183:G187" si="9">D183*1.6+F183</f>
        <v>1061.2442879999999</v>
      </c>
      <c r="H183" s="115"/>
      <c r="I183" s="116"/>
      <c r="J183" s="117"/>
    </row>
    <row r="184" spans="1:10" s="3" customFormat="1" ht="15.75" customHeight="1" x14ac:dyDescent="0.25">
      <c r="A184" s="67">
        <v>3</v>
      </c>
      <c r="B184" s="68"/>
      <c r="C184" s="4" t="s">
        <v>198</v>
      </c>
      <c r="D184" s="67">
        <f>(1.525*2.3+3.15*5.15+1.1*2.375+3.3*2.325+3.05*3.05+3.175*3.35+3.05*3.35+1.1*1.375+(1.375*2.3+2.3*1.375+1.375*2.3)+(0.75*(2.325+3.05+3.05+3.15)))*10.764</f>
        <v>859.53231000000005</v>
      </c>
      <c r="E184" s="68"/>
      <c r="F184" s="4">
        <v>0</v>
      </c>
      <c r="G184" s="4">
        <f t="shared" si="9"/>
        <v>1375.2516960000003</v>
      </c>
      <c r="H184" s="115"/>
      <c r="I184" s="116"/>
      <c r="J184" s="117"/>
    </row>
    <row r="185" spans="1:10" s="3" customFormat="1" ht="15.75" customHeight="1" x14ac:dyDescent="0.25">
      <c r="A185" s="67">
        <v>4</v>
      </c>
      <c r="B185" s="68"/>
      <c r="C185" s="4" t="s">
        <v>199</v>
      </c>
      <c r="D185" s="67">
        <f>(2.3*1.125+2.15*3.35+3.05*4.625+1.405*1+3.05*3.35+3.05*3.05+0.6*3.05+((1.375*2.3)*2)+(0.75*(3.05+2.15)))*10.764</f>
        <v>612.21595499999989</v>
      </c>
      <c r="E185" s="68"/>
      <c r="F185" s="4">
        <v>0</v>
      </c>
      <c r="G185" s="4">
        <f t="shared" si="9"/>
        <v>979.54552799999988</v>
      </c>
      <c r="H185" s="115"/>
      <c r="I185" s="116"/>
      <c r="J185" s="117"/>
    </row>
    <row r="186" spans="1:10" s="3" customFormat="1" ht="15.75" customHeight="1" x14ac:dyDescent="0.25">
      <c r="A186" s="67">
        <v>5</v>
      </c>
      <c r="B186" s="68"/>
      <c r="C186" s="4" t="s">
        <v>198</v>
      </c>
      <c r="D186" s="67">
        <f>(2.3*3+3.05*3.65+2.3*2.65+2.9*3.25+2.45*2.6+2.9*3.25+1*2.3+1*2.45+(2*(2.3*1.525))+(0.75*(2.45+3.05+2.3)))*10.764</f>
        <v>720.7843499999999</v>
      </c>
      <c r="E186" s="68"/>
      <c r="F186" s="4">
        <v>0</v>
      </c>
      <c r="G186" s="4">
        <f t="shared" si="9"/>
        <v>1153.25496</v>
      </c>
      <c r="H186" s="115"/>
      <c r="I186" s="116"/>
      <c r="J186" s="117"/>
    </row>
    <row r="187" spans="1:10" s="3" customFormat="1" ht="15.75" customHeight="1" x14ac:dyDescent="0.25">
      <c r="A187" s="67">
        <v>6</v>
      </c>
      <c r="B187" s="68"/>
      <c r="C187" s="4" t="s">
        <v>199</v>
      </c>
      <c r="D187" s="67">
        <f>(2.3*1.125+2.15*3.35+3.05*4.625+1.405*1+3.05*3.35+3.05*3.05+0.6*1.4+((1.375*2.3)*2)+0.15*0.6+(0.75*(3.05+2.15+3.05)))*10.764</f>
        <v>627.15100499999994</v>
      </c>
      <c r="E187" s="68"/>
      <c r="F187" s="4">
        <v>0</v>
      </c>
      <c r="G187" s="4">
        <f t="shared" si="9"/>
        <v>1003.441608</v>
      </c>
      <c r="H187" s="118"/>
      <c r="I187" s="119"/>
      <c r="J187" s="120"/>
    </row>
    <row r="188" spans="1:10" s="3" customFormat="1" x14ac:dyDescent="0.25">
      <c r="A188" s="87" t="s">
        <v>268</v>
      </c>
      <c r="B188" s="88"/>
      <c r="C188" s="88"/>
      <c r="D188" s="88"/>
      <c r="E188" s="88"/>
      <c r="F188" s="88"/>
      <c r="G188" s="88"/>
      <c r="H188" s="88"/>
      <c r="I188" s="88"/>
      <c r="J188" s="89"/>
    </row>
    <row r="189" spans="1:10" s="3" customFormat="1" ht="15.75" customHeight="1" x14ac:dyDescent="0.25">
      <c r="A189" s="67">
        <v>1</v>
      </c>
      <c r="B189" s="68"/>
      <c r="C189" s="4" t="s">
        <v>198</v>
      </c>
      <c r="D189" s="67">
        <f>(1.525*2.3+3.15*5.15+1.1*2.375+3.3*2.325+3.05*3.05+3.175*3.35+3.05*3.35+1.1*1.375+(1.375*2.3+2.3*1.375+1.375*2.3)+(0.75*(2.325+3.05+3.05+3.15)))*10.764</f>
        <v>859.53231000000005</v>
      </c>
      <c r="E189" s="68"/>
      <c r="F189" s="4">
        <v>0</v>
      </c>
      <c r="G189" s="4">
        <f>D189*1.6+F189</f>
        <v>1375.2516960000003</v>
      </c>
      <c r="H189" s="122" t="str">
        <f>A188</f>
        <v>37th Floor (Part Refuge Area)</v>
      </c>
      <c r="I189" s="122"/>
      <c r="J189" s="123"/>
    </row>
    <row r="190" spans="1:10" s="3" customFormat="1" ht="15.75" customHeight="1" x14ac:dyDescent="0.25">
      <c r="A190" s="67">
        <v>2</v>
      </c>
      <c r="B190" s="68"/>
      <c r="C190" s="4" t="s">
        <v>199</v>
      </c>
      <c r="D190" s="67">
        <f>(3.05*3.35+3.05*6.35+2.15*2.6+3.05*3.05+0.9*2.15+(1.4*2.55+1.375*2.3)+(0.75*(3.05+3.05+2.15+3.05)))*10.764</f>
        <v>663.27767999999992</v>
      </c>
      <c r="E190" s="68"/>
      <c r="F190" s="4">
        <v>0</v>
      </c>
      <c r="G190" s="4">
        <f t="shared" ref="G190:G192" si="10">D190*1.6+F190</f>
        <v>1061.2442879999999</v>
      </c>
      <c r="H190" s="124"/>
      <c r="I190" s="124"/>
      <c r="J190" s="125"/>
    </row>
    <row r="191" spans="1:10" s="3" customFormat="1" ht="15.75" customHeight="1" x14ac:dyDescent="0.25">
      <c r="A191" s="67">
        <v>3</v>
      </c>
      <c r="B191" s="68"/>
      <c r="C191" s="4" t="s">
        <v>198</v>
      </c>
      <c r="D191" s="67">
        <f>(1.525*2.3+3.15*5.15+1.1*2.375+3.3*2.325+3.05*3.05+3.175*3.35+3.05*3.35+1.1*1.375+(1.375*2.3+2.3*1.375+1.375*2.3)+(0.75*(2.325+3.05+3.05+3.15)))*10.764</f>
        <v>859.53231000000005</v>
      </c>
      <c r="E191" s="68"/>
      <c r="F191" s="4">
        <v>0</v>
      </c>
      <c r="G191" s="4">
        <f t="shared" si="10"/>
        <v>1375.2516960000003</v>
      </c>
      <c r="H191" s="124"/>
      <c r="I191" s="124"/>
      <c r="J191" s="125"/>
    </row>
    <row r="192" spans="1:10" s="3" customFormat="1" ht="15.75" customHeight="1" x14ac:dyDescent="0.25">
      <c r="A192" s="67">
        <v>4</v>
      </c>
      <c r="B192" s="68"/>
      <c r="C192" s="4" t="s">
        <v>199</v>
      </c>
      <c r="D192" s="67">
        <f>(2.3*1.125+2.15*3.35+3.05*4.625+1.405*1+3.05*3.35+3.05*3.05+0.6*3.05+((1.375*2.3)*2)+(0.75*(3.05+2.15)))*10.764</f>
        <v>612.21595499999989</v>
      </c>
      <c r="E192" s="68"/>
      <c r="F192" s="4">
        <v>0</v>
      </c>
      <c r="G192" s="4">
        <f t="shared" si="10"/>
        <v>979.54552799999988</v>
      </c>
      <c r="H192" s="124"/>
      <c r="I192" s="124"/>
      <c r="J192" s="125"/>
    </row>
    <row r="193" spans="1:10" s="3" customFormat="1" ht="15.75" customHeight="1" x14ac:dyDescent="0.25">
      <c r="A193" s="67">
        <v>5</v>
      </c>
      <c r="B193" s="68"/>
      <c r="C193" s="67" t="s">
        <v>202</v>
      </c>
      <c r="D193" s="121"/>
      <c r="E193" s="121"/>
      <c r="F193" s="121"/>
      <c r="G193" s="121"/>
      <c r="H193" s="124"/>
      <c r="I193" s="124"/>
      <c r="J193" s="125"/>
    </row>
    <row r="194" spans="1:10" s="3" customFormat="1" ht="15.75" customHeight="1" x14ac:dyDescent="0.25">
      <c r="A194" s="67">
        <v>6</v>
      </c>
      <c r="B194" s="68"/>
      <c r="C194" s="4" t="s">
        <v>199</v>
      </c>
      <c r="D194" s="67">
        <f>(2.3*1.125+2.15*3.35+3.05*4.625+1.405*1+3.05*3.35+3.05*3.05+0.6*1.4+((1.375*2.3)*2)+0.15*0.6+(0.75*(3.05+2.15+3.05)))*10.764</f>
        <v>627.15100499999994</v>
      </c>
      <c r="E194" s="68"/>
      <c r="F194" s="4">
        <v>0</v>
      </c>
      <c r="G194" s="4">
        <f t="shared" ref="G194" si="11">D194*1.6+F194</f>
        <v>1003.441608</v>
      </c>
      <c r="H194" s="126"/>
      <c r="I194" s="126"/>
      <c r="J194" s="127"/>
    </row>
    <row r="195" spans="1:10" s="3" customFormat="1" x14ac:dyDescent="0.25">
      <c r="A195" s="87" t="s">
        <v>269</v>
      </c>
      <c r="B195" s="88"/>
      <c r="C195" s="88"/>
      <c r="D195" s="88"/>
      <c r="E195" s="88"/>
      <c r="F195" s="88"/>
      <c r="G195" s="88"/>
      <c r="H195" s="88"/>
      <c r="I195" s="88"/>
      <c r="J195" s="89"/>
    </row>
    <row r="196" spans="1:10" s="3" customFormat="1" x14ac:dyDescent="0.25">
      <c r="A196" s="87" t="s">
        <v>270</v>
      </c>
      <c r="B196" s="88"/>
      <c r="C196" s="88"/>
      <c r="D196" s="88"/>
      <c r="E196" s="88"/>
      <c r="F196" s="88"/>
      <c r="G196" s="88"/>
      <c r="H196" s="88"/>
      <c r="I196" s="88"/>
      <c r="J196" s="89"/>
    </row>
    <row r="197" spans="1:10" s="3" customFormat="1" x14ac:dyDescent="0.25">
      <c r="A197" s="87" t="s">
        <v>190</v>
      </c>
      <c r="B197" s="88"/>
      <c r="C197" s="88"/>
      <c r="D197" s="88"/>
      <c r="E197" s="88"/>
      <c r="F197" s="88"/>
      <c r="G197" s="88"/>
      <c r="H197" s="88"/>
      <c r="I197" s="88"/>
      <c r="J197" s="89"/>
    </row>
    <row r="198" spans="1:10" s="3" customFormat="1" x14ac:dyDescent="0.25">
      <c r="A198" s="87" t="s">
        <v>191</v>
      </c>
      <c r="B198" s="88"/>
      <c r="C198" s="88"/>
      <c r="D198" s="88"/>
      <c r="E198" s="88"/>
      <c r="F198" s="88"/>
      <c r="G198" s="88"/>
      <c r="H198" s="88"/>
      <c r="I198" s="88"/>
      <c r="J198" s="89"/>
    </row>
    <row r="199" spans="1:10" s="3" customFormat="1" x14ac:dyDescent="0.25">
      <c r="A199" s="87" t="s">
        <v>195</v>
      </c>
      <c r="B199" s="88"/>
      <c r="C199" s="88"/>
      <c r="D199" s="88"/>
      <c r="E199" s="88"/>
      <c r="F199" s="88"/>
      <c r="G199" s="88"/>
      <c r="H199" s="88"/>
      <c r="I199" s="88"/>
      <c r="J199" s="89"/>
    </row>
    <row r="200" spans="1:10" s="3" customFormat="1" ht="15.75" customHeight="1" x14ac:dyDescent="0.25">
      <c r="A200" s="87" t="s">
        <v>218</v>
      </c>
      <c r="B200" s="88"/>
      <c r="C200" s="88"/>
      <c r="D200" s="88"/>
      <c r="E200" s="88"/>
      <c r="F200" s="88"/>
      <c r="G200" s="88"/>
      <c r="H200" s="88"/>
      <c r="I200" s="88"/>
      <c r="J200" s="89"/>
    </row>
    <row r="201" spans="1:10" s="3" customFormat="1" x14ac:dyDescent="0.25">
      <c r="A201" s="67">
        <v>1</v>
      </c>
      <c r="B201" s="68"/>
      <c r="C201" s="4" t="s">
        <v>198</v>
      </c>
      <c r="D201" s="67">
        <f>(1.525*2.3+3.15*5.15+1.1*2.375+3.3*2.325+3.05*3.05+3.175*3.35+3.05*3.35+1.1*1.375+(1.375*2.3+2.3*1.375+1.375*2.3)+(0.75*(2.325+3.05+3.05+3.15)))*10.764</f>
        <v>859.53231000000005</v>
      </c>
      <c r="E201" s="68"/>
      <c r="F201" s="4">
        <v>0</v>
      </c>
      <c r="G201" s="4">
        <f>D201*1.6+F201</f>
        <v>1375.2516960000003</v>
      </c>
      <c r="H201" s="128" t="s">
        <v>210</v>
      </c>
      <c r="I201" s="122"/>
      <c r="J201" s="123"/>
    </row>
    <row r="202" spans="1:10" s="3" customFormat="1" x14ac:dyDescent="0.25">
      <c r="A202" s="67">
        <v>2</v>
      </c>
      <c r="B202" s="68"/>
      <c r="C202" s="4" t="s">
        <v>199</v>
      </c>
      <c r="D202" s="67">
        <f>(3.05*3.35+3.05*6.35+2.15*2.6+3.05*3.05+0.9*2.15+(1.4*2.55+1.375*2.3)+(0.75*(3.05+3.05+2.15+3.05)))*10.764</f>
        <v>663.27767999999992</v>
      </c>
      <c r="E202" s="68"/>
      <c r="F202" s="4">
        <v>0</v>
      </c>
      <c r="G202" s="4">
        <f t="shared" ref="G202:G203" si="12">D202*1.6+F202</f>
        <v>1061.2442879999999</v>
      </c>
      <c r="H202" s="129"/>
      <c r="I202" s="124"/>
      <c r="J202" s="125"/>
    </row>
    <row r="203" spans="1:10" s="3" customFormat="1" x14ac:dyDescent="0.25">
      <c r="A203" s="67">
        <v>3</v>
      </c>
      <c r="B203" s="68"/>
      <c r="C203" s="4" t="s">
        <v>198</v>
      </c>
      <c r="D203" s="67">
        <f>(1.525*2.3+3.15*5.15+1.1*2.375+3.3*2.325+3.05*3.05+3.175*3.35+3.05*3.35+1.1*1.375+(1.375*2.3+2.3*1.375+1.375*2.3)+(0.75*(2.325+3.05+3.05+3.15)))*10.764</f>
        <v>859.53231000000005</v>
      </c>
      <c r="E203" s="68"/>
      <c r="F203" s="4">
        <v>0</v>
      </c>
      <c r="G203" s="4">
        <f t="shared" si="12"/>
        <v>1375.2516960000003</v>
      </c>
      <c r="H203" s="130"/>
      <c r="I203" s="126"/>
      <c r="J203" s="127"/>
    </row>
    <row r="204" spans="1:10" s="3" customFormat="1" x14ac:dyDescent="0.25">
      <c r="A204" s="87" t="s">
        <v>200</v>
      </c>
      <c r="B204" s="88"/>
      <c r="C204" s="88"/>
      <c r="D204" s="88"/>
      <c r="E204" s="88"/>
      <c r="F204" s="88"/>
      <c r="G204" s="88"/>
      <c r="H204" s="88"/>
      <c r="I204" s="88"/>
      <c r="J204" s="89"/>
    </row>
    <row r="205" spans="1:10" s="3" customFormat="1" x14ac:dyDescent="0.25">
      <c r="A205" s="67">
        <v>1</v>
      </c>
      <c r="B205" s="68"/>
      <c r="C205" s="4" t="s">
        <v>198</v>
      </c>
      <c r="D205" s="67">
        <f>(1.525*2.3+3.15*5.15+1.1*2.375+3.3*2.325+3.05*3.05+3.175*3.35+3.05*3.35+1.1*1.375+(1.375*2.3+2.3*1.375+1.375*2.3)+(0.75*(2.325+3.05+3.05+3.15)))*10.764</f>
        <v>859.53231000000005</v>
      </c>
      <c r="E205" s="68"/>
      <c r="F205" s="4">
        <v>0</v>
      </c>
      <c r="G205" s="4">
        <f>D205*1.6+F205</f>
        <v>1375.2516960000003</v>
      </c>
      <c r="H205" s="128" t="s">
        <v>211</v>
      </c>
      <c r="I205" s="122"/>
      <c r="J205" s="123"/>
    </row>
    <row r="206" spans="1:10" s="3" customFormat="1" x14ac:dyDescent="0.25">
      <c r="A206" s="67">
        <v>2</v>
      </c>
      <c r="B206" s="68"/>
      <c r="C206" s="4" t="s">
        <v>199</v>
      </c>
      <c r="D206" s="67">
        <f>(3.05*3.35+3.05*6.35+2.15*2.6+3.05*3.05+0.9*2.15+(1.4*2.55+1.375*2.3)+(0.75*(3.05+3.05+2.15+3.05)))*10.764</f>
        <v>663.27767999999992</v>
      </c>
      <c r="E206" s="68"/>
      <c r="F206" s="4">
        <v>0</v>
      </c>
      <c r="G206" s="4">
        <f t="shared" ref="G206:G207" si="13">D206*1.6+F206</f>
        <v>1061.2442879999999</v>
      </c>
      <c r="H206" s="129"/>
      <c r="I206" s="124"/>
      <c r="J206" s="125"/>
    </row>
    <row r="207" spans="1:10" s="3" customFormat="1" x14ac:dyDescent="0.25">
      <c r="A207" s="67">
        <v>3</v>
      </c>
      <c r="B207" s="68"/>
      <c r="C207" s="4" t="s">
        <v>198</v>
      </c>
      <c r="D207" s="67">
        <f>(1.525*2.3+3.15*5.15+1.1*2.375+3.3*2.325+3.05*3.05+3.175*3.35+3.05*3.35+1.1*1.375+(1.375*2.3+2.3*1.375+1.375*2.3)+(0.75*(2.325+3.05+3.05+3.15)))*10.764</f>
        <v>859.53231000000005</v>
      </c>
      <c r="E207" s="68"/>
      <c r="F207" s="4">
        <v>0</v>
      </c>
      <c r="G207" s="4">
        <f t="shared" si="13"/>
        <v>1375.2516960000003</v>
      </c>
      <c r="H207" s="130"/>
      <c r="I207" s="126"/>
      <c r="J207" s="127"/>
    </row>
    <row r="208" spans="1:10" s="3" customFormat="1" x14ac:dyDescent="0.25">
      <c r="A208" s="87" t="s">
        <v>201</v>
      </c>
      <c r="B208" s="88"/>
      <c r="C208" s="88"/>
      <c r="D208" s="88"/>
      <c r="E208" s="88"/>
      <c r="F208" s="88"/>
      <c r="G208" s="88"/>
      <c r="H208" s="88"/>
      <c r="I208" s="88"/>
      <c r="J208" s="89"/>
    </row>
    <row r="209" spans="1:16" s="3" customFormat="1" ht="15.75" customHeight="1" x14ac:dyDescent="0.25">
      <c r="A209" s="67">
        <v>1</v>
      </c>
      <c r="B209" s="68"/>
      <c r="C209" s="4" t="s">
        <v>198</v>
      </c>
      <c r="D209" s="67">
        <f>(1.525*2.3+3.15*5.15+1.1*2.375+3.3*2.325+3.05*3.05+3.175*3.35+3.05*3.35+1.1*1.375+(1.375*2.3+2.3*1.375+1.375*2.3)+(0.75*(2.325+3.05+3.05+3.15)))*10.764</f>
        <v>859.53231000000005</v>
      </c>
      <c r="E209" s="68"/>
      <c r="F209" s="4">
        <v>0</v>
      </c>
      <c r="G209" s="4">
        <f>D209*1.6+F209</f>
        <v>1375.2516960000003</v>
      </c>
      <c r="H209" s="112" t="str">
        <f>A208</f>
        <v xml:space="preserve">2nd, 4th To 6th, 8th To 11th, 13th To 16th, 18th To 21st, 23rd To 26th, 28th To 31 Floor </v>
      </c>
      <c r="I209" s="113"/>
      <c r="J209" s="114"/>
      <c r="P209" s="38">
        <f>G209*12000+100000+25000+600+15000+25000+15000+25*G209+(6*12*G209)+50*27*G209</f>
        <v>18673609.556112003</v>
      </c>
    </row>
    <row r="210" spans="1:16" s="3" customFormat="1" x14ac:dyDescent="0.25">
      <c r="A210" s="67">
        <v>2</v>
      </c>
      <c r="B210" s="68"/>
      <c r="C210" s="4" t="s">
        <v>199</v>
      </c>
      <c r="D210" s="67">
        <f>(3.05*3.35+3.05*6.35+2.15*2.6+3.05*3.05+0.9*2.15+(1.4*2.55+1.375*2.3)+(0.75*(3.05+3.05+2.15+3.05)))*10.764</f>
        <v>663.27767999999992</v>
      </c>
      <c r="E210" s="68"/>
      <c r="F210" s="4">
        <v>0</v>
      </c>
      <c r="G210" s="4">
        <f t="shared" ref="G210:G214" si="14">D210*1.6+F210</f>
        <v>1061.2442879999999</v>
      </c>
      <c r="H210" s="115"/>
      <c r="I210" s="116"/>
      <c r="J210" s="117"/>
      <c r="K210" s="3">
        <f>14403408/G210</f>
        <v>13572.188951089083</v>
      </c>
      <c r="L210" s="38">
        <f>80040/G210</f>
        <v>75.420900639985362</v>
      </c>
      <c r="M210" s="38">
        <f>L210/12</f>
        <v>6.2850750533321138</v>
      </c>
      <c r="N210" s="38">
        <f>29000/G210</f>
        <v>27.326413275357016</v>
      </c>
      <c r="O210" s="3">
        <f>16416846/G210</f>
        <v>15469.431671513508</v>
      </c>
      <c r="P210" s="38">
        <f>G210*12000+100000+25000+600+15000+25000+15000+25*G210+(6*12*G210)+50*22*G210</f>
        <v>14185840.868735999</v>
      </c>
    </row>
    <row r="211" spans="1:16" s="3" customFormat="1" x14ac:dyDescent="0.25">
      <c r="A211" s="67">
        <v>3</v>
      </c>
      <c r="B211" s="68"/>
      <c r="C211" s="4" t="s">
        <v>198</v>
      </c>
      <c r="D211" s="67">
        <f>(1.525*2.3+3.15*5.15+1.1*2.375+3.3*2.325+3.05*3.05+3.175*3.35+3.05*3.35+1.1*1.375+(1.375*2.3+2.3*1.375+1.375*2.3)+(0.75*(2.325+3.05+3.05+3.15)))*10.764</f>
        <v>859.53231000000005</v>
      </c>
      <c r="E211" s="68"/>
      <c r="F211" s="4">
        <v>0</v>
      </c>
      <c r="G211" s="4">
        <f t="shared" si="14"/>
        <v>1375.2516960000003</v>
      </c>
      <c r="H211" s="115"/>
      <c r="I211" s="116"/>
      <c r="J211" s="117"/>
      <c r="K211" s="3">
        <f>18738308/G211</f>
        <v>13625.366218054092</v>
      </c>
      <c r="L211" s="38">
        <f>101844/G211</f>
        <v>74.054807782618425</v>
      </c>
      <c r="M211" s="38">
        <f>L211/12</f>
        <v>6.1712339818848685</v>
      </c>
      <c r="N211" s="38">
        <f>36900/G211</f>
        <v>26.831452095151601</v>
      </c>
      <c r="P211" s="38">
        <f>G211*12000+100000+25000+600+15000+25000+15000+25*G211+(6*12*G211)+50*22*G211</f>
        <v>18329796.632112004</v>
      </c>
    </row>
    <row r="212" spans="1:16" s="3" customFormat="1" ht="15.75" customHeight="1" x14ac:dyDescent="0.25">
      <c r="A212" s="67">
        <v>4</v>
      </c>
      <c r="B212" s="68"/>
      <c r="C212" s="4" t="s">
        <v>199</v>
      </c>
      <c r="D212" s="67">
        <f>(2.3*1.125+2.15*3.35+3.05*4.625+1.405*1+3.05*3.35+3.05*3.05+0.6*3.05+((1.375*2.3)*2)+(0.75*(3.05+2.15)))*10.764</f>
        <v>612.21595499999989</v>
      </c>
      <c r="E212" s="68"/>
      <c r="F212" s="4">
        <v>0</v>
      </c>
      <c r="G212" s="4">
        <f t="shared" si="14"/>
        <v>979.54552799999988</v>
      </c>
      <c r="H212" s="115"/>
      <c r="I212" s="116"/>
      <c r="J212" s="117"/>
      <c r="L212" s="38"/>
      <c r="N212" s="38"/>
      <c r="P212" s="38"/>
    </row>
    <row r="213" spans="1:16" s="3" customFormat="1" ht="15.75" customHeight="1" x14ac:dyDescent="0.25">
      <c r="A213" s="67">
        <v>5</v>
      </c>
      <c r="B213" s="68"/>
      <c r="C213" s="4" t="s">
        <v>198</v>
      </c>
      <c r="D213" s="67">
        <f>(2.3*3+3.05*3.65+2.3*2.65+2.9*3.25+2.45*2.6+2.9*3.25+1*2.3+1*2.45+(2*(2.3*1.525))+(0.75*(2.45+3.05+2.3)))*10.764</f>
        <v>720.7843499999999</v>
      </c>
      <c r="E213" s="68"/>
      <c r="F213" s="4">
        <v>0</v>
      </c>
      <c r="G213" s="4">
        <f t="shared" si="14"/>
        <v>1153.25496</v>
      </c>
      <c r="H213" s="115"/>
      <c r="I213" s="116"/>
      <c r="J213" s="117"/>
      <c r="K213" s="3">
        <f>15257747/G213</f>
        <v>13230.159443667166</v>
      </c>
      <c r="L213" s="38">
        <f>85284/G213</f>
        <v>73.950689967117071</v>
      </c>
      <c r="M213" s="38">
        <f>L213/12</f>
        <v>6.1625574972597557</v>
      </c>
      <c r="N213" s="38">
        <f>30900/G213</f>
        <v>26.79372824895546</v>
      </c>
      <c r="P213" s="38">
        <f t="shared" ref="P213:P214" si="15">G213*12000+100000+25000+600+15000+25000+15000+25*G213+(6*12*G213)+50*22*G213</f>
        <v>15400105.707119999</v>
      </c>
    </row>
    <row r="214" spans="1:16" s="3" customFormat="1" ht="15.75" customHeight="1" x14ac:dyDescent="0.25">
      <c r="A214" s="67">
        <v>6</v>
      </c>
      <c r="B214" s="68"/>
      <c r="C214" s="4" t="s">
        <v>199</v>
      </c>
      <c r="D214" s="67">
        <f>(2.3*1.125+2.15*3.35+3.05*4.625+1.405*1+3.05*3.35+3.05*3.05+0.6*1.4+((1.375*2.3)*2)+0.15*0.6+(0.75*(3.05+2.15+3.05)))*10.764</f>
        <v>627.15100499999994</v>
      </c>
      <c r="E214" s="68"/>
      <c r="F214" s="4">
        <v>0</v>
      </c>
      <c r="G214" s="4">
        <f t="shared" si="14"/>
        <v>1003.441608</v>
      </c>
      <c r="H214" s="118"/>
      <c r="I214" s="119"/>
      <c r="J214" s="120"/>
      <c r="K214" s="3">
        <f>12599391/G214</f>
        <v>12556.177558863994</v>
      </c>
      <c r="L214" s="38">
        <f>72381/G214</f>
        <v>72.132747359625142</v>
      </c>
      <c r="M214" s="38">
        <f>L214/12</f>
        <v>6.0110622799687619</v>
      </c>
      <c r="N214" s="38">
        <f>26225/G214</f>
        <v>26.13505339116853</v>
      </c>
      <c r="P214" s="38">
        <f t="shared" si="15"/>
        <v>13423018.900776001</v>
      </c>
    </row>
    <row r="215" spans="1:16" s="3" customFormat="1" x14ac:dyDescent="0.25">
      <c r="A215" s="87" t="s">
        <v>258</v>
      </c>
      <c r="B215" s="88"/>
      <c r="C215" s="88"/>
      <c r="D215" s="88"/>
      <c r="E215" s="88"/>
      <c r="F215" s="88"/>
      <c r="G215" s="88"/>
      <c r="H215" s="88"/>
      <c r="I215" s="88"/>
      <c r="J215" s="89"/>
    </row>
    <row r="216" spans="1:16" s="3" customFormat="1" ht="15.75" customHeight="1" x14ac:dyDescent="0.25">
      <c r="A216" s="67">
        <v>1</v>
      </c>
      <c r="B216" s="68"/>
      <c r="C216" s="4" t="s">
        <v>198</v>
      </c>
      <c r="D216" s="67">
        <f>(1.525*2.3+3.15*5.15+1.1*2.375+3.3*2.325+3.05*3.05+3.175*3.35+3.05*3.35+1.1*1.375+(1.375*2.3+2.3*1.375+1.375*2.3)+(0.75*(2.325+3.05+3.05+3.15)))*10.764</f>
        <v>859.53231000000005</v>
      </c>
      <c r="E216" s="68"/>
      <c r="F216" s="4">
        <v>0</v>
      </c>
      <c r="G216" s="4">
        <f>D216*1.6+F216</f>
        <v>1375.2516960000003</v>
      </c>
      <c r="H216" s="122" t="str">
        <f>A215</f>
        <v>3rd, 7th, 12th, 17th, 22nd, 27th &amp; 32nd Floor (Part Refuge Area)</v>
      </c>
      <c r="I216" s="122"/>
      <c r="J216" s="123"/>
    </row>
    <row r="217" spans="1:16" s="3" customFormat="1" x14ac:dyDescent="0.25">
      <c r="A217" s="67">
        <v>2</v>
      </c>
      <c r="B217" s="68"/>
      <c r="C217" s="4" t="s">
        <v>199</v>
      </c>
      <c r="D217" s="67">
        <f>(3.05*3.35+3.05*6.35+2.15*2.6+3.05*3.05+0.9*2.15+(1.4*2.55+1.375*2.3)+(0.75*(3.05+3.05+2.15+3.05)))*10.764</f>
        <v>663.27767999999992</v>
      </c>
      <c r="E217" s="68"/>
      <c r="F217" s="4">
        <v>0</v>
      </c>
      <c r="G217" s="4">
        <f t="shared" ref="G217:G219" si="16">D217*1.6+F217</f>
        <v>1061.2442879999999</v>
      </c>
      <c r="H217" s="124"/>
      <c r="I217" s="124"/>
      <c r="J217" s="125"/>
    </row>
    <row r="218" spans="1:16" s="3" customFormat="1" ht="15.75" customHeight="1" x14ac:dyDescent="0.25">
      <c r="A218" s="67">
        <v>3</v>
      </c>
      <c r="B218" s="68"/>
      <c r="C218" s="4" t="s">
        <v>198</v>
      </c>
      <c r="D218" s="67">
        <f>(1.525*2.3+3.15*5.15+1.1*2.375+3.3*2.325+3.05*3.05+3.175*3.35+3.05*3.35+1.1*1.375+(1.375*2.3+2.3*1.375+1.375*2.3)+(0.75*(2.325+3.05+3.05+3.15)))*10.764</f>
        <v>859.53231000000005</v>
      </c>
      <c r="E218" s="68"/>
      <c r="F218" s="4">
        <v>0</v>
      </c>
      <c r="G218" s="4">
        <f t="shared" si="16"/>
        <v>1375.2516960000003</v>
      </c>
      <c r="H218" s="124"/>
      <c r="I218" s="124"/>
      <c r="J218" s="125"/>
    </row>
    <row r="219" spans="1:16" s="3" customFormat="1" ht="15.75" customHeight="1" x14ac:dyDescent="0.25">
      <c r="A219" s="67">
        <v>4</v>
      </c>
      <c r="B219" s="68"/>
      <c r="C219" s="4" t="s">
        <v>199</v>
      </c>
      <c r="D219" s="67">
        <f>(2.3*1.125+2.15*3.35+3.05*4.625+1.405*1+3.05*3.35+3.05*3.05+0.6*3.05+((1.375*2.3)*2)+(0.75*(3.05+2.15)))*10.764</f>
        <v>612.21595499999989</v>
      </c>
      <c r="E219" s="68"/>
      <c r="F219" s="4">
        <v>0</v>
      </c>
      <c r="G219" s="4">
        <f t="shared" si="16"/>
        <v>979.54552799999988</v>
      </c>
      <c r="H219" s="124"/>
      <c r="I219" s="124"/>
      <c r="J219" s="125"/>
    </row>
    <row r="220" spans="1:16" s="3" customFormat="1" ht="15.75" customHeight="1" x14ac:dyDescent="0.25">
      <c r="A220" s="67">
        <v>5</v>
      </c>
      <c r="B220" s="68"/>
      <c r="C220" s="67" t="s">
        <v>202</v>
      </c>
      <c r="D220" s="121"/>
      <c r="E220" s="121"/>
      <c r="F220" s="121"/>
      <c r="G220" s="68"/>
      <c r="H220" s="124"/>
      <c r="I220" s="124"/>
      <c r="J220" s="125"/>
    </row>
    <row r="221" spans="1:16" s="3" customFormat="1" ht="15.75" customHeight="1" x14ac:dyDescent="0.25">
      <c r="A221" s="67">
        <v>6</v>
      </c>
      <c r="B221" s="68"/>
      <c r="C221" s="4" t="s">
        <v>199</v>
      </c>
      <c r="D221" s="67">
        <f>(2.3*1.125+2.15*3.35+3.05*4.625+1.405*1+3.05*3.35+3.05*3.05+0.6*1.4+((1.375*2.3)*2)+0.15*0.6+(0.75*(3.05+2.15+3.05)))*10.764</f>
        <v>627.15100499999994</v>
      </c>
      <c r="E221" s="68"/>
      <c r="F221" s="4">
        <v>0</v>
      </c>
      <c r="G221" s="4">
        <f t="shared" ref="G221" si="17">D221*1.6+F221</f>
        <v>1003.441608</v>
      </c>
      <c r="H221" s="126"/>
      <c r="I221" s="126"/>
      <c r="J221" s="127"/>
    </row>
    <row r="222" spans="1:16" s="3" customFormat="1" x14ac:dyDescent="0.25">
      <c r="A222" s="87" t="s">
        <v>267</v>
      </c>
      <c r="B222" s="88"/>
      <c r="C222" s="88"/>
      <c r="D222" s="88"/>
      <c r="E222" s="88"/>
      <c r="F222" s="88"/>
      <c r="G222" s="88"/>
      <c r="H222" s="88"/>
      <c r="I222" s="88"/>
      <c r="J222" s="89"/>
    </row>
    <row r="223" spans="1:16" s="3" customFormat="1" ht="15.75" customHeight="1" x14ac:dyDescent="0.25">
      <c r="A223" s="67">
        <v>1</v>
      </c>
      <c r="B223" s="68"/>
      <c r="C223" s="4" t="s">
        <v>198</v>
      </c>
      <c r="D223" s="67">
        <f>(1.525*2.3+3.15*5.15+1.1*2.375+3.3*2.325+3.05*3.05+3.175*3.35+3.05*3.35+1.1*1.375+(1.375*2.3+2.3*1.375+1.375*2.3)+(0.75*(2.325+3.05+3.05+3.15)))*10.764</f>
        <v>859.53231000000005</v>
      </c>
      <c r="E223" s="68"/>
      <c r="F223" s="4">
        <v>0</v>
      </c>
      <c r="G223" s="4">
        <f>D223*1.6+F223</f>
        <v>1375.2516960000003</v>
      </c>
      <c r="H223" s="112" t="str">
        <f>A222</f>
        <v>33rd to 36th &amp; 38th Floor</v>
      </c>
      <c r="I223" s="113"/>
      <c r="J223" s="114"/>
      <c r="P223" s="38"/>
    </row>
    <row r="224" spans="1:16" s="3" customFormat="1" x14ac:dyDescent="0.25">
      <c r="A224" s="67">
        <v>2</v>
      </c>
      <c r="B224" s="68"/>
      <c r="C224" s="4" t="s">
        <v>199</v>
      </c>
      <c r="D224" s="67">
        <f>(3.05*3.35+3.05*6.35+2.15*2.6+3.05*3.05+0.9*2.15+(1.4*2.55+1.375*2.3)+(0.75*(3.05+3.05+2.15+3.05)))*10.764</f>
        <v>663.27767999999992</v>
      </c>
      <c r="E224" s="68"/>
      <c r="F224" s="4">
        <v>0</v>
      </c>
      <c r="G224" s="4">
        <f t="shared" ref="G224:G228" si="18">D224*1.6+F224</f>
        <v>1061.2442879999999</v>
      </c>
      <c r="H224" s="115"/>
      <c r="I224" s="116"/>
      <c r="J224" s="117"/>
      <c r="L224" s="38"/>
      <c r="M224" s="38"/>
      <c r="N224" s="38"/>
      <c r="P224" s="38"/>
    </row>
    <row r="225" spans="1:16" s="3" customFormat="1" x14ac:dyDescent="0.25">
      <c r="A225" s="67">
        <v>3</v>
      </c>
      <c r="B225" s="68"/>
      <c r="C225" s="4" t="s">
        <v>198</v>
      </c>
      <c r="D225" s="67">
        <f>(1.525*2.3+3.15*5.15+1.1*2.375+3.3*2.325+3.05*3.05+3.175*3.35+3.05*3.35+1.1*1.375+(1.375*2.3+2.3*1.375+1.375*2.3)+(0.75*(2.325+3.05+3.05+3.15)))*10.764</f>
        <v>859.53231000000005</v>
      </c>
      <c r="E225" s="68"/>
      <c r="F225" s="4">
        <v>0</v>
      </c>
      <c r="G225" s="4">
        <f t="shared" si="18"/>
        <v>1375.2516960000003</v>
      </c>
      <c r="H225" s="115"/>
      <c r="I225" s="116"/>
      <c r="J225" s="117"/>
      <c r="L225" s="38"/>
      <c r="M225" s="38"/>
      <c r="N225" s="38"/>
      <c r="P225" s="38"/>
    </row>
    <row r="226" spans="1:16" s="3" customFormat="1" ht="15.75" customHeight="1" x14ac:dyDescent="0.25">
      <c r="A226" s="67">
        <v>4</v>
      </c>
      <c r="B226" s="68"/>
      <c r="C226" s="4" t="s">
        <v>199</v>
      </c>
      <c r="D226" s="67">
        <f>(2.3*1.125+2.15*3.35+3.05*4.625+1.405*1+3.05*3.35+3.05*3.05+0.6*3.05+((1.375*2.3)*2)+(0.75*(3.05+2.15)))*10.764</f>
        <v>612.21595499999989</v>
      </c>
      <c r="E226" s="68"/>
      <c r="F226" s="4">
        <v>0</v>
      </c>
      <c r="G226" s="4">
        <f t="shared" si="18"/>
        <v>979.54552799999988</v>
      </c>
      <c r="H226" s="115"/>
      <c r="I226" s="116"/>
      <c r="J226" s="117"/>
      <c r="L226" s="38"/>
      <c r="N226" s="38"/>
      <c r="P226" s="38"/>
    </row>
    <row r="227" spans="1:16" s="3" customFormat="1" ht="15.75" customHeight="1" x14ac:dyDescent="0.25">
      <c r="A227" s="67">
        <v>5</v>
      </c>
      <c r="B227" s="68"/>
      <c r="C227" s="4" t="s">
        <v>198</v>
      </c>
      <c r="D227" s="67">
        <f>(2.3*3+3.05*3.65+2.3*2.65+2.9*3.25+2.45*2.6+2.9*3.25+1*2.3+1*2.45+(2*(2.3*1.525))+(0.75*(2.45+3.05+2.3)))*10.764</f>
        <v>720.7843499999999</v>
      </c>
      <c r="E227" s="68"/>
      <c r="F227" s="4">
        <v>0</v>
      </c>
      <c r="G227" s="4">
        <f t="shared" si="18"/>
        <v>1153.25496</v>
      </c>
      <c r="H227" s="115"/>
      <c r="I227" s="116"/>
      <c r="J227" s="117"/>
      <c r="L227" s="38"/>
      <c r="M227" s="38"/>
      <c r="N227" s="38"/>
      <c r="P227" s="38"/>
    </row>
    <row r="228" spans="1:16" s="3" customFormat="1" ht="15.75" customHeight="1" x14ac:dyDescent="0.25">
      <c r="A228" s="67">
        <v>6</v>
      </c>
      <c r="B228" s="68"/>
      <c r="C228" s="4" t="s">
        <v>199</v>
      </c>
      <c r="D228" s="67">
        <f>(2.3*1.125+2.15*3.35+3.05*4.625+1.405*1+3.05*3.35+3.05*3.05+0.6*1.4+((1.375*2.3)*2)+0.15*0.6+(0.75*(3.05+2.15+3.05)))*10.764</f>
        <v>627.15100499999994</v>
      </c>
      <c r="E228" s="68"/>
      <c r="F228" s="4">
        <v>0</v>
      </c>
      <c r="G228" s="4">
        <f t="shared" si="18"/>
        <v>1003.441608</v>
      </c>
      <c r="H228" s="118"/>
      <c r="I228" s="119"/>
      <c r="J228" s="120"/>
      <c r="L228" s="38"/>
      <c r="M228" s="38"/>
      <c r="N228" s="38"/>
      <c r="P228" s="38"/>
    </row>
    <row r="229" spans="1:16" s="3" customFormat="1" x14ac:dyDescent="0.25">
      <c r="A229" s="87" t="s">
        <v>268</v>
      </c>
      <c r="B229" s="88"/>
      <c r="C229" s="88"/>
      <c r="D229" s="88"/>
      <c r="E229" s="88"/>
      <c r="F229" s="88"/>
      <c r="G229" s="88"/>
      <c r="H229" s="88"/>
      <c r="I229" s="88"/>
      <c r="J229" s="89"/>
    </row>
    <row r="230" spans="1:16" s="3" customFormat="1" ht="15.75" customHeight="1" x14ac:dyDescent="0.25">
      <c r="A230" s="67">
        <v>1</v>
      </c>
      <c r="B230" s="68"/>
      <c r="C230" s="4" t="s">
        <v>198</v>
      </c>
      <c r="D230" s="67">
        <f>(1.525*2.3+3.15*5.15+1.1*2.375+3.3*2.325+3.05*3.05+3.175*3.35+3.05*3.35+1.1*1.375+(1.375*2.3+2.3*1.375+1.375*2.3)+(0.75*(2.325+3.05+3.05+3.15)))*10.764</f>
        <v>859.53231000000005</v>
      </c>
      <c r="E230" s="68"/>
      <c r="F230" s="4">
        <v>0</v>
      </c>
      <c r="G230" s="4">
        <f>D230*1.6+F230</f>
        <v>1375.2516960000003</v>
      </c>
      <c r="H230" s="122" t="str">
        <f>A229</f>
        <v>37th Floor (Part Refuge Area)</v>
      </c>
      <c r="I230" s="122"/>
      <c r="J230" s="123"/>
    </row>
    <row r="231" spans="1:16" s="3" customFormat="1" x14ac:dyDescent="0.25">
      <c r="A231" s="67">
        <v>2</v>
      </c>
      <c r="B231" s="68"/>
      <c r="C231" s="4" t="s">
        <v>199</v>
      </c>
      <c r="D231" s="67">
        <f>(3.05*3.35+3.05*6.35+2.15*2.6+3.05*3.05+0.9*2.15+(1.4*2.55+1.375*2.3)+(0.75*(3.05+3.05+2.15+3.05)))*10.764</f>
        <v>663.27767999999992</v>
      </c>
      <c r="E231" s="68"/>
      <c r="F231" s="4">
        <v>0</v>
      </c>
      <c r="G231" s="4">
        <f t="shared" ref="G231:G233" si="19">D231*1.6+F231</f>
        <v>1061.2442879999999</v>
      </c>
      <c r="H231" s="124"/>
      <c r="I231" s="124"/>
      <c r="J231" s="125"/>
    </row>
    <row r="232" spans="1:16" s="3" customFormat="1" ht="15.75" customHeight="1" x14ac:dyDescent="0.25">
      <c r="A232" s="67">
        <v>3</v>
      </c>
      <c r="B232" s="68"/>
      <c r="C232" s="4" t="s">
        <v>198</v>
      </c>
      <c r="D232" s="67">
        <f>(1.525*2.3+3.15*5.15+1.1*2.375+3.3*2.325+3.05*3.05+3.175*3.35+3.05*3.35+1.1*1.375+(1.375*2.3+2.3*1.375+1.375*2.3)+(0.75*(2.325+3.05+3.05+3.15)))*10.764</f>
        <v>859.53231000000005</v>
      </c>
      <c r="E232" s="68"/>
      <c r="F232" s="4">
        <v>0</v>
      </c>
      <c r="G232" s="4">
        <f t="shared" si="19"/>
        <v>1375.2516960000003</v>
      </c>
      <c r="H232" s="124"/>
      <c r="I232" s="124"/>
      <c r="J232" s="125"/>
    </row>
    <row r="233" spans="1:16" s="3" customFormat="1" ht="15.75" customHeight="1" x14ac:dyDescent="0.25">
      <c r="A233" s="67">
        <v>4</v>
      </c>
      <c r="B233" s="68"/>
      <c r="C233" s="4" t="s">
        <v>199</v>
      </c>
      <c r="D233" s="67">
        <f>(2.3*1.125+2.15*3.35+3.05*4.625+1.405*1+3.05*3.35+3.05*3.05+0.6*3.05+((1.375*2.3)*2)+(0.75*(3.05+2.15)))*10.764</f>
        <v>612.21595499999989</v>
      </c>
      <c r="E233" s="68"/>
      <c r="F233" s="4">
        <v>0</v>
      </c>
      <c r="G233" s="4">
        <f t="shared" si="19"/>
        <v>979.54552799999988</v>
      </c>
      <c r="H233" s="124"/>
      <c r="I233" s="124"/>
      <c r="J233" s="125"/>
    </row>
    <row r="234" spans="1:16" s="3" customFormat="1" ht="15.75" customHeight="1" x14ac:dyDescent="0.25">
      <c r="A234" s="67">
        <v>5</v>
      </c>
      <c r="B234" s="68"/>
      <c r="C234" s="67" t="s">
        <v>202</v>
      </c>
      <c r="D234" s="121"/>
      <c r="E234" s="121"/>
      <c r="F234" s="121"/>
      <c r="G234" s="68"/>
      <c r="H234" s="124"/>
      <c r="I234" s="124"/>
      <c r="J234" s="125"/>
    </row>
    <row r="235" spans="1:16" s="3" customFormat="1" ht="15.75" customHeight="1" x14ac:dyDescent="0.25">
      <c r="A235" s="67">
        <v>6</v>
      </c>
      <c r="B235" s="68"/>
      <c r="C235" s="4" t="s">
        <v>199</v>
      </c>
      <c r="D235" s="67">
        <f>(2.3*1.125+2.15*3.35+3.05*4.625+1.405*1+3.05*3.35+3.05*3.05+0.6*1.4+((1.375*2.3)*2)+0.15*0.6+(0.75*(3.05+2.15+3.05)))*10.764</f>
        <v>627.15100499999994</v>
      </c>
      <c r="E235" s="68"/>
      <c r="F235" s="4">
        <v>0</v>
      </c>
      <c r="G235" s="4">
        <f t="shared" ref="G235" si="20">D235*1.6+F235</f>
        <v>1003.441608</v>
      </c>
      <c r="H235" s="126"/>
      <c r="I235" s="126"/>
      <c r="J235" s="127"/>
    </row>
    <row r="236" spans="1:16" s="3" customFormat="1" x14ac:dyDescent="0.25">
      <c r="A236" s="87" t="s">
        <v>269</v>
      </c>
      <c r="B236" s="88"/>
      <c r="C236" s="88"/>
      <c r="D236" s="88"/>
      <c r="E236" s="88"/>
      <c r="F236" s="88"/>
      <c r="G236" s="88"/>
      <c r="H236" s="88"/>
      <c r="I236" s="88"/>
      <c r="J236" s="89"/>
    </row>
    <row r="237" spans="1:16" s="3" customFormat="1" x14ac:dyDescent="0.25">
      <c r="A237" s="87" t="s">
        <v>270</v>
      </c>
      <c r="B237" s="88"/>
      <c r="C237" s="88"/>
      <c r="D237" s="88"/>
      <c r="E237" s="88"/>
      <c r="F237" s="88"/>
      <c r="G237" s="88"/>
      <c r="H237" s="88"/>
      <c r="I237" s="88"/>
      <c r="J237" s="89"/>
    </row>
    <row r="238" spans="1:16" s="3" customFormat="1" x14ac:dyDescent="0.25">
      <c r="A238" s="87" t="s">
        <v>192</v>
      </c>
      <c r="B238" s="88"/>
      <c r="C238" s="88"/>
      <c r="D238" s="88"/>
      <c r="E238" s="88"/>
      <c r="F238" s="88"/>
      <c r="G238" s="88"/>
      <c r="H238" s="88"/>
      <c r="I238" s="88"/>
      <c r="J238" s="89"/>
    </row>
    <row r="239" spans="1:16" s="3" customFormat="1" x14ac:dyDescent="0.25">
      <c r="A239" s="87" t="s">
        <v>191</v>
      </c>
      <c r="B239" s="88"/>
      <c r="C239" s="88"/>
      <c r="D239" s="88"/>
      <c r="E239" s="88"/>
      <c r="F239" s="88"/>
      <c r="G239" s="88"/>
      <c r="H239" s="88"/>
      <c r="I239" s="88"/>
      <c r="J239" s="89"/>
    </row>
    <row r="240" spans="1:16" s="3" customFormat="1" ht="15.6" customHeight="1" x14ac:dyDescent="0.25">
      <c r="A240" s="87" t="s">
        <v>195</v>
      </c>
      <c r="B240" s="88"/>
      <c r="C240" s="88"/>
      <c r="D240" s="88"/>
      <c r="E240" s="88"/>
      <c r="F240" s="88"/>
      <c r="G240" s="88"/>
      <c r="H240" s="88"/>
      <c r="I240" s="88"/>
      <c r="J240" s="89"/>
    </row>
    <row r="241" spans="1:10" s="3" customFormat="1" x14ac:dyDescent="0.25">
      <c r="A241" s="87" t="s">
        <v>197</v>
      </c>
      <c r="B241" s="88"/>
      <c r="C241" s="88"/>
      <c r="D241" s="88"/>
      <c r="E241" s="88"/>
      <c r="F241" s="88"/>
      <c r="G241" s="88"/>
      <c r="H241" s="88"/>
      <c r="I241" s="88"/>
      <c r="J241" s="89"/>
    </row>
    <row r="242" spans="1:10" s="3" customFormat="1" x14ac:dyDescent="0.25">
      <c r="A242" s="67">
        <v>1</v>
      </c>
      <c r="B242" s="68"/>
      <c r="C242" s="4" t="s">
        <v>198</v>
      </c>
      <c r="D242" s="67">
        <f>(1.525*2.3+3.15*5.15+1.1*2.375+3.3*2.325+3.05*3.05+3.175*3.35+3.05*3.35+1.1*1.375+(1.375*2.3+2.3*1.375+1.375*2.3)+(0.75*(2.325+3.05+3.05+3.15)))*10.764</f>
        <v>859.53231000000005</v>
      </c>
      <c r="E242" s="68"/>
      <c r="F242" s="4">
        <v>0</v>
      </c>
      <c r="G242" s="4">
        <f>D242*1.6+F242</f>
        <v>1375.2516960000003</v>
      </c>
      <c r="H242" s="128" t="str">
        <f>A241</f>
        <v>Stilt Floor For Parking &amp; Residential</v>
      </c>
      <c r="I242" s="122"/>
      <c r="J242" s="123"/>
    </row>
    <row r="243" spans="1:10" s="3" customFormat="1" x14ac:dyDescent="0.25">
      <c r="A243" s="67">
        <v>2</v>
      </c>
      <c r="B243" s="68"/>
      <c r="C243" s="4" t="s">
        <v>199</v>
      </c>
      <c r="D243" s="67">
        <f>(3.05*3.35+3.05*6.35+2.15*2.6+3.05*3.05+0.9*2.15+(1.4*2.55+1.375*2.3)+(0.75*(3.05+3.05+2.15+3.05)))*10.764</f>
        <v>663.27767999999992</v>
      </c>
      <c r="E243" s="68"/>
      <c r="F243" s="4">
        <v>0</v>
      </c>
      <c r="G243" s="4">
        <f t="shared" ref="G243:G244" si="21">D243*1.6+F243</f>
        <v>1061.2442879999999</v>
      </c>
      <c r="H243" s="129"/>
      <c r="I243" s="124"/>
      <c r="J243" s="125"/>
    </row>
    <row r="244" spans="1:10" s="3" customFormat="1" x14ac:dyDescent="0.25">
      <c r="A244" s="67">
        <v>3</v>
      </c>
      <c r="B244" s="68"/>
      <c r="C244" s="4" t="s">
        <v>198</v>
      </c>
      <c r="D244" s="67">
        <f>(1.525*2.3+3.15*5.15+1.1*2.375+3.3*2.325+3.05*3.05+3.175*3.35+3.05*3.35+1.1*1.375+(1.375*2.3+2.3*1.375+1.375*2.3)+(0.75*(2.325+3.05+3.05+3.15)))*10.764</f>
        <v>859.53231000000005</v>
      </c>
      <c r="E244" s="68"/>
      <c r="F244" s="4">
        <v>0</v>
      </c>
      <c r="G244" s="4">
        <f t="shared" si="21"/>
        <v>1375.2516960000003</v>
      </c>
      <c r="H244" s="130"/>
      <c r="I244" s="126"/>
      <c r="J244" s="127"/>
    </row>
    <row r="245" spans="1:10" s="3" customFormat="1" x14ac:dyDescent="0.25">
      <c r="A245" s="87" t="s">
        <v>200</v>
      </c>
      <c r="B245" s="88"/>
      <c r="C245" s="88"/>
      <c r="D245" s="88"/>
      <c r="E245" s="88"/>
      <c r="F245" s="88"/>
      <c r="G245" s="88"/>
      <c r="H245" s="88"/>
      <c r="I245" s="88"/>
      <c r="J245" s="89"/>
    </row>
    <row r="246" spans="1:10" s="3" customFormat="1" x14ac:dyDescent="0.25">
      <c r="A246" s="67">
        <v>1</v>
      </c>
      <c r="B246" s="68"/>
      <c r="C246" s="4" t="s">
        <v>198</v>
      </c>
      <c r="D246" s="67">
        <f>(1.525*2.3+3.15*5.15+1.1*2.375+3.3*2.325+3.05*3.05+3.175*3.35+3.05*3.35+1.1*1.375+(1.375*2.3+2.3*1.375+1.375*2.3)+(0.75*(2.325+3.05+3.05+3.15)))*10.764</f>
        <v>859.53231000000005</v>
      </c>
      <c r="E246" s="68"/>
      <c r="F246" s="4">
        <v>0</v>
      </c>
      <c r="G246" s="4">
        <f>D246*1.6+F246</f>
        <v>1375.2516960000003</v>
      </c>
      <c r="H246" s="128" t="str">
        <f>A245</f>
        <v>1st Floor For Parking &amp; Residential</v>
      </c>
      <c r="I246" s="122" t="s">
        <v>83</v>
      </c>
      <c r="J246" s="123" t="s">
        <v>83</v>
      </c>
    </row>
    <row r="247" spans="1:10" s="3" customFormat="1" x14ac:dyDescent="0.25">
      <c r="A247" s="67">
        <v>2</v>
      </c>
      <c r="B247" s="68"/>
      <c r="C247" s="4" t="s">
        <v>199</v>
      </c>
      <c r="D247" s="67">
        <f>(3.05*3.35+3.05*6.35+2.15*2.6+3.05*3.05+0.9*2.15+(1.4*2.55+1.375*2.3)+(0.75*(3.05+3.05+2.15+3.05)))*10.764</f>
        <v>663.27767999999992</v>
      </c>
      <c r="E247" s="68"/>
      <c r="F247" s="4">
        <v>0</v>
      </c>
      <c r="G247" s="4">
        <f t="shared" ref="G247:G248" si="22">D247*1.6+F247</f>
        <v>1061.2442879999999</v>
      </c>
      <c r="H247" s="129" t="s">
        <v>83</v>
      </c>
      <c r="I247" s="124" t="s">
        <v>83</v>
      </c>
      <c r="J247" s="125" t="s">
        <v>83</v>
      </c>
    </row>
    <row r="248" spans="1:10" s="3" customFormat="1" x14ac:dyDescent="0.25">
      <c r="A248" s="67">
        <v>3</v>
      </c>
      <c r="B248" s="68"/>
      <c r="C248" s="4" t="s">
        <v>198</v>
      </c>
      <c r="D248" s="67">
        <f>(1.525*2.3+3.15*5.15+1.1*2.375+3.3*2.325+3.05*3.05+3.175*3.35+3.05*3.35+1.1*1.375+(1.375*2.3+2.3*1.375+1.375*2.3)+(0.75*(2.325+3.05+3.05+3.15)))*10.764</f>
        <v>859.53231000000005</v>
      </c>
      <c r="E248" s="68"/>
      <c r="F248" s="4">
        <v>0</v>
      </c>
      <c r="G248" s="4">
        <f t="shared" si="22"/>
        <v>1375.2516960000003</v>
      </c>
      <c r="H248" s="130" t="s">
        <v>83</v>
      </c>
      <c r="I248" s="126" t="s">
        <v>83</v>
      </c>
      <c r="J248" s="127" t="s">
        <v>83</v>
      </c>
    </row>
    <row r="249" spans="1:10" s="3" customFormat="1" x14ac:dyDescent="0.25">
      <c r="A249" s="87" t="s">
        <v>203</v>
      </c>
      <c r="B249" s="88"/>
      <c r="C249" s="88"/>
      <c r="D249" s="88"/>
      <c r="E249" s="88"/>
      <c r="F249" s="88"/>
      <c r="G249" s="88"/>
      <c r="H249" s="88"/>
      <c r="I249" s="88"/>
      <c r="J249" s="89"/>
    </row>
    <row r="250" spans="1:10" s="3" customFormat="1" ht="15.75" customHeight="1" x14ac:dyDescent="0.25">
      <c r="A250" s="67">
        <v>1</v>
      </c>
      <c r="B250" s="68"/>
      <c r="C250" s="4" t="s">
        <v>198</v>
      </c>
      <c r="D250" s="67">
        <f>(1.525*2.3+3.15*5.15+1.1*2.375+3.3*2.325+3.05*3.05+3.175*3.35+3.05*3.35+1.1*1.375+(1.375*2.3+2.3*1.375+1.375*2.3)+(0.75*(2.325+3.05+3.05+3.15)))*10.764</f>
        <v>859.53231000000005</v>
      </c>
      <c r="E250" s="68"/>
      <c r="F250" s="4">
        <v>0</v>
      </c>
      <c r="G250" s="4">
        <f>D250*1.6+F250</f>
        <v>1375.2516960000003</v>
      </c>
      <c r="H250" s="128" t="str">
        <f>A249</f>
        <v xml:space="preserve">2nd, 4th To 6th, 8th To 11th, 13th, 14th Floor </v>
      </c>
      <c r="I250" s="122"/>
      <c r="J250" s="123"/>
    </row>
    <row r="251" spans="1:10" s="3" customFormat="1" x14ac:dyDescent="0.25">
      <c r="A251" s="67">
        <v>2</v>
      </c>
      <c r="B251" s="68"/>
      <c r="C251" s="4" t="s">
        <v>199</v>
      </c>
      <c r="D251" s="67">
        <f>(3.05*3.35+3.05*6.35+2.15*2.6+3.05*3.05+0.9*2.15+(1.4*2.55+1.375*2.3)+(0.75*(3.05+3.05+2.15+3.05)))*10.764</f>
        <v>663.27767999999992</v>
      </c>
      <c r="E251" s="68"/>
      <c r="F251" s="4">
        <v>0</v>
      </c>
      <c r="G251" s="4">
        <f t="shared" ref="G251:G255" si="23">D251*1.6+F251</f>
        <v>1061.2442879999999</v>
      </c>
      <c r="H251" s="129"/>
      <c r="I251" s="124"/>
      <c r="J251" s="125"/>
    </row>
    <row r="252" spans="1:10" s="3" customFormat="1" ht="15.75" customHeight="1" x14ac:dyDescent="0.25">
      <c r="A252" s="67">
        <v>3</v>
      </c>
      <c r="B252" s="68"/>
      <c r="C252" s="4" t="s">
        <v>198</v>
      </c>
      <c r="D252" s="67">
        <f>(1.525*2.3+3.15*5.15+1.1*2.375+3.3*2.325+3.05*3.05+3.175*3.35+3.05*3.35+1.1*1.375+(1.375*2.3+2.3*1.375+1.375*2.3)+(0.75*(2.325+3.05+3.05+3.15)))*10.764</f>
        <v>859.53231000000005</v>
      </c>
      <c r="E252" s="68"/>
      <c r="F252" s="4">
        <v>0</v>
      </c>
      <c r="G252" s="4">
        <f t="shared" si="23"/>
        <v>1375.2516960000003</v>
      </c>
      <c r="H252" s="129"/>
      <c r="I252" s="124"/>
      <c r="J252" s="125"/>
    </row>
    <row r="253" spans="1:10" s="3" customFormat="1" ht="15.75" customHeight="1" x14ac:dyDescent="0.25">
      <c r="A253" s="67" t="s">
        <v>271</v>
      </c>
      <c r="B253" s="68"/>
      <c r="C253" s="4" t="s">
        <v>205</v>
      </c>
      <c r="D253" s="67">
        <f>(0.85*1.125+2.15*3.35+3.05*4.625+1.405*1+3.05*3.35+((1.375*2.3)*2)+(0.75*(3.05+2.15)))*10.764</f>
        <v>474.82695000000001</v>
      </c>
      <c r="E253" s="68"/>
      <c r="F253" s="4">
        <v>0</v>
      </c>
      <c r="G253" s="4">
        <f t="shared" si="23"/>
        <v>759.72312000000011</v>
      </c>
      <c r="H253" s="129"/>
      <c r="I253" s="124"/>
      <c r="J253" s="125"/>
    </row>
    <row r="254" spans="1:10" s="3" customFormat="1" ht="15.75" customHeight="1" x14ac:dyDescent="0.25">
      <c r="A254" s="67" t="s">
        <v>272</v>
      </c>
      <c r="B254" s="68"/>
      <c r="C254" s="4" t="s">
        <v>199</v>
      </c>
      <c r="D254" s="67">
        <f>(3.05*3.65+2.3*2.65+2.9*2.925+2.45*2.925+1*2.3+(2.3*1.525+1.65*1.525)++(0.75*(2.9+3.05+2.3))+1.475*2.4)*10.764</f>
        <v>548.18360999999993</v>
      </c>
      <c r="E254" s="68"/>
      <c r="F254" s="4">
        <v>0</v>
      </c>
      <c r="G254" s="4">
        <f t="shared" si="23"/>
        <v>877.09377599999993</v>
      </c>
      <c r="H254" s="129"/>
      <c r="I254" s="124"/>
      <c r="J254" s="125"/>
    </row>
    <row r="255" spans="1:10" s="3" customFormat="1" ht="15.75" customHeight="1" x14ac:dyDescent="0.25">
      <c r="A255" s="67" t="s">
        <v>273</v>
      </c>
      <c r="B255" s="68"/>
      <c r="C255" s="4" t="s">
        <v>205</v>
      </c>
      <c r="D255" s="67">
        <f>(0.85*1.125+2.15*3.35+3.05*4.625+1.405*1+3.05*3.35+((1.375*2.3)*2)+(0.75*(3.05+2.15)))*10.764</f>
        <v>474.82695000000001</v>
      </c>
      <c r="E255" s="68"/>
      <c r="F255" s="4">
        <v>0</v>
      </c>
      <c r="G255" s="4">
        <f t="shared" si="23"/>
        <v>759.72312000000011</v>
      </c>
      <c r="H255" s="130"/>
      <c r="I255" s="126"/>
      <c r="J255" s="127"/>
    </row>
    <row r="256" spans="1:10" s="3" customFormat="1" x14ac:dyDescent="0.25">
      <c r="A256" s="87" t="s">
        <v>204</v>
      </c>
      <c r="B256" s="88"/>
      <c r="C256" s="88"/>
      <c r="D256" s="88"/>
      <c r="E256" s="88"/>
      <c r="F256" s="88"/>
      <c r="G256" s="88"/>
      <c r="H256" s="88"/>
      <c r="I256" s="88"/>
      <c r="J256" s="89"/>
    </row>
    <row r="257" spans="1:10" s="3" customFormat="1" ht="15.75" customHeight="1" x14ac:dyDescent="0.25">
      <c r="A257" s="67">
        <v>1</v>
      </c>
      <c r="B257" s="68"/>
      <c r="C257" s="4" t="s">
        <v>198</v>
      </c>
      <c r="D257" s="67">
        <f>(1.525*2.3+3.15*5.15+1.1*2.375+3.3*2.325+3.05*3.05+3.175*3.35+3.05*3.35+1.1*1.375+(1.375*2.3+2.3*1.375+1.375*2.3)+(0.75*(2.325+3.05+3.05+3.15)))*10.764</f>
        <v>859.53231000000005</v>
      </c>
      <c r="E257" s="68"/>
      <c r="F257" s="4">
        <v>0</v>
      </c>
      <c r="G257" s="4">
        <f>D257*1.6+F257</f>
        <v>1375.2516960000003</v>
      </c>
      <c r="H257" s="122" t="str">
        <f>A256</f>
        <v xml:space="preserve">3rd, 7th &amp; 12th Floor </v>
      </c>
      <c r="I257" s="122"/>
      <c r="J257" s="123"/>
    </row>
    <row r="258" spans="1:10" s="3" customFormat="1" x14ac:dyDescent="0.25">
      <c r="A258" s="67">
        <v>2</v>
      </c>
      <c r="B258" s="68"/>
      <c r="C258" s="4" t="s">
        <v>199</v>
      </c>
      <c r="D258" s="67">
        <f>(3.05*3.35+3.05*6.35+2.15*2.6+3.05*3.05+0.9*2.15+(1.4*2.55+1.375*2.3)+(0.75*(3.05+3.05+2.15+3.05)))*10.764</f>
        <v>663.27767999999992</v>
      </c>
      <c r="E258" s="68"/>
      <c r="F258" s="4">
        <v>0</v>
      </c>
      <c r="G258" s="4">
        <f t="shared" ref="G258:G262" si="24">D258*1.6+F258</f>
        <v>1061.2442879999999</v>
      </c>
      <c r="H258" s="124"/>
      <c r="I258" s="124"/>
      <c r="J258" s="125"/>
    </row>
    <row r="259" spans="1:10" s="3" customFormat="1" ht="15.75" customHeight="1" x14ac:dyDescent="0.25">
      <c r="A259" s="67">
        <v>3</v>
      </c>
      <c r="B259" s="68"/>
      <c r="C259" s="4" t="s">
        <v>198</v>
      </c>
      <c r="D259" s="67">
        <f>(1.525*2.3+3.15*5.15+1.1*2.375+3.3*2.325+3.05*3.05+3.175*3.35+3.05*3.35+1.1*1.375+(1.375*2.3+2.3*1.375+1.375*2.3)+(0.75*(2.325+3.05+3.05+3.15)))*10.764</f>
        <v>859.53231000000005</v>
      </c>
      <c r="E259" s="68"/>
      <c r="F259" s="4">
        <v>0</v>
      </c>
      <c r="G259" s="4">
        <f t="shared" si="24"/>
        <v>1375.2516960000003</v>
      </c>
      <c r="H259" s="124"/>
      <c r="I259" s="124"/>
      <c r="J259" s="125"/>
    </row>
    <row r="260" spans="1:10" s="3" customFormat="1" ht="15.75" customHeight="1" x14ac:dyDescent="0.25">
      <c r="A260" s="67" t="s">
        <v>271</v>
      </c>
      <c r="B260" s="68"/>
      <c r="C260" s="4" t="s">
        <v>205</v>
      </c>
      <c r="D260" s="67">
        <f>(0.85*1.125+2.15*3.35+3.05*4.625+1.405*1+3.05*3.35+((1.375*2.3)*2)+(0.75*(3.05+2.15)))*10.764</f>
        <v>474.82695000000001</v>
      </c>
      <c r="E260" s="68"/>
      <c r="F260" s="4">
        <v>0</v>
      </c>
      <c r="G260" s="4">
        <f t="shared" si="24"/>
        <v>759.72312000000011</v>
      </c>
      <c r="H260" s="124"/>
      <c r="I260" s="124"/>
      <c r="J260" s="125"/>
    </row>
    <row r="261" spans="1:10" s="3" customFormat="1" ht="15.75" customHeight="1" x14ac:dyDescent="0.25">
      <c r="A261" s="67">
        <v>5</v>
      </c>
      <c r="B261" s="68"/>
      <c r="C261" s="67" t="s">
        <v>202</v>
      </c>
      <c r="D261" s="121"/>
      <c r="E261" s="121"/>
      <c r="F261" s="121"/>
      <c r="G261" s="68"/>
      <c r="H261" s="124"/>
      <c r="I261" s="124"/>
      <c r="J261" s="125"/>
    </row>
    <row r="262" spans="1:10" s="3" customFormat="1" ht="15.75" customHeight="1" x14ac:dyDescent="0.25">
      <c r="A262" s="67" t="s">
        <v>273</v>
      </c>
      <c r="B262" s="68"/>
      <c r="C262" s="4" t="s">
        <v>205</v>
      </c>
      <c r="D262" s="67">
        <f>(0.85*1.125+2.15*3.35+3.05*4.625+1.405*1+3.05*3.35+((1.375*2.3)*2)+(0.75*(3.05+2.15)))*10.764</f>
        <v>474.82695000000001</v>
      </c>
      <c r="E262" s="68"/>
      <c r="F262" s="4">
        <v>0</v>
      </c>
      <c r="G262" s="4">
        <f t="shared" si="24"/>
        <v>759.72312000000011</v>
      </c>
      <c r="H262" s="126"/>
      <c r="I262" s="126"/>
      <c r="J262" s="127"/>
    </row>
    <row r="263" spans="1:10" s="3" customFormat="1" x14ac:dyDescent="0.25">
      <c r="A263" s="87" t="s">
        <v>206</v>
      </c>
      <c r="B263" s="88"/>
      <c r="C263" s="88"/>
      <c r="D263" s="88"/>
      <c r="E263" s="88"/>
      <c r="F263" s="88"/>
      <c r="G263" s="88"/>
      <c r="H263" s="88"/>
      <c r="I263" s="88"/>
      <c r="J263" s="89"/>
    </row>
    <row r="264" spans="1:10" s="3" customFormat="1" x14ac:dyDescent="0.25">
      <c r="A264" s="67">
        <v>1</v>
      </c>
      <c r="B264" s="68"/>
      <c r="C264" s="4" t="s">
        <v>198</v>
      </c>
      <c r="D264" s="67">
        <f>(1.525*2.3+3.15*5.15+1.1*2.375+3.3*2.325+3.05*3.05+3.175*3.35+3.05*3.35+1.1*1.375+(1.375*2.3+2.3*1.375+1.375*2.3)+(0.75*(2.325+3.05+3.05+3.15)))*10.764</f>
        <v>859.53231000000005</v>
      </c>
      <c r="E264" s="68"/>
      <c r="F264" s="4">
        <v>0</v>
      </c>
      <c r="G264" s="4">
        <f>D264*1.6+F264</f>
        <v>1375.2516960000003</v>
      </c>
      <c r="H264" s="128" t="str">
        <f>A263</f>
        <v xml:space="preserve">15th Floor </v>
      </c>
      <c r="I264" s="122"/>
      <c r="J264" s="123"/>
    </row>
    <row r="265" spans="1:10" s="3" customFormat="1" x14ac:dyDescent="0.25">
      <c r="A265" s="67">
        <v>2</v>
      </c>
      <c r="B265" s="68"/>
      <c r="C265" s="4" t="s">
        <v>199</v>
      </c>
      <c r="D265" s="67">
        <f>(3.05*3.35+3.05*6.35+2.15*2.6+3.05*3.05+0.9*2.15+(1.4*2.55+1.375*2.3)+(0.75*(3.05+3.05+2.15+3.05)))*10.764</f>
        <v>663.27767999999992</v>
      </c>
      <c r="E265" s="68"/>
      <c r="F265" s="4">
        <v>0</v>
      </c>
      <c r="G265" s="4">
        <f t="shared" ref="G265:G269" si="25">D265*1.6+F265</f>
        <v>1061.2442879999999</v>
      </c>
      <c r="H265" s="129"/>
      <c r="I265" s="124"/>
      <c r="J265" s="125"/>
    </row>
    <row r="266" spans="1:10" s="3" customFormat="1" x14ac:dyDescent="0.25">
      <c r="A266" s="67">
        <v>3</v>
      </c>
      <c r="B266" s="68"/>
      <c r="C266" s="4" t="s">
        <v>198</v>
      </c>
      <c r="D266" s="67">
        <f>(1.525*2.3+3.15*5.15+1.1*2.375+3.3*2.325+3.05*3.05+3.175*3.35+3.05*3.35+1.1*1.375+(1.375*2.3+2.3*1.375+1.375*2.3)+(0.75*(2.325+3.05+3.05+3.15)))*10.764</f>
        <v>859.53231000000005</v>
      </c>
      <c r="E266" s="68"/>
      <c r="F266" s="4">
        <v>0</v>
      </c>
      <c r="G266" s="4">
        <f t="shared" si="25"/>
        <v>1375.2516960000003</v>
      </c>
      <c r="H266" s="129"/>
      <c r="I266" s="124"/>
      <c r="J266" s="125"/>
    </row>
    <row r="267" spans="1:10" s="3" customFormat="1" x14ac:dyDescent="0.25">
      <c r="A267" s="67" t="s">
        <v>271</v>
      </c>
      <c r="B267" s="68"/>
      <c r="C267" s="4" t="s">
        <v>205</v>
      </c>
      <c r="D267" s="67">
        <f>(0.85*1.125+2.15*3.35+3.05*4.625+1.405*1+3.05*3.35+((1.375*2.3)*2)+(0.75*(3.05+2.15)))*10.764</f>
        <v>474.82695000000001</v>
      </c>
      <c r="E267" s="68"/>
      <c r="F267" s="4">
        <v>0</v>
      </c>
      <c r="G267" s="4">
        <f t="shared" si="25"/>
        <v>759.72312000000011</v>
      </c>
      <c r="H267" s="129"/>
      <c r="I267" s="124"/>
      <c r="J267" s="125"/>
    </row>
    <row r="268" spans="1:10" s="3" customFormat="1" x14ac:dyDescent="0.25">
      <c r="A268" s="67">
        <v>5</v>
      </c>
      <c r="B268" s="68"/>
      <c r="C268" s="4" t="s">
        <v>199</v>
      </c>
      <c r="D268" s="67">
        <f>(3.05*3.65+2.3*2.65+2.9*2.925+2.45*2.925+1*2.3+(2.3*1.525+1.65*1.525)++(0.75*(2.9+3.05+2.3))+1.475*2.4)*10.764</f>
        <v>548.18360999999993</v>
      </c>
      <c r="E268" s="68"/>
      <c r="F268" s="4">
        <v>0</v>
      </c>
      <c r="G268" s="4">
        <f t="shared" si="25"/>
        <v>877.09377599999993</v>
      </c>
      <c r="H268" s="129"/>
      <c r="I268" s="124"/>
      <c r="J268" s="125"/>
    </row>
    <row r="269" spans="1:10" s="3" customFormat="1" x14ac:dyDescent="0.25">
      <c r="A269" s="67">
        <v>6</v>
      </c>
      <c r="B269" s="68"/>
      <c r="C269" s="4" t="s">
        <v>205</v>
      </c>
      <c r="D269" s="67">
        <f>(0.85*1.125+2.15*3.35+3.05*4.625+1.405*1+3.05*3.35+((1.375*2.3)*2)+(0.75*(3.05+2.15)))*10.764</f>
        <v>474.82695000000001</v>
      </c>
      <c r="E269" s="68"/>
      <c r="F269" s="4">
        <v>0</v>
      </c>
      <c r="G269" s="4">
        <f t="shared" si="25"/>
        <v>759.72312000000011</v>
      </c>
      <c r="H269" s="130"/>
      <c r="I269" s="126"/>
      <c r="J269" s="127"/>
    </row>
    <row r="270" spans="1:10" s="3" customFormat="1" x14ac:dyDescent="0.25">
      <c r="A270" s="87" t="s">
        <v>207</v>
      </c>
      <c r="B270" s="88"/>
      <c r="C270" s="88"/>
      <c r="D270" s="88"/>
      <c r="E270" s="88"/>
      <c r="F270" s="88"/>
      <c r="G270" s="88"/>
      <c r="H270" s="88"/>
      <c r="I270" s="88"/>
      <c r="J270" s="89"/>
    </row>
    <row r="271" spans="1:10" s="3" customFormat="1" ht="15.75" customHeight="1" x14ac:dyDescent="0.25">
      <c r="A271" s="67">
        <v>1</v>
      </c>
      <c r="B271" s="68"/>
      <c r="C271" s="4" t="s">
        <v>198</v>
      </c>
      <c r="D271" s="67">
        <f>(1.525*2.3+3.15*5.15+1.1*2.375+3.3*2.325+3.05*3.05+3.175*3.35+3.05*3.35+1.1*1.375+(1.375*2.3+2.3*1.375+1.375*2.3)+(0.75*(2.325+3.05+3.05+3.15)))*10.764</f>
        <v>859.53231000000005</v>
      </c>
      <c r="E271" s="68"/>
      <c r="F271" s="4">
        <v>0</v>
      </c>
      <c r="G271" s="4">
        <f>D271*1.6+F271</f>
        <v>1375.2516960000003</v>
      </c>
      <c r="H271" s="128" t="str">
        <f>A270</f>
        <v xml:space="preserve">16th, 18th &amp; 19th Floor </v>
      </c>
      <c r="I271" s="122"/>
      <c r="J271" s="123"/>
    </row>
    <row r="272" spans="1:10" s="3" customFormat="1" x14ac:dyDescent="0.25">
      <c r="A272" s="67">
        <v>2</v>
      </c>
      <c r="B272" s="68"/>
      <c r="C272" s="4" t="s">
        <v>199</v>
      </c>
      <c r="D272" s="67">
        <f>(3.05*3.35+3.05*6.35+2.15*2.6+3.05*3.05+0.9*2.15+(1.4*2.55+1.375*2.3)+(0.75*(3.05+3.05+2.15+3.05)))*10.764</f>
        <v>663.27767999999992</v>
      </c>
      <c r="E272" s="68"/>
      <c r="F272" s="4">
        <v>0</v>
      </c>
      <c r="G272" s="4">
        <f t="shared" ref="G272:G276" si="26">D272*1.6+F272</f>
        <v>1061.2442879999999</v>
      </c>
      <c r="H272" s="129"/>
      <c r="I272" s="124"/>
      <c r="J272" s="125"/>
    </row>
    <row r="273" spans="1:10" s="3" customFormat="1" ht="15.75" customHeight="1" x14ac:dyDescent="0.25">
      <c r="A273" s="67">
        <v>3</v>
      </c>
      <c r="B273" s="68"/>
      <c r="C273" s="4" t="s">
        <v>198</v>
      </c>
      <c r="D273" s="67">
        <f>(1.525*2.3+3.15*5.15+1.1*2.375+3.3*2.325+3.05*3.05+3.175*3.35+3.05*3.35+1.1*1.375+(1.375*2.3+2.3*1.375+1.375*2.3)+(0.75*(2.325+3.05+3.05+3.15)))*10.764</f>
        <v>859.53231000000005</v>
      </c>
      <c r="E273" s="68"/>
      <c r="F273" s="4">
        <v>0</v>
      </c>
      <c r="G273" s="4">
        <f t="shared" si="26"/>
        <v>1375.2516960000003</v>
      </c>
      <c r="H273" s="129"/>
      <c r="I273" s="124"/>
      <c r="J273" s="125"/>
    </row>
    <row r="274" spans="1:10" s="3" customFormat="1" ht="15.75" customHeight="1" x14ac:dyDescent="0.25">
      <c r="A274" s="67">
        <v>4</v>
      </c>
      <c r="B274" s="68"/>
      <c r="C274" s="4" t="s">
        <v>205</v>
      </c>
      <c r="D274" s="67">
        <f>(0.85*1.125+2.15*3.35+3.05*4.625+1.405*1+3.05*3.35+((1.375*2.3)*2)+(0.75*(3.05+2.15)))*10.764</f>
        <v>474.82695000000001</v>
      </c>
      <c r="E274" s="68"/>
      <c r="F274" s="4">
        <v>0</v>
      </c>
      <c r="G274" s="4">
        <f t="shared" si="26"/>
        <v>759.72312000000011</v>
      </c>
      <c r="H274" s="129"/>
      <c r="I274" s="124"/>
      <c r="J274" s="125"/>
    </row>
    <row r="275" spans="1:10" s="3" customFormat="1" ht="15.75" customHeight="1" x14ac:dyDescent="0.25">
      <c r="A275" s="67">
        <v>5</v>
      </c>
      <c r="B275" s="68"/>
      <c r="C275" s="4" t="s">
        <v>199</v>
      </c>
      <c r="D275" s="67">
        <f>(3.05*3.65+2.3*2.65+2.9*2.925+2.45*2.925+1*2.3+(2.3*1.525+1.65*1.525)++(0.75*(2.9+3.05+2.3))+1.475*2.4)*10.764</f>
        <v>548.18360999999993</v>
      </c>
      <c r="E275" s="68"/>
      <c r="F275" s="4">
        <v>0</v>
      </c>
      <c r="G275" s="4">
        <f t="shared" si="26"/>
        <v>877.09377599999993</v>
      </c>
      <c r="H275" s="129"/>
      <c r="I275" s="124"/>
      <c r="J275" s="125"/>
    </row>
    <row r="276" spans="1:10" s="3" customFormat="1" ht="15.75" customHeight="1" x14ac:dyDescent="0.25">
      <c r="A276" s="67">
        <v>6</v>
      </c>
      <c r="B276" s="68"/>
      <c r="C276" s="4" t="s">
        <v>205</v>
      </c>
      <c r="D276" s="67">
        <f>(0.85*1.125+2.15*3.35+3.05*4.625+1.405*1+3.05*3.35+((1.375*2.3)*2)+(0.75*(3.05+2.15)))*10.764</f>
        <v>474.82695000000001</v>
      </c>
      <c r="E276" s="68"/>
      <c r="F276" s="4">
        <v>0</v>
      </c>
      <c r="G276" s="4">
        <f t="shared" si="26"/>
        <v>759.72312000000011</v>
      </c>
      <c r="H276" s="130"/>
      <c r="I276" s="126"/>
      <c r="J276" s="127"/>
    </row>
    <row r="277" spans="1:10" s="3" customFormat="1" x14ac:dyDescent="0.25">
      <c r="A277" s="87" t="s">
        <v>208</v>
      </c>
      <c r="B277" s="88"/>
      <c r="C277" s="88"/>
      <c r="D277" s="88"/>
      <c r="E277" s="88"/>
      <c r="F277" s="88"/>
      <c r="G277" s="88"/>
      <c r="H277" s="88"/>
      <c r="I277" s="88"/>
      <c r="J277" s="89"/>
    </row>
    <row r="278" spans="1:10" s="3" customFormat="1" x14ac:dyDescent="0.25">
      <c r="A278" s="67">
        <v>1</v>
      </c>
      <c r="B278" s="68"/>
      <c r="C278" s="4" t="s">
        <v>198</v>
      </c>
      <c r="D278" s="67">
        <f>(1.525*2.3+3.15*5.15+1.1*2.375+3.3*2.325+3.05*3.05+3.175*3.35+3.05*3.35+1.1*1.375+(1.375*2.3+2.3*1.375+1.375*2.3)+(0.75*(2.325+3.05+3.05+3.15)))*10.764</f>
        <v>859.53231000000005</v>
      </c>
      <c r="E278" s="68"/>
      <c r="F278" s="4">
        <v>0</v>
      </c>
      <c r="G278" s="4">
        <f>D278*1.6+F278</f>
        <v>1375.2516960000003</v>
      </c>
      <c r="H278" s="122" t="str">
        <f>A277</f>
        <v xml:space="preserve">17th Floor </v>
      </c>
      <c r="I278" s="122"/>
      <c r="J278" s="123"/>
    </row>
    <row r="279" spans="1:10" s="3" customFormat="1" x14ac:dyDescent="0.25">
      <c r="A279" s="67">
        <v>2</v>
      </c>
      <c r="B279" s="68"/>
      <c r="C279" s="4" t="s">
        <v>199</v>
      </c>
      <c r="D279" s="67">
        <f>(3.05*3.35+3.05*6.35+2.15*2.6+3.05*3.05+0.9*2.15+(1.4*2.55+1.375*2.3)+(0.75*(3.05+3.05+2.15+3.05)))*10.764</f>
        <v>663.27767999999992</v>
      </c>
      <c r="E279" s="68"/>
      <c r="F279" s="4">
        <v>0</v>
      </c>
      <c r="G279" s="4">
        <f t="shared" ref="G279:G283" si="27">D279*1.6+F279</f>
        <v>1061.2442879999999</v>
      </c>
      <c r="H279" s="124"/>
      <c r="I279" s="124"/>
      <c r="J279" s="125"/>
    </row>
    <row r="280" spans="1:10" s="3" customFormat="1" x14ac:dyDescent="0.25">
      <c r="A280" s="67">
        <v>3</v>
      </c>
      <c r="B280" s="68"/>
      <c r="C280" s="4" t="s">
        <v>198</v>
      </c>
      <c r="D280" s="67">
        <f>(1.525*2.3+3.15*5.15+1.1*2.375+3.3*2.325+3.05*3.05+3.175*3.35+3.05*3.35+1.1*1.375+(1.375*2.3+2.3*1.375+1.375*2.3)+(0.75*(2.325+3.05+3.05+3.15)))*10.764</f>
        <v>859.53231000000005</v>
      </c>
      <c r="E280" s="68"/>
      <c r="F280" s="4">
        <v>0</v>
      </c>
      <c r="G280" s="4">
        <f t="shared" si="27"/>
        <v>1375.2516960000003</v>
      </c>
      <c r="H280" s="124"/>
      <c r="I280" s="124"/>
      <c r="J280" s="125"/>
    </row>
    <row r="281" spans="1:10" s="3" customFormat="1" x14ac:dyDescent="0.25">
      <c r="A281" s="67">
        <v>4</v>
      </c>
      <c r="B281" s="68"/>
      <c r="C281" s="4" t="s">
        <v>205</v>
      </c>
      <c r="D281" s="67">
        <f>(0.85*1.125+2.15*3.35+3.05*4.625+1.405*1+3.05*3.35+((1.375*2.3)*2)+(0.75*(3.05+2.15)))*10.764</f>
        <v>474.82695000000001</v>
      </c>
      <c r="E281" s="68"/>
      <c r="F281" s="4">
        <v>0</v>
      </c>
      <c r="G281" s="4">
        <f t="shared" si="27"/>
        <v>759.72312000000011</v>
      </c>
      <c r="H281" s="124"/>
      <c r="I281" s="124"/>
      <c r="J281" s="125"/>
    </row>
    <row r="282" spans="1:10" s="3" customFormat="1" x14ac:dyDescent="0.25">
      <c r="A282" s="67">
        <v>5</v>
      </c>
      <c r="B282" s="68"/>
      <c r="C282" s="67" t="s">
        <v>202</v>
      </c>
      <c r="D282" s="121"/>
      <c r="E282" s="121"/>
      <c r="F282" s="121"/>
      <c r="G282" s="68"/>
      <c r="H282" s="124"/>
      <c r="I282" s="124"/>
      <c r="J282" s="125"/>
    </row>
    <row r="283" spans="1:10" s="3" customFormat="1" x14ac:dyDescent="0.25">
      <c r="A283" s="67">
        <v>6</v>
      </c>
      <c r="B283" s="68"/>
      <c r="C283" s="4" t="s">
        <v>205</v>
      </c>
      <c r="D283" s="67">
        <f>(0.85*1.125+2.15*3.35+3.05*4.625+1.405*1+3.05*3.35+((1.375*2.3)*2)+(0.75*(3.05+2.15)))*10.764</f>
        <v>474.82695000000001</v>
      </c>
      <c r="E283" s="68"/>
      <c r="F283" s="4">
        <v>0</v>
      </c>
      <c r="G283" s="4">
        <f t="shared" si="27"/>
        <v>759.72312000000011</v>
      </c>
      <c r="H283" s="126"/>
      <c r="I283" s="126"/>
      <c r="J283" s="127"/>
    </row>
    <row r="284" spans="1:10" s="3" customFormat="1" x14ac:dyDescent="0.25">
      <c r="A284" s="87" t="s">
        <v>209</v>
      </c>
      <c r="B284" s="88"/>
      <c r="C284" s="88"/>
      <c r="D284" s="88"/>
      <c r="E284" s="88"/>
      <c r="F284" s="88"/>
      <c r="G284" s="88"/>
      <c r="H284" s="88"/>
      <c r="I284" s="88"/>
      <c r="J284" s="89"/>
    </row>
    <row r="285" spans="1:10" s="3" customFormat="1" ht="15.75" customHeight="1" x14ac:dyDescent="0.25">
      <c r="A285" s="67">
        <v>1</v>
      </c>
      <c r="B285" s="68"/>
      <c r="C285" s="4" t="s">
        <v>198</v>
      </c>
      <c r="D285" s="67">
        <f>(1.525*2.3+3.15*5.15+1.1*2.375+3.3*2.325+3.05*3.05+3.175*3.35+3.05*3.35+1.1*1.375+(1.375*2.3+2.3*1.375+1.375*2.3)+(0.75*(2.325+3.05+3.05+3.15)))*10.764</f>
        <v>859.53231000000005</v>
      </c>
      <c r="E285" s="68"/>
      <c r="F285" s="4">
        <v>0</v>
      </c>
      <c r="G285" s="4">
        <f>D285*1.6+F285</f>
        <v>1375.2516960000003</v>
      </c>
      <c r="H285" s="128" t="str">
        <f>A284</f>
        <v>20th, 21st, 23rd To 26th, 28th To 31st Floor</v>
      </c>
      <c r="I285" s="122"/>
      <c r="J285" s="123"/>
    </row>
    <row r="286" spans="1:10" s="3" customFormat="1" x14ac:dyDescent="0.25">
      <c r="A286" s="67">
        <v>2</v>
      </c>
      <c r="B286" s="68"/>
      <c r="C286" s="4" t="s">
        <v>199</v>
      </c>
      <c r="D286" s="67">
        <f>(3.05*3.35+3.05*6.35+2.15*2.6+3.05*3.05+0.9*2.15+(1.4*2.55+1.375*2.3)+(0.75*(3.05+3.05+2.15+3.05)))*10.764</f>
        <v>663.27767999999992</v>
      </c>
      <c r="E286" s="68"/>
      <c r="F286" s="4">
        <v>0</v>
      </c>
      <c r="G286" s="4">
        <f t="shared" ref="G286:G290" si="28">D286*1.6+F286</f>
        <v>1061.2442879999999</v>
      </c>
      <c r="H286" s="129"/>
      <c r="I286" s="124"/>
      <c r="J286" s="125"/>
    </row>
    <row r="287" spans="1:10" s="3" customFormat="1" ht="15.75" customHeight="1" x14ac:dyDescent="0.25">
      <c r="A287" s="67">
        <v>3</v>
      </c>
      <c r="B287" s="68"/>
      <c r="C287" s="4" t="s">
        <v>198</v>
      </c>
      <c r="D287" s="67">
        <f>(1.525*2.3+3.15*5.15+1.1*2.375+3.3*2.325+3.05*3.05+3.175*3.35+3.05*3.35+1.1*1.375+(1.375*2.3+2.3*1.375+1.375*2.3)+(0.75*(2.325+3.05+3.05+3.15)))*10.764</f>
        <v>859.53231000000005</v>
      </c>
      <c r="E287" s="68"/>
      <c r="F287" s="4">
        <v>0</v>
      </c>
      <c r="G287" s="4">
        <f t="shared" si="28"/>
        <v>1375.2516960000003</v>
      </c>
      <c r="H287" s="129"/>
      <c r="I287" s="124"/>
      <c r="J287" s="125"/>
    </row>
    <row r="288" spans="1:10" s="3" customFormat="1" ht="15.75" customHeight="1" x14ac:dyDescent="0.25">
      <c r="A288" s="67">
        <v>4</v>
      </c>
      <c r="B288" s="68"/>
      <c r="C288" s="4" t="s">
        <v>199</v>
      </c>
      <c r="D288" s="67">
        <f>(2.3*1.125+2.15*3.35+3.05*4.625+1.405*1+3.05*3.35+3.05*3.05+0.6*3.05+((1.375*2.3)*2)+(0.75*(3.05+2.15)))*10.764</f>
        <v>612.21595499999989</v>
      </c>
      <c r="E288" s="68"/>
      <c r="F288" s="4">
        <v>0</v>
      </c>
      <c r="G288" s="4">
        <f t="shared" si="28"/>
        <v>979.54552799999988</v>
      </c>
      <c r="H288" s="129"/>
      <c r="I288" s="124"/>
      <c r="J288" s="125"/>
    </row>
    <row r="289" spans="1:10" s="3" customFormat="1" ht="15.75" customHeight="1" x14ac:dyDescent="0.25">
      <c r="A289" s="67">
        <v>5</v>
      </c>
      <c r="B289" s="68"/>
      <c r="C289" s="4" t="s">
        <v>198</v>
      </c>
      <c r="D289" s="67">
        <f>(2.3*3+3.05*3.65+2.3*2.65+2.9*3.25+2.45*2.6+2.9*3.25+1*2.3+1*2.45+(2*(2.3*1.525))+(0.75*(2.45+3.05+2.3)))*10.764</f>
        <v>720.7843499999999</v>
      </c>
      <c r="E289" s="68"/>
      <c r="F289" s="4">
        <v>0</v>
      </c>
      <c r="G289" s="4">
        <f t="shared" si="28"/>
        <v>1153.25496</v>
      </c>
      <c r="H289" s="129"/>
      <c r="I289" s="124"/>
      <c r="J289" s="125"/>
    </row>
    <row r="290" spans="1:10" s="3" customFormat="1" ht="15.75" customHeight="1" x14ac:dyDescent="0.25">
      <c r="A290" s="67">
        <v>6</v>
      </c>
      <c r="B290" s="68"/>
      <c r="C290" s="4" t="s">
        <v>199</v>
      </c>
      <c r="D290" s="67">
        <f>(2.3*1.125+2.15*3.35+3.05*4.625+1.405*1+3.05*3.35+3.05*3.05+0.6*1.4+((1.375*2.3)*2)+0.15*0.6+(0.75*(3.05+2.15+3.05)))*10.764</f>
        <v>627.15100499999994</v>
      </c>
      <c r="E290" s="68"/>
      <c r="F290" s="4">
        <v>0</v>
      </c>
      <c r="G290" s="4">
        <f t="shared" si="28"/>
        <v>1003.441608</v>
      </c>
      <c r="H290" s="130"/>
      <c r="I290" s="126"/>
      <c r="J290" s="127"/>
    </row>
    <row r="291" spans="1:10" s="3" customFormat="1" x14ac:dyDescent="0.25">
      <c r="A291" s="87" t="s">
        <v>259</v>
      </c>
      <c r="B291" s="88"/>
      <c r="C291" s="88"/>
      <c r="D291" s="88"/>
      <c r="E291" s="88"/>
      <c r="F291" s="88"/>
      <c r="G291" s="88"/>
      <c r="H291" s="88"/>
      <c r="I291" s="88"/>
      <c r="J291" s="89"/>
    </row>
    <row r="292" spans="1:10" s="3" customFormat="1" ht="15.75" customHeight="1" x14ac:dyDescent="0.25">
      <c r="A292" s="67">
        <v>1</v>
      </c>
      <c r="B292" s="68"/>
      <c r="C292" s="4" t="s">
        <v>198</v>
      </c>
      <c r="D292" s="67">
        <f>(1.525*2.3+3.15*5.15+1.1*2.375+3.3*2.325+3.05*3.05+3.175*3.35+3.05*3.35+1.1*1.375+(1.375*2.3+2.3*1.375+1.375*2.3)+(0.75*(2.325+3.05+3.05+3.15)))*10.764</f>
        <v>859.53231000000005</v>
      </c>
      <c r="E292" s="68"/>
      <c r="F292" s="4">
        <v>0</v>
      </c>
      <c r="G292" s="4">
        <f>D292*1.6+F292</f>
        <v>1375.2516960000003</v>
      </c>
      <c r="H292" s="122" t="str">
        <f>A291</f>
        <v>22nd, 27th &amp; 32nd Floor (Part Refuge Area)</v>
      </c>
      <c r="I292" s="122"/>
      <c r="J292" s="123"/>
    </row>
    <row r="293" spans="1:10" s="3" customFormat="1" ht="15.75" customHeight="1" x14ac:dyDescent="0.25">
      <c r="A293" s="67">
        <v>2</v>
      </c>
      <c r="B293" s="68"/>
      <c r="C293" s="4" t="s">
        <v>199</v>
      </c>
      <c r="D293" s="67">
        <f>(3.05*3.35+3.05*6.35+2.15*2.6+3.05*3.05+0.9*2.15+(1.4*2.55+1.375*2.3)+(0.75*(3.05+3.05+2.15+3.05)))*10.764</f>
        <v>663.27767999999992</v>
      </c>
      <c r="E293" s="68"/>
      <c r="F293" s="4">
        <v>0</v>
      </c>
      <c r="G293" s="4">
        <f t="shared" ref="G293:G295" si="29">D293*1.6+F293</f>
        <v>1061.2442879999999</v>
      </c>
      <c r="H293" s="124"/>
      <c r="I293" s="124"/>
      <c r="J293" s="125"/>
    </row>
    <row r="294" spans="1:10" s="3" customFormat="1" ht="15.75" customHeight="1" x14ac:dyDescent="0.25">
      <c r="A294" s="67">
        <v>3</v>
      </c>
      <c r="B294" s="68"/>
      <c r="C294" s="4" t="s">
        <v>198</v>
      </c>
      <c r="D294" s="67">
        <f>(1.525*2.3+3.15*5.15+1.1*2.375+3.3*2.325+3.05*3.05+3.175*3.35+3.05*3.35+1.1*1.375+(1.375*2.3+2.3*1.375+1.375*2.3)+(0.75*(2.325+3.05+3.05+3.15)))*10.764</f>
        <v>859.53231000000005</v>
      </c>
      <c r="E294" s="68"/>
      <c r="F294" s="4">
        <v>0</v>
      </c>
      <c r="G294" s="4">
        <f t="shared" si="29"/>
        <v>1375.2516960000003</v>
      </c>
      <c r="H294" s="124"/>
      <c r="I294" s="124"/>
      <c r="J294" s="125"/>
    </row>
    <row r="295" spans="1:10" s="3" customFormat="1" ht="15.75" customHeight="1" x14ac:dyDescent="0.25">
      <c r="A295" s="67">
        <v>4</v>
      </c>
      <c r="B295" s="68"/>
      <c r="C295" s="4" t="s">
        <v>199</v>
      </c>
      <c r="D295" s="67">
        <f>(2.3*1.125+2.15*3.35+3.05*4.625+1.405*1+3.05*3.35+3.05*3.05+0.6*3.05+((1.375*2.3)*2)+(0.75*(3.05+2.15)))*10.764</f>
        <v>612.21595499999989</v>
      </c>
      <c r="E295" s="68"/>
      <c r="F295" s="4">
        <v>0</v>
      </c>
      <c r="G295" s="4">
        <f t="shared" si="29"/>
        <v>979.54552799999988</v>
      </c>
      <c r="H295" s="124"/>
      <c r="I295" s="124"/>
      <c r="J295" s="125"/>
    </row>
    <row r="296" spans="1:10" s="3" customFormat="1" ht="15.75" customHeight="1" x14ac:dyDescent="0.25">
      <c r="A296" s="67">
        <v>5</v>
      </c>
      <c r="B296" s="68"/>
      <c r="C296" s="67" t="s">
        <v>202</v>
      </c>
      <c r="D296" s="121"/>
      <c r="E296" s="121"/>
      <c r="F296" s="121"/>
      <c r="G296" s="68"/>
      <c r="H296" s="124"/>
      <c r="I296" s="124"/>
      <c r="J296" s="125"/>
    </row>
    <row r="297" spans="1:10" s="3" customFormat="1" ht="15.75" customHeight="1" x14ac:dyDescent="0.25">
      <c r="A297" s="67">
        <v>6</v>
      </c>
      <c r="B297" s="68"/>
      <c r="C297" s="4" t="s">
        <v>199</v>
      </c>
      <c r="D297" s="67">
        <f>(2.3*1.125+2.15*3.35+3.05*4.625+1.405*1+3.05*3.35+3.05*3.05+0.6*1.4+((1.375*2.3)*2)+0.15*0.6+(0.75*(3.05+2.15+3.05)))*10.764</f>
        <v>627.15100499999994</v>
      </c>
      <c r="E297" s="68"/>
      <c r="F297" s="4">
        <v>0</v>
      </c>
      <c r="G297" s="4">
        <f t="shared" ref="G297" si="30">D297*1.6+F297</f>
        <v>1003.441608</v>
      </c>
      <c r="H297" s="126"/>
      <c r="I297" s="126"/>
      <c r="J297" s="127"/>
    </row>
    <row r="298" spans="1:10" s="3" customFormat="1" x14ac:dyDescent="0.25">
      <c r="A298" s="87" t="s">
        <v>274</v>
      </c>
      <c r="B298" s="88"/>
      <c r="C298" s="88"/>
      <c r="D298" s="88"/>
      <c r="E298" s="88"/>
      <c r="F298" s="88"/>
      <c r="G298" s="88"/>
      <c r="H298" s="88"/>
      <c r="I298" s="88"/>
      <c r="J298" s="89"/>
    </row>
    <row r="299" spans="1:10" s="3" customFormat="1" ht="15.75" customHeight="1" x14ac:dyDescent="0.25">
      <c r="A299" s="67">
        <v>1</v>
      </c>
      <c r="B299" s="68"/>
      <c r="C299" s="4" t="s">
        <v>198</v>
      </c>
      <c r="D299" s="67">
        <f>(1.525*2.3+3.15*5.15+1.1*2.375+3.3*2.325+3.05*3.05+3.175*3.35+3.05*3.35+1.1*1.375+(1.375*2.3+2.3*1.375+1.375*2.3)+(0.75*(2.325+3.05+3.05+3.15)))*10.764</f>
        <v>859.53231000000005</v>
      </c>
      <c r="E299" s="68"/>
      <c r="F299" s="4">
        <v>0</v>
      </c>
      <c r="G299" s="4">
        <f>D299*1.6+F299</f>
        <v>1375.2516960000003</v>
      </c>
      <c r="H299" s="128" t="str">
        <f>A298</f>
        <v xml:space="preserve">33rd Floor </v>
      </c>
      <c r="I299" s="122"/>
      <c r="J299" s="123"/>
    </row>
    <row r="300" spans="1:10" s="3" customFormat="1" x14ac:dyDescent="0.25">
      <c r="A300" s="67">
        <v>2</v>
      </c>
      <c r="B300" s="68"/>
      <c r="C300" s="4" t="s">
        <v>199</v>
      </c>
      <c r="D300" s="67">
        <f>(3.05*3.35+3.05*6.35+2.15*2.6+3.05*3.05+0.9*2.15+(1.4*2.55+1.375*2.3)+(0.75*(3.05+3.05+2.15+3.05)))*10.764</f>
        <v>663.27767999999992</v>
      </c>
      <c r="E300" s="68"/>
      <c r="F300" s="4">
        <v>0</v>
      </c>
      <c r="G300" s="4">
        <f t="shared" ref="G300:G304" si="31">D300*1.6+F300</f>
        <v>1061.2442879999999</v>
      </c>
      <c r="H300" s="129"/>
      <c r="I300" s="124"/>
      <c r="J300" s="125"/>
    </row>
    <row r="301" spans="1:10" s="3" customFormat="1" ht="15.75" customHeight="1" x14ac:dyDescent="0.25">
      <c r="A301" s="67">
        <v>3</v>
      </c>
      <c r="B301" s="68"/>
      <c r="C301" s="4" t="s">
        <v>198</v>
      </c>
      <c r="D301" s="67">
        <f>(1.525*2.3+3.15*5.15+1.1*2.375+3.3*2.325+3.05*3.05+3.175*3.35+3.05*3.35+1.1*1.375+(1.375*2.3+2.3*1.375+1.375*2.3)+(0.75*(2.325+3.05+3.05+3.15)))*10.764</f>
        <v>859.53231000000005</v>
      </c>
      <c r="E301" s="68"/>
      <c r="F301" s="4">
        <v>0</v>
      </c>
      <c r="G301" s="4">
        <f t="shared" si="31"/>
        <v>1375.2516960000003</v>
      </c>
      <c r="H301" s="129"/>
      <c r="I301" s="124"/>
      <c r="J301" s="125"/>
    </row>
    <row r="302" spans="1:10" s="3" customFormat="1" ht="15.75" customHeight="1" x14ac:dyDescent="0.25">
      <c r="A302" s="67" t="s">
        <v>271</v>
      </c>
      <c r="B302" s="68"/>
      <c r="C302" s="4" t="s">
        <v>205</v>
      </c>
      <c r="D302" s="67">
        <f>(0.85*1.125+2.15*3.35+3.05*4.625+1.405*1+3.05*3.35+((1.375*2.3)*2)+(0.75*(3.05+2.15)))*10.764</f>
        <v>474.82695000000001</v>
      </c>
      <c r="E302" s="68"/>
      <c r="F302" s="4">
        <f>(3.05*3.05+0.6*3.05)*10.764</f>
        <v>119.83022999999997</v>
      </c>
      <c r="G302" s="4">
        <f t="shared" si="31"/>
        <v>879.55335000000014</v>
      </c>
      <c r="H302" s="129"/>
      <c r="I302" s="124"/>
      <c r="J302" s="125"/>
    </row>
    <row r="303" spans="1:10" s="3" customFormat="1" ht="15.75" customHeight="1" x14ac:dyDescent="0.25">
      <c r="A303" s="67" t="s">
        <v>272</v>
      </c>
      <c r="B303" s="68"/>
      <c r="C303" s="4" t="s">
        <v>199</v>
      </c>
      <c r="D303" s="67">
        <f>(3.05*3.65+2.3*2.65+2.9*2.925+2.45*2.925+1*2.3+(2.3*1.525+1.65*1.525)++(0.75*(2.9+3.05+2.3))+1.475*2.4)*10.764</f>
        <v>548.18360999999993</v>
      </c>
      <c r="E303" s="68"/>
      <c r="F303" s="4">
        <f>(2.9*1.05+3.7*2.9+0.4*2.9)*10.764</f>
        <v>160.76033999999999</v>
      </c>
      <c r="G303" s="4">
        <f t="shared" si="31"/>
        <v>1037.854116</v>
      </c>
      <c r="H303" s="129"/>
      <c r="I303" s="124"/>
      <c r="J303" s="125"/>
    </row>
    <row r="304" spans="1:10" s="3" customFormat="1" ht="15.75" customHeight="1" x14ac:dyDescent="0.25">
      <c r="A304" s="67" t="s">
        <v>273</v>
      </c>
      <c r="B304" s="68"/>
      <c r="C304" s="4" t="s">
        <v>205</v>
      </c>
      <c r="D304" s="67">
        <f>(0.85*1.125+2.15*3.35+3.05*4.625+1.405*1+3.05*3.35+((1.375*2.3)*2)+(0.75*(3.05+2.15)))*10.764</f>
        <v>474.82695000000001</v>
      </c>
      <c r="E304" s="68"/>
      <c r="F304" s="4">
        <f>(3.05*3.05+0.6*3.05)*10.764</f>
        <v>119.83022999999997</v>
      </c>
      <c r="G304" s="4">
        <f t="shared" si="31"/>
        <v>879.55335000000014</v>
      </c>
      <c r="H304" s="130"/>
      <c r="I304" s="126"/>
      <c r="J304" s="127"/>
    </row>
    <row r="305" spans="1:10" s="3" customFormat="1" x14ac:dyDescent="0.25">
      <c r="A305" s="87" t="s">
        <v>275</v>
      </c>
      <c r="B305" s="88"/>
      <c r="C305" s="88"/>
      <c r="D305" s="88"/>
      <c r="E305" s="88"/>
      <c r="F305" s="88"/>
      <c r="G305" s="88"/>
      <c r="H305" s="88"/>
      <c r="I305" s="88"/>
      <c r="J305" s="89"/>
    </row>
    <row r="306" spans="1:10" s="3" customFormat="1" ht="15.75" customHeight="1" x14ac:dyDescent="0.25">
      <c r="A306" s="67">
        <v>1</v>
      </c>
      <c r="B306" s="68"/>
      <c r="C306" s="4" t="s">
        <v>198</v>
      </c>
      <c r="D306" s="67">
        <f>(1.525*2.3+3.15*5.15+1.1*2.375+3.3*2.325+3.05*3.05+3.175*3.35+3.05*3.35+1.1*1.375+(1.375*2.3+2.3*1.375+1.375*2.3)+(0.75*(2.325+3.05+3.05+3.15)))*10.764</f>
        <v>859.53231000000005</v>
      </c>
      <c r="E306" s="68"/>
      <c r="F306" s="4">
        <v>0</v>
      </c>
      <c r="G306" s="4">
        <f>D306*1.6+F306</f>
        <v>1375.2516960000003</v>
      </c>
      <c r="H306" s="128" t="str">
        <f>A305</f>
        <v>34th &amp; 35th Floor</v>
      </c>
      <c r="I306" s="122"/>
      <c r="J306" s="123"/>
    </row>
    <row r="307" spans="1:10" s="3" customFormat="1" x14ac:dyDescent="0.25">
      <c r="A307" s="67">
        <v>2</v>
      </c>
      <c r="B307" s="68"/>
      <c r="C307" s="4" t="s">
        <v>199</v>
      </c>
      <c r="D307" s="67">
        <f>(3.05*3.35+3.05*6.35+2.15*2.6+3.05*3.05+0.9*2.15+(1.4*2.55+1.375*2.3)+(0.75*(3.05+3.05+2.15+3.05)))*10.764</f>
        <v>663.27767999999992</v>
      </c>
      <c r="E307" s="68"/>
      <c r="F307" s="4">
        <v>0</v>
      </c>
      <c r="G307" s="4">
        <f t="shared" ref="G307:G311" si="32">D307*1.6+F307</f>
        <v>1061.2442879999999</v>
      </c>
      <c r="H307" s="129"/>
      <c r="I307" s="124"/>
      <c r="J307" s="125"/>
    </row>
    <row r="308" spans="1:10" s="3" customFormat="1" ht="15.75" customHeight="1" x14ac:dyDescent="0.25">
      <c r="A308" s="67">
        <v>3</v>
      </c>
      <c r="B308" s="68"/>
      <c r="C308" s="4" t="s">
        <v>198</v>
      </c>
      <c r="D308" s="67">
        <f>(1.525*2.3+3.15*5.15+1.1*2.375+3.3*2.325+3.05*3.05+3.175*3.35+3.05*3.35+1.1*1.375+(1.375*2.3+2.3*1.375+1.375*2.3)+(0.75*(2.325+3.05+3.05+3.15)))*10.764</f>
        <v>859.53231000000005</v>
      </c>
      <c r="E308" s="68"/>
      <c r="F308" s="4">
        <v>0</v>
      </c>
      <c r="G308" s="4">
        <f t="shared" si="32"/>
        <v>1375.2516960000003</v>
      </c>
      <c r="H308" s="129"/>
      <c r="I308" s="124"/>
      <c r="J308" s="125"/>
    </row>
    <row r="309" spans="1:10" s="3" customFormat="1" ht="15.75" customHeight="1" x14ac:dyDescent="0.25">
      <c r="A309" s="67" t="s">
        <v>271</v>
      </c>
      <c r="B309" s="68"/>
      <c r="C309" s="4" t="s">
        <v>205</v>
      </c>
      <c r="D309" s="67">
        <f>(0.85*1.125+2.15*3.35+3.05*4.625+1.405*1+3.05*3.35+((1.375*2.3)*2)+(0.75*(3.05+2.15)))*10.764</f>
        <v>474.82695000000001</v>
      </c>
      <c r="E309" s="68"/>
      <c r="F309" s="4">
        <v>0</v>
      </c>
      <c r="G309" s="4">
        <f t="shared" si="32"/>
        <v>759.72312000000011</v>
      </c>
      <c r="H309" s="129"/>
      <c r="I309" s="124"/>
      <c r="J309" s="125"/>
    </row>
    <row r="310" spans="1:10" s="3" customFormat="1" ht="15.75" customHeight="1" x14ac:dyDescent="0.25">
      <c r="A310" s="67" t="s">
        <v>272</v>
      </c>
      <c r="B310" s="68"/>
      <c r="C310" s="4" t="s">
        <v>199</v>
      </c>
      <c r="D310" s="67">
        <f>(3.05*3.65+2.3*2.65+2.9*2.925+2.45*2.925+1*2.3+(2.3*1.525+1.65*1.525)++(0.75*(2.9+3.05+2.3))+1.475*2.4)*10.764</f>
        <v>548.18360999999993</v>
      </c>
      <c r="E310" s="68"/>
      <c r="F310" s="4">
        <v>0</v>
      </c>
      <c r="G310" s="4">
        <f t="shared" si="32"/>
        <v>877.09377599999993</v>
      </c>
      <c r="H310" s="129"/>
      <c r="I310" s="124"/>
      <c r="J310" s="125"/>
    </row>
    <row r="311" spans="1:10" s="3" customFormat="1" ht="15.75" customHeight="1" x14ac:dyDescent="0.25">
      <c r="A311" s="67" t="s">
        <v>273</v>
      </c>
      <c r="B311" s="68"/>
      <c r="C311" s="4" t="s">
        <v>205</v>
      </c>
      <c r="D311" s="67">
        <f>(0.85*1.125+2.15*3.35+3.05*4.625+1.405*1+3.05*3.35+((1.375*2.3)*2)+(0.75*(3.05+2.15)))*10.764</f>
        <v>474.82695000000001</v>
      </c>
      <c r="E311" s="68"/>
      <c r="F311" s="4">
        <v>0</v>
      </c>
      <c r="G311" s="4">
        <f t="shared" si="32"/>
        <v>759.72312000000011</v>
      </c>
      <c r="H311" s="130"/>
      <c r="I311" s="126"/>
      <c r="J311" s="127"/>
    </row>
    <row r="312" spans="1:10" s="3" customFormat="1" x14ac:dyDescent="0.25">
      <c r="A312" s="87" t="s">
        <v>276</v>
      </c>
      <c r="B312" s="88"/>
      <c r="C312" s="88"/>
      <c r="D312" s="88"/>
      <c r="E312" s="88"/>
      <c r="F312" s="88"/>
      <c r="G312" s="88"/>
      <c r="H312" s="88"/>
      <c r="I312" s="88"/>
      <c r="J312" s="89"/>
    </row>
    <row r="313" spans="1:10" s="3" customFormat="1" ht="15.75" customHeight="1" x14ac:dyDescent="0.25">
      <c r="A313" s="67">
        <v>1</v>
      </c>
      <c r="B313" s="68"/>
      <c r="C313" s="4" t="s">
        <v>198</v>
      </c>
      <c r="D313" s="67">
        <f>(1.525*2.3+3.15*5.15+1.1*2.375+3.3*2.325+3.05*3.05+3.175*3.35+3.05*3.35+1.1*1.375+(1.375*2.3+2.3*1.375+1.375*2.3)+(0.75*(2.325+3.05+3.05+3.15)))*10.764</f>
        <v>859.53231000000005</v>
      </c>
      <c r="E313" s="68"/>
      <c r="F313" s="4">
        <v>0</v>
      </c>
      <c r="G313" s="4">
        <f>D313*1.6+F313</f>
        <v>1375.2516960000003</v>
      </c>
      <c r="H313" s="128" t="str">
        <f>A312</f>
        <v>36th Floor</v>
      </c>
      <c r="I313" s="122"/>
      <c r="J313" s="123"/>
    </row>
    <row r="314" spans="1:10" s="3" customFormat="1" x14ac:dyDescent="0.25">
      <c r="A314" s="67">
        <v>2</v>
      </c>
      <c r="B314" s="68"/>
      <c r="C314" s="4" t="s">
        <v>199</v>
      </c>
      <c r="D314" s="67">
        <f>(3.05*3.35+3.05*6.35+2.15*2.6+3.05*3.05+0.9*2.15+(1.4*2.55+1.375*2.3)+(0.75*(3.05+3.05+2.15+3.05)))*10.764</f>
        <v>663.27767999999992</v>
      </c>
      <c r="E314" s="68"/>
      <c r="F314" s="4">
        <v>0</v>
      </c>
      <c r="G314" s="4">
        <f t="shared" ref="G314:G318" si="33">D314*1.6+F314</f>
        <v>1061.2442879999999</v>
      </c>
      <c r="H314" s="129"/>
      <c r="I314" s="124"/>
      <c r="J314" s="125"/>
    </row>
    <row r="315" spans="1:10" s="3" customFormat="1" ht="15.75" customHeight="1" x14ac:dyDescent="0.25">
      <c r="A315" s="67">
        <v>3</v>
      </c>
      <c r="B315" s="68"/>
      <c r="C315" s="4" t="s">
        <v>198</v>
      </c>
      <c r="D315" s="67">
        <f>(1.525*2.3+3.15*5.15+1.1*2.375+3.3*2.325+3.05*3.05+3.175*3.35+3.05*3.35+1.1*1.375+(1.375*2.3+2.3*1.375+1.375*2.3)+(0.75*(2.325+3.05+3.05+3.15)))*10.764</f>
        <v>859.53231000000005</v>
      </c>
      <c r="E315" s="68"/>
      <c r="F315" s="4">
        <v>0</v>
      </c>
      <c r="G315" s="4">
        <f t="shared" si="33"/>
        <v>1375.2516960000003</v>
      </c>
      <c r="H315" s="129"/>
      <c r="I315" s="124"/>
      <c r="J315" s="125"/>
    </row>
    <row r="316" spans="1:10" s="3" customFormat="1" ht="15.75" customHeight="1" x14ac:dyDescent="0.25">
      <c r="A316" s="67">
        <v>4</v>
      </c>
      <c r="B316" s="68"/>
      <c r="C316" s="4" t="s">
        <v>205</v>
      </c>
      <c r="D316" s="67">
        <f>(0.85*1.125+2.15*3.35+3.05*4.625+1.405*1+3.05*3.35+((1.375*2.3)*2)+(0.75*(3.05+2.15)))*10.764</f>
        <v>474.82695000000001</v>
      </c>
      <c r="E316" s="68"/>
      <c r="F316" s="4">
        <v>0</v>
      </c>
      <c r="G316" s="4">
        <f t="shared" si="33"/>
        <v>759.72312000000011</v>
      </c>
      <c r="H316" s="129"/>
      <c r="I316" s="124"/>
      <c r="J316" s="125"/>
    </row>
    <row r="317" spans="1:10" s="3" customFormat="1" ht="15.75" customHeight="1" x14ac:dyDescent="0.25">
      <c r="A317" s="67" t="s">
        <v>272</v>
      </c>
      <c r="B317" s="68"/>
      <c r="C317" s="4" t="s">
        <v>199</v>
      </c>
      <c r="D317" s="67">
        <f>(3.05*3.65+2.3*2.65+2.9*2.925+2.45*2.925+1*2.3+(2.3*1.525+1.65*1.525)++(0.75*(2.9+3.05+2.3))+1.475*2.4)*10.764</f>
        <v>548.18360999999993</v>
      </c>
      <c r="E317" s="68"/>
      <c r="F317" s="4">
        <v>0</v>
      </c>
      <c r="G317" s="4">
        <f t="shared" si="33"/>
        <v>877.09377599999993</v>
      </c>
      <c r="H317" s="129"/>
      <c r="I317" s="124"/>
      <c r="J317" s="125"/>
    </row>
    <row r="318" spans="1:10" s="3" customFormat="1" ht="15.75" customHeight="1" x14ac:dyDescent="0.25">
      <c r="A318" s="67">
        <v>6</v>
      </c>
      <c r="B318" s="68"/>
      <c r="C318" s="4" t="s">
        <v>205</v>
      </c>
      <c r="D318" s="67">
        <f>(0.85*1.125+2.15*3.35+3.05*4.625+1.405*1+3.05*3.35+((1.375*2.3)*2)+(0.75*(3.05+2.15)))*10.764</f>
        <v>474.82695000000001</v>
      </c>
      <c r="E318" s="68"/>
      <c r="F318" s="4">
        <v>0</v>
      </c>
      <c r="G318" s="4">
        <f t="shared" si="33"/>
        <v>759.72312000000011</v>
      </c>
      <c r="H318" s="130"/>
      <c r="I318" s="126"/>
      <c r="J318" s="127"/>
    </row>
    <row r="319" spans="1:10" s="3" customFormat="1" x14ac:dyDescent="0.25">
      <c r="A319" s="87" t="s">
        <v>268</v>
      </c>
      <c r="B319" s="88"/>
      <c r="C319" s="88"/>
      <c r="D319" s="88"/>
      <c r="E319" s="88"/>
      <c r="F319" s="88"/>
      <c r="G319" s="88"/>
      <c r="H319" s="88"/>
      <c r="I319" s="88"/>
      <c r="J319" s="89"/>
    </row>
    <row r="320" spans="1:10" s="3" customFormat="1" x14ac:dyDescent="0.25">
      <c r="A320" s="67">
        <v>1</v>
      </c>
      <c r="B320" s="68"/>
      <c r="C320" s="4" t="s">
        <v>198</v>
      </c>
      <c r="D320" s="67">
        <f>(1.525*2.3+3.15*5.15+1.1*2.375+3.3*2.325+3.05*3.05+3.175*3.35+3.05*3.35+1.1*1.375+(1.375*2.3+2.3*1.375+1.375*2.3)+(0.75*(2.325+3.05+3.05+3.15)))*10.764</f>
        <v>859.53231000000005</v>
      </c>
      <c r="E320" s="68"/>
      <c r="F320" s="4">
        <v>0</v>
      </c>
      <c r="G320" s="4">
        <f>D320*1.6+F320</f>
        <v>1375.2516960000003</v>
      </c>
      <c r="H320" s="122" t="str">
        <f>A319</f>
        <v>37th Floor (Part Refuge Area)</v>
      </c>
      <c r="I320" s="122"/>
      <c r="J320" s="123"/>
    </row>
    <row r="321" spans="1:10" s="3" customFormat="1" x14ac:dyDescent="0.25">
      <c r="A321" s="67">
        <v>2</v>
      </c>
      <c r="B321" s="68"/>
      <c r="C321" s="4" t="s">
        <v>199</v>
      </c>
      <c r="D321" s="67">
        <f>(3.05*3.35+3.05*6.35+2.15*2.6+3.05*3.05+0.9*2.15+(1.4*2.55+1.375*2.3)+(0.75*(3.05+3.05+2.15+3.05)))*10.764</f>
        <v>663.27767999999992</v>
      </c>
      <c r="E321" s="68"/>
      <c r="F321" s="4">
        <v>0</v>
      </c>
      <c r="G321" s="4">
        <f t="shared" ref="G321:G323" si="34">D321*1.6+F321</f>
        <v>1061.2442879999999</v>
      </c>
      <c r="H321" s="124"/>
      <c r="I321" s="124"/>
      <c r="J321" s="125"/>
    </row>
    <row r="322" spans="1:10" s="3" customFormat="1" x14ac:dyDescent="0.25">
      <c r="A322" s="67">
        <v>3</v>
      </c>
      <c r="B322" s="68"/>
      <c r="C322" s="4" t="s">
        <v>198</v>
      </c>
      <c r="D322" s="67">
        <f>(1.525*2.3+3.15*5.15+1.1*2.375+3.3*2.325+3.05*3.05+3.175*3.35+3.05*3.35+1.1*1.375+(1.375*2.3+2.3*1.375+1.375*2.3)+(0.75*(2.325+3.05+3.05+3.15)))*10.764</f>
        <v>859.53231000000005</v>
      </c>
      <c r="E322" s="68"/>
      <c r="F322" s="4">
        <v>0</v>
      </c>
      <c r="G322" s="4">
        <f t="shared" si="34"/>
        <v>1375.2516960000003</v>
      </c>
      <c r="H322" s="124"/>
      <c r="I322" s="124"/>
      <c r="J322" s="125"/>
    </row>
    <row r="323" spans="1:10" s="3" customFormat="1" x14ac:dyDescent="0.25">
      <c r="A323" s="67">
        <v>4</v>
      </c>
      <c r="B323" s="68"/>
      <c r="C323" s="4" t="s">
        <v>205</v>
      </c>
      <c r="D323" s="67">
        <f>(0.85*1.125+2.15*3.35+3.05*4.625+1.405*1+3.05*3.35+((1.375*2.3)*2)+(0.75*(3.05+2.15)))*10.764</f>
        <v>474.82695000000001</v>
      </c>
      <c r="E323" s="68"/>
      <c r="F323" s="4">
        <v>0</v>
      </c>
      <c r="G323" s="4">
        <f t="shared" si="34"/>
        <v>759.72312000000011</v>
      </c>
      <c r="H323" s="124"/>
      <c r="I323" s="124"/>
      <c r="J323" s="125"/>
    </row>
    <row r="324" spans="1:10" s="3" customFormat="1" x14ac:dyDescent="0.25">
      <c r="A324" s="67">
        <v>5</v>
      </c>
      <c r="B324" s="68"/>
      <c r="C324" s="67" t="s">
        <v>202</v>
      </c>
      <c r="D324" s="121"/>
      <c r="E324" s="121"/>
      <c r="F324" s="121"/>
      <c r="G324" s="68"/>
      <c r="H324" s="124"/>
      <c r="I324" s="124"/>
      <c r="J324" s="125"/>
    </row>
    <row r="325" spans="1:10" s="3" customFormat="1" x14ac:dyDescent="0.25">
      <c r="A325" s="67">
        <v>6</v>
      </c>
      <c r="B325" s="68"/>
      <c r="C325" s="4" t="s">
        <v>205</v>
      </c>
      <c r="D325" s="67">
        <f>(0.85*1.125+2.15*3.35+3.05*4.625+1.405*1+3.05*3.35+((1.375*2.3)*2)+(0.75*(3.05+2.15)))*10.764</f>
        <v>474.82695000000001</v>
      </c>
      <c r="E325" s="68"/>
      <c r="F325" s="4">
        <v>0</v>
      </c>
      <c r="G325" s="4">
        <f t="shared" ref="G325" si="35">D325*1.6+F325</f>
        <v>759.72312000000011</v>
      </c>
      <c r="H325" s="126"/>
      <c r="I325" s="126"/>
      <c r="J325" s="127"/>
    </row>
    <row r="326" spans="1:10" s="3" customFormat="1" x14ac:dyDescent="0.25">
      <c r="A326" s="87" t="s">
        <v>277</v>
      </c>
      <c r="B326" s="88"/>
      <c r="C326" s="88"/>
      <c r="D326" s="88"/>
      <c r="E326" s="88"/>
      <c r="F326" s="88"/>
      <c r="G326" s="88"/>
      <c r="H326" s="88"/>
      <c r="I326" s="88"/>
      <c r="J326" s="89"/>
    </row>
    <row r="327" spans="1:10" s="3" customFormat="1" ht="15.75" customHeight="1" x14ac:dyDescent="0.25">
      <c r="A327" s="67">
        <v>1</v>
      </c>
      <c r="B327" s="68"/>
      <c r="C327" s="4" t="s">
        <v>198</v>
      </c>
      <c r="D327" s="67">
        <f>(1.525*2.3+3.15*5.15+1.1*2.375+3.3*2.325+3.05*3.05+3.175*3.35+3.05*3.35+1.1*1.375+(1.375*2.3+2.3*1.375+1.375*2.3)+(0.75*(2.325+3.05+3.05+3.15)))*10.764</f>
        <v>859.53231000000005</v>
      </c>
      <c r="E327" s="68"/>
      <c r="F327" s="4">
        <v>0</v>
      </c>
      <c r="G327" s="4">
        <f>D327*1.6+F327</f>
        <v>1375.2516960000003</v>
      </c>
      <c r="H327" s="128" t="str">
        <f>A326</f>
        <v>38th Floor</v>
      </c>
      <c r="I327" s="122"/>
      <c r="J327" s="123"/>
    </row>
    <row r="328" spans="1:10" s="3" customFormat="1" x14ac:dyDescent="0.25">
      <c r="A328" s="67">
        <v>2</v>
      </c>
      <c r="B328" s="68"/>
      <c r="C328" s="4" t="s">
        <v>199</v>
      </c>
      <c r="D328" s="67">
        <f>(3.05*3.35+3.05*6.35+2.15*2.6+3.05*3.05+0.9*2.15+(1.4*2.55+1.375*2.3)+(0.75*(3.05+3.05+2.15+3.05)))*10.764</f>
        <v>663.27767999999992</v>
      </c>
      <c r="E328" s="68"/>
      <c r="F328" s="4">
        <v>0</v>
      </c>
      <c r="G328" s="4">
        <f t="shared" ref="G328:G332" si="36">D328*1.6+F328</f>
        <v>1061.2442879999999</v>
      </c>
      <c r="H328" s="129"/>
      <c r="I328" s="124"/>
      <c r="J328" s="125"/>
    </row>
    <row r="329" spans="1:10" s="3" customFormat="1" ht="15.75" customHeight="1" x14ac:dyDescent="0.25">
      <c r="A329" s="67">
        <v>3</v>
      </c>
      <c r="B329" s="68"/>
      <c r="C329" s="4" t="s">
        <v>198</v>
      </c>
      <c r="D329" s="67">
        <f>(1.525*2.3+3.15*5.15+1.1*2.375+3.3*2.325+3.05*3.05+3.175*3.35+3.05*3.35+1.1*1.375+(1.375*2.3+2.3*1.375+1.375*2.3)+(0.75*(2.325+3.05+3.05+3.15)))*10.764</f>
        <v>859.53231000000005</v>
      </c>
      <c r="E329" s="68"/>
      <c r="F329" s="4">
        <v>0</v>
      </c>
      <c r="G329" s="4">
        <f t="shared" si="36"/>
        <v>1375.2516960000003</v>
      </c>
      <c r="H329" s="129"/>
      <c r="I329" s="124"/>
      <c r="J329" s="125"/>
    </row>
    <row r="330" spans="1:10" s="3" customFormat="1" ht="15.75" customHeight="1" x14ac:dyDescent="0.25">
      <c r="A330" s="67">
        <v>4</v>
      </c>
      <c r="B330" s="68"/>
      <c r="C330" s="4" t="s">
        <v>199</v>
      </c>
      <c r="D330" s="67">
        <f>(2.3*1.125+2.15*3.35+3.05*4.625+1.405*1+3.05*3.35+3.05*3.05+0.6*3.05+((1.375*2.3)*2)+(0.75*(3.05+2.15)))*10.764</f>
        <v>612.21595499999989</v>
      </c>
      <c r="E330" s="68"/>
      <c r="F330" s="4">
        <v>0</v>
      </c>
      <c r="G330" s="4">
        <f t="shared" si="36"/>
        <v>979.54552799999988</v>
      </c>
      <c r="H330" s="129"/>
      <c r="I330" s="124"/>
      <c r="J330" s="125"/>
    </row>
    <row r="331" spans="1:10" s="3" customFormat="1" ht="15.75" customHeight="1" x14ac:dyDescent="0.25">
      <c r="A331" s="67">
        <v>5</v>
      </c>
      <c r="B331" s="68"/>
      <c r="C331" s="4" t="s">
        <v>198</v>
      </c>
      <c r="D331" s="67">
        <f>(2.3*3+3.05*3.65+2.3*2.65+2.9*3.25+2.45*2.6+2.9*3.25+1*2.3+1*2.45+(2*(2.3*1.525))+(0.75*(2.45+3.05+2.3)))*10.764</f>
        <v>720.7843499999999</v>
      </c>
      <c r="E331" s="68"/>
      <c r="F331" s="4">
        <v>0</v>
      </c>
      <c r="G331" s="4">
        <f t="shared" si="36"/>
        <v>1153.25496</v>
      </c>
      <c r="H331" s="129"/>
      <c r="I331" s="124"/>
      <c r="J331" s="125"/>
    </row>
    <row r="332" spans="1:10" s="3" customFormat="1" ht="15.75" customHeight="1" x14ac:dyDescent="0.25">
      <c r="A332" s="67">
        <v>6</v>
      </c>
      <c r="B332" s="68"/>
      <c r="C332" s="4" t="s">
        <v>199</v>
      </c>
      <c r="D332" s="67">
        <f>(2.3*1.125+2.15*3.35+3.05*4.625+1.405*1+3.05*3.35+3.05*3.05+0.6*1.4+((1.375*2.3)*2)+0.15*0.6+(0.75*(3.05+2.15+3.05)))*10.764</f>
        <v>627.15100499999994</v>
      </c>
      <c r="E332" s="68"/>
      <c r="F332" s="4">
        <v>0</v>
      </c>
      <c r="G332" s="4">
        <f t="shared" si="36"/>
        <v>1003.441608</v>
      </c>
      <c r="H332" s="130"/>
      <c r="I332" s="126"/>
      <c r="J332" s="127"/>
    </row>
    <row r="333" spans="1:10" s="3" customFormat="1" x14ac:dyDescent="0.25">
      <c r="A333" s="87" t="s">
        <v>269</v>
      </c>
      <c r="B333" s="88"/>
      <c r="C333" s="88"/>
      <c r="D333" s="88"/>
      <c r="E333" s="88"/>
      <c r="F333" s="88"/>
      <c r="G333" s="88"/>
      <c r="H333" s="88"/>
      <c r="I333" s="88"/>
      <c r="J333" s="89"/>
    </row>
    <row r="334" spans="1:10" s="3" customFormat="1" x14ac:dyDescent="0.25">
      <c r="A334" s="87" t="s">
        <v>270</v>
      </c>
      <c r="B334" s="88"/>
      <c r="C334" s="88"/>
      <c r="D334" s="88"/>
      <c r="E334" s="88"/>
      <c r="F334" s="88"/>
      <c r="G334" s="88"/>
      <c r="H334" s="88"/>
      <c r="I334" s="88"/>
      <c r="J334" s="89"/>
    </row>
    <row r="335" spans="1:10" s="1" customFormat="1" x14ac:dyDescent="0.25">
      <c r="A335" s="142" t="s">
        <v>93</v>
      </c>
      <c r="B335" s="142"/>
      <c r="C335" s="142"/>
      <c r="D335" s="142"/>
      <c r="E335" s="142"/>
      <c r="F335" s="142"/>
      <c r="G335" s="142"/>
      <c r="H335" s="142"/>
      <c r="I335" s="142"/>
      <c r="J335" s="142"/>
    </row>
    <row r="336" spans="1:10" s="16" customFormat="1" ht="143.25" customHeight="1" x14ac:dyDescent="0.25">
      <c r="A336" s="143" t="s">
        <v>310</v>
      </c>
      <c r="B336" s="143"/>
      <c r="C336" s="143"/>
      <c r="D336" s="143"/>
      <c r="E336" s="143"/>
      <c r="F336" s="143"/>
      <c r="G336" s="143"/>
      <c r="H336" s="143"/>
      <c r="I336" s="143"/>
      <c r="J336" s="143"/>
    </row>
    <row r="337" spans="1:10" x14ac:dyDescent="0.25">
      <c r="A337" s="144" t="s">
        <v>84</v>
      </c>
      <c r="B337" s="145"/>
      <c r="C337" s="145"/>
      <c r="D337" s="145"/>
      <c r="E337" s="145"/>
      <c r="F337" s="145"/>
      <c r="G337" s="145"/>
      <c r="H337" s="145"/>
      <c r="I337" s="145"/>
      <c r="J337" s="146"/>
    </row>
    <row r="338" spans="1:10" x14ac:dyDescent="0.25">
      <c r="A338" s="131" t="s">
        <v>85</v>
      </c>
      <c r="B338" s="132"/>
      <c r="C338" s="132"/>
      <c r="D338" s="132"/>
      <c r="E338" s="132"/>
      <c r="F338" s="132"/>
      <c r="G338" s="132"/>
      <c r="H338" s="132"/>
      <c r="I338" s="132"/>
      <c r="J338" s="133"/>
    </row>
    <row r="339" spans="1:10" ht="15.75" customHeight="1" x14ac:dyDescent="0.25">
      <c r="A339" s="144" t="s">
        <v>86</v>
      </c>
      <c r="B339" s="145"/>
      <c r="C339" s="145"/>
      <c r="D339" s="145"/>
      <c r="E339" s="145"/>
      <c r="F339" s="145"/>
      <c r="G339" s="145"/>
      <c r="H339" s="145"/>
      <c r="I339" s="145"/>
      <c r="J339" s="146"/>
    </row>
    <row r="340" spans="1:10" x14ac:dyDescent="0.25">
      <c r="A340" s="131" t="s">
        <v>87</v>
      </c>
      <c r="B340" s="132"/>
      <c r="C340" s="132"/>
      <c r="D340" s="132"/>
      <c r="E340" s="132"/>
      <c r="F340" s="132"/>
      <c r="G340" s="132"/>
      <c r="H340" s="132"/>
      <c r="I340" s="132"/>
      <c r="J340" s="133"/>
    </row>
    <row r="341" spans="1:10" x14ac:dyDescent="0.25">
      <c r="A341" s="131" t="s">
        <v>88</v>
      </c>
      <c r="B341" s="132"/>
      <c r="C341" s="132"/>
      <c r="D341" s="132"/>
      <c r="E341" s="132"/>
      <c r="F341" s="132"/>
      <c r="G341" s="132"/>
      <c r="H341" s="132"/>
      <c r="I341" s="132"/>
      <c r="J341" s="133"/>
    </row>
    <row r="342" spans="1:10" x14ac:dyDescent="0.25">
      <c r="A342" s="131" t="s">
        <v>89</v>
      </c>
      <c r="B342" s="132"/>
      <c r="C342" s="132"/>
      <c r="D342" s="132"/>
      <c r="E342" s="132"/>
      <c r="F342" s="132"/>
      <c r="G342" s="132"/>
      <c r="H342" s="132"/>
      <c r="I342" s="132"/>
      <c r="J342" s="133"/>
    </row>
    <row r="343" spans="1:10" ht="35.25" customHeight="1" x14ac:dyDescent="0.25">
      <c r="A343" s="134" t="s">
        <v>90</v>
      </c>
      <c r="B343" s="135"/>
      <c r="C343" s="135"/>
      <c r="D343" s="135"/>
      <c r="E343" s="135"/>
      <c r="F343" s="135"/>
      <c r="G343" s="135"/>
      <c r="H343" s="135"/>
      <c r="I343" s="135"/>
      <c r="J343" s="136"/>
    </row>
    <row r="344" spans="1:10" x14ac:dyDescent="0.25">
      <c r="A344" s="231" t="s">
        <v>166</v>
      </c>
      <c r="B344" s="231"/>
      <c r="C344" s="232" t="s">
        <v>285</v>
      </c>
      <c r="D344" s="232"/>
      <c r="E344" s="232" t="s">
        <v>167</v>
      </c>
      <c r="F344" s="232"/>
      <c r="G344" s="232"/>
      <c r="H344" s="232" t="s">
        <v>312</v>
      </c>
      <c r="I344" s="232"/>
      <c r="J344" s="232"/>
    </row>
    <row r="345" spans="1:10" x14ac:dyDescent="0.25">
      <c r="A345" s="222" t="s">
        <v>169</v>
      </c>
      <c r="B345" s="223"/>
      <c r="C345" s="223"/>
      <c r="D345" s="223"/>
      <c r="E345" s="223"/>
      <c r="F345" s="223"/>
      <c r="G345" s="223"/>
      <c r="H345" s="223"/>
      <c r="I345" s="223"/>
      <c r="J345" s="224"/>
    </row>
    <row r="346" spans="1:10" x14ac:dyDescent="0.25">
      <c r="A346" s="225"/>
      <c r="B346" s="226"/>
      <c r="C346" s="226"/>
      <c r="D346" s="226"/>
      <c r="E346" s="226"/>
      <c r="F346" s="226"/>
      <c r="G346" s="226"/>
      <c r="H346" s="226"/>
      <c r="I346" s="226"/>
      <c r="J346" s="227"/>
    </row>
    <row r="347" spans="1:10" x14ac:dyDescent="0.25">
      <c r="A347" s="225"/>
      <c r="B347" s="226"/>
      <c r="C347" s="226"/>
      <c r="D347" s="226"/>
      <c r="E347" s="226"/>
      <c r="F347" s="226"/>
      <c r="G347" s="226"/>
      <c r="H347" s="226"/>
      <c r="I347" s="226"/>
      <c r="J347" s="227"/>
    </row>
    <row r="348" spans="1:10" x14ac:dyDescent="0.25">
      <c r="A348" s="228"/>
      <c r="B348" s="229"/>
      <c r="C348" s="229"/>
      <c r="D348" s="229"/>
      <c r="E348" s="229"/>
      <c r="F348" s="229"/>
      <c r="G348" s="229"/>
      <c r="H348" s="229"/>
      <c r="I348" s="229"/>
      <c r="J348" s="230"/>
    </row>
    <row r="349" spans="1:10" x14ac:dyDescent="0.25">
      <c r="A349" s="17" t="s">
        <v>91</v>
      </c>
      <c r="B349" s="18"/>
      <c r="C349" s="18"/>
      <c r="D349" s="17" t="str">
        <f>F8</f>
        <v>Godrej Exquisite</v>
      </c>
      <c r="G349" s="18"/>
      <c r="H349" s="18"/>
      <c r="I349" s="18"/>
      <c r="J349" s="18"/>
    </row>
    <row r="350" spans="1:10" x14ac:dyDescent="0.25">
      <c r="A350" s="18"/>
      <c r="B350" s="18"/>
      <c r="C350" s="18"/>
      <c r="D350" s="18"/>
      <c r="E350" s="18"/>
      <c r="F350" s="18"/>
      <c r="G350" s="18"/>
      <c r="H350" s="18"/>
      <c r="I350" s="18"/>
      <c r="J350" s="18"/>
    </row>
    <row r="351" spans="1:10" x14ac:dyDescent="0.25">
      <c r="A351" s="18"/>
      <c r="B351" s="18"/>
      <c r="C351" s="18"/>
      <c r="D351" s="18"/>
      <c r="E351" s="18"/>
      <c r="F351" s="18"/>
      <c r="G351" s="18"/>
      <c r="H351" s="18"/>
      <c r="I351" s="18"/>
      <c r="J351" s="18"/>
    </row>
    <row r="352" spans="1:10" ht="15" customHeight="1" x14ac:dyDescent="0.25"/>
    <row r="384" spans="12:12" x14ac:dyDescent="0.25">
      <c r="L384"/>
    </row>
    <row r="391" spans="1:1" x14ac:dyDescent="0.25">
      <c r="A391" s="19" t="s">
        <v>92</v>
      </c>
    </row>
  </sheetData>
  <mergeCells count="699">
    <mergeCell ref="A58:C58"/>
    <mergeCell ref="D58:J58"/>
    <mergeCell ref="A54:C54"/>
    <mergeCell ref="D54:J54"/>
    <mergeCell ref="D55:J55"/>
    <mergeCell ref="A57:C57"/>
    <mergeCell ref="D57:J57"/>
    <mergeCell ref="D322:E322"/>
    <mergeCell ref="A323:B323"/>
    <mergeCell ref="D323:E323"/>
    <mergeCell ref="A312:J312"/>
    <mergeCell ref="A313:B313"/>
    <mergeCell ref="D313:E313"/>
    <mergeCell ref="H313:J318"/>
    <mergeCell ref="A314:B314"/>
    <mergeCell ref="D314:E314"/>
    <mergeCell ref="A319:J319"/>
    <mergeCell ref="H320:J325"/>
    <mergeCell ref="A321:B321"/>
    <mergeCell ref="D321:E321"/>
    <mergeCell ref="A322:B322"/>
    <mergeCell ref="A324:B324"/>
    <mergeCell ref="C324:G324"/>
    <mergeCell ref="A325:B325"/>
    <mergeCell ref="A326:J326"/>
    <mergeCell ref="A327:B327"/>
    <mergeCell ref="D327:E327"/>
    <mergeCell ref="H327:J332"/>
    <mergeCell ref="A328:B328"/>
    <mergeCell ref="D328:E328"/>
    <mergeCell ref="A329:B329"/>
    <mergeCell ref="D329:E329"/>
    <mergeCell ref="A330:B330"/>
    <mergeCell ref="D330:E330"/>
    <mergeCell ref="A331:B331"/>
    <mergeCell ref="D331:E331"/>
    <mergeCell ref="A332:B332"/>
    <mergeCell ref="D332:E332"/>
    <mergeCell ref="D325:E325"/>
    <mergeCell ref="A320:B320"/>
    <mergeCell ref="D320:E320"/>
    <mergeCell ref="A305:J305"/>
    <mergeCell ref="A306:B306"/>
    <mergeCell ref="D306:E306"/>
    <mergeCell ref="H306:J311"/>
    <mergeCell ref="A307:B307"/>
    <mergeCell ref="D307:E307"/>
    <mergeCell ref="A308:B308"/>
    <mergeCell ref="D308:E308"/>
    <mergeCell ref="A309:B309"/>
    <mergeCell ref="D309:E309"/>
    <mergeCell ref="A310:B310"/>
    <mergeCell ref="D310:E310"/>
    <mergeCell ref="A311:B311"/>
    <mergeCell ref="D311:E311"/>
    <mergeCell ref="A315:B315"/>
    <mergeCell ref="D315:E315"/>
    <mergeCell ref="A316:B316"/>
    <mergeCell ref="D316:E316"/>
    <mergeCell ref="A317:B317"/>
    <mergeCell ref="D317:E317"/>
    <mergeCell ref="A318:B318"/>
    <mergeCell ref="D318:E318"/>
    <mergeCell ref="H242:J244"/>
    <mergeCell ref="H246:J248"/>
    <mergeCell ref="A298:J298"/>
    <mergeCell ref="A299:B299"/>
    <mergeCell ref="D299:E299"/>
    <mergeCell ref="H299:J304"/>
    <mergeCell ref="A300:B300"/>
    <mergeCell ref="D300:E300"/>
    <mergeCell ref="A301:B301"/>
    <mergeCell ref="D301:E301"/>
    <mergeCell ref="A302:B302"/>
    <mergeCell ref="D302:E302"/>
    <mergeCell ref="A303:B303"/>
    <mergeCell ref="D303:E303"/>
    <mergeCell ref="A304:B304"/>
    <mergeCell ref="D304:E304"/>
    <mergeCell ref="A242:B242"/>
    <mergeCell ref="D260:E260"/>
    <mergeCell ref="A261:B261"/>
    <mergeCell ref="A262:B262"/>
    <mergeCell ref="D262:E262"/>
    <mergeCell ref="A256:J256"/>
    <mergeCell ref="A257:B257"/>
    <mergeCell ref="D257:E257"/>
    <mergeCell ref="A226:B226"/>
    <mergeCell ref="D226:E226"/>
    <mergeCell ref="A227:B227"/>
    <mergeCell ref="D227:E227"/>
    <mergeCell ref="A228:B228"/>
    <mergeCell ref="D228:E228"/>
    <mergeCell ref="A229:J229"/>
    <mergeCell ref="A230:B230"/>
    <mergeCell ref="D230:E230"/>
    <mergeCell ref="H230:J235"/>
    <mergeCell ref="A231:B231"/>
    <mergeCell ref="D231:E231"/>
    <mergeCell ref="A232:B232"/>
    <mergeCell ref="D232:E232"/>
    <mergeCell ref="A233:B233"/>
    <mergeCell ref="D233:E233"/>
    <mergeCell ref="A234:B234"/>
    <mergeCell ref="C234:G234"/>
    <mergeCell ref="A235:B235"/>
    <mergeCell ref="D235:E235"/>
    <mergeCell ref="A189:B189"/>
    <mergeCell ref="D189:E189"/>
    <mergeCell ref="H189:J194"/>
    <mergeCell ref="A190:B190"/>
    <mergeCell ref="D190:E190"/>
    <mergeCell ref="A191:B191"/>
    <mergeCell ref="D191:E191"/>
    <mergeCell ref="A192:B192"/>
    <mergeCell ref="D192:E192"/>
    <mergeCell ref="A193:B193"/>
    <mergeCell ref="C193:G193"/>
    <mergeCell ref="A194:B194"/>
    <mergeCell ref="D194:E194"/>
    <mergeCell ref="A103:J103"/>
    <mergeCell ref="A104:B104"/>
    <mergeCell ref="C104:J104"/>
    <mergeCell ref="A102:J102"/>
    <mergeCell ref="A50:J50"/>
    <mergeCell ref="A51:C51"/>
    <mergeCell ref="A69:B69"/>
    <mergeCell ref="A84:B84"/>
    <mergeCell ref="D84:E84"/>
    <mergeCell ref="A85:B85"/>
    <mergeCell ref="A52:C52"/>
    <mergeCell ref="D51:J51"/>
    <mergeCell ref="D52:J52"/>
    <mergeCell ref="A53:C53"/>
    <mergeCell ref="D53:J53"/>
    <mergeCell ref="A59:J59"/>
    <mergeCell ref="A67:B67"/>
    <mergeCell ref="D67:E67"/>
    <mergeCell ref="A68:B68"/>
    <mergeCell ref="D68:E68"/>
    <mergeCell ref="A78:B78"/>
    <mergeCell ref="D78:E78"/>
    <mergeCell ref="F78:G87"/>
    <mergeCell ref="H78:J87"/>
    <mergeCell ref="H150:J157"/>
    <mergeCell ref="H160:J162"/>
    <mergeCell ref="H164:J166"/>
    <mergeCell ref="H168:J173"/>
    <mergeCell ref="C179:G179"/>
    <mergeCell ref="H175:J180"/>
    <mergeCell ref="G114:J114"/>
    <mergeCell ref="A115:F115"/>
    <mergeCell ref="G115:J115"/>
    <mergeCell ref="A116:F116"/>
    <mergeCell ref="G116:J116"/>
    <mergeCell ref="A131:B131"/>
    <mergeCell ref="D131:F131"/>
    <mergeCell ref="G131:J131"/>
    <mergeCell ref="A128:B128"/>
    <mergeCell ref="A127:B127"/>
    <mergeCell ref="D127:F127"/>
    <mergeCell ref="G127:J127"/>
    <mergeCell ref="D128:F128"/>
    <mergeCell ref="G128:J128"/>
    <mergeCell ref="A156:B156"/>
    <mergeCell ref="A153:B153"/>
    <mergeCell ref="D153:E153"/>
    <mergeCell ref="A154:B154"/>
    <mergeCell ref="K150:L150"/>
    <mergeCell ref="K151:L151"/>
    <mergeCell ref="K152:L152"/>
    <mergeCell ref="K153:L153"/>
    <mergeCell ref="D69:E69"/>
    <mergeCell ref="A70:B70"/>
    <mergeCell ref="D70:E70"/>
    <mergeCell ref="A71:B71"/>
    <mergeCell ref="D71:E71"/>
    <mergeCell ref="A72:B72"/>
    <mergeCell ref="A108:F108"/>
    <mergeCell ref="G108:J108"/>
    <mergeCell ref="A105:J105"/>
    <mergeCell ref="A106:F106"/>
    <mergeCell ref="G106:J106"/>
    <mergeCell ref="A107:F107"/>
    <mergeCell ref="G107:J107"/>
    <mergeCell ref="I75:J75"/>
    <mergeCell ref="A76:B76"/>
    <mergeCell ref="C76:J76"/>
    <mergeCell ref="A77:B77"/>
    <mergeCell ref="D77:E77"/>
    <mergeCell ref="F77:G77"/>
    <mergeCell ref="H77:J77"/>
    <mergeCell ref="K154:L154"/>
    <mergeCell ref="K155:L155"/>
    <mergeCell ref="K156:L156"/>
    <mergeCell ref="K157:L157"/>
    <mergeCell ref="A109:F109"/>
    <mergeCell ref="G109:J109"/>
    <mergeCell ref="A117:F117"/>
    <mergeCell ref="G117:J117"/>
    <mergeCell ref="A118:F118"/>
    <mergeCell ref="G118:J118"/>
    <mergeCell ref="A121:J121"/>
    <mergeCell ref="A119:F119"/>
    <mergeCell ref="G119:J119"/>
    <mergeCell ref="A120:F120"/>
    <mergeCell ref="G120:J120"/>
    <mergeCell ref="A111:F111"/>
    <mergeCell ref="G111:J111"/>
    <mergeCell ref="A113:F113"/>
    <mergeCell ref="G113:J113"/>
    <mergeCell ref="A114:F114"/>
    <mergeCell ref="A110:F110"/>
    <mergeCell ref="G110:J110"/>
    <mergeCell ref="G130:J130"/>
    <mergeCell ref="A122:B122"/>
    <mergeCell ref="A345:J348"/>
    <mergeCell ref="A344:B344"/>
    <mergeCell ref="E344:G344"/>
    <mergeCell ref="C344:D344"/>
    <mergeCell ref="H344:J344"/>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29:B29"/>
    <mergeCell ref="A10:E10"/>
    <mergeCell ref="F10:J10"/>
    <mergeCell ref="A5:E5"/>
    <mergeCell ref="F5:J5"/>
    <mergeCell ref="A6:E6"/>
    <mergeCell ref="F6:J6"/>
    <mergeCell ref="A7:E7"/>
    <mergeCell ref="F7:J7"/>
    <mergeCell ref="A14:B14"/>
    <mergeCell ref="A11:E11"/>
    <mergeCell ref="F11:J11"/>
    <mergeCell ref="A12:E12"/>
    <mergeCell ref="F12:J12"/>
    <mergeCell ref="C14:J14"/>
    <mergeCell ref="A13:B13"/>
    <mergeCell ref="C13:J13"/>
    <mergeCell ref="A1:J1"/>
    <mergeCell ref="A2:J2"/>
    <mergeCell ref="A3:E3"/>
    <mergeCell ref="F3:J3"/>
    <mergeCell ref="A4:E4"/>
    <mergeCell ref="A8:E8"/>
    <mergeCell ref="F8:J8"/>
    <mergeCell ref="A9:E9"/>
    <mergeCell ref="F9:J9"/>
    <mergeCell ref="F4:J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C29:D29"/>
    <mergeCell ref="E29:F29"/>
    <mergeCell ref="G29:H29"/>
    <mergeCell ref="I29:J29"/>
    <mergeCell ref="A31:J31"/>
    <mergeCell ref="A32:B32"/>
    <mergeCell ref="A30:J30"/>
    <mergeCell ref="C32:J32"/>
    <mergeCell ref="A34:J34"/>
    <mergeCell ref="A33:B33"/>
    <mergeCell ref="C33:J33"/>
    <mergeCell ref="A36:E36"/>
    <mergeCell ref="F36:J36"/>
    <mergeCell ref="A37:J37"/>
    <mergeCell ref="H49:J49"/>
    <mergeCell ref="A49:B49"/>
    <mergeCell ref="C49:F49"/>
    <mergeCell ref="A55:C55"/>
    <mergeCell ref="A38:E38"/>
    <mergeCell ref="F38:J38"/>
    <mergeCell ref="H45:J45"/>
    <mergeCell ref="H46:J46"/>
    <mergeCell ref="A46:B46"/>
    <mergeCell ref="C46:F46"/>
    <mergeCell ref="C47:F47"/>
    <mergeCell ref="A45:B45"/>
    <mergeCell ref="C45:F45"/>
    <mergeCell ref="A40:E40"/>
    <mergeCell ref="F40:J40"/>
    <mergeCell ref="A47:B48"/>
    <mergeCell ref="C48:J48"/>
    <mergeCell ref="H47:J47"/>
    <mergeCell ref="D85:E85"/>
    <mergeCell ref="A86:B86"/>
    <mergeCell ref="D86:E86"/>
    <mergeCell ref="A87:B87"/>
    <mergeCell ref="D87:E87"/>
    <mergeCell ref="D79:E79"/>
    <mergeCell ref="A80:B80"/>
    <mergeCell ref="D80:E80"/>
    <mergeCell ref="A81:B81"/>
    <mergeCell ref="D81:E81"/>
    <mergeCell ref="A82:B82"/>
    <mergeCell ref="D82:E82"/>
    <mergeCell ref="A83:B83"/>
    <mergeCell ref="D83:E83"/>
    <mergeCell ref="A112:F112"/>
    <mergeCell ref="G112:J112"/>
    <mergeCell ref="D139:E139"/>
    <mergeCell ref="A133:B133"/>
    <mergeCell ref="D133:F133"/>
    <mergeCell ref="G133:J133"/>
    <mergeCell ref="D122:F122"/>
    <mergeCell ref="G122:J122"/>
    <mergeCell ref="A123:B123"/>
    <mergeCell ref="D123:F123"/>
    <mergeCell ref="G123:J123"/>
    <mergeCell ref="A126:J126"/>
    <mergeCell ref="A125:B125"/>
    <mergeCell ref="D125:F125"/>
    <mergeCell ref="G125:J125"/>
    <mergeCell ref="H139:J148"/>
    <mergeCell ref="H136:J136"/>
    <mergeCell ref="A142:B142"/>
    <mergeCell ref="D142:E142"/>
    <mergeCell ref="D140:E140"/>
    <mergeCell ref="A139:B139"/>
    <mergeCell ref="D141:E141"/>
    <mergeCell ref="D154:E154"/>
    <mergeCell ref="A151:B151"/>
    <mergeCell ref="D151:E151"/>
    <mergeCell ref="A152:B152"/>
    <mergeCell ref="D152:E152"/>
    <mergeCell ref="A145:B145"/>
    <mergeCell ref="D145:E145"/>
    <mergeCell ref="A147:B147"/>
    <mergeCell ref="D147:E147"/>
    <mergeCell ref="A148:B148"/>
    <mergeCell ref="D148:E148"/>
    <mergeCell ref="A157:B157"/>
    <mergeCell ref="A150:B150"/>
    <mergeCell ref="D150:E150"/>
    <mergeCell ref="A198:J198"/>
    <mergeCell ref="A238:J238"/>
    <mergeCell ref="A239:J239"/>
    <mergeCell ref="A149:J149"/>
    <mergeCell ref="D170:E170"/>
    <mergeCell ref="A171:B171"/>
    <mergeCell ref="D171:E171"/>
    <mergeCell ref="A172:B172"/>
    <mergeCell ref="D172:E172"/>
    <mergeCell ref="A158:J158"/>
    <mergeCell ref="H205:J207"/>
    <mergeCell ref="H201:J203"/>
    <mergeCell ref="H209:J214"/>
    <mergeCell ref="C220:G220"/>
    <mergeCell ref="H216:J221"/>
    <mergeCell ref="D169:E169"/>
    <mergeCell ref="A170:B170"/>
    <mergeCell ref="A155:B155"/>
    <mergeCell ref="D155:E155"/>
    <mergeCell ref="D156:E156"/>
    <mergeCell ref="A160:B160"/>
    <mergeCell ref="D160:E160"/>
    <mergeCell ref="A161:B161"/>
    <mergeCell ref="D161:E161"/>
    <mergeCell ref="A162:B162"/>
    <mergeCell ref="D162:E162"/>
    <mergeCell ref="A163:J163"/>
    <mergeCell ref="A164:B164"/>
    <mergeCell ref="D164:E164"/>
    <mergeCell ref="A165:B165"/>
    <mergeCell ref="D165:E165"/>
    <mergeCell ref="A166:B166"/>
    <mergeCell ref="D166:E166"/>
    <mergeCell ref="A167:J167"/>
    <mergeCell ref="A173:B173"/>
    <mergeCell ref="D173:E173"/>
    <mergeCell ref="A41:E41"/>
    <mergeCell ref="F41:J41"/>
    <mergeCell ref="A42:E42"/>
    <mergeCell ref="F42:J42"/>
    <mergeCell ref="A43:E43"/>
    <mergeCell ref="F43:J43"/>
    <mergeCell ref="A44:J44"/>
    <mergeCell ref="D157:E157"/>
    <mergeCell ref="D168:E168"/>
    <mergeCell ref="A169:B169"/>
    <mergeCell ref="F89:G89"/>
    <mergeCell ref="I89:J89"/>
    <mergeCell ref="A90:B90"/>
    <mergeCell ref="C90:J90"/>
    <mergeCell ref="A74:B74"/>
    <mergeCell ref="C74:J74"/>
    <mergeCell ref="F75:G75"/>
    <mergeCell ref="D73:E73"/>
    <mergeCell ref="A88:B88"/>
    <mergeCell ref="A339:J339"/>
    <mergeCell ref="A340:J340"/>
    <mergeCell ref="A253:B253"/>
    <mergeCell ref="D253:E253"/>
    <mergeCell ref="A255:B255"/>
    <mergeCell ref="D255:E255"/>
    <mergeCell ref="A254:B254"/>
    <mergeCell ref="D254:E254"/>
    <mergeCell ref="A243:B243"/>
    <mergeCell ref="D243:E243"/>
    <mergeCell ref="A244:B244"/>
    <mergeCell ref="D244:E244"/>
    <mergeCell ref="A333:J333"/>
    <mergeCell ref="D246:E246"/>
    <mergeCell ref="A247:B247"/>
    <mergeCell ref="D247:E247"/>
    <mergeCell ref="A248:B248"/>
    <mergeCell ref="D248:E248"/>
    <mergeCell ref="A334:J334"/>
    <mergeCell ref="A251:B251"/>
    <mergeCell ref="D251:E251"/>
    <mergeCell ref="A252:B252"/>
    <mergeCell ref="D252:E252"/>
    <mergeCell ref="A260:B260"/>
    <mergeCell ref="A341:J341"/>
    <mergeCell ref="A342:J342"/>
    <mergeCell ref="A343:J343"/>
    <mergeCell ref="A124:B124"/>
    <mergeCell ref="D124:F124"/>
    <mergeCell ref="G124:J124"/>
    <mergeCell ref="A56:C56"/>
    <mergeCell ref="D56:J56"/>
    <mergeCell ref="A335:J335"/>
    <mergeCell ref="A336:J336"/>
    <mergeCell ref="A337:J337"/>
    <mergeCell ref="A338:J338"/>
    <mergeCell ref="A138:J138"/>
    <mergeCell ref="A197:J197"/>
    <mergeCell ref="D242:E242"/>
    <mergeCell ref="A199:J199"/>
    <mergeCell ref="A240:J240"/>
    <mergeCell ref="A159:J159"/>
    <mergeCell ref="A241:J241"/>
    <mergeCell ref="A168:B168"/>
    <mergeCell ref="A180:B180"/>
    <mergeCell ref="D180:E180"/>
    <mergeCell ref="A200:J200"/>
    <mergeCell ref="A201:B201"/>
    <mergeCell ref="D201:E201"/>
    <mergeCell ref="A195:J195"/>
    <mergeCell ref="A249:J249"/>
    <mergeCell ref="A250:B250"/>
    <mergeCell ref="D250:E250"/>
    <mergeCell ref="A245:J245"/>
    <mergeCell ref="A246:B246"/>
    <mergeCell ref="A207:B207"/>
    <mergeCell ref="D207:E207"/>
    <mergeCell ref="A208:J208"/>
    <mergeCell ref="A209:B209"/>
    <mergeCell ref="D209:E209"/>
    <mergeCell ref="A202:B202"/>
    <mergeCell ref="D202:E202"/>
    <mergeCell ref="A203:B203"/>
    <mergeCell ref="D203:E203"/>
    <mergeCell ref="A204:J204"/>
    <mergeCell ref="A205:B205"/>
    <mergeCell ref="D205:E205"/>
    <mergeCell ref="A206:B206"/>
    <mergeCell ref="A210:B210"/>
    <mergeCell ref="D210:E210"/>
    <mergeCell ref="A211:B211"/>
    <mergeCell ref="D211:E211"/>
    <mergeCell ref="D258:E258"/>
    <mergeCell ref="A259:B259"/>
    <mergeCell ref="D259:E259"/>
    <mergeCell ref="H250:J255"/>
    <mergeCell ref="C261:G261"/>
    <mergeCell ref="H257:J262"/>
    <mergeCell ref="D213:E213"/>
    <mergeCell ref="A214:B214"/>
    <mergeCell ref="D214:E214"/>
    <mergeCell ref="A215:J215"/>
    <mergeCell ref="A216:B216"/>
    <mergeCell ref="D216:E216"/>
    <mergeCell ref="A220:B220"/>
    <mergeCell ref="A221:B221"/>
    <mergeCell ref="D221:E221"/>
    <mergeCell ref="D219:E219"/>
    <mergeCell ref="A222:J222"/>
    <mergeCell ref="A223:B223"/>
    <mergeCell ref="D223:E223"/>
    <mergeCell ref="H223:J228"/>
    <mergeCell ref="A224:B224"/>
    <mergeCell ref="D224:E224"/>
    <mergeCell ref="A225:B225"/>
    <mergeCell ref="D225:E225"/>
    <mergeCell ref="A212:B212"/>
    <mergeCell ref="D212:E212"/>
    <mergeCell ref="A267:B267"/>
    <mergeCell ref="D267:E267"/>
    <mergeCell ref="A268:B268"/>
    <mergeCell ref="D268:E268"/>
    <mergeCell ref="A269:B269"/>
    <mergeCell ref="D269:E269"/>
    <mergeCell ref="A263:J263"/>
    <mergeCell ref="A264:B264"/>
    <mergeCell ref="D264:E264"/>
    <mergeCell ref="A265:B265"/>
    <mergeCell ref="D265:E265"/>
    <mergeCell ref="A266:B266"/>
    <mergeCell ref="D266:E266"/>
    <mergeCell ref="H264:J269"/>
    <mergeCell ref="A236:J236"/>
    <mergeCell ref="A237:J237"/>
    <mergeCell ref="A217:B217"/>
    <mergeCell ref="D217:E217"/>
    <mergeCell ref="A218:B218"/>
    <mergeCell ref="D218:E218"/>
    <mergeCell ref="A219:B219"/>
    <mergeCell ref="A258:B258"/>
    <mergeCell ref="A274:B274"/>
    <mergeCell ref="D274:E274"/>
    <mergeCell ref="A275:B275"/>
    <mergeCell ref="D275:E275"/>
    <mergeCell ref="A276:B276"/>
    <mergeCell ref="D276:E276"/>
    <mergeCell ref="A270:J270"/>
    <mergeCell ref="A271:B271"/>
    <mergeCell ref="D271:E271"/>
    <mergeCell ref="A272:B272"/>
    <mergeCell ref="D272:E272"/>
    <mergeCell ref="A273:B273"/>
    <mergeCell ref="D273:E273"/>
    <mergeCell ref="H271:J276"/>
    <mergeCell ref="A281:B281"/>
    <mergeCell ref="D281:E281"/>
    <mergeCell ref="A282:B282"/>
    <mergeCell ref="A283:B283"/>
    <mergeCell ref="D283:E283"/>
    <mergeCell ref="A277:J277"/>
    <mergeCell ref="A278:B278"/>
    <mergeCell ref="D278:E278"/>
    <mergeCell ref="A279:B279"/>
    <mergeCell ref="D279:E279"/>
    <mergeCell ref="A280:B280"/>
    <mergeCell ref="D280:E280"/>
    <mergeCell ref="C282:G282"/>
    <mergeCell ref="H278:J283"/>
    <mergeCell ref="A288:B288"/>
    <mergeCell ref="D288:E288"/>
    <mergeCell ref="A289:B289"/>
    <mergeCell ref="D289:E289"/>
    <mergeCell ref="A290:B290"/>
    <mergeCell ref="D290:E290"/>
    <mergeCell ref="A284:J284"/>
    <mergeCell ref="A285:B285"/>
    <mergeCell ref="D285:E285"/>
    <mergeCell ref="A286:B286"/>
    <mergeCell ref="D286:E286"/>
    <mergeCell ref="A287:B287"/>
    <mergeCell ref="D287:E287"/>
    <mergeCell ref="H285:J290"/>
    <mergeCell ref="A295:B295"/>
    <mergeCell ref="D295:E295"/>
    <mergeCell ref="A296:B296"/>
    <mergeCell ref="A297:B297"/>
    <mergeCell ref="D297:E297"/>
    <mergeCell ref="A291:J291"/>
    <mergeCell ref="A292:B292"/>
    <mergeCell ref="D292:E292"/>
    <mergeCell ref="A293:B293"/>
    <mergeCell ref="D293:E293"/>
    <mergeCell ref="A294:B294"/>
    <mergeCell ref="D294:E294"/>
    <mergeCell ref="C296:G296"/>
    <mergeCell ref="H292:J297"/>
    <mergeCell ref="D175:E175"/>
    <mergeCell ref="A176:B176"/>
    <mergeCell ref="D176:E176"/>
    <mergeCell ref="A196:J196"/>
    <mergeCell ref="A177:B177"/>
    <mergeCell ref="D177:E177"/>
    <mergeCell ref="A178:B178"/>
    <mergeCell ref="D178:E178"/>
    <mergeCell ref="A179:B179"/>
    <mergeCell ref="A181:J181"/>
    <mergeCell ref="A182:B182"/>
    <mergeCell ref="D182:E182"/>
    <mergeCell ref="H182:J187"/>
    <mergeCell ref="A183:B183"/>
    <mergeCell ref="D183:E183"/>
    <mergeCell ref="A184:B184"/>
    <mergeCell ref="D184:E184"/>
    <mergeCell ref="A185:B185"/>
    <mergeCell ref="D185:E185"/>
    <mergeCell ref="A186:B186"/>
    <mergeCell ref="D186:E186"/>
    <mergeCell ref="A187:B187"/>
    <mergeCell ref="D187:E187"/>
    <mergeCell ref="A188:J188"/>
    <mergeCell ref="D206:E206"/>
    <mergeCell ref="A213:B213"/>
    <mergeCell ref="A60:B60"/>
    <mergeCell ref="C60:J60"/>
    <mergeCell ref="F61:G61"/>
    <mergeCell ref="I61:J61"/>
    <mergeCell ref="A62:B62"/>
    <mergeCell ref="C62:J62"/>
    <mergeCell ref="A63:B63"/>
    <mergeCell ref="D63:E63"/>
    <mergeCell ref="F63:G63"/>
    <mergeCell ref="H63:J63"/>
    <mergeCell ref="A64:B64"/>
    <mergeCell ref="D64:E64"/>
    <mergeCell ref="F64:G73"/>
    <mergeCell ref="H64:J73"/>
    <mergeCell ref="A65:B65"/>
    <mergeCell ref="D65:E65"/>
    <mergeCell ref="A66:B66"/>
    <mergeCell ref="D66:E66"/>
    <mergeCell ref="D72:E72"/>
    <mergeCell ref="A73:B73"/>
    <mergeCell ref="A174:J174"/>
    <mergeCell ref="A175:B175"/>
    <mergeCell ref="C88:J88"/>
    <mergeCell ref="A79:B79"/>
    <mergeCell ref="H91:J91"/>
    <mergeCell ref="A92:B92"/>
    <mergeCell ref="D92:E92"/>
    <mergeCell ref="F92:G101"/>
    <mergeCell ref="H92:J101"/>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A100:B100"/>
    <mergeCell ref="D101:E101"/>
    <mergeCell ref="A91:B91"/>
    <mergeCell ref="D91:E91"/>
    <mergeCell ref="F91:G91"/>
    <mergeCell ref="A146:B146"/>
    <mergeCell ref="D146:E146"/>
    <mergeCell ref="A132:B132"/>
    <mergeCell ref="D132:F132"/>
    <mergeCell ref="G132:J132"/>
    <mergeCell ref="A134:J134"/>
    <mergeCell ref="A135:J135"/>
    <mergeCell ref="A130:B130"/>
    <mergeCell ref="D136:E136"/>
    <mergeCell ref="A137:J137"/>
    <mergeCell ref="A129:B129"/>
    <mergeCell ref="D129:F129"/>
    <mergeCell ref="G129:J129"/>
    <mergeCell ref="D130:F130"/>
    <mergeCell ref="A143:B143"/>
    <mergeCell ref="D143:E143"/>
    <mergeCell ref="A141:B141"/>
    <mergeCell ref="D100:E100"/>
    <mergeCell ref="A101:B101"/>
    <mergeCell ref="A144:B144"/>
    <mergeCell ref="D144:E144"/>
    <mergeCell ref="A140:B140"/>
  </mergeCells>
  <phoneticPr fontId="18" type="noConversion"/>
  <hyperlinks>
    <hyperlink ref="C33" r:id="rId1"/>
  </hyperlinks>
  <pageMargins left="0.39370078740157483" right="0.39370078740157483"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2" manualBreakCount="2">
    <brk id="348" max="16383" man="1"/>
    <brk id="39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0" workbookViewId="0">
      <selection activeCell="B27" sqref="B27"/>
    </sheetView>
  </sheetViews>
  <sheetFormatPr defaultRowHeight="15" x14ac:dyDescent="0.25"/>
  <sheetData>
    <row r="1" spans="1:2" x14ac:dyDescent="0.25">
      <c r="A1">
        <v>2</v>
      </c>
      <c r="B1">
        <v>50</v>
      </c>
    </row>
    <row r="2" spans="1:2" x14ac:dyDescent="0.25">
      <c r="A2">
        <v>3</v>
      </c>
      <c r="B2">
        <f>B1+50</f>
        <v>100</v>
      </c>
    </row>
    <row r="3" spans="1:2" x14ac:dyDescent="0.25">
      <c r="A3">
        <v>4</v>
      </c>
      <c r="B3">
        <f>B2+50</f>
        <v>150</v>
      </c>
    </row>
    <row r="4" spans="1:2" x14ac:dyDescent="0.25">
      <c r="A4">
        <v>5</v>
      </c>
      <c r="B4">
        <f t="shared" ref="B4:B22" si="0">B3+50</f>
        <v>200</v>
      </c>
    </row>
    <row r="5" spans="1:2" x14ac:dyDescent="0.25">
      <c r="A5">
        <v>6</v>
      </c>
      <c r="B5">
        <f t="shared" si="0"/>
        <v>250</v>
      </c>
    </row>
    <row r="6" spans="1:2" x14ac:dyDescent="0.25">
      <c r="A6">
        <v>7</v>
      </c>
      <c r="B6">
        <f t="shared" si="0"/>
        <v>300</v>
      </c>
    </row>
    <row r="7" spans="1:2" x14ac:dyDescent="0.25">
      <c r="A7">
        <v>8</v>
      </c>
      <c r="B7">
        <f t="shared" si="0"/>
        <v>350</v>
      </c>
    </row>
    <row r="8" spans="1:2" x14ac:dyDescent="0.25">
      <c r="A8">
        <v>9</v>
      </c>
      <c r="B8">
        <f t="shared" si="0"/>
        <v>400</v>
      </c>
    </row>
    <row r="9" spans="1:2" x14ac:dyDescent="0.25">
      <c r="A9">
        <v>10</v>
      </c>
      <c r="B9">
        <f t="shared" si="0"/>
        <v>450</v>
      </c>
    </row>
    <row r="10" spans="1:2" x14ac:dyDescent="0.25">
      <c r="A10">
        <v>11</v>
      </c>
      <c r="B10">
        <f t="shared" si="0"/>
        <v>500</v>
      </c>
    </row>
    <row r="11" spans="1:2" x14ac:dyDescent="0.25">
      <c r="A11">
        <v>12</v>
      </c>
      <c r="B11">
        <f t="shared" si="0"/>
        <v>550</v>
      </c>
    </row>
    <row r="12" spans="1:2" x14ac:dyDescent="0.25">
      <c r="A12">
        <v>13</v>
      </c>
      <c r="B12">
        <f t="shared" si="0"/>
        <v>600</v>
      </c>
    </row>
    <row r="13" spans="1:2" x14ac:dyDescent="0.25">
      <c r="A13">
        <v>14</v>
      </c>
      <c r="B13">
        <f t="shared" si="0"/>
        <v>650</v>
      </c>
    </row>
    <row r="14" spans="1:2" x14ac:dyDescent="0.25">
      <c r="A14">
        <v>15</v>
      </c>
      <c r="B14">
        <f t="shared" si="0"/>
        <v>700</v>
      </c>
    </row>
    <row r="15" spans="1:2" x14ac:dyDescent="0.25">
      <c r="A15">
        <v>16</v>
      </c>
      <c r="B15">
        <f t="shared" si="0"/>
        <v>750</v>
      </c>
    </row>
    <row r="16" spans="1:2" x14ac:dyDescent="0.25">
      <c r="A16">
        <v>17</v>
      </c>
      <c r="B16">
        <f t="shared" si="0"/>
        <v>800</v>
      </c>
    </row>
    <row r="17" spans="1:2" x14ac:dyDescent="0.25">
      <c r="A17">
        <v>18</v>
      </c>
      <c r="B17">
        <f t="shared" si="0"/>
        <v>850</v>
      </c>
    </row>
    <row r="18" spans="1:2" x14ac:dyDescent="0.25">
      <c r="A18">
        <v>19</v>
      </c>
      <c r="B18">
        <f t="shared" si="0"/>
        <v>900</v>
      </c>
    </row>
    <row r="19" spans="1:2" x14ac:dyDescent="0.25">
      <c r="A19">
        <v>20</v>
      </c>
      <c r="B19">
        <f t="shared" si="0"/>
        <v>950</v>
      </c>
    </row>
    <row r="20" spans="1:2" x14ac:dyDescent="0.25">
      <c r="A20">
        <v>21</v>
      </c>
      <c r="B20">
        <f t="shared" si="0"/>
        <v>1000</v>
      </c>
    </row>
    <row r="21" spans="1:2" x14ac:dyDescent="0.25">
      <c r="A21">
        <v>22</v>
      </c>
      <c r="B21">
        <f t="shared" si="0"/>
        <v>1050</v>
      </c>
    </row>
    <row r="22" spans="1:2" x14ac:dyDescent="0.25">
      <c r="A22">
        <v>23</v>
      </c>
      <c r="B22">
        <f t="shared" si="0"/>
        <v>1100</v>
      </c>
    </row>
    <row r="23" spans="1:2" x14ac:dyDescent="0.25">
      <c r="A23">
        <v>24</v>
      </c>
      <c r="B23">
        <f>B22+50</f>
        <v>1150</v>
      </c>
    </row>
    <row r="24" spans="1:2" x14ac:dyDescent="0.25">
      <c r="A24">
        <v>25</v>
      </c>
      <c r="B24">
        <f t="shared" ref="B24" si="1">B23+50</f>
        <v>1200</v>
      </c>
    </row>
    <row r="25" spans="1:2" x14ac:dyDescent="0.25">
      <c r="A25">
        <v>26</v>
      </c>
      <c r="B25">
        <f>B24+50</f>
        <v>1250</v>
      </c>
    </row>
    <row r="26" spans="1:2" x14ac:dyDescent="0.25">
      <c r="A26">
        <v>27</v>
      </c>
      <c r="B26">
        <f t="shared" ref="B26" si="2">B25+50</f>
        <v>1300</v>
      </c>
    </row>
    <row r="27" spans="1:2" x14ac:dyDescent="0.25">
      <c r="A27">
        <v>28</v>
      </c>
      <c r="B27">
        <f>B26+50</f>
        <v>1350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30" sqref="D30"/>
    </sheetView>
  </sheetViews>
  <sheetFormatPr defaultRowHeight="15" x14ac:dyDescent="0.25"/>
  <cols>
    <col min="1" max="1" width="20.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A2" s="22" t="s">
        <v>129</v>
      </c>
      <c r="B2" s="22" t="s">
        <v>130</v>
      </c>
      <c r="C2" s="22" t="s">
        <v>131</v>
      </c>
      <c r="D2" s="254" t="s">
        <v>132</v>
      </c>
      <c r="E2" s="254"/>
    </row>
    <row r="3" spans="1:13" x14ac:dyDescent="0.25">
      <c r="A3" s="25">
        <v>0</v>
      </c>
      <c r="B3" s="25">
        <v>3</v>
      </c>
      <c r="C3" s="25">
        <v>1</v>
      </c>
      <c r="D3" s="255">
        <v>33</v>
      </c>
      <c r="E3" s="255"/>
    </row>
    <row r="5" spans="1:13" hidden="1" x14ac:dyDescent="0.25">
      <c r="A5" s="21" t="s">
        <v>94</v>
      </c>
      <c r="B5" s="23" t="s">
        <v>146</v>
      </c>
      <c r="C5" s="23">
        <f>D3</f>
        <v>33</v>
      </c>
      <c r="D5" s="24"/>
    </row>
    <row r="6" spans="1:13" x14ac:dyDescent="0.25">
      <c r="A6" s="21" t="s">
        <v>95</v>
      </c>
      <c r="B6" s="26">
        <v>10</v>
      </c>
      <c r="C6" s="27">
        <v>1</v>
      </c>
      <c r="D6" s="28">
        <f>((100/B6)*C6)/100</f>
        <v>0.1</v>
      </c>
    </row>
    <row r="7" spans="1:13" x14ac:dyDescent="0.25">
      <c r="A7" s="21" t="s">
        <v>96</v>
      </c>
      <c r="B7" s="26">
        <f>A3+B3+C3+D3</f>
        <v>37</v>
      </c>
      <c r="C7" s="27">
        <v>0</v>
      </c>
      <c r="D7" s="28">
        <f t="shared" ref="D7:D12" si="0">((100/B7)*C7)/100</f>
        <v>0</v>
      </c>
      <c r="F7" s="257" t="s">
        <v>147</v>
      </c>
      <c r="G7" s="257"/>
      <c r="H7" s="29" t="s">
        <v>148</v>
      </c>
      <c r="J7" s="35"/>
    </row>
    <row r="8" spans="1:13" x14ac:dyDescent="0.25">
      <c r="A8" s="21" t="s">
        <v>101</v>
      </c>
      <c r="B8" s="26">
        <f>C5</f>
        <v>33</v>
      </c>
      <c r="C8" s="27">
        <v>0</v>
      </c>
      <c r="D8" s="28">
        <f t="shared" si="0"/>
        <v>0</v>
      </c>
      <c r="F8" s="256" t="s">
        <v>149</v>
      </c>
      <c r="G8" s="256"/>
      <c r="H8" s="26" t="s">
        <v>150</v>
      </c>
    </row>
    <row r="9" spans="1:13" x14ac:dyDescent="0.25">
      <c r="A9" s="21" t="s">
        <v>103</v>
      </c>
      <c r="B9" s="26">
        <f>C5</f>
        <v>33</v>
      </c>
      <c r="C9" s="27">
        <v>0</v>
      </c>
      <c r="D9" s="28">
        <f t="shared" si="0"/>
        <v>0</v>
      </c>
      <c r="F9" s="256" t="s">
        <v>151</v>
      </c>
      <c r="G9" s="256"/>
      <c r="H9" s="26" t="s">
        <v>152</v>
      </c>
    </row>
    <row r="10" spans="1:13" x14ac:dyDescent="0.25">
      <c r="A10" s="21" t="s">
        <v>65</v>
      </c>
      <c r="B10" s="26">
        <f>C5</f>
        <v>33</v>
      </c>
      <c r="C10" s="27">
        <v>0</v>
      </c>
      <c r="D10" s="28">
        <f t="shared" si="0"/>
        <v>0</v>
      </c>
      <c r="F10" s="256" t="s">
        <v>153</v>
      </c>
      <c r="G10" s="256"/>
      <c r="H10" s="26" t="s">
        <v>154</v>
      </c>
    </row>
    <row r="11" spans="1:13" x14ac:dyDescent="0.25">
      <c r="A11" s="30" t="s">
        <v>99</v>
      </c>
      <c r="B11" s="26">
        <f>C5</f>
        <v>33</v>
      </c>
      <c r="C11" s="27">
        <v>0</v>
      </c>
      <c r="D11" s="28">
        <f t="shared" si="0"/>
        <v>0</v>
      </c>
      <c r="F11" s="256" t="s">
        <v>155</v>
      </c>
      <c r="G11" s="256"/>
      <c r="H11" s="26" t="s">
        <v>156</v>
      </c>
    </row>
    <row r="12" spans="1:13" x14ac:dyDescent="0.25">
      <c r="A12" s="21" t="s">
        <v>66</v>
      </c>
      <c r="B12" s="26">
        <f>C5</f>
        <v>33</v>
      </c>
      <c r="C12" s="27">
        <v>0</v>
      </c>
      <c r="D12" s="28">
        <f t="shared" si="0"/>
        <v>0</v>
      </c>
      <c r="F12" s="256" t="s">
        <v>157</v>
      </c>
      <c r="G12" s="256"/>
      <c r="H12" s="26" t="s">
        <v>158</v>
      </c>
    </row>
    <row r="13" spans="1:13" x14ac:dyDescent="0.25">
      <c r="F13" s="256" t="s">
        <v>159</v>
      </c>
      <c r="G13" s="256"/>
      <c r="H13" s="26" t="s">
        <v>160</v>
      </c>
    </row>
    <row r="14" spans="1:13" hidden="1" x14ac:dyDescent="0.25">
      <c r="A14" s="22"/>
      <c r="B14" s="22" t="s">
        <v>100</v>
      </c>
      <c r="C14" s="22" t="s">
        <v>104</v>
      </c>
      <c r="G14" s="22" t="s">
        <v>95</v>
      </c>
      <c r="H14" s="22" t="s">
        <v>97</v>
      </c>
      <c r="I14" s="22" t="s">
        <v>98</v>
      </c>
      <c r="J14" s="22" t="s">
        <v>64</v>
      </c>
      <c r="K14" s="22" t="s">
        <v>65</v>
      </c>
      <c r="L14" s="22" t="s">
        <v>99</v>
      </c>
      <c r="M14" s="22" t="s">
        <v>66</v>
      </c>
    </row>
    <row r="15" spans="1:13" hidden="1" x14ac:dyDescent="0.25">
      <c r="A15" s="22" t="s">
        <v>62</v>
      </c>
      <c r="B15" s="22">
        <f>G15</f>
        <v>1</v>
      </c>
      <c r="C15" s="22">
        <f>G16</f>
        <v>21</v>
      </c>
      <c r="E15" s="254" t="s">
        <v>100</v>
      </c>
      <c r="F15" s="254"/>
      <c r="G15" s="31">
        <f>C6</f>
        <v>1</v>
      </c>
      <c r="H15" s="31">
        <f>40/B7*C7</f>
        <v>0</v>
      </c>
      <c r="I15" s="31">
        <f>15/B8*C8</f>
        <v>0</v>
      </c>
      <c r="J15" s="31">
        <f>10/B9*C9</f>
        <v>0</v>
      </c>
      <c r="K15" s="31">
        <f>10/B10*C10</f>
        <v>0</v>
      </c>
      <c r="L15" s="31">
        <f>5/B11*C11</f>
        <v>0</v>
      </c>
      <c r="M15" s="31">
        <f>5/B12*C12</f>
        <v>0</v>
      </c>
    </row>
    <row r="16" spans="1:13" hidden="1" x14ac:dyDescent="0.25">
      <c r="A16" s="22" t="s">
        <v>63</v>
      </c>
      <c r="B16" s="22">
        <f>H15</f>
        <v>0</v>
      </c>
      <c r="C16" s="22">
        <f>H16</f>
        <v>0</v>
      </c>
      <c r="E16" s="254" t="s">
        <v>102</v>
      </c>
      <c r="F16" s="254"/>
      <c r="G16" s="22">
        <f>G15+20</f>
        <v>21</v>
      </c>
      <c r="H16" s="22">
        <f>30/B7*C7</f>
        <v>0</v>
      </c>
      <c r="I16" s="22">
        <f>15/B8*C8</f>
        <v>0</v>
      </c>
      <c r="J16" s="22">
        <f>10/B9*C9</f>
        <v>0</v>
      </c>
      <c r="K16" s="22">
        <f>5/B10*C10</f>
        <v>0</v>
      </c>
      <c r="L16" s="22">
        <f>5/B11*C11</f>
        <v>0</v>
      </c>
      <c r="M16" s="22">
        <f>5/B12*C12</f>
        <v>0</v>
      </c>
    </row>
    <row r="17" spans="1:8" hidden="1" x14ac:dyDescent="0.25">
      <c r="A17" s="22" t="s">
        <v>98</v>
      </c>
      <c r="B17" s="22">
        <f>I15</f>
        <v>0</v>
      </c>
      <c r="C17" s="22">
        <f>I16</f>
        <v>0</v>
      </c>
    </row>
    <row r="18" spans="1:8" hidden="1" x14ac:dyDescent="0.25">
      <c r="A18" s="22" t="s">
        <v>64</v>
      </c>
      <c r="B18" s="22">
        <f>J15</f>
        <v>0</v>
      </c>
      <c r="C18" s="22">
        <f>J16</f>
        <v>0</v>
      </c>
    </row>
    <row r="19" spans="1:8" hidden="1" x14ac:dyDescent="0.25">
      <c r="A19" s="22" t="s">
        <v>65</v>
      </c>
      <c r="B19" s="22">
        <f>K15</f>
        <v>0</v>
      </c>
      <c r="C19" s="22">
        <f>K16</f>
        <v>0</v>
      </c>
    </row>
    <row r="20" spans="1:8" hidden="1" x14ac:dyDescent="0.25">
      <c r="A20" s="32" t="s">
        <v>99</v>
      </c>
      <c r="B20" s="22">
        <f>L15</f>
        <v>0</v>
      </c>
      <c r="C20" s="22">
        <f>L16</f>
        <v>0</v>
      </c>
    </row>
    <row r="21" spans="1:8" hidden="1" x14ac:dyDescent="0.25">
      <c r="A21" s="22" t="s">
        <v>66</v>
      </c>
      <c r="B21" s="22">
        <f>M15</f>
        <v>0</v>
      </c>
      <c r="C21" s="22">
        <f>M16</f>
        <v>0</v>
      </c>
    </row>
    <row r="22" spans="1:8" x14ac:dyDescent="0.25">
      <c r="A22" s="22" t="s">
        <v>105</v>
      </c>
      <c r="B22" s="33">
        <f>(B15+B16+B17+B18+B19+B20+B21)/100</f>
        <v>0.01</v>
      </c>
      <c r="C22" s="33">
        <f>(C15+C16+C17+C18+C19+C20+C21)/100</f>
        <v>0.21</v>
      </c>
      <c r="F22" s="256" t="s">
        <v>161</v>
      </c>
      <c r="G22" s="256"/>
      <c r="H22" s="26" t="s">
        <v>152</v>
      </c>
    </row>
    <row r="23" spans="1:8" x14ac:dyDescent="0.25">
      <c r="F23" s="256" t="s">
        <v>162</v>
      </c>
      <c r="G23" s="256"/>
      <c r="H23" s="26" t="s">
        <v>163</v>
      </c>
    </row>
    <row r="24" spans="1:8" x14ac:dyDescent="0.25">
      <c r="A24" s="21" t="s">
        <v>137</v>
      </c>
      <c r="B24" s="34">
        <v>0.01</v>
      </c>
      <c r="C24" s="34">
        <v>0.02</v>
      </c>
      <c r="F24" s="256" t="s">
        <v>164</v>
      </c>
      <c r="G24" s="256"/>
      <c r="H24" s="26" t="s">
        <v>165</v>
      </c>
    </row>
    <row r="25" spans="1:8" x14ac:dyDescent="0.25">
      <c r="A25" s="21" t="s">
        <v>138</v>
      </c>
      <c r="B25" s="34">
        <v>0.01</v>
      </c>
      <c r="C25" s="34">
        <v>0.03</v>
      </c>
    </row>
    <row r="26" spans="1:8" x14ac:dyDescent="0.25">
      <c r="A26" s="21" t="s">
        <v>139</v>
      </c>
      <c r="B26" s="34">
        <v>0.03</v>
      </c>
      <c r="C26" s="34">
        <v>0.08</v>
      </c>
    </row>
    <row r="27" spans="1:8" x14ac:dyDescent="0.25">
      <c r="A27" s="21" t="s">
        <v>140</v>
      </c>
      <c r="B27" s="34">
        <v>0.05</v>
      </c>
      <c r="C27" s="34">
        <v>0.15</v>
      </c>
    </row>
    <row r="28" spans="1:8" x14ac:dyDescent="0.25">
      <c r="A28" s="21" t="s">
        <v>141</v>
      </c>
      <c r="B28" s="34">
        <v>7.0000000000000007E-2</v>
      </c>
      <c r="C28" s="34">
        <v>0.2</v>
      </c>
    </row>
    <row r="29" spans="1:8" x14ac:dyDescent="0.25">
      <c r="A29" s="21" t="s">
        <v>142</v>
      </c>
      <c r="B29" s="34">
        <v>0.1</v>
      </c>
      <c r="C29" s="3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28515625" customWidth="1"/>
  </cols>
  <sheetData>
    <row r="2" spans="1:12" x14ac:dyDescent="0.25">
      <c r="B2" s="5" t="s">
        <v>106</v>
      </c>
      <c r="C2" s="258"/>
      <c r="D2" s="258"/>
    </row>
    <row r="3" spans="1:12" x14ac:dyDescent="0.25">
      <c r="D3" s="6"/>
      <c r="E3" s="6"/>
      <c r="F3" s="6"/>
      <c r="G3" s="6"/>
      <c r="H3" s="6"/>
      <c r="I3" s="6"/>
    </row>
    <row r="4" spans="1:12" x14ac:dyDescent="0.25">
      <c r="A4" s="5" t="s">
        <v>107</v>
      </c>
      <c r="B4" s="7" t="s">
        <v>108</v>
      </c>
      <c r="C4" s="259" t="s">
        <v>109</v>
      </c>
      <c r="D4" s="259"/>
      <c r="E4" s="259"/>
      <c r="F4" s="8"/>
      <c r="G4" s="259" t="s">
        <v>110</v>
      </c>
      <c r="H4" s="259"/>
      <c r="I4" s="259"/>
      <c r="J4" s="259" t="s">
        <v>111</v>
      </c>
      <c r="K4" s="259"/>
      <c r="L4" s="259"/>
    </row>
    <row r="5" spans="1:12" x14ac:dyDescent="0.25">
      <c r="A5" s="5">
        <v>1</v>
      </c>
      <c r="B5" s="7"/>
      <c r="C5" s="7" t="s">
        <v>112</v>
      </c>
      <c r="D5" s="7" t="s">
        <v>113</v>
      </c>
      <c r="E5" s="7" t="s">
        <v>74</v>
      </c>
      <c r="F5" s="7"/>
      <c r="G5" s="7" t="s">
        <v>112</v>
      </c>
      <c r="H5" s="7" t="s">
        <v>113</v>
      </c>
      <c r="I5" s="7" t="s">
        <v>74</v>
      </c>
      <c r="J5" s="7" t="s">
        <v>112</v>
      </c>
      <c r="K5" s="7" t="s">
        <v>113</v>
      </c>
      <c r="L5" s="7" t="s">
        <v>74</v>
      </c>
    </row>
    <row r="6" spans="1:12" x14ac:dyDescent="0.25">
      <c r="B6" s="9" t="s">
        <v>114</v>
      </c>
      <c r="C6" s="9"/>
      <c r="D6" s="9"/>
      <c r="E6" s="9">
        <f>C6*D6</f>
        <v>0</v>
      </c>
      <c r="F6" s="9" t="s">
        <v>115</v>
      </c>
      <c r="G6" s="9"/>
      <c r="H6" s="9"/>
      <c r="I6" s="9">
        <f>G6*H6</f>
        <v>0</v>
      </c>
      <c r="J6" s="9"/>
      <c r="K6" s="9"/>
      <c r="L6" s="9">
        <f>J6*K6</f>
        <v>0</v>
      </c>
    </row>
    <row r="7" spans="1:12" x14ac:dyDescent="0.25">
      <c r="B7" s="9"/>
      <c r="C7" s="9"/>
      <c r="D7" s="9"/>
      <c r="E7" s="9">
        <f t="shared" ref="E7:E33" si="0">C7*D7</f>
        <v>0</v>
      </c>
      <c r="F7" s="9" t="s">
        <v>116</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117</v>
      </c>
      <c r="C9" s="9"/>
      <c r="D9" s="9"/>
      <c r="E9" s="9">
        <f t="shared" si="0"/>
        <v>0</v>
      </c>
      <c r="F9" s="9" t="s">
        <v>115</v>
      </c>
      <c r="G9" s="9"/>
      <c r="H9" s="9"/>
      <c r="I9" s="9">
        <f t="shared" si="1"/>
        <v>0</v>
      </c>
      <c r="J9" s="9"/>
      <c r="K9" s="9"/>
      <c r="L9" s="9">
        <f t="shared" si="2"/>
        <v>0</v>
      </c>
    </row>
    <row r="10" spans="1:12" x14ac:dyDescent="0.25">
      <c r="B10" s="9"/>
      <c r="C10" s="9"/>
      <c r="D10" s="9"/>
      <c r="E10" s="9">
        <f t="shared" si="0"/>
        <v>0</v>
      </c>
      <c r="F10" s="9" t="s">
        <v>116</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118</v>
      </c>
      <c r="C13" s="9"/>
      <c r="D13" s="9"/>
      <c r="E13" s="9">
        <f t="shared" si="0"/>
        <v>0</v>
      </c>
      <c r="F13" s="9" t="s">
        <v>115</v>
      </c>
      <c r="G13" s="9"/>
      <c r="H13" s="9"/>
      <c r="I13" s="9">
        <f t="shared" si="1"/>
        <v>0</v>
      </c>
      <c r="J13" s="9"/>
      <c r="K13" s="9"/>
      <c r="L13" s="9">
        <f t="shared" si="2"/>
        <v>0</v>
      </c>
    </row>
    <row r="14" spans="1:12" x14ac:dyDescent="0.25">
      <c r="B14" s="9"/>
      <c r="C14" s="9"/>
      <c r="D14" s="9"/>
      <c r="E14" s="9">
        <f t="shared" si="0"/>
        <v>0</v>
      </c>
      <c r="F14" s="9" t="s">
        <v>116</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119</v>
      </c>
      <c r="C17" s="9"/>
      <c r="D17" s="9"/>
      <c r="E17" s="9">
        <f t="shared" si="0"/>
        <v>0</v>
      </c>
      <c r="F17" s="9" t="s">
        <v>115</v>
      </c>
      <c r="G17" s="9"/>
      <c r="H17" s="9"/>
      <c r="I17" s="9">
        <f t="shared" si="1"/>
        <v>0</v>
      </c>
      <c r="J17" s="9"/>
      <c r="K17" s="9"/>
      <c r="L17" s="9">
        <f t="shared" si="2"/>
        <v>0</v>
      </c>
    </row>
    <row r="18" spans="2:12" x14ac:dyDescent="0.25">
      <c r="B18" s="9"/>
      <c r="C18" s="9"/>
      <c r="D18" s="9"/>
      <c r="E18" s="9">
        <f t="shared" si="0"/>
        <v>0</v>
      </c>
      <c r="F18" s="9" t="s">
        <v>116</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119</v>
      </c>
      <c r="C20" s="9"/>
      <c r="D20" s="9"/>
      <c r="E20" s="9">
        <f t="shared" si="0"/>
        <v>0</v>
      </c>
      <c r="F20" s="9" t="s">
        <v>115</v>
      </c>
      <c r="G20" s="9"/>
      <c r="H20" s="9"/>
      <c r="I20" s="9">
        <f t="shared" si="1"/>
        <v>0</v>
      </c>
      <c r="J20" s="9"/>
      <c r="K20" s="9"/>
      <c r="L20" s="9">
        <f t="shared" si="2"/>
        <v>0</v>
      </c>
    </row>
    <row r="21" spans="2:12" x14ac:dyDescent="0.25">
      <c r="B21" s="9"/>
      <c r="C21" s="9"/>
      <c r="D21" s="9"/>
      <c r="E21" s="9">
        <f t="shared" si="0"/>
        <v>0</v>
      </c>
      <c r="F21" s="9" t="s">
        <v>116</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120</v>
      </c>
      <c r="C23" s="9"/>
      <c r="D23" s="9"/>
      <c r="E23" s="9">
        <f t="shared" si="0"/>
        <v>0</v>
      </c>
      <c r="F23" s="9" t="s">
        <v>121</v>
      </c>
      <c r="G23" s="9"/>
      <c r="H23" s="9"/>
      <c r="I23" s="9">
        <f t="shared" si="1"/>
        <v>0</v>
      </c>
      <c r="J23" s="9"/>
      <c r="K23" s="9"/>
      <c r="L23" s="9">
        <f t="shared" si="2"/>
        <v>0</v>
      </c>
    </row>
    <row r="24" spans="2:12" x14ac:dyDescent="0.25">
      <c r="B24" s="9" t="s">
        <v>122</v>
      </c>
      <c r="C24" s="9"/>
      <c r="D24" s="9"/>
      <c r="E24" s="9">
        <f t="shared" si="0"/>
        <v>0</v>
      </c>
      <c r="F24" s="9" t="s">
        <v>121</v>
      </c>
      <c r="G24" s="9"/>
      <c r="H24" s="9"/>
      <c r="I24" s="9">
        <f t="shared" si="1"/>
        <v>0</v>
      </c>
      <c r="J24" s="9"/>
      <c r="K24" s="9"/>
      <c r="L24" s="9">
        <f t="shared" si="2"/>
        <v>0</v>
      </c>
    </row>
    <row r="25" spans="2:12" x14ac:dyDescent="0.25">
      <c r="B25" s="9" t="s">
        <v>123</v>
      </c>
      <c r="C25" s="9"/>
      <c r="D25" s="9"/>
      <c r="E25" s="9">
        <f t="shared" si="0"/>
        <v>0</v>
      </c>
      <c r="F25" s="9" t="s">
        <v>121</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124</v>
      </c>
      <c r="C27" s="9"/>
      <c r="D27" s="9"/>
      <c r="E27" s="9">
        <f t="shared" si="0"/>
        <v>0</v>
      </c>
      <c r="F27" s="9"/>
      <c r="G27" s="9"/>
      <c r="H27" s="9"/>
      <c r="I27" s="9">
        <f t="shared" si="1"/>
        <v>0</v>
      </c>
      <c r="J27" s="9"/>
      <c r="K27" s="9"/>
      <c r="L27" s="9">
        <f t="shared" si="2"/>
        <v>0</v>
      </c>
    </row>
    <row r="28" spans="2:12" x14ac:dyDescent="0.25">
      <c r="B28" s="9" t="s">
        <v>125</v>
      </c>
      <c r="C28" s="9"/>
      <c r="D28" s="9"/>
      <c r="E28" s="9">
        <f t="shared" si="0"/>
        <v>0</v>
      </c>
      <c r="F28" s="9"/>
      <c r="G28" s="9"/>
      <c r="H28" s="9"/>
      <c r="I28" s="9">
        <f t="shared" si="1"/>
        <v>0</v>
      </c>
      <c r="J28" s="9"/>
      <c r="K28" s="9"/>
      <c r="L28" s="9">
        <f t="shared" si="2"/>
        <v>0</v>
      </c>
    </row>
    <row r="29" spans="2:12" x14ac:dyDescent="0.25">
      <c r="B29" s="9" t="s">
        <v>126</v>
      </c>
      <c r="C29" s="9"/>
      <c r="D29" s="9"/>
      <c r="E29" s="9">
        <f t="shared" si="0"/>
        <v>0</v>
      </c>
      <c r="F29" s="9"/>
      <c r="G29" s="9"/>
      <c r="H29" s="9"/>
      <c r="I29" s="9">
        <f t="shared" si="1"/>
        <v>0</v>
      </c>
      <c r="J29" s="9"/>
      <c r="K29" s="9"/>
      <c r="L29" s="9">
        <f t="shared" si="2"/>
        <v>0</v>
      </c>
    </row>
    <row r="30" spans="2:12" x14ac:dyDescent="0.25">
      <c r="B30" s="9" t="s">
        <v>127</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75</v>
      </c>
      <c r="C34" s="9"/>
      <c r="D34" s="9">
        <f>E34*10.764</f>
        <v>0</v>
      </c>
      <c r="E34" s="9">
        <f>SUM(E6:E33)</f>
        <v>0</v>
      </c>
      <c r="F34" s="9"/>
      <c r="G34" s="9"/>
      <c r="H34" s="9">
        <f>I34*10.764</f>
        <v>0</v>
      </c>
      <c r="I34" s="9">
        <f>SUM(I6:I33)</f>
        <v>0</v>
      </c>
      <c r="J34" s="9"/>
      <c r="K34" s="9">
        <f>L34*10.764</f>
        <v>0</v>
      </c>
      <c r="L34" s="9">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28" workbookViewId="0">
      <selection activeCell="B52" sqref="B52"/>
    </sheetView>
  </sheetViews>
  <sheetFormatPr defaultColWidth="9.140625" defaultRowHeight="15" x14ac:dyDescent="0.25"/>
  <cols>
    <col min="1" max="1" width="10.140625" style="21" customWidth="1"/>
    <col min="2" max="2" width="14" style="21" customWidth="1"/>
    <col min="3" max="16384" width="9.140625" style="21"/>
  </cols>
  <sheetData>
    <row r="1" spans="1:8" x14ac:dyDescent="0.25">
      <c r="A1" s="36" t="s">
        <v>170</v>
      </c>
      <c r="B1" s="36" t="s">
        <v>172</v>
      </c>
      <c r="C1" s="36" t="s">
        <v>78</v>
      </c>
    </row>
    <row r="2" spans="1:8" x14ac:dyDescent="0.25">
      <c r="C2" s="260" t="s">
        <v>217</v>
      </c>
      <c r="D2" s="260"/>
      <c r="E2" s="260"/>
      <c r="F2" s="260"/>
      <c r="G2" s="260"/>
      <c r="H2" s="260"/>
    </row>
    <row r="3" spans="1:8" x14ac:dyDescent="0.25">
      <c r="C3" s="260"/>
      <c r="D3" s="260"/>
      <c r="E3" s="260"/>
      <c r="F3" s="260"/>
      <c r="G3" s="260"/>
      <c r="H3" s="260"/>
    </row>
    <row r="4" spans="1:8" x14ac:dyDescent="0.25">
      <c r="C4" s="260"/>
      <c r="D4" s="260"/>
      <c r="E4" s="260"/>
      <c r="F4" s="260"/>
      <c r="G4" s="260"/>
      <c r="H4" s="260"/>
    </row>
    <row r="5" spans="1:8" x14ac:dyDescent="0.25">
      <c r="C5" s="260"/>
      <c r="D5" s="260"/>
      <c r="E5" s="260"/>
      <c r="F5" s="260"/>
      <c r="G5" s="260"/>
      <c r="H5" s="260"/>
    </row>
    <row r="45" spans="1:3" x14ac:dyDescent="0.25">
      <c r="A45" s="21" t="s">
        <v>227</v>
      </c>
      <c r="B45" s="21" t="s">
        <v>228</v>
      </c>
      <c r="C45" s="21" t="s">
        <v>229</v>
      </c>
    </row>
  </sheetData>
  <mergeCells count="1">
    <mergeCell ref="C2: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Sheet1</vt:lpstr>
      <vt:lpstr>C%</vt:lpstr>
      <vt:lpstr>Flat detail</vt:lpstr>
      <vt:lpstr>Note</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2025-08-12T12:21:19Z</cp:lastPrinted>
  <dcterms:created xsi:type="dcterms:W3CDTF">2019-07-16T09:29:46Z</dcterms:created>
  <dcterms:modified xsi:type="dcterms:W3CDTF">2025-08-12T12:22:16Z</dcterms:modified>
</cp:coreProperties>
</file>