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21840" windowHeight="12450" tabRatio="725"/>
  </bookViews>
  <sheets>
    <sheet name="Report" sheetId="1" r:id="rId1"/>
    <sheet name="Sheet1" sheetId="6" r:id="rId2"/>
    <sheet name="valuation" sheetId="5" r:id="rId3"/>
    <sheet name="Note" sheetId="4" r:id="rId4"/>
  </sheets>
  <definedNames>
    <definedName name="_xlnm.Print_Area" localSheetId="0">Report!$A$1:$H$634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1" i="1" l="1"/>
  <c r="J109" i="1"/>
  <c r="J108" i="1"/>
  <c r="J107" i="1"/>
  <c r="J106" i="1"/>
  <c r="J151" i="1"/>
  <c r="J150" i="1"/>
  <c r="J149" i="1"/>
  <c r="J148" i="1"/>
  <c r="H141" i="1"/>
  <c r="H99" i="1"/>
  <c r="D111" i="1" l="1"/>
  <c r="D107" i="1"/>
  <c r="D104" i="1"/>
  <c r="J101" i="1"/>
  <c r="D110" i="1"/>
  <c r="D106" i="1"/>
  <c r="J102" i="1"/>
  <c r="D109" i="1"/>
  <c r="D105" i="1"/>
  <c r="D108" i="1"/>
  <c r="J104" i="1"/>
  <c r="J105" i="1" s="1"/>
  <c r="J110" i="1" s="1"/>
  <c r="J111" i="1" s="1"/>
  <c r="C103" i="1" s="1"/>
  <c r="J103" i="1"/>
  <c r="C102" i="1" s="1"/>
  <c r="D152" i="1"/>
  <c r="D148" i="1"/>
  <c r="J144" i="1"/>
  <c r="D151" i="1"/>
  <c r="D147" i="1"/>
  <c r="J146" i="1"/>
  <c r="J147" i="1" s="1"/>
  <c r="J152" i="1" s="1"/>
  <c r="J153" i="1" s="1"/>
  <c r="C145" i="1" s="1"/>
  <c r="D150" i="1"/>
  <c r="D146" i="1"/>
  <c r="J145" i="1"/>
  <c r="C144" i="1" s="1"/>
  <c r="J143" i="1"/>
  <c r="D153" i="1"/>
  <c r="D149" i="1"/>
  <c r="I485" i="1"/>
  <c r="E340" i="1"/>
  <c r="D340" i="1"/>
  <c r="J280" i="1"/>
  <c r="J286" i="1"/>
  <c r="J287" i="1"/>
  <c r="J288" i="1"/>
  <c r="J289" i="1"/>
  <c r="J294" i="1"/>
  <c r="J299" i="1"/>
  <c r="J300" i="1"/>
  <c r="J308" i="1"/>
  <c r="J316" i="1"/>
  <c r="J317" i="1"/>
  <c r="J325" i="1"/>
  <c r="J333" i="1"/>
  <c r="J334" i="1"/>
  <c r="J342" i="1"/>
  <c r="J350" i="1"/>
  <c r="J351" i="1"/>
  <c r="J352" i="1"/>
  <c r="J353" i="1"/>
  <c r="J360" i="1"/>
  <c r="J367" i="1"/>
  <c r="J368" i="1"/>
  <c r="J375" i="1"/>
  <c r="J382" i="1"/>
  <c r="J383" i="1"/>
  <c r="J384" i="1"/>
  <c r="J385" i="1"/>
  <c r="J394" i="1"/>
  <c r="J403" i="1"/>
  <c r="J404" i="1"/>
  <c r="J405" i="1"/>
  <c r="J413" i="1"/>
  <c r="J421" i="1"/>
  <c r="J422" i="1"/>
  <c r="J429" i="1"/>
  <c r="J436" i="1"/>
  <c r="J437" i="1"/>
  <c r="J438" i="1"/>
  <c r="J443" i="1"/>
  <c r="J448" i="1"/>
  <c r="J449" i="1"/>
  <c r="J452" i="1"/>
  <c r="J457" i="1"/>
  <c r="J462" i="1"/>
  <c r="J463" i="1"/>
  <c r="J464" i="1"/>
  <c r="J469" i="1"/>
  <c r="J474" i="1"/>
  <c r="J475" i="1"/>
  <c r="J478" i="1"/>
  <c r="J482" i="1"/>
  <c r="G227" i="1"/>
  <c r="G224" i="1"/>
  <c r="J340" i="1" l="1"/>
  <c r="E102" i="1"/>
  <c r="D103" i="1"/>
  <c r="G102" i="1"/>
  <c r="D102" i="1"/>
  <c r="E144" i="1"/>
  <c r="D145" i="1"/>
  <c r="G144" i="1"/>
  <c r="D144" i="1"/>
  <c r="J214" i="1"/>
  <c r="J213" i="1"/>
  <c r="J212" i="1"/>
  <c r="I98" i="1" l="1"/>
  <c r="C100" i="1" s="1"/>
  <c r="I140" i="1"/>
  <c r="C142" i="1" s="1"/>
  <c r="C182" i="1"/>
  <c r="J193" i="1"/>
  <c r="J192" i="1"/>
  <c r="J191" i="1"/>
  <c r="J190" i="1"/>
  <c r="C168" i="1"/>
  <c r="C154" i="1"/>
  <c r="J179" i="1"/>
  <c r="J178" i="1"/>
  <c r="J177" i="1"/>
  <c r="J176" i="1"/>
  <c r="J165" i="1"/>
  <c r="J164" i="1"/>
  <c r="J163" i="1"/>
  <c r="J162" i="1"/>
  <c r="J137" i="1"/>
  <c r="J136" i="1"/>
  <c r="J135" i="1"/>
  <c r="J134" i="1"/>
  <c r="D269" i="1"/>
  <c r="F269" i="1" s="1"/>
  <c r="D268" i="1"/>
  <c r="F268" i="1" s="1"/>
  <c r="D267" i="1"/>
  <c r="F267" i="1" s="1"/>
  <c r="D266" i="1"/>
  <c r="D485" i="1"/>
  <c r="J485" i="1" s="1"/>
  <c r="D484" i="1"/>
  <c r="J484" i="1" s="1"/>
  <c r="D483" i="1"/>
  <c r="J483" i="1" s="1"/>
  <c r="D481" i="1"/>
  <c r="J481" i="1" s="1"/>
  <c r="D480" i="1"/>
  <c r="J480" i="1" s="1"/>
  <c r="D479" i="1"/>
  <c r="J479" i="1" s="1"/>
  <c r="D477" i="1"/>
  <c r="J477" i="1" s="1"/>
  <c r="D476" i="1"/>
  <c r="J476" i="1" s="1"/>
  <c r="D473" i="1"/>
  <c r="J473" i="1" s="1"/>
  <c r="D472" i="1"/>
  <c r="J472" i="1" s="1"/>
  <c r="D471" i="1"/>
  <c r="J471" i="1" s="1"/>
  <c r="D470" i="1"/>
  <c r="J470" i="1" s="1"/>
  <c r="D468" i="1"/>
  <c r="J468" i="1" s="1"/>
  <c r="D467" i="1"/>
  <c r="J467" i="1" s="1"/>
  <c r="D466" i="1"/>
  <c r="J466" i="1" s="1"/>
  <c r="D465" i="1"/>
  <c r="G483" i="1"/>
  <c r="G484" i="1" s="1"/>
  <c r="G485" i="1" s="1"/>
  <c r="G479" i="1"/>
  <c r="G480" i="1" s="1"/>
  <c r="G481" i="1" s="1"/>
  <c r="A477" i="1"/>
  <c r="G476" i="1"/>
  <c r="G477" i="1" s="1"/>
  <c r="G470" i="1"/>
  <c r="G471" i="1" s="1"/>
  <c r="G472" i="1" s="1"/>
  <c r="G473" i="1" s="1"/>
  <c r="G465" i="1"/>
  <c r="G466" i="1" s="1"/>
  <c r="G467" i="1" s="1"/>
  <c r="G468" i="1" s="1"/>
  <c r="A267" i="1"/>
  <c r="A268" i="1" s="1"/>
  <c r="A269" i="1" s="1"/>
  <c r="G266" i="1"/>
  <c r="G267" i="1" s="1"/>
  <c r="G268" i="1" s="1"/>
  <c r="G269" i="1" s="1"/>
  <c r="E453" i="1"/>
  <c r="D461" i="1"/>
  <c r="J461" i="1" s="1"/>
  <c r="D460" i="1"/>
  <c r="J460" i="1" s="1"/>
  <c r="D459" i="1"/>
  <c r="J459" i="1" s="1"/>
  <c r="D458" i="1"/>
  <c r="J458" i="1" s="1"/>
  <c r="D456" i="1"/>
  <c r="J456" i="1" s="1"/>
  <c r="D455" i="1"/>
  <c r="J455" i="1" s="1"/>
  <c r="D454" i="1"/>
  <c r="J454" i="1" s="1"/>
  <c r="D453" i="1"/>
  <c r="D451" i="1"/>
  <c r="J451" i="1" s="1"/>
  <c r="D450" i="1"/>
  <c r="E447" i="1"/>
  <c r="D447" i="1"/>
  <c r="D446" i="1"/>
  <c r="J446" i="1" s="1"/>
  <c r="E445" i="1"/>
  <c r="D445" i="1"/>
  <c r="E444" i="1"/>
  <c r="D444" i="1"/>
  <c r="G453" i="1"/>
  <c r="G454" i="1" s="1"/>
  <c r="G455" i="1" s="1"/>
  <c r="G456" i="1" s="1"/>
  <c r="G444" i="1"/>
  <c r="G445" i="1" s="1"/>
  <c r="G446" i="1" s="1"/>
  <c r="G447" i="1" s="1"/>
  <c r="A444" i="1"/>
  <c r="A453" i="1"/>
  <c r="A483" i="1"/>
  <c r="H127" i="1"/>
  <c r="A479" i="1"/>
  <c r="H155" i="1"/>
  <c r="H169" i="1"/>
  <c r="A470" i="1"/>
  <c r="A465" i="1"/>
  <c r="C228" i="1" l="1"/>
  <c r="J465" i="1"/>
  <c r="E215" i="1"/>
  <c r="J445" i="1"/>
  <c r="J447" i="1"/>
  <c r="E227" i="1"/>
  <c r="J450" i="1"/>
  <c r="C227" i="1"/>
  <c r="J444" i="1"/>
  <c r="J453" i="1"/>
  <c r="F266" i="1"/>
  <c r="G215" i="1" s="1"/>
  <c r="G228" i="1"/>
  <c r="G229" i="1"/>
  <c r="E228" i="1"/>
  <c r="C229" i="1"/>
  <c r="C215" i="1"/>
  <c r="E229" i="1"/>
  <c r="D174" i="1"/>
  <c r="J172" i="1"/>
  <c r="D181" i="1"/>
  <c r="D179" i="1"/>
  <c r="D177" i="1"/>
  <c r="D175" i="1"/>
  <c r="J173" i="1"/>
  <c r="D172" i="1" s="1"/>
  <c r="J171" i="1"/>
  <c r="J174" i="1"/>
  <c r="J175" i="1" s="1"/>
  <c r="J180" i="1" s="1"/>
  <c r="J181" i="1" s="1"/>
  <c r="D180" i="1"/>
  <c r="D178" i="1"/>
  <c r="D176" i="1"/>
  <c r="D160" i="1"/>
  <c r="J158" i="1"/>
  <c r="D167" i="1"/>
  <c r="D165" i="1"/>
  <c r="D163" i="1"/>
  <c r="D161" i="1"/>
  <c r="J159" i="1"/>
  <c r="J157" i="1"/>
  <c r="J160" i="1"/>
  <c r="J161" i="1" s="1"/>
  <c r="J166" i="1" s="1"/>
  <c r="J167" i="1" s="1"/>
  <c r="C159" i="1" s="1"/>
  <c r="D166" i="1"/>
  <c r="D164" i="1"/>
  <c r="D162" i="1"/>
  <c r="D132" i="1"/>
  <c r="J130" i="1"/>
  <c r="D139" i="1"/>
  <c r="D137" i="1"/>
  <c r="D133" i="1"/>
  <c r="J131" i="1"/>
  <c r="J129" i="1"/>
  <c r="J132" i="1"/>
  <c r="J133" i="1" s="1"/>
  <c r="J138" i="1" s="1"/>
  <c r="J139" i="1" s="1"/>
  <c r="C131" i="1" s="1"/>
  <c r="D138" i="1"/>
  <c r="D136" i="1"/>
  <c r="D134" i="1"/>
  <c r="D135" i="1"/>
  <c r="E442" i="1"/>
  <c r="D442" i="1"/>
  <c r="E441" i="1"/>
  <c r="D441" i="1"/>
  <c r="E440" i="1"/>
  <c r="D440" i="1"/>
  <c r="L212" i="1" s="1"/>
  <c r="E439" i="1"/>
  <c r="D439" i="1"/>
  <c r="A451" i="1"/>
  <c r="G450" i="1"/>
  <c r="G451" i="1" s="1"/>
  <c r="D262" i="1"/>
  <c r="F262" i="1" s="1"/>
  <c r="D261" i="1"/>
  <c r="F261" i="1" s="1"/>
  <c r="D260" i="1"/>
  <c r="G458" i="1"/>
  <c r="G459" i="1" s="1"/>
  <c r="G460" i="1" s="1"/>
  <c r="G461" i="1" s="1"/>
  <c r="G439" i="1"/>
  <c r="G440" i="1" s="1"/>
  <c r="G441" i="1" s="1"/>
  <c r="G442" i="1" s="1"/>
  <c r="A261" i="1"/>
  <c r="A262" i="1" s="1"/>
  <c r="G260" i="1"/>
  <c r="G261" i="1" s="1"/>
  <c r="G262" i="1" s="1"/>
  <c r="E435" i="1"/>
  <c r="E433" i="1"/>
  <c r="E432" i="1"/>
  <c r="E431" i="1"/>
  <c r="E430" i="1"/>
  <c r="D435" i="1"/>
  <c r="D434" i="1"/>
  <c r="J434" i="1" s="1"/>
  <c r="D433" i="1"/>
  <c r="D432" i="1"/>
  <c r="D431" i="1"/>
  <c r="D430" i="1"/>
  <c r="E428" i="1"/>
  <c r="E427" i="1"/>
  <c r="E426" i="1"/>
  <c r="E425" i="1"/>
  <c r="E424" i="1"/>
  <c r="E423" i="1"/>
  <c r="D428" i="1"/>
  <c r="D427" i="1"/>
  <c r="D426" i="1"/>
  <c r="D425" i="1"/>
  <c r="D424" i="1"/>
  <c r="D423" i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G430" i="1"/>
  <c r="G431" i="1" s="1"/>
  <c r="G432" i="1" s="1"/>
  <c r="G433" i="1" s="1"/>
  <c r="G434" i="1" s="1"/>
  <c r="G435" i="1" s="1"/>
  <c r="G423" i="1"/>
  <c r="G424" i="1" s="1"/>
  <c r="G425" i="1" s="1"/>
  <c r="G426" i="1" s="1"/>
  <c r="G427" i="1" s="1"/>
  <c r="G428" i="1" s="1"/>
  <c r="A251" i="1"/>
  <c r="A252" i="1" s="1"/>
  <c r="A253" i="1" s="1"/>
  <c r="A254" i="1" s="1"/>
  <c r="A255" i="1" s="1"/>
  <c r="A256" i="1" s="1"/>
  <c r="G250" i="1"/>
  <c r="G251" i="1" s="1"/>
  <c r="G252" i="1" s="1"/>
  <c r="G253" i="1" s="1"/>
  <c r="G254" i="1" s="1"/>
  <c r="G255" i="1" s="1"/>
  <c r="G256" i="1" s="1"/>
  <c r="D420" i="1"/>
  <c r="D419" i="1"/>
  <c r="D418" i="1"/>
  <c r="D417" i="1"/>
  <c r="D416" i="1"/>
  <c r="D415" i="1"/>
  <c r="E420" i="1"/>
  <c r="E419" i="1"/>
  <c r="E418" i="1"/>
  <c r="E417" i="1"/>
  <c r="E416" i="1"/>
  <c r="E415" i="1"/>
  <c r="E414" i="1"/>
  <c r="E412" i="1"/>
  <c r="E411" i="1"/>
  <c r="E410" i="1"/>
  <c r="E409" i="1"/>
  <c r="E408" i="1"/>
  <c r="E407" i="1"/>
  <c r="E406" i="1"/>
  <c r="D414" i="1"/>
  <c r="D412" i="1"/>
  <c r="L213" i="1" s="1"/>
  <c r="D411" i="1"/>
  <c r="D410" i="1"/>
  <c r="D409" i="1"/>
  <c r="D408" i="1"/>
  <c r="D407" i="1"/>
  <c r="D406" i="1"/>
  <c r="E402" i="1"/>
  <c r="E401" i="1"/>
  <c r="E400" i="1"/>
  <c r="E399" i="1"/>
  <c r="E395" i="1"/>
  <c r="D402" i="1"/>
  <c r="D401" i="1"/>
  <c r="D400" i="1"/>
  <c r="D399" i="1"/>
  <c r="D398" i="1"/>
  <c r="J398" i="1" s="1"/>
  <c r="D397" i="1"/>
  <c r="J397" i="1" s="1"/>
  <c r="D396" i="1"/>
  <c r="J396" i="1" s="1"/>
  <c r="D395" i="1"/>
  <c r="E393" i="1"/>
  <c r="E392" i="1"/>
  <c r="E391" i="1"/>
  <c r="E390" i="1"/>
  <c r="E389" i="1"/>
  <c r="E388" i="1"/>
  <c r="E387" i="1"/>
  <c r="E386" i="1"/>
  <c r="D392" i="1"/>
  <c r="D393" i="1"/>
  <c r="D391" i="1"/>
  <c r="D390" i="1"/>
  <c r="D389" i="1"/>
  <c r="D388" i="1"/>
  <c r="D387" i="1"/>
  <c r="D386" i="1"/>
  <c r="G414" i="1"/>
  <c r="G415" i="1" s="1"/>
  <c r="G416" i="1" s="1"/>
  <c r="G417" i="1" s="1"/>
  <c r="G418" i="1" s="1"/>
  <c r="G419" i="1" s="1"/>
  <c r="G420" i="1" s="1"/>
  <c r="G406" i="1"/>
  <c r="G407" i="1" s="1"/>
  <c r="G408" i="1" s="1"/>
  <c r="G409" i="1" s="1"/>
  <c r="G410" i="1" s="1"/>
  <c r="G411" i="1" s="1"/>
  <c r="G412" i="1" s="1"/>
  <c r="G395" i="1"/>
  <c r="G396" i="1" s="1"/>
  <c r="G397" i="1" s="1"/>
  <c r="G398" i="1" s="1"/>
  <c r="G399" i="1" s="1"/>
  <c r="G400" i="1" s="1"/>
  <c r="G401" i="1" s="1"/>
  <c r="G402" i="1" s="1"/>
  <c r="G386" i="1"/>
  <c r="G387" i="1" s="1"/>
  <c r="G388" i="1" s="1"/>
  <c r="G389" i="1" s="1"/>
  <c r="G390" i="1" s="1"/>
  <c r="G391" i="1" s="1"/>
  <c r="G392" i="1" s="1"/>
  <c r="G393" i="1" s="1"/>
  <c r="E381" i="1"/>
  <c r="E380" i="1"/>
  <c r="E379" i="1"/>
  <c r="E378" i="1"/>
  <c r="E377" i="1"/>
  <c r="E376" i="1"/>
  <c r="E374" i="1"/>
  <c r="E373" i="1"/>
  <c r="E372" i="1"/>
  <c r="E371" i="1"/>
  <c r="E370" i="1"/>
  <c r="E369" i="1"/>
  <c r="D380" i="1"/>
  <c r="D381" i="1"/>
  <c r="D379" i="1"/>
  <c r="D378" i="1"/>
  <c r="D377" i="1"/>
  <c r="D376" i="1"/>
  <c r="D374" i="1"/>
  <c r="D373" i="1"/>
  <c r="D372" i="1"/>
  <c r="D371" i="1"/>
  <c r="D370" i="1"/>
  <c r="D369" i="1"/>
  <c r="E366" i="1"/>
  <c r="E365" i="1"/>
  <c r="E364" i="1"/>
  <c r="E363" i="1"/>
  <c r="E362" i="1"/>
  <c r="E361" i="1"/>
  <c r="D366" i="1"/>
  <c r="D365" i="1"/>
  <c r="D364" i="1"/>
  <c r="D363" i="1"/>
  <c r="D362" i="1"/>
  <c r="D361" i="1"/>
  <c r="E359" i="1"/>
  <c r="E358" i="1"/>
  <c r="E357" i="1"/>
  <c r="E356" i="1"/>
  <c r="E355" i="1"/>
  <c r="E354" i="1"/>
  <c r="D359" i="1"/>
  <c r="D358" i="1"/>
  <c r="D357" i="1"/>
  <c r="D356" i="1"/>
  <c r="D355" i="1"/>
  <c r="D354" i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D240" i="1"/>
  <c r="D239" i="1"/>
  <c r="D238" i="1"/>
  <c r="G376" i="1"/>
  <c r="G377" i="1" s="1"/>
  <c r="G378" i="1" s="1"/>
  <c r="G379" i="1" s="1"/>
  <c r="G380" i="1" s="1"/>
  <c r="G381" i="1" s="1"/>
  <c r="G369" i="1"/>
  <c r="G370" i="1" s="1"/>
  <c r="G371" i="1" s="1"/>
  <c r="G372" i="1" s="1"/>
  <c r="G373" i="1" s="1"/>
  <c r="G374" i="1" s="1"/>
  <c r="G361" i="1"/>
  <c r="G362" i="1" s="1"/>
  <c r="G363" i="1" s="1"/>
  <c r="G364" i="1" s="1"/>
  <c r="G365" i="1" s="1"/>
  <c r="G366" i="1" s="1"/>
  <c r="E285" i="1"/>
  <c r="E284" i="1"/>
  <c r="E283" i="1"/>
  <c r="E282" i="1"/>
  <c r="E281" i="1"/>
  <c r="D285" i="1"/>
  <c r="D284" i="1"/>
  <c r="D283" i="1"/>
  <c r="D282" i="1"/>
  <c r="D281" i="1"/>
  <c r="E277" i="1"/>
  <c r="G281" i="1"/>
  <c r="G282" i="1" s="1"/>
  <c r="G283" i="1" s="1"/>
  <c r="G284" i="1" s="1"/>
  <c r="G285" i="1" s="1"/>
  <c r="E349" i="1"/>
  <c r="E347" i="1"/>
  <c r="E346" i="1"/>
  <c r="E344" i="1"/>
  <c r="E343" i="1"/>
  <c r="D349" i="1"/>
  <c r="D348" i="1"/>
  <c r="J348" i="1" s="1"/>
  <c r="D347" i="1"/>
  <c r="D346" i="1"/>
  <c r="D345" i="1"/>
  <c r="J345" i="1" s="1"/>
  <c r="D344" i="1"/>
  <c r="D343" i="1"/>
  <c r="E341" i="1"/>
  <c r="D341" i="1"/>
  <c r="E332" i="1"/>
  <c r="E331" i="1"/>
  <c r="E329" i="1"/>
  <c r="E328" i="1"/>
  <c r="E326" i="1"/>
  <c r="D332" i="1"/>
  <c r="D331" i="1"/>
  <c r="D330" i="1"/>
  <c r="J330" i="1" s="1"/>
  <c r="D329" i="1"/>
  <c r="D328" i="1"/>
  <c r="D327" i="1"/>
  <c r="J327" i="1" s="1"/>
  <c r="D326" i="1"/>
  <c r="E315" i="1"/>
  <c r="E314" i="1"/>
  <c r="E313" i="1"/>
  <c r="E312" i="1"/>
  <c r="E311" i="1"/>
  <c r="E310" i="1"/>
  <c r="E309" i="1"/>
  <c r="D315" i="1"/>
  <c r="D314" i="1"/>
  <c r="D313" i="1"/>
  <c r="D312" i="1"/>
  <c r="D311" i="1"/>
  <c r="D310" i="1"/>
  <c r="D309" i="1"/>
  <c r="E298" i="1"/>
  <c r="D298" i="1"/>
  <c r="E297" i="1"/>
  <c r="D297" i="1"/>
  <c r="E296" i="1"/>
  <c r="D296" i="1"/>
  <c r="E295" i="1"/>
  <c r="D295" i="1"/>
  <c r="A458" i="1"/>
  <c r="A406" i="1"/>
  <c r="A484" i="1"/>
  <c r="A395" i="1"/>
  <c r="A471" i="1"/>
  <c r="A445" i="1"/>
  <c r="A376" i="1"/>
  <c r="A439" i="1"/>
  <c r="A423" i="1"/>
  <c r="A466" i="1"/>
  <c r="A480" i="1"/>
  <c r="A430" i="1"/>
  <c r="A454" i="1"/>
  <c r="A281" i="1"/>
  <c r="A386" i="1"/>
  <c r="A361" i="1"/>
  <c r="A414" i="1"/>
  <c r="A369" i="1"/>
  <c r="J376" i="1" l="1"/>
  <c r="J373" i="1"/>
  <c r="J402" i="1"/>
  <c r="C230" i="1"/>
  <c r="J370" i="1"/>
  <c r="J379" i="1"/>
  <c r="J399" i="1"/>
  <c r="J419" i="1"/>
  <c r="J400" i="1"/>
  <c r="J420" i="1"/>
  <c r="J423" i="1"/>
  <c r="J435" i="1"/>
  <c r="J310" i="1"/>
  <c r="J284" i="1"/>
  <c r="J439" i="1"/>
  <c r="J285" i="1"/>
  <c r="J358" i="1"/>
  <c r="J361" i="1"/>
  <c r="J427" i="1"/>
  <c r="J430" i="1"/>
  <c r="J331" i="1"/>
  <c r="J332" i="1"/>
  <c r="J283" i="1"/>
  <c r="J355" i="1"/>
  <c r="J366" i="1"/>
  <c r="J372" i="1"/>
  <c r="J381" i="1"/>
  <c r="J401" i="1"/>
  <c r="J424" i="1"/>
  <c r="J312" i="1"/>
  <c r="J313" i="1"/>
  <c r="J343" i="1"/>
  <c r="J297" i="1"/>
  <c r="J315" i="1"/>
  <c r="J326" i="1"/>
  <c r="J346" i="1"/>
  <c r="J408" i="1"/>
  <c r="J417" i="1"/>
  <c r="J428" i="1"/>
  <c r="J431" i="1"/>
  <c r="J389" i="1"/>
  <c r="J296" i="1"/>
  <c r="J341" i="1"/>
  <c r="J356" i="1"/>
  <c r="J390" i="1"/>
  <c r="J414" i="1"/>
  <c r="J425" i="1"/>
  <c r="J442" i="1"/>
  <c r="J314" i="1"/>
  <c r="J344" i="1"/>
  <c r="J357" i="1"/>
  <c r="J374" i="1"/>
  <c r="J391" i="1"/>
  <c r="J406" i="1"/>
  <c r="J415" i="1"/>
  <c r="J426" i="1"/>
  <c r="E224" i="1"/>
  <c r="C224" i="1"/>
  <c r="E230" i="1"/>
  <c r="J392" i="1"/>
  <c r="J407" i="1"/>
  <c r="J416" i="1"/>
  <c r="J412" i="1"/>
  <c r="J328" i="1"/>
  <c r="J347" i="1"/>
  <c r="L214" i="1"/>
  <c r="L215" i="1" s="1"/>
  <c r="J359" i="1"/>
  <c r="J362" i="1"/>
  <c r="J377" i="1"/>
  <c r="J393" i="1"/>
  <c r="J298" i="1"/>
  <c r="J309" i="1"/>
  <c r="J329" i="1"/>
  <c r="J349" i="1"/>
  <c r="J281" i="1"/>
  <c r="J363" i="1"/>
  <c r="J369" i="1"/>
  <c r="J378" i="1"/>
  <c r="J386" i="1"/>
  <c r="J395" i="1"/>
  <c r="J409" i="1"/>
  <c r="J418" i="1"/>
  <c r="J432" i="1"/>
  <c r="J440" i="1"/>
  <c r="J282" i="1"/>
  <c r="J364" i="1"/>
  <c r="J387" i="1"/>
  <c r="J410" i="1"/>
  <c r="J433" i="1"/>
  <c r="J295" i="1"/>
  <c r="J311" i="1"/>
  <c r="J354" i="1"/>
  <c r="J365" i="1"/>
  <c r="J371" i="1"/>
  <c r="J380" i="1"/>
  <c r="J388" i="1"/>
  <c r="J411" i="1"/>
  <c r="J441" i="1"/>
  <c r="C158" i="1"/>
  <c r="D158" i="1" s="1"/>
  <c r="C130" i="1"/>
  <c r="D130" i="1" s="1"/>
  <c r="F260" i="1"/>
  <c r="G214" i="1" s="1"/>
  <c r="C214" i="1"/>
  <c r="E214" i="1"/>
  <c r="C212" i="1"/>
  <c r="E212" i="1"/>
  <c r="F250" i="1"/>
  <c r="G213" i="1" s="1"/>
  <c r="C213" i="1"/>
  <c r="E213" i="1"/>
  <c r="E172" i="1"/>
  <c r="I168" i="1" s="1"/>
  <c r="C170" i="1" s="1"/>
  <c r="D173" i="1"/>
  <c r="G172" i="1"/>
  <c r="E158" i="1"/>
  <c r="D159" i="1"/>
  <c r="E130" i="1"/>
  <c r="D131" i="1"/>
  <c r="G230" i="1"/>
  <c r="E223" i="1"/>
  <c r="C223" i="1"/>
  <c r="E222" i="1"/>
  <c r="C222" i="1"/>
  <c r="C221" i="1"/>
  <c r="E221" i="1"/>
  <c r="G343" i="1"/>
  <c r="G344" i="1" s="1"/>
  <c r="G345" i="1" s="1"/>
  <c r="G346" i="1" s="1"/>
  <c r="G347" i="1" s="1"/>
  <c r="G348" i="1" s="1"/>
  <c r="G349" i="1" s="1"/>
  <c r="G326" i="1"/>
  <c r="G327" i="1" s="1"/>
  <c r="G328" i="1" s="1"/>
  <c r="G329" i="1" s="1"/>
  <c r="G330" i="1" s="1"/>
  <c r="G331" i="1" s="1"/>
  <c r="G332" i="1" s="1"/>
  <c r="G309" i="1"/>
  <c r="G310" i="1" s="1"/>
  <c r="G311" i="1" s="1"/>
  <c r="G312" i="1" s="1"/>
  <c r="G313" i="1" s="1"/>
  <c r="G314" i="1" s="1"/>
  <c r="G315" i="1" s="1"/>
  <c r="E339" i="1"/>
  <c r="E338" i="1"/>
  <c r="E337" i="1"/>
  <c r="E336" i="1"/>
  <c r="E335" i="1"/>
  <c r="D339" i="1"/>
  <c r="D338" i="1"/>
  <c r="D337" i="1"/>
  <c r="D336" i="1"/>
  <c r="D33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293" i="1"/>
  <c r="D293" i="1"/>
  <c r="E292" i="1"/>
  <c r="D292" i="1"/>
  <c r="E291" i="1"/>
  <c r="D291" i="1"/>
  <c r="E290" i="1"/>
  <c r="D290" i="1"/>
  <c r="F4" i="6"/>
  <c r="G335" i="1"/>
  <c r="G336" i="1" s="1"/>
  <c r="G337" i="1" s="1"/>
  <c r="G338" i="1" s="1"/>
  <c r="G339" i="1" s="1"/>
  <c r="G340" i="1" s="1"/>
  <c r="G341" i="1" s="1"/>
  <c r="G301" i="1"/>
  <c r="G302" i="1" s="1"/>
  <c r="G303" i="1" s="1"/>
  <c r="G304" i="1" s="1"/>
  <c r="G305" i="1" s="1"/>
  <c r="G306" i="1" s="1"/>
  <c r="G307" i="1" s="1"/>
  <c r="G354" i="1"/>
  <c r="G355" i="1" s="1"/>
  <c r="G356" i="1" s="1"/>
  <c r="G357" i="1" s="1"/>
  <c r="G358" i="1" s="1"/>
  <c r="G359" i="1" s="1"/>
  <c r="G290" i="1"/>
  <c r="G291" i="1" s="1"/>
  <c r="G292" i="1" s="1"/>
  <c r="G293" i="1" s="1"/>
  <c r="E279" i="1"/>
  <c r="D279" i="1"/>
  <c r="E278" i="1"/>
  <c r="D278" i="1"/>
  <c r="E276" i="1"/>
  <c r="D277" i="1"/>
  <c r="J277" i="1" s="1"/>
  <c r="E275" i="1"/>
  <c r="D276" i="1"/>
  <c r="D275" i="1"/>
  <c r="B6" i="6"/>
  <c r="B7" i="6"/>
  <c r="B5" i="6"/>
  <c r="B4" i="6"/>
  <c r="G295" i="1"/>
  <c r="G296" i="1" s="1"/>
  <c r="G297" i="1" s="1"/>
  <c r="G298" i="1" s="1"/>
  <c r="A415" i="1"/>
  <c r="A440" i="1"/>
  <c r="A301" i="1"/>
  <c r="A431" i="1"/>
  <c r="A326" i="1"/>
  <c r="A295" i="1"/>
  <c r="A472" i="1"/>
  <c r="A335" i="1"/>
  <c r="A481" i="1"/>
  <c r="A485" i="1"/>
  <c r="A424" i="1"/>
  <c r="A396" i="1"/>
  <c r="A459" i="1"/>
  <c r="A377" i="1"/>
  <c r="A290" i="1"/>
  <c r="A370" i="1"/>
  <c r="A343" i="1"/>
  <c r="A407" i="1"/>
  <c r="A362" i="1"/>
  <c r="A282" i="1"/>
  <c r="A354" i="1"/>
  <c r="A309" i="1"/>
  <c r="A455" i="1"/>
  <c r="A467" i="1"/>
  <c r="A446" i="1"/>
  <c r="A387" i="1"/>
  <c r="J276" i="1" l="1"/>
  <c r="J291" i="1"/>
  <c r="J302" i="1"/>
  <c r="J306" i="1"/>
  <c r="J320" i="1"/>
  <c r="J324" i="1"/>
  <c r="J275" i="1"/>
  <c r="J292" i="1"/>
  <c r="J303" i="1"/>
  <c r="J307" i="1"/>
  <c r="J321" i="1"/>
  <c r="J339" i="1"/>
  <c r="J338" i="1"/>
  <c r="J293" i="1"/>
  <c r="J304" i="1"/>
  <c r="J318" i="1"/>
  <c r="J322" i="1"/>
  <c r="J278" i="1"/>
  <c r="J290" i="1"/>
  <c r="J301" i="1"/>
  <c r="J305" i="1"/>
  <c r="J319" i="1"/>
  <c r="J323" i="1"/>
  <c r="J335" i="1"/>
  <c r="J279" i="1"/>
  <c r="J336" i="1"/>
  <c r="J337" i="1"/>
  <c r="G130" i="1"/>
  <c r="I154" i="1"/>
  <c r="C156" i="1" s="1"/>
  <c r="G158" i="1"/>
  <c r="I126" i="1"/>
  <c r="C128" i="1" s="1"/>
  <c r="E216" i="1"/>
  <c r="C216" i="1"/>
  <c r="G223" i="1"/>
  <c r="G222" i="1"/>
  <c r="C219" i="1"/>
  <c r="E219" i="1"/>
  <c r="E220" i="1"/>
  <c r="C220" i="1"/>
  <c r="G221" i="1"/>
  <c r="E28" i="1"/>
  <c r="A302" i="1"/>
  <c r="A473" i="1"/>
  <c r="A291" i="1"/>
  <c r="A456" i="1"/>
  <c r="A425" i="1"/>
  <c r="A355" i="1"/>
  <c r="A468" i="1"/>
  <c r="A283" i="1"/>
  <c r="A447" i="1"/>
  <c r="A310" i="1"/>
  <c r="A441" i="1"/>
  <c r="A344" i="1"/>
  <c r="A327" i="1"/>
  <c r="A408" i="1"/>
  <c r="A388" i="1"/>
  <c r="A371" i="1"/>
  <c r="A296" i="1"/>
  <c r="A363" i="1"/>
  <c r="A432" i="1"/>
  <c r="A460" i="1"/>
  <c r="A378" i="1"/>
  <c r="A397" i="1"/>
  <c r="A336" i="1"/>
  <c r="A416" i="1"/>
  <c r="E225" i="1" l="1"/>
  <c r="C225" i="1"/>
  <c r="G220" i="1"/>
  <c r="F209" i="1"/>
  <c r="A461" i="1"/>
  <c r="A409" i="1"/>
  <c r="A337" i="1"/>
  <c r="A345" i="1"/>
  <c r="A433" i="1"/>
  <c r="A442" i="1"/>
  <c r="A328" i="1"/>
  <c r="A297" i="1"/>
  <c r="A372" i="1"/>
  <c r="A379" i="1"/>
  <c r="A417" i="1"/>
  <c r="A389" i="1"/>
  <c r="A284" i="1"/>
  <c r="A398" i="1"/>
  <c r="A364" i="1"/>
  <c r="A311" i="1"/>
  <c r="A426" i="1"/>
  <c r="A356" i="1"/>
  <c r="A303" i="1"/>
  <c r="A292" i="1"/>
  <c r="F239" i="1" l="1"/>
  <c r="F240" i="1"/>
  <c r="F241" i="1"/>
  <c r="F238" i="1"/>
  <c r="A410" i="1"/>
  <c r="A434" i="1"/>
  <c r="A357" i="1"/>
  <c r="A312" i="1"/>
  <c r="A427" i="1"/>
  <c r="A390" i="1"/>
  <c r="A304" i="1"/>
  <c r="A399" i="1"/>
  <c r="A329" i="1"/>
  <c r="A380" i="1"/>
  <c r="A365" i="1"/>
  <c r="A298" i="1"/>
  <c r="A346" i="1"/>
  <c r="A293" i="1"/>
  <c r="A285" i="1"/>
  <c r="A338" i="1"/>
  <c r="A373" i="1"/>
  <c r="A418" i="1"/>
  <c r="G212" i="1" l="1"/>
  <c r="G216" i="1" s="1"/>
  <c r="B488" i="1"/>
  <c r="A366" i="1"/>
  <c r="A419" i="1"/>
  <c r="A428" i="1"/>
  <c r="A400" i="1"/>
  <c r="A347" i="1"/>
  <c r="A339" i="1"/>
  <c r="A435" i="1"/>
  <c r="A358" i="1"/>
  <c r="A381" i="1"/>
  <c r="A313" i="1"/>
  <c r="A330" i="1"/>
  <c r="A374" i="1"/>
  <c r="A305" i="1"/>
  <c r="A411" i="1"/>
  <c r="A275" i="1"/>
  <c r="A391" i="1"/>
  <c r="C14" i="1" l="1"/>
  <c r="A392" i="1"/>
  <c r="A314" i="1"/>
  <c r="A359" i="1"/>
  <c r="A276" i="1"/>
  <c r="A306" i="1"/>
  <c r="A331" i="1"/>
  <c r="A318" i="1"/>
  <c r="A420" i="1"/>
  <c r="A401" i="1"/>
  <c r="A348" i="1"/>
  <c r="A412" i="1"/>
  <c r="A340" i="1"/>
  <c r="G219" i="1" l="1"/>
  <c r="G225" i="1" s="1"/>
  <c r="G318" i="1"/>
  <c r="G319" i="1" s="1"/>
  <c r="G320" i="1" s="1"/>
  <c r="G321" i="1" s="1"/>
  <c r="G322" i="1" s="1"/>
  <c r="G323" i="1" s="1"/>
  <c r="G324" i="1" s="1"/>
  <c r="B489" i="1"/>
  <c r="A277" i="1"/>
  <c r="A332" i="1"/>
  <c r="A341" i="1"/>
  <c r="A315" i="1"/>
  <c r="A319" i="1"/>
  <c r="A349" i="1"/>
  <c r="A393" i="1"/>
  <c r="A307" i="1"/>
  <c r="A40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09" i="1"/>
  <c r="G275" i="1"/>
  <c r="G276" i="1" s="1"/>
  <c r="G277" i="1" s="1"/>
  <c r="G278" i="1" s="1"/>
  <c r="G279" i="1" s="1"/>
  <c r="A239" i="1"/>
  <c r="A240" i="1" s="1"/>
  <c r="A241" i="1" s="1"/>
  <c r="A242" i="1" s="1"/>
  <c r="A243" i="1" s="1"/>
  <c r="A244" i="1" s="1"/>
  <c r="A245" i="1" s="1"/>
  <c r="A246" i="1" s="1"/>
  <c r="A247" i="1" s="1"/>
  <c r="G238" i="1"/>
  <c r="G239" i="1" s="1"/>
  <c r="G240" i="1" s="1"/>
  <c r="G241" i="1" s="1"/>
  <c r="G242" i="1" s="1"/>
  <c r="G243" i="1" s="1"/>
  <c r="G244" i="1" s="1"/>
  <c r="G245" i="1" s="1"/>
  <c r="G246" i="1" s="1"/>
  <c r="G247" i="1" s="1"/>
  <c r="J123" i="1"/>
  <c r="J122" i="1"/>
  <c r="J121" i="1"/>
  <c r="J120" i="1"/>
  <c r="C112" i="1"/>
  <c r="J95" i="1"/>
  <c r="J94" i="1"/>
  <c r="J93" i="1"/>
  <c r="J92" i="1"/>
  <c r="J81" i="1"/>
  <c r="J80" i="1"/>
  <c r="J79" i="1"/>
  <c r="J78" i="1"/>
  <c r="C70" i="1"/>
  <c r="D53" i="1"/>
  <c r="C48" i="1"/>
  <c r="E41" i="1"/>
  <c r="E42" i="1" s="1"/>
  <c r="E25" i="1"/>
  <c r="E23" i="1"/>
  <c r="E7" i="1"/>
  <c r="E3" i="1"/>
  <c r="D64" i="1" s="1"/>
  <c r="A278" i="1"/>
  <c r="A320" i="1"/>
  <c r="H113" i="1"/>
  <c r="H85" i="1"/>
  <c r="H71" i="1"/>
  <c r="D95" i="1" l="1"/>
  <c r="D96" i="1"/>
  <c r="D97" i="1"/>
  <c r="D91" i="1"/>
  <c r="D92" i="1"/>
  <c r="D93" i="1"/>
  <c r="D94" i="1"/>
  <c r="D90" i="1"/>
  <c r="D83" i="1"/>
  <c r="D81" i="1"/>
  <c r="D80" i="1"/>
  <c r="D79" i="1"/>
  <c r="D77" i="1"/>
  <c r="D76" i="1"/>
  <c r="D82" i="1"/>
  <c r="D78" i="1"/>
  <c r="J74" i="1"/>
  <c r="J75" i="1"/>
  <c r="C74" i="1" s="1"/>
  <c r="J73" i="1"/>
  <c r="J76" i="1"/>
  <c r="J77" i="1" s="1"/>
  <c r="J82" i="1" s="1"/>
  <c r="J83" i="1" s="1"/>
  <c r="C75" i="1" s="1"/>
  <c r="D118" i="1"/>
  <c r="J116" i="1"/>
  <c r="D125" i="1"/>
  <c r="D123" i="1"/>
  <c r="D121" i="1"/>
  <c r="D119" i="1"/>
  <c r="J117" i="1"/>
  <c r="D116" i="1" s="1"/>
  <c r="J115" i="1"/>
  <c r="J118" i="1"/>
  <c r="J119" i="1" s="1"/>
  <c r="J124" i="1" s="1"/>
  <c r="J125" i="1" s="1"/>
  <c r="D124" i="1"/>
  <c r="D122" i="1"/>
  <c r="D120" i="1"/>
  <c r="J90" i="1"/>
  <c r="J91" i="1" s="1"/>
  <c r="J96" i="1" s="1"/>
  <c r="J97" i="1" s="1"/>
  <c r="C89" i="1" s="1"/>
  <c r="J88" i="1"/>
  <c r="J89" i="1"/>
  <c r="C88" i="1" s="1"/>
  <c r="J87" i="1"/>
  <c r="A279" i="1"/>
  <c r="A321" i="1"/>
  <c r="E74" i="1" l="1"/>
  <c r="D75" i="1"/>
  <c r="G74" i="1"/>
  <c r="D68" i="1" s="1"/>
  <c r="D74" i="1"/>
  <c r="E88" i="1"/>
  <c r="D89" i="1"/>
  <c r="G88" i="1"/>
  <c r="D88" i="1"/>
  <c r="E116" i="1"/>
  <c r="I112" i="1" s="1"/>
  <c r="D117" i="1"/>
  <c r="G116" i="1"/>
  <c r="A322" i="1"/>
  <c r="H183" i="1"/>
  <c r="E186" i="1" l="1"/>
  <c r="D188" i="1"/>
  <c r="J186" i="1"/>
  <c r="C186" i="1" s="1"/>
  <c r="D195" i="1"/>
  <c r="D193" i="1"/>
  <c r="D191" i="1"/>
  <c r="D189" i="1"/>
  <c r="J187" i="1"/>
  <c r="J185" i="1"/>
  <c r="J188" i="1"/>
  <c r="J189" i="1" s="1"/>
  <c r="J194" i="1" s="1"/>
  <c r="J195" i="1" s="1"/>
  <c r="D194" i="1"/>
  <c r="D192" i="1"/>
  <c r="D190" i="1"/>
  <c r="I70" i="1"/>
  <c r="C72" i="1" s="1"/>
  <c r="I84" i="1"/>
  <c r="C86" i="1" s="1"/>
  <c r="C114" i="1"/>
  <c r="F69" i="1"/>
  <c r="D69" i="1"/>
  <c r="A323" i="1"/>
  <c r="D186" i="1" l="1"/>
  <c r="I182" i="1" s="1"/>
  <c r="C184" i="1" s="1"/>
  <c r="D187" i="1"/>
  <c r="G186" i="1"/>
  <c r="A324" i="1"/>
</calcChain>
</file>

<file path=xl/sharedStrings.xml><?xml version="1.0" encoding="utf-8"?>
<sst xmlns="http://schemas.openxmlformats.org/spreadsheetml/2006/main" count="886" uniqueCount="271">
  <si>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</si>
  <si>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</si>
  <si>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</si>
  <si>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</si>
  <si>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</si>
  <si>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</si>
  <si>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</si>
  <si>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</si>
  <si>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</si>
  <si>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</si>
  <si>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</si>
  <si>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</si>
  <si>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</si>
  <si>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</si>
  <si>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</si>
  <si>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</si>
  <si>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</si>
  <si>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</si>
  <si>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</si>
  <si>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</si>
  <si>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</si>
  <si>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</si>
  <si>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</si>
  <si>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</si>
  <si>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</si>
  <si>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</si>
  <si>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</si>
  <si>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</si>
  <si>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</si>
  <si>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</si>
  <si>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</si>
  <si>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</si>
  <si>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</si>
  <si>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</si>
  <si>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</si>
  <si>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</si>
  <si>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</si>
  <si>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</si>
  <si>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</si>
  <si>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</si>
  <si>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</si>
  <si>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</si>
  <si>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</si>
  <si>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</si>
  <si>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</si>
  <si>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</si>
  <si>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</si>
  <si>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</si>
  <si>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</si>
  <si>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</si>
  <si>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</si>
  <si>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</si>
  <si>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</si>
  <si>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</si>
  <si>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</si>
  <si>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</si>
  <si>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</si>
  <si>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</si>
  <si>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</si>
  <si>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</si>
  <si>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</si>
  <si>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</si>
  <si>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</si>
  <si>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</si>
  <si>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</si>
  <si>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</si>
  <si>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</si>
  <si>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</si>
  <si>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</si>
  <si>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</si>
  <si>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</si>
  <si>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</si>
  <si>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</si>
  <si>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</si>
  <si>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</si>
  <si>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</si>
  <si>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</si>
  <si>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</si>
  <si>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</si>
  <si>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</si>
  <si>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</si>
  <si>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</si>
  <si>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</si>
  <si>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</si>
  <si>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</si>
  <si>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</si>
  <si>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</si>
  <si>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</si>
  <si>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</si>
  <si>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</si>
  <si>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</si>
  <si>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</si>
  <si>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</si>
  <si>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</si>
  <si>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</si>
  <si>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</si>
  <si>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</si>
  <si>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</si>
  <si>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</si>
  <si>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</si>
  <si>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</si>
  <si>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</si>
  <si>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</si>
  <si>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</si>
  <si>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</si>
  <si>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</si>
  <si>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</si>
  <si>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</si>
  <si>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</si>
  <si>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</si>
  <si>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</si>
  <si>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</si>
  <si>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</si>
  <si>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</si>
  <si>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</si>
  <si>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</si>
  <si>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</si>
  <si>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</si>
  <si>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</si>
  <si>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</si>
  <si>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</si>
  <si>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</si>
  <si>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</si>
  <si>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</si>
  <si>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</si>
  <si>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</si>
  <si>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</si>
  <si>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</si>
  <si>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</si>
  <si>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</si>
  <si>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</si>
  <si>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</si>
  <si>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</si>
  <si>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</si>
  <si>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</si>
  <si>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</si>
  <si>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</si>
  <si>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</si>
  <si>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</si>
  <si>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</si>
  <si>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</si>
  <si>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</si>
  <si>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</si>
  <si>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</si>
  <si>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</si>
  <si>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</si>
  <si>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</si>
  <si>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</si>
  <si>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</si>
  <si>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</si>
  <si>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</si>
  <si>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</si>
  <si>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</si>
  <si>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</si>
  <si>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</si>
  <si>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</si>
  <si>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</si>
  <si>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</si>
  <si>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</si>
  <si>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</si>
  <si>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</si>
  <si>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</si>
  <si>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</si>
  <si>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</si>
  <si>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</si>
  <si>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</si>
  <si>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Ground Floor for Parking</t>
  </si>
  <si>
    <t>1st &amp; 3rd Floor for Residential</t>
  </si>
  <si>
    <t>2BHK</t>
  </si>
  <si>
    <t>1BHK</t>
  </si>
  <si>
    <t>2nd &amp; 4th Floor</t>
  </si>
  <si>
    <t>Flat no 101 &amp; 301</t>
  </si>
  <si>
    <t>Balcony</t>
  </si>
  <si>
    <t>cantiliver Bal</t>
  </si>
  <si>
    <t>Terrace</t>
  </si>
  <si>
    <t>Wing A</t>
  </si>
  <si>
    <t>Wing B</t>
  </si>
  <si>
    <t>1RK</t>
  </si>
  <si>
    <t>Wing C</t>
  </si>
  <si>
    <t>Wing D</t>
  </si>
  <si>
    <t>Bldg 1</t>
  </si>
  <si>
    <t>Bldg 2 (A)</t>
  </si>
  <si>
    <t>102 &amp; 103</t>
  </si>
  <si>
    <t>Ground Floor for Commercial &amp; Parking</t>
  </si>
  <si>
    <t>Shop</t>
  </si>
  <si>
    <t>2nd &amp; 4th Floor for Residential</t>
  </si>
  <si>
    <t>1st &amp; 3rd Floor</t>
  </si>
  <si>
    <t>Sale</t>
  </si>
  <si>
    <t>EWS/LIG</t>
  </si>
  <si>
    <t xml:space="preserve">Ground Floor for Residential </t>
  </si>
  <si>
    <t>Residential Area Details for Sale Flats</t>
  </si>
  <si>
    <t>Residential Area Details for EWS/LIG Flats</t>
  </si>
  <si>
    <t>Sale Flats - 268, EWS/LIG Flats - 48, Shops - 24</t>
  </si>
  <si>
    <t>Axis Sanpada</t>
  </si>
  <si>
    <t>Konnark Oasis</t>
  </si>
  <si>
    <t>Mr. Ninath Bhausaheb Shingade</t>
  </si>
  <si>
    <t>14 Wings</t>
  </si>
  <si>
    <t>P52000031755</t>
  </si>
  <si>
    <t>CIDCO/NAINA/Panvel/Chindhran/
BP-00525/CC/2021/0105</t>
  </si>
  <si>
    <t>NAINA CIDCO</t>
  </si>
  <si>
    <t>Gut No</t>
  </si>
  <si>
    <t>4/6 &amp; 5/1</t>
  </si>
  <si>
    <t>Chindharan</t>
  </si>
  <si>
    <t>Raigad</t>
  </si>
  <si>
    <t>Panvel</t>
  </si>
  <si>
    <t>Open Plot</t>
  </si>
  <si>
    <t>Internal Road</t>
  </si>
  <si>
    <t>Konnark Heavens</t>
  </si>
  <si>
    <t>11.5 KM from Taloja Railway Station</t>
  </si>
  <si>
    <t>Taloja</t>
  </si>
  <si>
    <t>As per RERA -  26/08/2028</t>
  </si>
  <si>
    <t>We considered Gross carpet area = Net carpet + Enclose balcony + Projected Area</t>
  </si>
  <si>
    <t xml:space="preserve">Builder Saleable area </t>
  </si>
  <si>
    <t>Cost Sheet</t>
  </si>
  <si>
    <t>Sheet</t>
  </si>
  <si>
    <t>7000 for Shop</t>
  </si>
  <si>
    <t>4155 per Sqft for Flats</t>
  </si>
  <si>
    <t>99 acres</t>
  </si>
  <si>
    <t>MIS</t>
  </si>
  <si>
    <t>4000-6000</t>
  </si>
  <si>
    <t xml:space="preserve">Building No.1 
Building No.2 (Wing A, B, C, D) 
Building No.3 (Wing A, B ) 
Building No.4 (Wing A, B ) 
Building No.5 
Building No.6 (Wing A &amp; B) 
Building No.7 (Wing A &amp; B) 
</t>
  </si>
  <si>
    <t xml:space="preserve">Layout Approval No.    </t>
  </si>
  <si>
    <t>Approved No.of units</t>
  </si>
  <si>
    <t>Approved No.of Floors</t>
  </si>
  <si>
    <t>Building No.1 = Gr/St + 1st to 4th Floor
Building No.2 (Wing A, B, C, D) = Gr/St + 1st to 4th Floor
Building No.3 (Wing A, B ) = Gr/St + 1st to 4th Floor
Building No.4 (Wing A, B ) = Gr/St + 1st to 4th Floor
Building No.5 = Gr/St + 1st to 4th Floor
Building No.6 (Wing A &amp; B) = Gr/St + 1st to 4th Floor
Building No.7 (Wing A &amp; B) = Gr/St + 1st to 4th Floor</t>
  </si>
  <si>
    <t>Proposed No.of Floors</t>
  </si>
  <si>
    <t>Building No.1 = Gr/St + 1st to 4th Floor</t>
  </si>
  <si>
    <t>Building No.2 (Wing A, B, C, D) = Gr/St + 1st to 4th Floor</t>
  </si>
  <si>
    <t>Building No.3 (Wing A, B ) = Gr/St + 1st to 4th Floor</t>
  </si>
  <si>
    <t>Building No.4 (Wing A, B ) = Gr/St + 1st to 4th Floor</t>
  </si>
  <si>
    <t>Building No.5 = Gr/St + 1st to 4th Floor</t>
  </si>
  <si>
    <t>Building No.6 (Wing A &amp; B) = Gr/St + 1st to 4th Floor</t>
  </si>
  <si>
    <t>Building No.7 (Wing A &amp; B) = Gr/St + 1st to 4th Floor</t>
  </si>
  <si>
    <t>Building No.3 (Wing B)</t>
  </si>
  <si>
    <t>Building No.5</t>
  </si>
  <si>
    <t>Building No.6 (Wing A)</t>
  </si>
  <si>
    <t>Building No.7 (Wing A)</t>
  </si>
  <si>
    <t>Building No.1</t>
  </si>
  <si>
    <t>Building No.2
(Wing A, B, C &amp; D)</t>
  </si>
  <si>
    <t>Building No.3
(Wing A &amp; B)</t>
  </si>
  <si>
    <t>Building No.4
(Wing A &amp; B)</t>
  </si>
  <si>
    <t>Building No.6
(Wing A)(Sale)</t>
  </si>
  <si>
    <t>Building No.6
(Wing B)(EWS/LIG)</t>
  </si>
  <si>
    <t>Building No.7
(Wing A)(EWS/LIG)</t>
  </si>
  <si>
    <t>Building No.7
(Wing B)(EWS/LIG)</t>
  </si>
  <si>
    <t>Building No.3</t>
  </si>
  <si>
    <t>Building No.6</t>
  </si>
  <si>
    <t>Building No.7</t>
  </si>
  <si>
    <t>Building No.2</t>
  </si>
  <si>
    <t>Building No.4</t>
  </si>
  <si>
    <t>2) I/We have No.direct or Indirect Interest in the property being valued</t>
  </si>
  <si>
    <t>Site Person - Contact Details ( Name &amp; Contact No.)</t>
  </si>
  <si>
    <t>Location Link :</t>
  </si>
  <si>
    <t>Latitude, Longitude :</t>
  </si>
  <si>
    <t>https://maps.app.goo.gl/5PfDUSLjtaxKouvE7</t>
  </si>
  <si>
    <t>Building No.4 (Wing B) = Gr/St + 1st to 4th Floor</t>
  </si>
  <si>
    <t>Vitrified tiles flooring, Kitchen Platform, Decorative entrance</t>
  </si>
  <si>
    <t>19.074654,73.159809</t>
  </si>
  <si>
    <t>Mr. Sunil Peravi</t>
  </si>
  <si>
    <t>Building No.2 (Wing C &amp; D) = Gr/St + 1st to 4th Floor</t>
  </si>
  <si>
    <t>Building No.2 (Wing A &amp; B) = Gr/St + 1st to 4th Floor</t>
  </si>
  <si>
    <t>Since building no. 3 &amp; 6 have received CC on 26/08/2021, but as of construction work is not started.</t>
  </si>
  <si>
    <t>Building No. 1 to 7 = Gr/st + 1st to 4th Floor</t>
  </si>
  <si>
    <t>Building No.4 (Wing A) = Gr/St + 1st to 4th Floor</t>
  </si>
  <si>
    <t>Office No. 1031, Wing J, Akshar Business Park, Plot No. 03 Sector 25, Near APMC Market, Vashi, Navi Mumbai, Maharashtra 400703 TEL: 022-46090378/79/80
E mail : vsjcapf@gmail.com. Web site : www.vsjadon.com</t>
  </si>
  <si>
    <t>11/08/2025.</t>
  </si>
  <si>
    <t>Mr. Sanjay  7977074609</t>
  </si>
  <si>
    <t>26/08/2021.</t>
  </si>
  <si>
    <t>Shruti Tathare</t>
  </si>
  <si>
    <t>*+</t>
  </si>
  <si>
    <t>Building No.1, 2 (C &amp; D Wing) &amp; 5 = Construction work is in process at the time of visit (Slow Speed).
Building No. 2 (A &amp; B Wing) &amp; 4 = Construction work is the same as last visit (dtd.15/08/2025),  but work is in process at the time of the visit. (Slow Speed).
Building No. 7 = Construction work is same as last visit dtd. 26/06/2024.
Building No. 3 &amp; 6 = work not yet started.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</si>
</sst>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7" fillId="0" borderId="12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9" fillId="2" borderId="0" xfId="0" applyFont="1" applyFill="1"/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7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right"/>
    </xf>
    <xf numFmtId="167" fontId="7" fillId="0" borderId="0" xfId="9" applyNumberFormat="1" applyFont="1" applyFill="1"/>
    <xf numFmtId="167" fontId="7" fillId="0" borderId="0" xfId="1" applyNumberFormat="1" applyFont="1"/>
    <xf numFmtId="0" fontId="15" fillId="0" borderId="0" xfId="1" applyFont="1" applyAlignment="1">
      <alignment horizontal="center" vertical="center"/>
    </xf>
    <xf numFmtId="167" fontId="24" fillId="0" borderId="0" xfId="1" applyNumberFormat="1" applyFont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0" fillId="0" borderId="0" xfId="1" applyFont="1"/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9" fontId="12" fillId="0" borderId="31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3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 applyProtection="1">
      <alignment horizontal="center" vertical="top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8" fillId="0" borderId="23" xfId="1" applyFont="1" applyBorder="1" applyAlignment="1" applyProtection="1">
      <alignment horizontal="center" vertical="top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center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25" fillId="0" borderId="8" xfId="10" applyFill="1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611</xdr:row>
      <xdr:rowOff>68148</xdr:rowOff>
    </xdr:from>
    <xdr:to>
      <xdr:col>7</xdr:col>
      <xdr:colOff>539510</xdr:colOff>
      <xdr:row>628</xdr:row>
      <xdr:rowOff>51183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125302848"/>
          <a:ext cx="5888750" cy="33510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495300</xdr:colOff>
      <xdr:row>593</xdr:row>
      <xdr:rowOff>80010</xdr:rowOff>
    </xdr:from>
    <xdr:to>
      <xdr:col>7</xdr:col>
      <xdr:colOff>487752</xdr:colOff>
      <xdr:row>610</xdr:row>
      <xdr:rowOff>78394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121748550"/>
          <a:ext cx="5836992" cy="33664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571500</xdr:colOff>
      <xdr:row>514</xdr:row>
      <xdr:rowOff>181839</xdr:rowOff>
    </xdr:from>
    <xdr:to>
      <xdr:col>13</xdr:col>
      <xdr:colOff>545522</xdr:colOff>
      <xdr:row>516</xdr:row>
      <xdr:rowOff>157662</xdr:rowOff>
    </xdr:to>
    <xdr:sp macro="" textlink="">
      <xdr:nvSpPr>
        <xdr:cNvPr id="35" name="TextBox 13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10477500" y="102844021"/>
          <a:ext cx="1463386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2B</a:t>
          </a:r>
        </a:p>
      </xdr:txBody>
    </xdr:sp>
    <xdr:clientData/>
  </xdr:twoCellAnchor>
  <xdr:twoCellAnchor>
    <xdr:from>
      <xdr:col>8</xdr:col>
      <xdr:colOff>703934</xdr:colOff>
      <xdr:row>522</xdr:row>
      <xdr:rowOff>64180</xdr:rowOff>
    </xdr:from>
    <xdr:to>
      <xdr:col>10</xdr:col>
      <xdr:colOff>242963</xdr:colOff>
      <xdr:row>524</xdr:row>
      <xdr:rowOff>40002</xdr:rowOff>
    </xdr:to>
    <xdr:sp macro="" textlink="">
      <xdr:nvSpPr>
        <xdr:cNvPr id="36" name="TextBox 1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7718816" y="105466709"/>
          <a:ext cx="1600912" cy="3792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2C</a:t>
          </a:r>
        </a:p>
      </xdr:txBody>
    </xdr:sp>
    <xdr:clientData/>
  </xdr:twoCellAnchor>
  <xdr:twoCellAnchor>
    <xdr:from>
      <xdr:col>10</xdr:col>
      <xdr:colOff>233796</xdr:colOff>
      <xdr:row>518</xdr:row>
      <xdr:rowOff>138545</xdr:rowOff>
    </xdr:from>
    <xdr:to>
      <xdr:col>11</xdr:col>
      <xdr:colOff>233796</xdr:colOff>
      <xdr:row>520</xdr:row>
      <xdr:rowOff>114368</xdr:rowOff>
    </xdr:to>
    <xdr:sp macro="" textlink="">
      <xdr:nvSpPr>
        <xdr:cNvPr id="37" name="TextBox 13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8676410" y="103597363"/>
          <a:ext cx="1463386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2D</a:t>
          </a:r>
        </a:p>
      </xdr:txBody>
    </xdr:sp>
    <xdr:clientData/>
  </xdr:twoCellAnchor>
  <xdr:twoCellAnchor>
    <xdr:from>
      <xdr:col>12</xdr:col>
      <xdr:colOff>649434</xdr:colOff>
      <xdr:row>518</xdr:row>
      <xdr:rowOff>86590</xdr:rowOff>
    </xdr:from>
    <xdr:to>
      <xdr:col>14</xdr:col>
      <xdr:colOff>484911</xdr:colOff>
      <xdr:row>520</xdr:row>
      <xdr:rowOff>62413</xdr:rowOff>
    </xdr:to>
    <xdr:sp macro="" textlink="">
      <xdr:nvSpPr>
        <xdr:cNvPr id="38" name="TextBox 13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11256820" y="103545408"/>
          <a:ext cx="1463386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3A</a:t>
          </a:r>
        </a:p>
      </xdr:txBody>
    </xdr:sp>
    <xdr:clientData/>
  </xdr:twoCellAnchor>
  <xdr:twoCellAnchor>
    <xdr:from>
      <xdr:col>8</xdr:col>
      <xdr:colOff>181842</xdr:colOff>
      <xdr:row>526</xdr:row>
      <xdr:rowOff>173181</xdr:rowOff>
    </xdr:from>
    <xdr:to>
      <xdr:col>9</xdr:col>
      <xdr:colOff>484909</xdr:colOff>
      <xdr:row>528</xdr:row>
      <xdr:rowOff>149004</xdr:rowOff>
    </xdr:to>
    <xdr:sp macro="" textlink="">
      <xdr:nvSpPr>
        <xdr:cNvPr id="39" name="TextBox 13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6702137" y="105225272"/>
          <a:ext cx="1463386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3B</a:t>
          </a:r>
        </a:p>
      </xdr:txBody>
    </xdr:sp>
    <xdr:clientData/>
  </xdr:twoCellAnchor>
  <xdr:twoCellAnchor>
    <xdr:from>
      <xdr:col>10</xdr:col>
      <xdr:colOff>173182</xdr:colOff>
      <xdr:row>527</xdr:row>
      <xdr:rowOff>25976</xdr:rowOff>
    </xdr:from>
    <xdr:to>
      <xdr:col>11</xdr:col>
      <xdr:colOff>173182</xdr:colOff>
      <xdr:row>529</xdr:row>
      <xdr:rowOff>1799</xdr:rowOff>
    </xdr:to>
    <xdr:sp macro="" textlink="">
      <xdr:nvSpPr>
        <xdr:cNvPr id="40" name="TextBox 13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8615796" y="105277226"/>
          <a:ext cx="1463386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4A</a:t>
          </a:r>
        </a:p>
      </xdr:txBody>
    </xdr:sp>
    <xdr:clientData/>
  </xdr:twoCellAnchor>
  <xdr:twoCellAnchor>
    <xdr:from>
      <xdr:col>11</xdr:col>
      <xdr:colOff>692729</xdr:colOff>
      <xdr:row>526</xdr:row>
      <xdr:rowOff>199158</xdr:rowOff>
    </xdr:from>
    <xdr:to>
      <xdr:col>13</xdr:col>
      <xdr:colOff>666751</xdr:colOff>
      <xdr:row>528</xdr:row>
      <xdr:rowOff>174981</xdr:rowOff>
    </xdr:to>
    <xdr:sp macro="" textlink="">
      <xdr:nvSpPr>
        <xdr:cNvPr id="41" name="TextBox 1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>
          <a:off x="10598729" y="105251249"/>
          <a:ext cx="1463386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4B</a:t>
          </a:r>
        </a:p>
      </xdr:txBody>
    </xdr:sp>
    <xdr:clientData/>
  </xdr:twoCellAnchor>
  <xdr:twoCellAnchor>
    <xdr:from>
      <xdr:col>8</xdr:col>
      <xdr:colOff>832293</xdr:colOff>
      <xdr:row>530</xdr:row>
      <xdr:rowOff>72329</xdr:rowOff>
    </xdr:from>
    <xdr:to>
      <xdr:col>10</xdr:col>
      <xdr:colOff>371322</xdr:colOff>
      <xdr:row>532</xdr:row>
      <xdr:rowOff>48151</xdr:rowOff>
    </xdr:to>
    <xdr:sp macro="" textlink="">
      <xdr:nvSpPr>
        <xdr:cNvPr id="42" name="TextBox 1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/>
      </xdr:nvSpPr>
      <xdr:spPr>
        <a:xfrm>
          <a:off x="7847175" y="107088505"/>
          <a:ext cx="1600912" cy="3792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5</a:t>
          </a:r>
        </a:p>
      </xdr:txBody>
    </xdr:sp>
    <xdr:clientData/>
  </xdr:twoCellAnchor>
  <xdr:twoCellAnchor>
    <xdr:from>
      <xdr:col>9</xdr:col>
      <xdr:colOff>744681</xdr:colOff>
      <xdr:row>535</xdr:row>
      <xdr:rowOff>138545</xdr:rowOff>
    </xdr:from>
    <xdr:to>
      <xdr:col>11</xdr:col>
      <xdr:colOff>294409</xdr:colOff>
      <xdr:row>537</xdr:row>
      <xdr:rowOff>114367</xdr:rowOff>
    </xdr:to>
    <xdr:sp macro="" textlink="">
      <xdr:nvSpPr>
        <xdr:cNvPr id="43" name="TextBox 1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/>
      </xdr:nvSpPr>
      <xdr:spPr>
        <a:xfrm>
          <a:off x="8425295" y="106983068"/>
          <a:ext cx="1775114" cy="3741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7 A &amp; B</a:t>
          </a:r>
        </a:p>
      </xdr:txBody>
    </xdr:sp>
    <xdr:clientData/>
  </xdr:twoCellAnchor>
  <xdr:twoCellAnchor>
    <xdr:from>
      <xdr:col>12</xdr:col>
      <xdr:colOff>649434</xdr:colOff>
      <xdr:row>560</xdr:row>
      <xdr:rowOff>86590</xdr:rowOff>
    </xdr:from>
    <xdr:to>
      <xdr:col>14</xdr:col>
      <xdr:colOff>484911</xdr:colOff>
      <xdr:row>562</xdr:row>
      <xdr:rowOff>62413</xdr:rowOff>
    </xdr:to>
    <xdr:sp macro="" textlink="">
      <xdr:nvSpPr>
        <xdr:cNvPr id="78" name="TextBox 13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11787334" y="108900190"/>
          <a:ext cx="1537277" cy="36952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 No 3A</a:t>
          </a:r>
        </a:p>
      </xdr:txBody>
    </xdr:sp>
    <xdr:clientData/>
  </xdr:twoCellAnchor>
  <xdr:twoCellAnchor>
    <xdr:from>
      <xdr:col>8</xdr:col>
      <xdr:colOff>771525</xdr:colOff>
      <xdr:row>509</xdr:row>
      <xdr:rowOff>91440</xdr:rowOff>
    </xdr:from>
    <xdr:to>
      <xdr:col>15</xdr:col>
      <xdr:colOff>192059</xdr:colOff>
      <xdr:row>545</xdr:row>
      <xdr:rowOff>179748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DB3A1E6C-4E2F-3584-BC02-5A4C7D124595}"/>
            </a:ext>
          </a:extLst>
        </xdr:cNvPr>
        <xdr:cNvGrpSpPr/>
      </xdr:nvGrpSpPr>
      <xdr:grpSpPr>
        <a:xfrm>
          <a:off x="7296150" y="110771940"/>
          <a:ext cx="5802284" cy="7279683"/>
          <a:chOff x="228249" y="283758"/>
          <a:chExt cx="5950874" cy="721300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CB028524-133B-9954-623D-C4EC732033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249" y="533676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E60D45A7-5AC2-738D-EFE0-C0A06AA982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1790" y="533676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xmlns="" id="{04E093F3-94C3-3E4B-6A75-22F5ED1B10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1790" y="299026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xmlns="" id="{5A86DB54-0783-9BAB-547C-A4D69AA59A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249" y="299026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xmlns="" id="{AD31EDBC-F727-BFD4-5CFA-57A391EA47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223" y="283758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xmlns="" id="{50FBE0C7-71B1-A701-C6F1-2CCCD1C165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10088" y="28375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" name="TextBox 91">
            <a:extLst>
              <a:ext uri="{FF2B5EF4-FFF2-40B4-BE49-F238E27FC236}">
                <a16:creationId xmlns:a16="http://schemas.microsoft.com/office/drawing/2014/main" xmlns="" id="{28E0B7F9-8768-2E88-D84A-98AA8E0BFA39}"/>
              </a:ext>
            </a:extLst>
          </xdr:cNvPr>
          <xdr:cNvSpPr txBox="1"/>
        </xdr:nvSpPr>
        <xdr:spPr>
          <a:xfrm>
            <a:off x="5107435" y="5336766"/>
            <a:ext cx="44755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2D</a:t>
            </a:r>
          </a:p>
        </xdr:txBody>
      </xdr:sp>
      <xdr:sp macro="" textlink="">
        <xdr:nvSpPr>
          <xdr:cNvPr id="12" name="TextBox 92">
            <a:extLst>
              <a:ext uri="{FF2B5EF4-FFF2-40B4-BE49-F238E27FC236}">
                <a16:creationId xmlns:a16="http://schemas.microsoft.com/office/drawing/2014/main" xmlns="" id="{9B6536F3-B08A-F195-99F4-543618D15C26}"/>
              </a:ext>
            </a:extLst>
          </xdr:cNvPr>
          <xdr:cNvSpPr txBox="1"/>
        </xdr:nvSpPr>
        <xdr:spPr>
          <a:xfrm>
            <a:off x="4727399" y="2990262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2B</a:t>
            </a:r>
          </a:p>
        </xdr:txBody>
      </xdr:sp>
      <xdr:sp macro="" textlink="">
        <xdr:nvSpPr>
          <xdr:cNvPr id="13" name="TextBox 93">
            <a:extLst>
              <a:ext uri="{FF2B5EF4-FFF2-40B4-BE49-F238E27FC236}">
                <a16:creationId xmlns:a16="http://schemas.microsoft.com/office/drawing/2014/main" xmlns="" id="{49761AC3-16B4-5F29-7ECE-E7400248B047}"/>
              </a:ext>
            </a:extLst>
          </xdr:cNvPr>
          <xdr:cNvSpPr txBox="1"/>
        </xdr:nvSpPr>
        <xdr:spPr>
          <a:xfrm>
            <a:off x="640528" y="5362851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2C</a:t>
            </a:r>
          </a:p>
        </xdr:txBody>
      </xdr:sp>
      <xdr:sp macro="" textlink="">
        <xdr:nvSpPr>
          <xdr:cNvPr id="14" name="TextBox 94">
            <a:extLst>
              <a:ext uri="{FF2B5EF4-FFF2-40B4-BE49-F238E27FC236}">
                <a16:creationId xmlns:a16="http://schemas.microsoft.com/office/drawing/2014/main" xmlns="" id="{1D0CAACB-B052-565D-1128-97CC73E8285D}"/>
              </a:ext>
            </a:extLst>
          </xdr:cNvPr>
          <xdr:cNvSpPr txBox="1"/>
        </xdr:nvSpPr>
        <xdr:spPr>
          <a:xfrm>
            <a:off x="678877" y="2990262"/>
            <a:ext cx="4411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2A</a:t>
            </a:r>
          </a:p>
        </xdr:txBody>
      </xdr:sp>
      <xdr:sp macro="" textlink="">
        <xdr:nvSpPr>
          <xdr:cNvPr id="15" name="TextBox 95">
            <a:extLst>
              <a:ext uri="{FF2B5EF4-FFF2-40B4-BE49-F238E27FC236}">
                <a16:creationId xmlns:a16="http://schemas.microsoft.com/office/drawing/2014/main" xmlns="" id="{23594945-CDE0-48D0-9D6C-1E0AAA10D6CB}"/>
              </a:ext>
            </a:extLst>
          </xdr:cNvPr>
          <xdr:cNvSpPr txBox="1"/>
        </xdr:nvSpPr>
        <xdr:spPr>
          <a:xfrm>
            <a:off x="4891671" y="296501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B1</a:t>
            </a:r>
          </a:p>
        </xdr:txBody>
      </xdr:sp>
      <xdr:sp macro="" textlink="">
        <xdr:nvSpPr>
          <xdr:cNvPr id="16" name="TextBox 96">
            <a:extLst>
              <a:ext uri="{FF2B5EF4-FFF2-40B4-BE49-F238E27FC236}">
                <a16:creationId xmlns:a16="http://schemas.microsoft.com/office/drawing/2014/main" xmlns="" id="{D8852885-1E1B-ECED-21D5-A91727090365}"/>
              </a:ext>
            </a:extLst>
          </xdr:cNvPr>
          <xdr:cNvSpPr txBox="1"/>
        </xdr:nvSpPr>
        <xdr:spPr>
          <a:xfrm>
            <a:off x="1235387" y="296501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B1</a:t>
            </a:r>
          </a:p>
        </xdr:txBody>
      </xdr:sp>
    </xdr:grpSp>
    <xdr:clientData/>
  </xdr:twoCellAnchor>
  <xdr:twoCellAnchor editAs="oneCell">
    <xdr:from>
      <xdr:col>0</xdr:col>
      <xdr:colOff>266700</xdr:colOff>
      <xdr:row>538</xdr:row>
      <xdr:rowOff>176212</xdr:rowOff>
    </xdr:from>
    <xdr:to>
      <xdr:col>3</xdr:col>
      <xdr:colOff>734208</xdr:colOff>
      <xdr:row>549</xdr:row>
      <xdr:rowOff>135937</xdr:rowOff>
    </xdr:to>
    <xdr:pic>
      <xdr:nvPicPr>
        <xdr:cNvPr id="86" name="Picture 85" descr="https://vsjcllp.vsjadon.com/upload/insp-243249-843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15952587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819150</xdr:colOff>
      <xdr:row>538</xdr:row>
      <xdr:rowOff>166687</xdr:rowOff>
    </xdr:from>
    <xdr:to>
      <xdr:col>7</xdr:col>
      <xdr:colOff>410358</xdr:colOff>
      <xdr:row>549</xdr:row>
      <xdr:rowOff>126412</xdr:rowOff>
    </xdr:to>
    <xdr:pic>
      <xdr:nvPicPr>
        <xdr:cNvPr id="87" name="Picture 86" descr="https://vsjcllp.vsjadon.com/upload/insp-243249-845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5" y="115943062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524</xdr:row>
      <xdr:rowOff>80961</xdr:rowOff>
    </xdr:from>
    <xdr:to>
      <xdr:col>7</xdr:col>
      <xdr:colOff>476250</xdr:colOff>
      <xdr:row>538</xdr:row>
      <xdr:rowOff>76406</xdr:rowOff>
    </xdr:to>
    <xdr:pic>
      <xdr:nvPicPr>
        <xdr:cNvPr id="88" name="Picture 87" descr="https://vsjcllp.vsjadon.com/upload/insp-243249-844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13056986"/>
          <a:ext cx="3724275" cy="279579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524</xdr:row>
      <xdr:rowOff>76199</xdr:rowOff>
    </xdr:from>
    <xdr:to>
      <xdr:col>2</xdr:col>
      <xdr:colOff>761163</xdr:colOff>
      <xdr:row>538</xdr:row>
      <xdr:rowOff>71644</xdr:rowOff>
    </xdr:to>
    <xdr:pic>
      <xdr:nvPicPr>
        <xdr:cNvPr id="89" name="Picture 88" descr="https://vsjcllp.vsjadon.com/upload/insp-243249-862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113052224"/>
          <a:ext cx="2094663" cy="279579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551</xdr:row>
      <xdr:rowOff>133350</xdr:rowOff>
    </xdr:from>
    <xdr:to>
      <xdr:col>7</xdr:col>
      <xdr:colOff>761063</xdr:colOff>
      <xdr:row>585</xdr:row>
      <xdr:rowOff>183562</xdr:rowOff>
    </xdr:to>
    <xdr:grpSp>
      <xdr:nvGrpSpPr>
        <xdr:cNvPr id="31" name="Group 30"/>
        <xdr:cNvGrpSpPr/>
      </xdr:nvGrpSpPr>
      <xdr:grpSpPr>
        <a:xfrm>
          <a:off x="66675" y="119205375"/>
          <a:ext cx="6390338" cy="6841537"/>
          <a:chOff x="66675" y="118510050"/>
          <a:chExt cx="6390338" cy="6841537"/>
        </a:xfrm>
      </xdr:grpSpPr>
      <xdr:pic>
        <xdr:nvPicPr>
          <xdr:cNvPr id="85" name="Picture 84" descr="https://vsjcllp.vsjadon.com/upload/insp-24324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38700" y="12318682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1" name="Picture 90" descr="https://vsjcllp.vsjadon.com/upload/insp-243249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2875" y="12318682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2" name="Picture 91" descr="https://vsjcllp.vsjadon.com/upload/insp-243249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5" y="118514812"/>
            <a:ext cx="29146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3" name="Picture 92" descr="https://vsjcllp.vsjadon.com/upload/insp-243249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1" y="120772237"/>
            <a:ext cx="3039258" cy="228155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4" name="Picture 93" descr="https://vsjcllp.vsjadon.com/upload/insp-243249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24226" y="120781762"/>
            <a:ext cx="3039258" cy="228155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5" name="Picture 94" descr="https://vsjcllp.vsjadon.com/upload/insp-243249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19650" y="1185100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6" name="Picture 95" descr="https://vsjcllp.vsjadon.com/upload/insp-243249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57375" y="12319158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7" name="Picture 96" descr="https://vsjcllp.vsjadon.com/upload/insp-243249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76575" y="1185100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</xdr:col>
      <xdr:colOff>0</xdr:colOff>
      <xdr:row>509</xdr:row>
      <xdr:rowOff>38099</xdr:rowOff>
    </xdr:from>
    <xdr:to>
      <xdr:col>7</xdr:col>
      <xdr:colOff>650157</xdr:colOff>
      <xdr:row>524</xdr:row>
      <xdr:rowOff>0</xdr:rowOff>
    </xdr:to>
    <xdr:pic>
      <xdr:nvPicPr>
        <xdr:cNvPr id="101" name="Picture 100" descr="https://vsjcllp.vsjadon.com/upload/insp-243249-916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33850" y="110023274"/>
          <a:ext cx="2212257" cy="295275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509</xdr:row>
      <xdr:rowOff>42861</xdr:rowOff>
    </xdr:from>
    <xdr:to>
      <xdr:col>4</xdr:col>
      <xdr:colOff>694855</xdr:colOff>
      <xdr:row>524</xdr:row>
      <xdr:rowOff>4762</xdr:rowOff>
    </xdr:to>
    <xdr:pic>
      <xdr:nvPicPr>
        <xdr:cNvPr id="102" name="Picture 101" descr="https://vsjcllp.vsjadon.com/upload/insp-243249-919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110028036"/>
          <a:ext cx="3933355" cy="295275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5PfDUSLjtaxKouvE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93"/>
  <sheetViews>
    <sheetView tabSelected="1" view="pageBreakPreview" topLeftCell="A161" zoomScaleNormal="100" zoomScaleSheetLayoutView="100" zoomScalePageLayoutView="85" workbookViewId="0">
      <selection activeCell="L11" sqref="L11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0" customWidth="1"/>
    <col min="10" max="10" width="11.42578125" style="20" customWidth="1"/>
    <col min="11" max="11" width="22" style="20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57" t="s">
        <v>264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</row>
    <row r="3" spans="1:8" x14ac:dyDescent="0.25">
      <c r="A3" s="138" t="s">
        <v>1</v>
      </c>
      <c r="B3" s="138"/>
      <c r="C3" s="138"/>
      <c r="D3" s="138"/>
      <c r="E3" s="138" t="str">
        <f ca="1">TEXT(TODAY(),"DD/MM/YYYY")</f>
        <v>13/08/2025</v>
      </c>
      <c r="F3" s="138"/>
      <c r="G3" s="138"/>
      <c r="H3" s="138"/>
    </row>
    <row r="4" spans="1:8" ht="15" customHeight="1" x14ac:dyDescent="0.25">
      <c r="A4" s="138" t="s">
        <v>2</v>
      </c>
      <c r="B4" s="138"/>
      <c r="C4" s="138"/>
      <c r="D4" s="138"/>
      <c r="E4" s="138" t="s">
        <v>193</v>
      </c>
      <c r="F4" s="138"/>
      <c r="G4" s="138"/>
      <c r="H4" s="138"/>
    </row>
    <row r="5" spans="1:8" x14ac:dyDescent="0.25">
      <c r="A5" s="138" t="s">
        <v>3</v>
      </c>
      <c r="B5" s="138"/>
      <c r="C5" s="138"/>
      <c r="D5" s="138"/>
      <c r="E5" s="151" t="s">
        <v>265</v>
      </c>
      <c r="F5" s="138"/>
      <c r="G5" s="138"/>
      <c r="H5" s="138"/>
    </row>
    <row r="6" spans="1:8" ht="16.5" customHeight="1" x14ac:dyDescent="0.25">
      <c r="A6" s="138" t="s">
        <v>4</v>
      </c>
      <c r="B6" s="138"/>
      <c r="C6" s="138"/>
      <c r="D6" s="138"/>
      <c r="E6" s="138" t="s">
        <v>195</v>
      </c>
      <c r="F6" s="138"/>
      <c r="G6" s="138"/>
      <c r="H6" s="138"/>
    </row>
    <row r="7" spans="1:8" ht="15" customHeight="1" x14ac:dyDescent="0.25">
      <c r="A7" s="138" t="s">
        <v>5</v>
      </c>
      <c r="B7" s="138"/>
      <c r="C7" s="138"/>
      <c r="D7" s="138"/>
      <c r="E7" s="138" t="str">
        <f>E6</f>
        <v>Mr. Ninath Bhausaheb Shingade</v>
      </c>
      <c r="F7" s="138"/>
      <c r="G7" s="138"/>
      <c r="H7" s="138"/>
    </row>
    <row r="8" spans="1:8" s="65" customFormat="1" x14ac:dyDescent="0.25">
      <c r="A8" s="72" t="s">
        <v>6</v>
      </c>
      <c r="B8" s="72"/>
      <c r="C8" s="72"/>
      <c r="D8" s="72"/>
      <c r="E8" s="72" t="s">
        <v>194</v>
      </c>
      <c r="F8" s="72"/>
      <c r="G8" s="72"/>
      <c r="H8" s="72"/>
    </row>
    <row r="9" spans="1:8" x14ac:dyDescent="0.25">
      <c r="A9" s="138" t="s">
        <v>123</v>
      </c>
      <c r="B9" s="138"/>
      <c r="C9" s="138"/>
      <c r="D9" s="138"/>
      <c r="E9" s="138">
        <v>7977074609</v>
      </c>
      <c r="F9" s="138"/>
      <c r="G9" s="138"/>
      <c r="H9" s="138"/>
    </row>
    <row r="10" spans="1:8" x14ac:dyDescent="0.25">
      <c r="A10" s="138" t="s">
        <v>251</v>
      </c>
      <c r="B10" s="138"/>
      <c r="C10" s="138"/>
      <c r="D10" s="138"/>
      <c r="E10" s="138" t="s">
        <v>266</v>
      </c>
      <c r="F10" s="138"/>
      <c r="G10" s="138"/>
      <c r="H10" s="138"/>
    </row>
    <row r="11" spans="1:8" ht="111.75" customHeight="1" x14ac:dyDescent="0.25">
      <c r="A11" s="138" t="s">
        <v>7</v>
      </c>
      <c r="B11" s="138"/>
      <c r="C11" s="138"/>
      <c r="D11" s="138"/>
      <c r="E11" s="150" t="s">
        <v>220</v>
      </c>
      <c r="F11" s="138"/>
      <c r="G11" s="138"/>
      <c r="H11" s="138"/>
    </row>
    <row r="12" spans="1:8" ht="32.25" customHeight="1" x14ac:dyDescent="0.25">
      <c r="A12" s="134" t="s">
        <v>8</v>
      </c>
      <c r="B12" s="134"/>
      <c r="C12" s="134"/>
      <c r="D12" s="134"/>
      <c r="E12" s="150" t="s">
        <v>104</v>
      </c>
      <c r="F12" s="150"/>
      <c r="G12" s="150"/>
      <c r="H12" s="150"/>
    </row>
    <row r="13" spans="1:8" x14ac:dyDescent="0.25">
      <c r="A13" s="134" t="s">
        <v>9</v>
      </c>
      <c r="B13" s="134"/>
      <c r="C13" s="134"/>
      <c r="D13" s="134"/>
      <c r="E13" s="150" t="s">
        <v>197</v>
      </c>
      <c r="F13" s="138"/>
      <c r="G13" s="138"/>
      <c r="H13" s="138"/>
    </row>
    <row r="14" spans="1:8" ht="33" customHeight="1" x14ac:dyDescent="0.25">
      <c r="A14" s="141" t="s">
        <v>10</v>
      </c>
      <c r="B14" s="141"/>
      <c r="C14" s="141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Konnark Oasis, Gut No.4/6 &amp; 5/1, near Konnark Heavens, Internal Road, Chindharan, Taloja, Panvel, Raigad - 410206.</v>
      </c>
      <c r="D14" s="141"/>
      <c r="E14" s="141"/>
      <c r="F14" s="141"/>
      <c r="G14" s="141"/>
      <c r="H14" s="141"/>
    </row>
    <row r="15" spans="1:8" x14ac:dyDescent="0.25">
      <c r="A15" s="141" t="s">
        <v>200</v>
      </c>
      <c r="B15" s="141"/>
      <c r="C15" s="150" t="s">
        <v>201</v>
      </c>
      <c r="D15" s="150"/>
      <c r="E15" s="150"/>
      <c r="F15" s="150"/>
      <c r="G15" s="150"/>
      <c r="H15" s="150"/>
    </row>
    <row r="16" spans="1:8" ht="15.75" customHeight="1" x14ac:dyDescent="0.25">
      <c r="A16" s="141" t="s">
        <v>11</v>
      </c>
      <c r="B16" s="141"/>
      <c r="C16" s="138" t="s">
        <v>206</v>
      </c>
      <c r="D16" s="138"/>
      <c r="E16" s="141" t="s">
        <v>70</v>
      </c>
      <c r="F16" s="141"/>
      <c r="G16" s="150" t="s">
        <v>202</v>
      </c>
      <c r="H16" s="150"/>
    </row>
    <row r="17" spans="1:8" x14ac:dyDescent="0.25">
      <c r="A17" s="134" t="s">
        <v>13</v>
      </c>
      <c r="B17" s="134"/>
      <c r="C17" s="150" t="s">
        <v>209</v>
      </c>
      <c r="D17" s="150"/>
      <c r="E17" s="141" t="s">
        <v>12</v>
      </c>
      <c r="F17" s="141"/>
      <c r="G17" s="156" t="s">
        <v>203</v>
      </c>
      <c r="H17" s="156"/>
    </row>
    <row r="18" spans="1:8" x14ac:dyDescent="0.25">
      <c r="A18" s="134" t="s">
        <v>71</v>
      </c>
      <c r="B18" s="134"/>
      <c r="C18" s="150" t="s">
        <v>204</v>
      </c>
      <c r="D18" s="150"/>
      <c r="E18" s="141" t="s">
        <v>14</v>
      </c>
      <c r="F18" s="141"/>
      <c r="G18" s="150">
        <v>410206</v>
      </c>
      <c r="H18" s="150"/>
    </row>
    <row r="19" spans="1:8" ht="32.25" customHeight="1" x14ac:dyDescent="0.25">
      <c r="A19" s="134" t="s">
        <v>124</v>
      </c>
      <c r="B19" s="134"/>
      <c r="C19" s="150" t="s">
        <v>207</v>
      </c>
      <c r="D19" s="150"/>
      <c r="E19" s="141" t="s">
        <v>15</v>
      </c>
      <c r="F19" s="141"/>
      <c r="G19" s="150" t="s">
        <v>208</v>
      </c>
      <c r="H19" s="150"/>
    </row>
    <row r="20" spans="1:8" ht="15" customHeight="1" x14ac:dyDescent="0.25">
      <c r="A20" s="141" t="s">
        <v>74</v>
      </c>
      <c r="B20" s="141"/>
      <c r="C20" s="141"/>
      <c r="D20" s="141"/>
      <c r="E20" s="138" t="s">
        <v>16</v>
      </c>
      <c r="F20" s="138"/>
      <c r="G20" s="138"/>
      <c r="H20" s="138"/>
    </row>
    <row r="21" spans="1:8" ht="18.75" customHeight="1" x14ac:dyDescent="0.25">
      <c r="A21" s="141"/>
      <c r="B21" s="141"/>
      <c r="C21" s="141"/>
      <c r="D21" s="141"/>
      <c r="E21" s="138"/>
      <c r="F21" s="138"/>
      <c r="G21" s="138"/>
      <c r="H21" s="138"/>
    </row>
    <row r="22" spans="1:8" ht="15" customHeight="1" x14ac:dyDescent="0.25">
      <c r="A22" s="141" t="s">
        <v>17</v>
      </c>
      <c r="B22" s="141"/>
      <c r="C22" s="141"/>
      <c r="D22" s="141"/>
      <c r="E22" s="150" t="s">
        <v>18</v>
      </c>
      <c r="F22" s="150"/>
      <c r="G22" s="150"/>
      <c r="H22" s="150"/>
    </row>
    <row r="23" spans="1:8" ht="15" customHeight="1" x14ac:dyDescent="0.25">
      <c r="A23" s="134" t="s">
        <v>19</v>
      </c>
      <c r="B23" s="134"/>
      <c r="C23" s="134"/>
      <c r="D23" s="134"/>
      <c r="E23" s="150" t="str">
        <f>IF(AND(G17="Mumbai"),"Upper Class","Middle Class")</f>
        <v>Middle Class</v>
      </c>
      <c r="F23" s="150"/>
      <c r="G23" s="150"/>
      <c r="H23" s="150"/>
    </row>
    <row r="24" spans="1:8" x14ac:dyDescent="0.25">
      <c r="A24" s="134" t="s">
        <v>20</v>
      </c>
      <c r="B24" s="134"/>
      <c r="C24" s="134"/>
      <c r="D24" s="134"/>
      <c r="E24" s="150" t="s">
        <v>21</v>
      </c>
      <c r="F24" s="150"/>
      <c r="G24" s="150"/>
      <c r="H24" s="150"/>
    </row>
    <row r="25" spans="1:8" ht="15.75" customHeight="1" x14ac:dyDescent="0.25">
      <c r="A25" s="134" t="s">
        <v>22</v>
      </c>
      <c r="B25" s="134"/>
      <c r="C25" s="134"/>
      <c r="D25" s="134"/>
      <c r="E25" s="150" t="str">
        <f>IF(AND(G17="Mumbai"),"Developed","Developing")</f>
        <v>Developing</v>
      </c>
      <c r="F25" s="150"/>
      <c r="G25" s="150"/>
      <c r="H25" s="150"/>
    </row>
    <row r="26" spans="1:8" x14ac:dyDescent="0.25">
      <c r="A26" s="134" t="s">
        <v>23</v>
      </c>
      <c r="B26" s="134"/>
      <c r="C26" s="134"/>
      <c r="D26" s="134"/>
      <c r="E26" s="150" t="s">
        <v>24</v>
      </c>
      <c r="F26" s="150"/>
      <c r="G26" s="150"/>
      <c r="H26" s="150"/>
    </row>
    <row r="27" spans="1:8" ht="15.75" customHeight="1" x14ac:dyDescent="0.25">
      <c r="A27" s="134" t="s">
        <v>79</v>
      </c>
      <c r="B27" s="134"/>
      <c r="C27" s="134"/>
      <c r="D27" s="134"/>
      <c r="E27" s="150" t="s">
        <v>80</v>
      </c>
      <c r="F27" s="150"/>
      <c r="G27" s="150"/>
      <c r="H27" s="150"/>
    </row>
    <row r="28" spans="1:8" ht="15" customHeight="1" x14ac:dyDescent="0.25">
      <c r="A28" s="134" t="s">
        <v>33</v>
      </c>
      <c r="B28" s="134"/>
      <c r="C28" s="134"/>
      <c r="D28" s="134"/>
      <c r="E28" s="150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Commercial",IF(AND(ISNUMBER(SEARCH("Shop",D54)),ISNUMBER(SEARCH("Office",D54))),"Commercial",IF(ISNUMBER(SEARCH("Shop",D54)),"Commercial",IF(ISNUMBER(SEARCH("Office",D54)),"Commercial",IF(ISNUMBER(SEARCH("Flat",D54)),"Residentail")))))))</f>
        <v>Residential + Commercial</v>
      </c>
      <c r="F28" s="150"/>
      <c r="G28" s="150"/>
      <c r="H28" s="150"/>
    </row>
    <row r="29" spans="1:8" ht="15.75" customHeight="1" x14ac:dyDescent="0.25">
      <c r="A29" s="134" t="s">
        <v>90</v>
      </c>
      <c r="B29" s="134"/>
      <c r="C29" s="134"/>
      <c r="D29" s="134"/>
      <c r="E29" s="150" t="s">
        <v>34</v>
      </c>
      <c r="F29" s="150"/>
      <c r="G29" s="150"/>
      <c r="H29" s="150"/>
    </row>
    <row r="30" spans="1:8" s="21" customFormat="1" x14ac:dyDescent="0.25">
      <c r="A30" s="158" t="s">
        <v>91</v>
      </c>
      <c r="B30" s="158"/>
      <c r="C30" s="131" t="s">
        <v>29</v>
      </c>
      <c r="D30" s="131"/>
      <c r="E30" s="131"/>
      <c r="F30" s="131" t="s">
        <v>31</v>
      </c>
      <c r="G30" s="131"/>
      <c r="H30" s="131"/>
    </row>
    <row r="31" spans="1:8" s="21" customFormat="1" x14ac:dyDescent="0.25">
      <c r="A31" s="152" t="s">
        <v>25</v>
      </c>
      <c r="B31" s="152" t="s">
        <v>30</v>
      </c>
      <c r="C31" s="153" t="s">
        <v>30</v>
      </c>
      <c r="D31" s="153"/>
      <c r="E31" s="153"/>
      <c r="F31" s="153" t="s">
        <v>206</v>
      </c>
      <c r="G31" s="153"/>
      <c r="H31" s="153"/>
    </row>
    <row r="32" spans="1:8" x14ac:dyDescent="0.25">
      <c r="A32" s="152" t="s">
        <v>26</v>
      </c>
      <c r="B32" s="152" t="s">
        <v>30</v>
      </c>
      <c r="C32" s="153" t="s">
        <v>30</v>
      </c>
      <c r="D32" s="153"/>
      <c r="E32" s="153"/>
      <c r="F32" s="153" t="s">
        <v>205</v>
      </c>
      <c r="G32" s="153"/>
      <c r="H32" s="153"/>
    </row>
    <row r="33" spans="1:8" s="21" customFormat="1" x14ac:dyDescent="0.25">
      <c r="A33" s="152" t="s">
        <v>28</v>
      </c>
      <c r="B33" s="152" t="s">
        <v>30</v>
      </c>
      <c r="C33" s="153" t="s">
        <v>30</v>
      </c>
      <c r="D33" s="153"/>
      <c r="E33" s="153"/>
      <c r="F33" s="153" t="s">
        <v>205</v>
      </c>
      <c r="G33" s="153"/>
      <c r="H33" s="153"/>
    </row>
    <row r="34" spans="1:8" x14ac:dyDescent="0.25">
      <c r="A34" s="152" t="s">
        <v>27</v>
      </c>
      <c r="B34" s="152" t="s">
        <v>30</v>
      </c>
      <c r="C34" s="153" t="s">
        <v>30</v>
      </c>
      <c r="D34" s="153"/>
      <c r="E34" s="153"/>
      <c r="F34" s="153" t="s">
        <v>205</v>
      </c>
      <c r="G34" s="153"/>
      <c r="H34" s="153"/>
    </row>
    <row r="35" spans="1:8" x14ac:dyDescent="0.25">
      <c r="A35" s="134" t="s">
        <v>32</v>
      </c>
      <c r="B35" s="134"/>
      <c r="C35" s="134"/>
      <c r="D35" s="134"/>
      <c r="E35" s="134"/>
      <c r="F35" s="134"/>
      <c r="G35" s="134"/>
      <c r="H35" s="134"/>
    </row>
    <row r="36" spans="1:8" ht="15.75" customHeight="1" x14ac:dyDescent="0.25">
      <c r="A36" s="134" t="s">
        <v>253</v>
      </c>
      <c r="B36" s="134"/>
      <c r="C36" s="188" t="s">
        <v>257</v>
      </c>
      <c r="D36" s="189"/>
      <c r="E36" s="189"/>
      <c r="F36" s="189"/>
      <c r="G36" s="189"/>
      <c r="H36" s="190"/>
    </row>
    <row r="37" spans="1:8" ht="15.75" customHeight="1" x14ac:dyDescent="0.25">
      <c r="A37" s="134" t="s">
        <v>252</v>
      </c>
      <c r="B37" s="134"/>
      <c r="C37" s="191" t="s">
        <v>254</v>
      </c>
      <c r="D37" s="192"/>
      <c r="E37" s="192"/>
      <c r="F37" s="192"/>
      <c r="G37" s="192"/>
      <c r="H37" s="193"/>
    </row>
    <row r="38" spans="1:8" x14ac:dyDescent="0.25">
      <c r="A38" s="159" t="s">
        <v>35</v>
      </c>
      <c r="B38" s="159"/>
      <c r="C38" s="159"/>
      <c r="D38" s="159"/>
      <c r="E38" s="159"/>
      <c r="F38" s="159"/>
      <c r="G38" s="159"/>
      <c r="H38" s="159"/>
    </row>
    <row r="39" spans="1:8" x14ac:dyDescent="0.25">
      <c r="A39" s="138" t="s">
        <v>36</v>
      </c>
      <c r="B39" s="138"/>
      <c r="C39" s="138"/>
      <c r="D39" s="138"/>
      <c r="E39" s="172">
        <v>11693.672</v>
      </c>
      <c r="F39" s="172"/>
      <c r="G39" s="172"/>
      <c r="H39" s="172"/>
    </row>
    <row r="40" spans="1:8" x14ac:dyDescent="0.25">
      <c r="A40" s="138" t="s">
        <v>37</v>
      </c>
      <c r="B40" s="138"/>
      <c r="C40" s="138"/>
      <c r="D40" s="138"/>
      <c r="E40" s="168">
        <v>0.9</v>
      </c>
      <c r="F40" s="168"/>
      <c r="G40" s="168"/>
      <c r="H40" s="168"/>
    </row>
    <row r="41" spans="1:8" x14ac:dyDescent="0.25">
      <c r="A41" s="138" t="s">
        <v>38</v>
      </c>
      <c r="B41" s="138"/>
      <c r="C41" s="138"/>
      <c r="D41" s="138"/>
      <c r="E41" s="168">
        <f>E43/E39-E40</f>
        <v>0.299999965793465</v>
      </c>
      <c r="F41" s="168"/>
      <c r="G41" s="168"/>
      <c r="H41" s="168"/>
    </row>
    <row r="42" spans="1:8" x14ac:dyDescent="0.25">
      <c r="A42" s="138" t="s">
        <v>39</v>
      </c>
      <c r="B42" s="138"/>
      <c r="C42" s="138"/>
      <c r="D42" s="138"/>
      <c r="E42" s="168">
        <f>E40+E41</f>
        <v>1.199999965793465</v>
      </c>
      <c r="F42" s="168"/>
      <c r="G42" s="168"/>
      <c r="H42" s="168"/>
    </row>
    <row r="43" spans="1:8" x14ac:dyDescent="0.25">
      <c r="A43" s="138" t="s">
        <v>89</v>
      </c>
      <c r="B43" s="138"/>
      <c r="C43" s="138"/>
      <c r="D43" s="138"/>
      <c r="E43" s="170">
        <v>14032.406000000001</v>
      </c>
      <c r="F43" s="170"/>
      <c r="G43" s="170"/>
      <c r="H43" s="170"/>
    </row>
    <row r="44" spans="1:8" x14ac:dyDescent="0.25">
      <c r="A44" s="138" t="s">
        <v>40</v>
      </c>
      <c r="B44" s="138"/>
      <c r="C44" s="138"/>
      <c r="D44" s="138"/>
      <c r="E44" s="138" t="s">
        <v>196</v>
      </c>
      <c r="F44" s="138"/>
      <c r="G44" s="138"/>
      <c r="H44" s="138"/>
    </row>
    <row r="45" spans="1:8" x14ac:dyDescent="0.25">
      <c r="A45" s="159" t="s">
        <v>41</v>
      </c>
      <c r="B45" s="159"/>
      <c r="C45" s="159"/>
      <c r="D45" s="159"/>
      <c r="E45" s="159"/>
      <c r="F45" s="159"/>
      <c r="G45" s="159"/>
      <c r="H45" s="159"/>
    </row>
    <row r="46" spans="1:8" ht="33.75" customHeight="1" x14ac:dyDescent="0.25">
      <c r="A46" s="128" t="s">
        <v>153</v>
      </c>
      <c r="B46" s="129"/>
      <c r="C46" s="176" t="s">
        <v>199</v>
      </c>
      <c r="D46" s="187"/>
      <c r="E46" s="187"/>
      <c r="F46" s="187"/>
      <c r="G46" s="187"/>
      <c r="H46" s="177"/>
    </row>
    <row r="47" spans="1:8" ht="31.5" customHeight="1" x14ac:dyDescent="0.25">
      <c r="A47" s="128" t="s">
        <v>221</v>
      </c>
      <c r="B47" s="129"/>
      <c r="C47" s="128" t="s">
        <v>198</v>
      </c>
      <c r="D47" s="130"/>
      <c r="E47" s="129"/>
      <c r="F47" s="46" t="s">
        <v>42</v>
      </c>
      <c r="G47" s="161" t="s">
        <v>267</v>
      </c>
      <c r="H47" s="129"/>
    </row>
    <row r="48" spans="1:8" ht="33" customHeight="1" x14ac:dyDescent="0.25">
      <c r="A48" s="128" t="s">
        <v>43</v>
      </c>
      <c r="B48" s="129"/>
      <c r="C48" s="128" t="str">
        <f>C47</f>
        <v>CIDCO/NAINA/Panvel/Chindhran/
BP-00525/CC/2021/0105</v>
      </c>
      <c r="D48" s="130"/>
      <c r="E48" s="129"/>
      <c r="F48" s="46" t="s">
        <v>42</v>
      </c>
      <c r="G48" s="161" t="s">
        <v>267</v>
      </c>
      <c r="H48" s="129"/>
    </row>
    <row r="49" spans="1:14" s="22" customFormat="1" ht="33" customHeight="1" x14ac:dyDescent="0.25">
      <c r="A49" s="101" t="s">
        <v>157</v>
      </c>
      <c r="B49" s="174"/>
      <c r="C49" s="128" t="s">
        <v>198</v>
      </c>
      <c r="D49" s="130"/>
      <c r="E49" s="129"/>
      <c r="F49" s="46" t="s">
        <v>42</v>
      </c>
      <c r="G49" s="161" t="s">
        <v>267</v>
      </c>
      <c r="H49" s="129"/>
    </row>
    <row r="50" spans="1:14" s="22" customFormat="1" x14ac:dyDescent="0.25">
      <c r="A50" s="105"/>
      <c r="B50" s="175"/>
      <c r="C50" s="128" t="s">
        <v>262</v>
      </c>
      <c r="D50" s="130"/>
      <c r="E50" s="130"/>
      <c r="F50" s="130"/>
      <c r="G50" s="130"/>
      <c r="H50" s="129"/>
    </row>
    <row r="51" spans="1:14" x14ac:dyDescent="0.25">
      <c r="A51" s="165" t="s">
        <v>44</v>
      </c>
      <c r="B51" s="166"/>
      <c r="C51" s="165" t="s">
        <v>105</v>
      </c>
      <c r="D51" s="167"/>
      <c r="E51" s="166"/>
      <c r="F51" s="47" t="s">
        <v>42</v>
      </c>
      <c r="G51" s="176" t="s">
        <v>30</v>
      </c>
      <c r="H51" s="177"/>
    </row>
    <row r="52" spans="1:14" x14ac:dyDescent="0.25">
      <c r="A52" s="143" t="s">
        <v>46</v>
      </c>
      <c r="B52" s="143"/>
      <c r="C52" s="143"/>
      <c r="D52" s="143"/>
      <c r="E52" s="143"/>
      <c r="F52" s="143"/>
      <c r="G52" s="143"/>
      <c r="H52" s="143"/>
    </row>
    <row r="53" spans="1:14" x14ac:dyDescent="0.25">
      <c r="A53" s="141" t="s">
        <v>88</v>
      </c>
      <c r="B53" s="141"/>
      <c r="C53" s="141"/>
      <c r="D53" s="134">
        <f>E43</f>
        <v>14032.406000000001</v>
      </c>
      <c r="E53" s="134"/>
      <c r="F53" s="134"/>
      <c r="G53" s="134"/>
      <c r="H53" s="134"/>
    </row>
    <row r="54" spans="1:14" x14ac:dyDescent="0.25">
      <c r="A54" s="150" t="s">
        <v>222</v>
      </c>
      <c r="B54" s="138"/>
      <c r="C54" s="138"/>
      <c r="D54" s="138" t="s">
        <v>192</v>
      </c>
      <c r="E54" s="138"/>
      <c r="F54" s="138"/>
      <c r="G54" s="138"/>
      <c r="H54" s="138"/>
      <c r="I54" s="23"/>
    </row>
    <row r="55" spans="1:14" ht="112.5" customHeight="1" x14ac:dyDescent="0.25">
      <c r="A55" s="101" t="s">
        <v>223</v>
      </c>
      <c r="B55" s="102"/>
      <c r="C55" s="174"/>
      <c r="D55" s="133" t="s">
        <v>224</v>
      </c>
      <c r="E55" s="173"/>
      <c r="F55" s="173"/>
      <c r="G55" s="173"/>
      <c r="H55" s="173"/>
    </row>
    <row r="56" spans="1:14" ht="15.75" customHeight="1" x14ac:dyDescent="0.25">
      <c r="A56" s="101" t="s">
        <v>225</v>
      </c>
      <c r="B56" s="102"/>
      <c r="C56" s="102"/>
      <c r="D56" s="162" t="s">
        <v>226</v>
      </c>
      <c r="E56" s="163"/>
      <c r="F56" s="163"/>
      <c r="G56" s="163"/>
      <c r="H56" s="164"/>
    </row>
    <row r="57" spans="1:14" ht="15.75" customHeight="1" x14ac:dyDescent="0.25">
      <c r="A57" s="103"/>
      <c r="B57" s="104"/>
      <c r="C57" s="104"/>
      <c r="D57" s="95" t="s">
        <v>227</v>
      </c>
      <c r="E57" s="96"/>
      <c r="F57" s="96"/>
      <c r="G57" s="96"/>
      <c r="H57" s="97"/>
    </row>
    <row r="58" spans="1:14" ht="15.75" customHeight="1" x14ac:dyDescent="0.25">
      <c r="A58" s="103"/>
      <c r="B58" s="104"/>
      <c r="C58" s="104"/>
      <c r="D58" s="95" t="s">
        <v>228</v>
      </c>
      <c r="E58" s="96"/>
      <c r="F58" s="96"/>
      <c r="G58" s="96"/>
      <c r="H58" s="97"/>
    </row>
    <row r="59" spans="1:14" ht="15.75" customHeight="1" x14ac:dyDescent="0.25">
      <c r="A59" s="103"/>
      <c r="B59" s="104"/>
      <c r="C59" s="104"/>
      <c r="D59" s="95" t="s">
        <v>229</v>
      </c>
      <c r="E59" s="96"/>
      <c r="F59" s="96"/>
      <c r="G59" s="96"/>
      <c r="H59" s="97"/>
    </row>
    <row r="60" spans="1:14" ht="15.75" customHeight="1" x14ac:dyDescent="0.25">
      <c r="A60" s="103"/>
      <c r="B60" s="104"/>
      <c r="C60" s="104"/>
      <c r="D60" s="95" t="s">
        <v>230</v>
      </c>
      <c r="E60" s="96"/>
      <c r="F60" s="96"/>
      <c r="G60" s="96"/>
      <c r="H60" s="97"/>
    </row>
    <row r="61" spans="1:14" ht="15.75" customHeight="1" x14ac:dyDescent="0.25">
      <c r="A61" s="103"/>
      <c r="B61" s="104"/>
      <c r="C61" s="104"/>
      <c r="D61" s="95" t="s">
        <v>231</v>
      </c>
      <c r="E61" s="96"/>
      <c r="F61" s="96"/>
      <c r="G61" s="96"/>
      <c r="H61" s="97"/>
    </row>
    <row r="62" spans="1:14" ht="15.75" customHeight="1" x14ac:dyDescent="0.25">
      <c r="A62" s="105"/>
      <c r="B62" s="106"/>
      <c r="C62" s="106"/>
      <c r="D62" s="98" t="s">
        <v>232</v>
      </c>
      <c r="E62" s="99"/>
      <c r="F62" s="99"/>
      <c r="G62" s="99"/>
      <c r="H62" s="100"/>
    </row>
    <row r="63" spans="1:14" ht="15.75" customHeight="1" x14ac:dyDescent="0.25">
      <c r="A63" s="134" t="s">
        <v>45</v>
      </c>
      <c r="B63" s="134"/>
      <c r="C63" s="134"/>
      <c r="D63" s="160" t="s">
        <v>210</v>
      </c>
      <c r="E63" s="160"/>
      <c r="F63" s="160"/>
      <c r="G63" s="160"/>
      <c r="H63" s="160"/>
      <c r="J63" s="24"/>
      <c r="K63" s="23"/>
      <c r="N63" s="23"/>
    </row>
    <row r="64" spans="1:14" ht="15.75" customHeight="1" x14ac:dyDescent="0.25">
      <c r="A64" s="134" t="s">
        <v>85</v>
      </c>
      <c r="B64" s="134"/>
      <c r="C64" s="134"/>
      <c r="D64" s="169" t="str">
        <f>(IF(G51="NA","60 Years After Completion",IF(G51&lt;&gt;"NA",""&amp;60-ROUNDDOWN((E3-G51)/360,0)&amp;" Years"," ")))</f>
        <v>60 Years After Completion</v>
      </c>
      <c r="E64" s="169"/>
      <c r="F64" s="169"/>
      <c r="G64" s="169"/>
      <c r="H64" s="169"/>
      <c r="N64" s="23"/>
    </row>
    <row r="65" spans="1:14" ht="15.75" customHeight="1" x14ac:dyDescent="0.25">
      <c r="A65" s="134" t="s">
        <v>86</v>
      </c>
      <c r="B65" s="134"/>
      <c r="C65" s="134"/>
      <c r="D65" s="141" t="s">
        <v>24</v>
      </c>
      <c r="E65" s="141"/>
      <c r="F65" s="141"/>
      <c r="G65" s="141"/>
      <c r="H65" s="141"/>
      <c r="J65" s="16"/>
      <c r="K65" s="16"/>
    </row>
    <row r="66" spans="1:14" x14ac:dyDescent="0.25">
      <c r="A66" s="134" t="s">
        <v>72</v>
      </c>
      <c r="B66" s="134"/>
      <c r="C66" s="134"/>
      <c r="D66" s="150" t="s">
        <v>256</v>
      </c>
      <c r="E66" s="141"/>
      <c r="F66" s="141"/>
      <c r="G66" s="141"/>
      <c r="H66" s="141"/>
    </row>
    <row r="67" spans="1:14" x14ac:dyDescent="0.25">
      <c r="A67" s="141" t="s">
        <v>150</v>
      </c>
      <c r="B67" s="141"/>
      <c r="C67" s="141"/>
      <c r="D67" s="141" t="s">
        <v>30</v>
      </c>
      <c r="E67" s="141"/>
      <c r="F67" s="141"/>
      <c r="G67" s="141"/>
      <c r="H67" s="141"/>
      <c r="I67" s="25"/>
      <c r="J67" s="25"/>
      <c r="K67" s="25"/>
      <c r="L67" s="25"/>
      <c r="M67" s="25"/>
      <c r="N67" s="25"/>
    </row>
    <row r="68" spans="1:14" ht="15.75" customHeight="1" x14ac:dyDescent="0.25">
      <c r="A68" s="171" t="s">
        <v>84</v>
      </c>
      <c r="B68" s="171"/>
      <c r="C68" s="171"/>
      <c r="D68" s="133" t="str">
        <f ca="1">(IF(G74&gt;95%,"Nothing",IF(G74&gt;0%,"Cement, Aggregate, Steel, etc",IF(G74=0%,"Work not yet Started"))))</f>
        <v>Cement, Aggregate, Steel, etc</v>
      </c>
      <c r="E68" s="133"/>
      <c r="F68" s="133"/>
      <c r="G68" s="133"/>
      <c r="H68" s="133"/>
      <c r="J68" s="16"/>
    </row>
    <row r="69" spans="1:14" ht="33.75" customHeight="1" thickBot="1" x14ac:dyDescent="0.3">
      <c r="A69" s="132" t="s">
        <v>118</v>
      </c>
      <c r="B69" s="132"/>
      <c r="C69" s="132"/>
      <c r="D69" s="133" t="str">
        <f ca="1">(IF(D68="Nothing","Yes",IF(D68="Cement, Aggregate, Steel, etc","Under Construction",IF(D68="Work not yet Started","Work not yet Started"))))</f>
        <v>Under Construction</v>
      </c>
      <c r="E69" s="133"/>
      <c r="F69" s="133" t="str">
        <f ca="1">(IF(D68="Nothing","Yes",IF(D68="Cement, Aggregate, Steel, etc","Under Construction",IF(D68="Work not yet Started","Work not yet Started"))))</f>
        <v>Under Construction</v>
      </c>
      <c r="G69" s="133"/>
      <c r="H69" s="133"/>
    </row>
    <row r="70" spans="1:14" ht="15.75" customHeight="1" x14ac:dyDescent="0.25">
      <c r="A70" s="66" t="s">
        <v>142</v>
      </c>
      <c r="B70" s="67"/>
      <c r="C70" s="68" t="str">
        <f>D56</f>
        <v>Building No.1 = Gr/St + 1st to 4th Floor</v>
      </c>
      <c r="D70" s="69"/>
      <c r="E70" s="69"/>
      <c r="F70" s="69"/>
      <c r="G70" s="69"/>
      <c r="H70" s="70"/>
      <c r="I70" s="15" t="str">
        <f ca="1">(IF(E74&gt;99%,"All work completed. Please provide OC.",IF(E74&gt;89.8%,"Plinth, RCC, Brick, Plaster, Flooring, Painting work Completed. Finishing work is in process.",IF(E74&lt;94%,(IF(C74=0,"Work not yet Started.",IF(D74=25%,"Piling work in process",IF(D74=50%,"Excavation work in process",IF(D74=100%,"Excavation work Completed. ","0")))&amp;(IF(C75=0%,"",IF(C75=J76,"Footing work is process",IF(C75=J77,"Footing work Completed",IF(C75=J78,"1st Basement Completed",IF(C75=J79,"1st &amp; 2nd Basement Completed",IF(C75=J80,"1st to 3rd Basement Completed",IF(C75=J81,"1st to 4th Basement Completed",IF(C75=J82,"Plinth work is process",IF(C75=J83,"Plinth work completed","0")))))))))))&amp;(IF(C76=(D71+F71+H71),", RCC Slab Completed",IF(C76&gt;0,", RCC upto "&amp;C76&amp;" Slab Completed",""))&amp;(IF(C77=H71,", Brickwork Completed",IF(C77&gt;0,", Brickwork upto "&amp;C77&amp;" Floor Completed",""))&amp;(IF(C78=H71,", Internal Plaster Completed",IF(C78&gt;0,", Internal Plaster upto "&amp;C78&amp;" Floor Completed",""))&amp;(IF(C79=H71,", External Plaster Completed",IF(C79&gt;0,", External Plaster upto "&amp;C79&amp;" Floor Completed",""))&amp;(IF(C80=H71,", Flooring Completed",IF(C80&gt;0,", Flooring upto "&amp;C80&amp;" Floor Completed",""))&amp;(IF(C81=H71,", Painting Completed",IF(C81&gt;0,", Painting upto "&amp;C81&amp;" Floor Completed",""))&amp;(IF(C82&gt;0,", Finishing upto "&amp;C82&amp;" Floor Completed","")&amp;(IF(C76&gt;0.5,".",""))))))))))))))</f>
        <v>Excavation work Completed. Plinth work completed, RCC Slab Completed, Brickwork Completed, Internal Plaster upto 3 Floor Completed, External Plaster upto 1 Floor Completed.</v>
      </c>
      <c r="J70" s="26"/>
    </row>
    <row r="71" spans="1:14" x14ac:dyDescent="0.25">
      <c r="A71" s="18" t="s">
        <v>144</v>
      </c>
      <c r="B71" s="56">
        <v>0</v>
      </c>
      <c r="C71" s="56" t="s">
        <v>69</v>
      </c>
      <c r="D71" s="56">
        <v>1</v>
      </c>
      <c r="E71" s="56" t="s">
        <v>68</v>
      </c>
      <c r="F71" s="56">
        <v>0</v>
      </c>
      <c r="G71" s="56" t="s">
        <v>78</v>
      </c>
      <c r="H71" s="19">
        <f ca="1">--TRIM(RIGHT(SUBSTITUTE(LEFT(C70,_xlfn.AGGREGATE(16,6,FIND({0,1,2,3,4,5,6,7,8,9},C70,ROW(INDIRECT("1:"&amp;LEN(C70)))),1))," ",REPT(" ",LEN(C70))),LEN(C70)))</f>
        <v>4</v>
      </c>
      <c r="I71" s="16"/>
      <c r="J71" s="27"/>
    </row>
    <row r="72" spans="1:14" ht="49.5" customHeight="1" x14ac:dyDescent="0.25">
      <c r="A72" s="71" t="s">
        <v>87</v>
      </c>
      <c r="B72" s="72"/>
      <c r="C72" s="73" t="str">
        <f ca="1">(IF($G$51="NA",I70,"All work Completed. OC Received."))</f>
        <v>Excavation work Completed. Plinth work completed, RCC Slab Completed, Brickwork Completed, Internal Plaster upto 3 Floor Completed, External Plaster upto 1 Floor Completed.</v>
      </c>
      <c r="D72" s="73"/>
      <c r="E72" s="73"/>
      <c r="F72" s="73"/>
      <c r="G72" s="73"/>
      <c r="H72" s="74"/>
      <c r="I72" s="16" t="s">
        <v>103</v>
      </c>
      <c r="J72" s="27"/>
    </row>
    <row r="73" spans="1:14" ht="15.75" customHeight="1" x14ac:dyDescent="0.25">
      <c r="A73" s="75" t="s">
        <v>47</v>
      </c>
      <c r="B73" s="76"/>
      <c r="C73" s="52" t="s">
        <v>141</v>
      </c>
      <c r="D73" s="52" t="s">
        <v>81</v>
      </c>
      <c r="E73" s="76" t="s">
        <v>83</v>
      </c>
      <c r="F73" s="76"/>
      <c r="G73" s="76" t="s">
        <v>82</v>
      </c>
      <c r="H73" s="77"/>
      <c r="I73" s="14" t="s">
        <v>143</v>
      </c>
      <c r="J73" s="28">
        <f ca="1">H71*25%</f>
        <v>1</v>
      </c>
    </row>
    <row r="74" spans="1:14" x14ac:dyDescent="0.25">
      <c r="A74" s="75" t="s">
        <v>130</v>
      </c>
      <c r="B74" s="76"/>
      <c r="C74" s="52">
        <f ca="1">J75</f>
        <v>4</v>
      </c>
      <c r="D74" s="48">
        <f ca="1">((100/H71)*C74)/100</f>
        <v>1</v>
      </c>
      <c r="E74" s="78">
        <f ca="1">(((C75/H71*10)+(40/(D71+F71+H71)*C76)+(7.5/(H71)*C77)+(7.5/(H71)*C78)+(10/H71*C79)+(10/H71*C80)+(5/H71*C81)+(5/H71*C82)+(5/H71*C83))/100)</f>
        <v>0.65625</v>
      </c>
      <c r="F74" s="79"/>
      <c r="G74" s="78">
        <f ca="1">((((C74/H71)*20)+((C75/H71)*25)+(30/(H71+F71+D71)*C76)+(5/H71*C77)+(5/H71*C78)+(5/H71*C79)+(5/H71*C80)+(0/H71*C81)+(0/H71*C82)+(5/H71*C83))/100)</f>
        <v>0.85</v>
      </c>
      <c r="H74" s="84"/>
      <c r="I74" s="14" t="s">
        <v>98</v>
      </c>
      <c r="J74" s="29">
        <f ca="1">H71*50%</f>
        <v>2</v>
      </c>
    </row>
    <row r="75" spans="1:14" x14ac:dyDescent="0.25">
      <c r="A75" s="75" t="s">
        <v>48</v>
      </c>
      <c r="B75" s="76"/>
      <c r="C75" s="64">
        <f ca="1">J83</f>
        <v>4</v>
      </c>
      <c r="D75" s="48">
        <f ca="1">((100/H71)*C75)/100</f>
        <v>1</v>
      </c>
      <c r="E75" s="80"/>
      <c r="F75" s="81"/>
      <c r="G75" s="80"/>
      <c r="H75" s="85"/>
      <c r="I75" s="14" t="s">
        <v>99</v>
      </c>
      <c r="J75" s="29">
        <f ca="1">H71</f>
        <v>4</v>
      </c>
    </row>
    <row r="76" spans="1:14" ht="15.75" customHeight="1" x14ac:dyDescent="0.25">
      <c r="A76" s="75" t="s">
        <v>131</v>
      </c>
      <c r="B76" s="76"/>
      <c r="C76" s="52">
        <v>5</v>
      </c>
      <c r="D76" s="48">
        <f ca="1">((100/(D71+F71+H71))*C76)/100</f>
        <v>1</v>
      </c>
      <c r="E76" s="80"/>
      <c r="F76" s="81"/>
      <c r="G76" s="80"/>
      <c r="H76" s="85"/>
      <c r="I76" s="14" t="s">
        <v>100</v>
      </c>
      <c r="J76" s="30">
        <f ca="1">(IF(B71&gt;1,(H71/(B71+2)),H71/4))</f>
        <v>1</v>
      </c>
    </row>
    <row r="77" spans="1:14" ht="15.75" customHeight="1" x14ac:dyDescent="0.25">
      <c r="A77" s="75" t="s">
        <v>138</v>
      </c>
      <c r="B77" s="76" t="s">
        <v>132</v>
      </c>
      <c r="C77" s="52">
        <v>4</v>
      </c>
      <c r="D77" s="48">
        <f ca="1">((100/H71)*C77)/100</f>
        <v>1</v>
      </c>
      <c r="E77" s="80"/>
      <c r="F77" s="81"/>
      <c r="G77" s="80"/>
      <c r="H77" s="85"/>
      <c r="I77" s="14" t="s">
        <v>101</v>
      </c>
      <c r="J77" s="30">
        <f ca="1">(IF(B71&gt;1,(H71/(B71+2)+J76),H71/4+J76))</f>
        <v>2</v>
      </c>
    </row>
    <row r="78" spans="1:14" ht="15.75" customHeight="1" x14ac:dyDescent="0.25">
      <c r="A78" s="75" t="s">
        <v>139</v>
      </c>
      <c r="B78" s="76" t="s">
        <v>132</v>
      </c>
      <c r="C78" s="52">
        <v>3</v>
      </c>
      <c r="D78" s="48">
        <f ca="1">((100/H71)*C78)/100</f>
        <v>0.75</v>
      </c>
      <c r="E78" s="80"/>
      <c r="F78" s="81"/>
      <c r="G78" s="80"/>
      <c r="H78" s="85"/>
      <c r="I78" s="14" t="s">
        <v>148</v>
      </c>
      <c r="J78" s="30">
        <f>(IF(B71&gt;1,(H71/(B71+2)+J77),0))</f>
        <v>0</v>
      </c>
    </row>
    <row r="79" spans="1:14" ht="15" customHeight="1" x14ac:dyDescent="0.25">
      <c r="A79" s="75" t="s">
        <v>137</v>
      </c>
      <c r="B79" s="76" t="s">
        <v>134</v>
      </c>
      <c r="C79" s="52">
        <v>1</v>
      </c>
      <c r="D79" s="48">
        <f ca="1">((100/(H71))*C79)/100</f>
        <v>0.25</v>
      </c>
      <c r="E79" s="80"/>
      <c r="F79" s="81"/>
      <c r="G79" s="80"/>
      <c r="H79" s="85"/>
      <c r="I79" s="14" t="s">
        <v>145</v>
      </c>
      <c r="J79" s="30">
        <f>(IF(B71&gt;2,(H71/(B71+2)+J78),0))</f>
        <v>0</v>
      </c>
    </row>
    <row r="80" spans="1:14" ht="15.75" customHeight="1" x14ac:dyDescent="0.25">
      <c r="A80" s="75" t="s">
        <v>133</v>
      </c>
      <c r="B80" s="76" t="s">
        <v>133</v>
      </c>
      <c r="C80" s="52">
        <v>0</v>
      </c>
      <c r="D80" s="48">
        <f ca="1">((100/H71)*C80)/100</f>
        <v>0</v>
      </c>
      <c r="E80" s="80"/>
      <c r="F80" s="81"/>
      <c r="G80" s="80"/>
      <c r="H80" s="85"/>
      <c r="I80" s="14" t="s">
        <v>146</v>
      </c>
      <c r="J80" s="31">
        <f>(IF(B71&gt;3,(H71/(B71+2)+J79),0))</f>
        <v>0</v>
      </c>
    </row>
    <row r="81" spans="1:11" ht="15.75" customHeight="1" x14ac:dyDescent="0.25">
      <c r="A81" s="75" t="s">
        <v>140</v>
      </c>
      <c r="B81" s="76"/>
      <c r="C81" s="52">
        <v>0</v>
      </c>
      <c r="D81" s="48">
        <f ca="1">((100/H71)*C81)/100</f>
        <v>0</v>
      </c>
      <c r="E81" s="80"/>
      <c r="F81" s="81"/>
      <c r="G81" s="80"/>
      <c r="H81" s="85"/>
      <c r="I81" s="14" t="s">
        <v>147</v>
      </c>
      <c r="J81" s="30">
        <f>(IF(B71&gt;4,(H71/(B71+2)+J80),0))</f>
        <v>0</v>
      </c>
    </row>
    <row r="82" spans="1:11" ht="15.75" customHeight="1" x14ac:dyDescent="0.25">
      <c r="A82" s="75" t="s">
        <v>135</v>
      </c>
      <c r="B82" s="76" t="s">
        <v>135</v>
      </c>
      <c r="C82" s="52">
        <v>0</v>
      </c>
      <c r="D82" s="48">
        <f ca="1">((100/(H71))*C82)/100</f>
        <v>0</v>
      </c>
      <c r="E82" s="80"/>
      <c r="F82" s="81"/>
      <c r="G82" s="80"/>
      <c r="H82" s="85"/>
      <c r="I82" s="14" t="s">
        <v>149</v>
      </c>
      <c r="J82" s="30">
        <f ca="1">(IF(B71=1,(H71/(B71+3)+J77),IF(B71=0,(H71/4+J77),IF(B71&gt;1,0))))</f>
        <v>3</v>
      </c>
    </row>
    <row r="83" spans="1:11" ht="16.5" thickBot="1" x14ac:dyDescent="0.3">
      <c r="A83" s="87" t="s">
        <v>136</v>
      </c>
      <c r="B83" s="88"/>
      <c r="C83" s="55">
        <v>0</v>
      </c>
      <c r="D83" s="49">
        <f ca="1">((100/(H71))*C83)/100</f>
        <v>0</v>
      </c>
      <c r="E83" s="82"/>
      <c r="F83" s="83"/>
      <c r="G83" s="82"/>
      <c r="H83" s="86"/>
      <c r="I83" s="17" t="s">
        <v>102</v>
      </c>
      <c r="J83" s="32">
        <f ca="1">(IF(B71&gt;1.5,(H71/(B71+2)+J77+MAX(0,J78-J77)+MAX(0,J79-J78)+MAX(0,J80-J79)+MAX(0,J81-J80)+MAX(0,J82-J81)),IF(B71=1,(H71/(B71+3)+J82),IF(B71=0,H71/4+J82))))</f>
        <v>4</v>
      </c>
    </row>
    <row r="84" spans="1:11" ht="15.75" customHeight="1" x14ac:dyDescent="0.25">
      <c r="A84" s="66" t="s">
        <v>142</v>
      </c>
      <c r="B84" s="67"/>
      <c r="C84" s="68" t="s">
        <v>260</v>
      </c>
      <c r="D84" s="69"/>
      <c r="E84" s="69"/>
      <c r="F84" s="69"/>
      <c r="G84" s="69"/>
      <c r="H84" s="70"/>
      <c r="I84" s="15" t="str">
        <f ca="1">(IF(E88&gt;99%,"All work completed. Please provide OC.",IF(E88&gt;89.8%,"Plinth, RCC, Brick, Plaster, Flooring, Painting work Completed. Finishing work is in process.",IF(E88&lt;94%,(IF(C88=0,"Work not yet Started.",IF(D88=25%,"Piling work in process",IF(D88=50%,"Excavation work in process",IF(D88=100%,"Excavation work Completed. ","0")))&amp;(IF(C89=0%,"",IF(C89=J90,"Footing work is process",IF(C89=J91,"Footing work Completed",IF(C89=J92,"1st Basement Completed",IF(C89=J93,"1st &amp; 2nd Basement Completed",IF(C89=J94,"1st to 3rd Basement Completed",IF(C89=J95,"1st to 4th Basement Completed",IF(C89=J96,"Plinth work is process",IF(C89=J97,"Plinth work completed","0")))))))))))&amp;(IF(C90=(D85+F85+H85),", RCC Slab Completed",IF(C90&gt;0,", RCC upto "&amp;C90&amp;" Slab Completed",""))&amp;(IF(C91=H85,", Brickwork Completed",IF(C91&gt;0,", Brickwork upto "&amp;C91&amp;" Floor Completed",""))&amp;(IF(C92=H85,", Internal Plaster Completed",IF(C92&gt;0,", Internal Plaster upto "&amp;C92&amp;" Floor Completed",""))&amp;(IF(C93=H85,", External Plaster Completed",IF(C93&gt;0,", External Plaster upto "&amp;C93&amp;" Floor Completed",""))&amp;(IF(C94=H85,", Flooring Completed",IF(C94&gt;0,", Flooring upto "&amp;C94&amp;" Floor Completed",""))&amp;(IF(C95=H85,", Painting Completed",IF(C95&gt;0,", Painting upto "&amp;C95&amp;" Floor Completed",""))&amp;(IF(C96&gt;0,", Finishing upto "&amp;C96&amp;" Floor Completed","")&amp;(IF(C90&gt;0.5,".",""))))))))))))))</f>
        <v>Excavation work Completed. Plinth work completed, RCC upto 3 Slab Completed.</v>
      </c>
      <c r="J84" s="26"/>
    </row>
    <row r="85" spans="1:11" x14ac:dyDescent="0.25">
      <c r="A85" s="18" t="s">
        <v>144</v>
      </c>
      <c r="B85" s="56">
        <v>0</v>
      </c>
      <c r="C85" s="56" t="s">
        <v>69</v>
      </c>
      <c r="D85" s="56">
        <v>1</v>
      </c>
      <c r="E85" s="56" t="s">
        <v>68</v>
      </c>
      <c r="F85" s="56">
        <v>0</v>
      </c>
      <c r="G85" s="56" t="s">
        <v>78</v>
      </c>
      <c r="H85" s="19">
        <f ca="1">--TRIM(RIGHT(SUBSTITUTE(LEFT(C84,_xlfn.AGGREGATE(16,6,FIND({0,1,2,3,4,5,6,7,8,9},C84,ROW(INDIRECT("1:"&amp;LEN(C84)))),1))," ",REPT(" ",LEN(C84))),LEN(C84)))</f>
        <v>4</v>
      </c>
      <c r="I85" s="16"/>
      <c r="J85" s="27"/>
    </row>
    <row r="86" spans="1:11" ht="32.25" customHeight="1" x14ac:dyDescent="0.25">
      <c r="A86" s="71" t="s">
        <v>87</v>
      </c>
      <c r="B86" s="72"/>
      <c r="C86" s="73" t="str">
        <f ca="1">(IF($G$51="NA",I84,"All work Completed. OC Received."))</f>
        <v>Excavation work Completed. Plinth work completed, RCC upto 3 Slab Completed.</v>
      </c>
      <c r="D86" s="73"/>
      <c r="E86" s="73"/>
      <c r="F86" s="73"/>
      <c r="G86" s="73"/>
      <c r="H86" s="74"/>
      <c r="I86" s="16" t="s">
        <v>103</v>
      </c>
      <c r="J86" s="27"/>
    </row>
    <row r="87" spans="1:11" ht="15.75" customHeight="1" x14ac:dyDescent="0.25">
      <c r="A87" s="75" t="s">
        <v>47</v>
      </c>
      <c r="B87" s="76"/>
      <c r="C87" s="52" t="s">
        <v>141</v>
      </c>
      <c r="D87" s="52" t="s">
        <v>81</v>
      </c>
      <c r="E87" s="76" t="s">
        <v>83</v>
      </c>
      <c r="F87" s="76"/>
      <c r="G87" s="76" t="s">
        <v>82</v>
      </c>
      <c r="H87" s="77"/>
      <c r="I87" s="14" t="s">
        <v>143</v>
      </c>
      <c r="J87" s="28">
        <f ca="1">H85*25%</f>
        <v>1</v>
      </c>
    </row>
    <row r="88" spans="1:11" x14ac:dyDescent="0.25">
      <c r="A88" s="75" t="s">
        <v>130</v>
      </c>
      <c r="B88" s="76"/>
      <c r="C88" s="52">
        <f ca="1">J89</f>
        <v>4</v>
      </c>
      <c r="D88" s="48">
        <f ca="1">((100/H85)*C88)/100</f>
        <v>1</v>
      </c>
      <c r="E88" s="78">
        <f ca="1">(((C89/H85*10)+(40/(D85+F85+H85)*C90)+(7.5/(H85)*C91)+(7.5/(H85)*C92)+(10/H85*C93)+(10/H85*C94)+(5/H85*C95)+(5/H85*C96)+(5/H85*C97))/100)</f>
        <v>0.34</v>
      </c>
      <c r="F88" s="79"/>
      <c r="G88" s="78">
        <f ca="1">((((C88/H85)*20)+((C89/H85)*25)+(30/(H85+F85+D85)*C90)+(5/H85*C91)+(5/H85*C92)+(5/H85*C93)+(5/H85*C94)+(0/H85*C95)+(0/H85*C96)+(5/H85*C97))/100)</f>
        <v>0.63</v>
      </c>
      <c r="H88" s="84"/>
      <c r="I88" s="14" t="s">
        <v>98</v>
      </c>
      <c r="J88" s="29">
        <f ca="1">H85*50%</f>
        <v>2</v>
      </c>
      <c r="K88" s="20" t="s">
        <v>155</v>
      </c>
    </row>
    <row r="89" spans="1:11" x14ac:dyDescent="0.25">
      <c r="A89" s="75" t="s">
        <v>48</v>
      </c>
      <c r="B89" s="76"/>
      <c r="C89" s="64">
        <f ca="1">J97</f>
        <v>4</v>
      </c>
      <c r="D89" s="48">
        <f ca="1">((100/H85)*C89)/100</f>
        <v>1</v>
      </c>
      <c r="E89" s="80"/>
      <c r="F89" s="81"/>
      <c r="G89" s="80"/>
      <c r="H89" s="85"/>
      <c r="I89" s="14" t="s">
        <v>99</v>
      </c>
      <c r="J89" s="29">
        <f ca="1">H85</f>
        <v>4</v>
      </c>
    </row>
    <row r="90" spans="1:11" ht="15.75" customHeight="1" x14ac:dyDescent="0.25">
      <c r="A90" s="75" t="s">
        <v>131</v>
      </c>
      <c r="B90" s="76"/>
      <c r="C90" s="52">
        <v>3</v>
      </c>
      <c r="D90" s="48">
        <f ca="1">((100/(D85+F85+H85))*C90)/100</f>
        <v>0.6</v>
      </c>
      <c r="E90" s="80"/>
      <c r="F90" s="81"/>
      <c r="G90" s="80"/>
      <c r="H90" s="85"/>
      <c r="I90" s="14" t="s">
        <v>100</v>
      </c>
      <c r="J90" s="30">
        <f ca="1">(IF(B85&gt;1,(H85/(B85+2)),H85/4))</f>
        <v>1</v>
      </c>
    </row>
    <row r="91" spans="1:11" ht="15.75" customHeight="1" x14ac:dyDescent="0.25">
      <c r="A91" s="75" t="s">
        <v>138</v>
      </c>
      <c r="B91" s="76" t="s">
        <v>132</v>
      </c>
      <c r="C91" s="52">
        <v>0</v>
      </c>
      <c r="D91" s="48">
        <f ca="1">((100/H85)*C91)/100</f>
        <v>0</v>
      </c>
      <c r="E91" s="80"/>
      <c r="F91" s="81"/>
      <c r="G91" s="80"/>
      <c r="H91" s="85"/>
      <c r="I91" s="14" t="s">
        <v>101</v>
      </c>
      <c r="J91" s="30">
        <f ca="1">(IF(B85&gt;1,(H85/(B85+2)+J90),H85/4+J90))</f>
        <v>2</v>
      </c>
    </row>
    <row r="92" spans="1:11" ht="15.75" customHeight="1" x14ac:dyDescent="0.25">
      <c r="A92" s="75" t="s">
        <v>139</v>
      </c>
      <c r="B92" s="76" t="s">
        <v>132</v>
      </c>
      <c r="C92" s="52">
        <v>0</v>
      </c>
      <c r="D92" s="48">
        <f ca="1">((100/H85)*C92)/100</f>
        <v>0</v>
      </c>
      <c r="E92" s="80"/>
      <c r="F92" s="81"/>
      <c r="G92" s="80"/>
      <c r="H92" s="85"/>
      <c r="I92" s="14" t="s">
        <v>148</v>
      </c>
      <c r="J92" s="30">
        <f>(IF(B85&gt;1,(H85/(B85+2)+J91),0))</f>
        <v>0</v>
      </c>
    </row>
    <row r="93" spans="1:11" ht="15" customHeight="1" x14ac:dyDescent="0.25">
      <c r="A93" s="75" t="s">
        <v>137</v>
      </c>
      <c r="B93" s="76" t="s">
        <v>134</v>
      </c>
      <c r="C93" s="52">
        <v>0</v>
      </c>
      <c r="D93" s="48">
        <f ca="1">((100/(H85))*C93)/100</f>
        <v>0</v>
      </c>
      <c r="E93" s="80"/>
      <c r="F93" s="81"/>
      <c r="G93" s="80"/>
      <c r="H93" s="85"/>
      <c r="I93" s="14" t="s">
        <v>145</v>
      </c>
      <c r="J93" s="30">
        <f>(IF(B85&gt;2,(H85/(B85+2)+J92),0))</f>
        <v>0</v>
      </c>
    </row>
    <row r="94" spans="1:11" ht="15.75" customHeight="1" x14ac:dyDescent="0.25">
      <c r="A94" s="75" t="s">
        <v>133</v>
      </c>
      <c r="B94" s="76" t="s">
        <v>133</v>
      </c>
      <c r="C94" s="52">
        <v>0</v>
      </c>
      <c r="D94" s="48">
        <f ca="1">((100/H85)*C94)/100</f>
        <v>0</v>
      </c>
      <c r="E94" s="80"/>
      <c r="F94" s="81"/>
      <c r="G94" s="80"/>
      <c r="H94" s="85"/>
      <c r="I94" s="14" t="s">
        <v>146</v>
      </c>
      <c r="J94" s="31">
        <f>(IF(B85&gt;3,(H85/(B85+2)+J93),0))</f>
        <v>0</v>
      </c>
    </row>
    <row r="95" spans="1:11" ht="15.75" customHeight="1" x14ac:dyDescent="0.25">
      <c r="A95" s="75" t="s">
        <v>140</v>
      </c>
      <c r="B95" s="76"/>
      <c r="C95" s="52">
        <v>0</v>
      </c>
      <c r="D95" s="48">
        <f ca="1">((100/H85)*C95)/100</f>
        <v>0</v>
      </c>
      <c r="E95" s="80"/>
      <c r="F95" s="81"/>
      <c r="G95" s="80"/>
      <c r="H95" s="85"/>
      <c r="I95" s="14" t="s">
        <v>147</v>
      </c>
      <c r="J95" s="30">
        <f>(IF(B85&gt;4,(H85/(B85+2)+J94),0))</f>
        <v>0</v>
      </c>
    </row>
    <row r="96" spans="1:11" ht="15.75" customHeight="1" x14ac:dyDescent="0.25">
      <c r="A96" s="75" t="s">
        <v>135</v>
      </c>
      <c r="B96" s="76" t="s">
        <v>135</v>
      </c>
      <c r="C96" s="52">
        <v>0</v>
      </c>
      <c r="D96" s="48">
        <f ca="1">((100/(H85))*C96)/100</f>
        <v>0</v>
      </c>
      <c r="E96" s="80"/>
      <c r="F96" s="81"/>
      <c r="G96" s="80"/>
      <c r="H96" s="85"/>
      <c r="I96" s="14" t="s">
        <v>149</v>
      </c>
      <c r="J96" s="30">
        <f ca="1">(IF(B85=1,(H85/(B85+3)+J91),IF(B85=0,(H85/4+J91),IF(B85&gt;1,0))))</f>
        <v>3</v>
      </c>
    </row>
    <row r="97" spans="1:11" ht="16.5" thickBot="1" x14ac:dyDescent="0.3">
      <c r="A97" s="87" t="s">
        <v>136</v>
      </c>
      <c r="B97" s="88"/>
      <c r="C97" s="55">
        <v>0</v>
      </c>
      <c r="D97" s="49">
        <f ca="1">((100/(H85))*C97)/100</f>
        <v>0</v>
      </c>
      <c r="E97" s="82"/>
      <c r="F97" s="83"/>
      <c r="G97" s="82"/>
      <c r="H97" s="86"/>
      <c r="I97" s="17" t="s">
        <v>102</v>
      </c>
      <c r="J97" s="32">
        <f ca="1">(IF(B85&gt;1.5,(H85/(B85+2)+J91+MAX(0,J92-J91)+MAX(0,J93-J92)+MAX(0,J94-J93)+MAX(0,J95-J94)+MAX(0,J96-J95)),IF(B85=1,(H85/(B85+3)+J96),IF(B85=0,H85/4+J96))))</f>
        <v>4</v>
      </c>
    </row>
    <row r="98" spans="1:11" ht="15.75" customHeight="1" x14ac:dyDescent="0.25">
      <c r="A98" s="66" t="s">
        <v>142</v>
      </c>
      <c r="B98" s="67"/>
      <c r="C98" s="68" t="s">
        <v>259</v>
      </c>
      <c r="D98" s="69"/>
      <c r="E98" s="69"/>
      <c r="F98" s="69"/>
      <c r="G98" s="69"/>
      <c r="H98" s="70"/>
      <c r="I98" s="15" t="str">
        <f ca="1">(IF(E102&gt;99%,"All work completed. Please provide OC.",IF(E102&gt;89.8%,"Plinth, RCC, Brick, Plaster, Flooring, Painting work Completed. Finishing work is in process.",IF(E102&lt;94%,(IF(C102=0,"Work not yet Started.",IF(D102=25%,"Piling work in process",IF(D102=50%,"Excavation work in process",IF(D102=100%,"Excavation work Completed. ","0")))&amp;(IF(C103=0%,"",IF(C103=J104,"Footing work is process",IF(C103=J105,"Footing work Completed",IF(C103=J106,"1st Basement Completed",IF(C103=J107,"1st &amp; 2nd Basement Completed",IF(C103=J108,"1st to 3rd Basement Completed",IF(C103=J109,"1st to 4th Basement Completed",IF(C103=J110,"Plinth work is process",IF(C103=J111,"Plinth work completed","0")))))))))))&amp;(IF(C104=(D99+F99+H99),", RCC Slab Completed",IF(C104&gt;0,", RCC upto "&amp;C104&amp;" Slab Completed",""))&amp;(IF(C105=H99,", Brickwork Completed",IF(C105&gt;0,", Brickwork upto "&amp;C105&amp;" Floor Completed",""))&amp;(IF(C106=H99,", Internal Plaster Completed",IF(C106&gt;0,", Internal Plaster upto "&amp;C106&amp;" Floor Completed",""))&amp;(IF(C107=H99,", External Plaster Completed",IF(C107&gt;0,", External Plaster upto "&amp;C107&amp;" Floor Completed",""))&amp;(IF(C108=H99,", Flooring Completed",IF(C108&gt;0,", Flooring upto "&amp;C108&amp;" Floor Completed",""))&amp;(IF(C109=H99,", Painting Completed",IF(C109&gt;0,", Painting upto "&amp;C109&amp;" Floor Completed",""))&amp;(IF(C110&gt;0,", Finishing upto "&amp;C110&amp;" Floor Completed","")&amp;(IF(C104&gt;0.5,".",""))))))))))))))</f>
        <v>Excavation work Completed. Plinth work completed, RCC upto 3 Slab Completed.</v>
      </c>
      <c r="J98" s="26"/>
    </row>
    <row r="99" spans="1:11" x14ac:dyDescent="0.25">
      <c r="A99" s="18" t="s">
        <v>144</v>
      </c>
      <c r="B99" s="56">
        <v>0</v>
      </c>
      <c r="C99" s="56" t="s">
        <v>69</v>
      </c>
      <c r="D99" s="56">
        <v>1</v>
      </c>
      <c r="E99" s="56" t="s">
        <v>68</v>
      </c>
      <c r="F99" s="56">
        <v>0</v>
      </c>
      <c r="G99" s="56" t="s">
        <v>78</v>
      </c>
      <c r="H99" s="19">
        <f ca="1">--TRIM(RIGHT(SUBSTITUTE(LEFT(C98,_xlfn.AGGREGATE(16,6,FIND({0,1,2,3,4,5,6,7,8,9},C98,ROW(INDIRECT("1:"&amp;LEN(C98)))),1))," ",REPT(" ",LEN(C98))),LEN(C98)))</f>
        <v>4</v>
      </c>
      <c r="I99" s="16"/>
      <c r="J99" s="27"/>
    </row>
    <row r="100" spans="1:11" ht="31.15" customHeight="1" x14ac:dyDescent="0.25">
      <c r="A100" s="71" t="s">
        <v>87</v>
      </c>
      <c r="B100" s="72"/>
      <c r="C100" s="73" t="str">
        <f ca="1">(IF($G$51="NA",I98,"All work Completed. OC Received."))</f>
        <v>Excavation work Completed. Plinth work completed, RCC upto 3 Slab Completed.</v>
      </c>
      <c r="D100" s="73"/>
      <c r="E100" s="73"/>
      <c r="F100" s="73"/>
      <c r="G100" s="73"/>
      <c r="H100" s="74"/>
      <c r="I100" s="16" t="s">
        <v>103</v>
      </c>
      <c r="J100" s="27"/>
    </row>
    <row r="101" spans="1:11" ht="15.75" customHeight="1" x14ac:dyDescent="0.25">
      <c r="A101" s="75" t="s">
        <v>47</v>
      </c>
      <c r="B101" s="76"/>
      <c r="C101" s="52" t="s">
        <v>141</v>
      </c>
      <c r="D101" s="52" t="s">
        <v>81</v>
      </c>
      <c r="E101" s="76" t="s">
        <v>83</v>
      </c>
      <c r="F101" s="76"/>
      <c r="G101" s="76" t="s">
        <v>82</v>
      </c>
      <c r="H101" s="77"/>
      <c r="I101" s="14" t="s">
        <v>143</v>
      </c>
      <c r="J101" s="28">
        <f ca="1">H99*25%</f>
        <v>1</v>
      </c>
    </row>
    <row r="102" spans="1:11" x14ac:dyDescent="0.25">
      <c r="A102" s="75" t="s">
        <v>130</v>
      </c>
      <c r="B102" s="76"/>
      <c r="C102" s="52">
        <f ca="1">J103</f>
        <v>4</v>
      </c>
      <c r="D102" s="48">
        <f ca="1">((100/H99)*C102)/100</f>
        <v>1</v>
      </c>
      <c r="E102" s="78">
        <f ca="1">(((C103/H99*10)+(40/(D99+F99+H99)*C104)+(7.5/(H99)*C105)+(7.5/(H99)*C106)+(10/H99*C107)+(10/H99*C108)+(5/H99*C109)+(5/H99*C110)+(5/H99*C111))/100)</f>
        <v>0.34</v>
      </c>
      <c r="F102" s="79"/>
      <c r="G102" s="78">
        <f ca="1">((((C102/H99)*20)+((C103/H99)*25)+(30/(H99+F99+D99)*C104)+(5/H99*C105)+(5/H99*C106)+(5/H99*C107)+(5/H99*C108)+(0/H99*C109)+(0/H99*C110)+(5/H99*C111))/100)</f>
        <v>0.63</v>
      </c>
      <c r="H102" s="84"/>
      <c r="I102" s="14" t="s">
        <v>98</v>
      </c>
      <c r="J102" s="29">
        <f ca="1">H99*50%</f>
        <v>2</v>
      </c>
    </row>
    <row r="103" spans="1:11" x14ac:dyDescent="0.25">
      <c r="A103" s="75" t="s">
        <v>48</v>
      </c>
      <c r="B103" s="76"/>
      <c r="C103" s="64">
        <f ca="1">J111</f>
        <v>4</v>
      </c>
      <c r="D103" s="48">
        <f ca="1">((100/H99)*C103)/100</f>
        <v>1</v>
      </c>
      <c r="E103" s="80"/>
      <c r="F103" s="81"/>
      <c r="G103" s="80"/>
      <c r="H103" s="85"/>
      <c r="I103" s="14" t="s">
        <v>99</v>
      </c>
      <c r="J103" s="29">
        <f ca="1">H99</f>
        <v>4</v>
      </c>
    </row>
    <row r="104" spans="1:11" ht="15.75" customHeight="1" x14ac:dyDescent="0.25">
      <c r="A104" s="75" t="s">
        <v>131</v>
      </c>
      <c r="B104" s="76"/>
      <c r="C104" s="52">
        <v>3</v>
      </c>
      <c r="D104" s="48">
        <f ca="1">((100/(D99+F99+H99))*C104)/100</f>
        <v>0.6</v>
      </c>
      <c r="E104" s="80"/>
      <c r="F104" s="81"/>
      <c r="G104" s="80"/>
      <c r="H104" s="85"/>
      <c r="I104" s="14" t="s">
        <v>100</v>
      </c>
      <c r="J104" s="30">
        <f ca="1">(IF(B99&gt;1,(H99/(B99+2)),H99/4))</f>
        <v>1</v>
      </c>
    </row>
    <row r="105" spans="1:11" ht="15.75" customHeight="1" x14ac:dyDescent="0.25">
      <c r="A105" s="75" t="s">
        <v>138</v>
      </c>
      <c r="B105" s="76" t="s">
        <v>132</v>
      </c>
      <c r="C105" s="52">
        <v>0</v>
      </c>
      <c r="D105" s="48">
        <f ca="1">((100/H99)*C105)/100</f>
        <v>0</v>
      </c>
      <c r="E105" s="80"/>
      <c r="F105" s="81"/>
      <c r="G105" s="80"/>
      <c r="H105" s="85"/>
      <c r="I105" s="14" t="s">
        <v>101</v>
      </c>
      <c r="J105" s="30">
        <f ca="1">(IF(B99&gt;1,(H99/(B99+2)+J104),H99/4+J104))</f>
        <v>2</v>
      </c>
    </row>
    <row r="106" spans="1:11" ht="15.75" customHeight="1" x14ac:dyDescent="0.25">
      <c r="A106" s="75" t="s">
        <v>139</v>
      </c>
      <c r="B106" s="76" t="s">
        <v>132</v>
      </c>
      <c r="C106" s="52">
        <v>0</v>
      </c>
      <c r="D106" s="48">
        <f ca="1">((100/H99)*C106)/100</f>
        <v>0</v>
      </c>
      <c r="E106" s="80"/>
      <c r="F106" s="81"/>
      <c r="G106" s="80"/>
      <c r="H106" s="85"/>
      <c r="I106" s="14" t="s">
        <v>148</v>
      </c>
      <c r="J106" s="30">
        <f>(IF(B99&gt;1,(H99/(B99+2)+J105),0))</f>
        <v>0</v>
      </c>
      <c r="K106" s="20" t="s">
        <v>269</v>
      </c>
    </row>
    <row r="107" spans="1:11" ht="15" customHeight="1" x14ac:dyDescent="0.25">
      <c r="A107" s="75" t="s">
        <v>137</v>
      </c>
      <c r="B107" s="76" t="s">
        <v>134</v>
      </c>
      <c r="C107" s="52">
        <v>0</v>
      </c>
      <c r="D107" s="48">
        <f ca="1">((100/(H99))*C107)/100</f>
        <v>0</v>
      </c>
      <c r="E107" s="80"/>
      <c r="F107" s="81"/>
      <c r="G107" s="80"/>
      <c r="H107" s="85"/>
      <c r="I107" s="14" t="s">
        <v>145</v>
      </c>
      <c r="J107" s="30">
        <f>(IF(B99&gt;2,(H99/(B99+2)+J106),0))</f>
        <v>0</v>
      </c>
    </row>
    <row r="108" spans="1:11" ht="15.75" customHeight="1" x14ac:dyDescent="0.25">
      <c r="A108" s="75" t="s">
        <v>133</v>
      </c>
      <c r="B108" s="76" t="s">
        <v>133</v>
      </c>
      <c r="C108" s="52">
        <v>0</v>
      </c>
      <c r="D108" s="48">
        <f ca="1">((100/H99)*C108)/100</f>
        <v>0</v>
      </c>
      <c r="E108" s="80"/>
      <c r="F108" s="81"/>
      <c r="G108" s="80"/>
      <c r="H108" s="85"/>
      <c r="I108" s="14" t="s">
        <v>146</v>
      </c>
      <c r="J108" s="31">
        <f>(IF(B99&gt;3,(H99/(B99+2)+J107),0))</f>
        <v>0</v>
      </c>
    </row>
    <row r="109" spans="1:11" ht="15.75" customHeight="1" x14ac:dyDescent="0.25">
      <c r="A109" s="75" t="s">
        <v>140</v>
      </c>
      <c r="B109" s="76"/>
      <c r="C109" s="52">
        <v>0</v>
      </c>
      <c r="D109" s="48">
        <f ca="1">((100/H99)*C109)/100</f>
        <v>0</v>
      </c>
      <c r="E109" s="80"/>
      <c r="F109" s="81"/>
      <c r="G109" s="80"/>
      <c r="H109" s="85"/>
      <c r="I109" s="14" t="s">
        <v>147</v>
      </c>
      <c r="J109" s="30">
        <f>(IF(B99&gt;4,(H99/(B99+2)+J108),0))</f>
        <v>0</v>
      </c>
    </row>
    <row r="110" spans="1:11" ht="15.75" customHeight="1" x14ac:dyDescent="0.25">
      <c r="A110" s="75" t="s">
        <v>135</v>
      </c>
      <c r="B110" s="76" t="s">
        <v>135</v>
      </c>
      <c r="C110" s="52">
        <v>0</v>
      </c>
      <c r="D110" s="48">
        <f ca="1">((100/(H99))*C110)/100</f>
        <v>0</v>
      </c>
      <c r="E110" s="80"/>
      <c r="F110" s="81"/>
      <c r="G110" s="80"/>
      <c r="H110" s="85"/>
      <c r="I110" s="14" t="s">
        <v>149</v>
      </c>
      <c r="J110" s="30">
        <f ca="1">(IF(B99=1,(H99/(B99+3)+J105),IF(B99=0,(H99/4+J105),IF(B99&gt;1,0))))</f>
        <v>3</v>
      </c>
    </row>
    <row r="111" spans="1:11" ht="16.5" thickBot="1" x14ac:dyDescent="0.3">
      <c r="A111" s="87" t="s">
        <v>136</v>
      </c>
      <c r="B111" s="88"/>
      <c r="C111" s="55">
        <v>0</v>
      </c>
      <c r="D111" s="49">
        <f ca="1">((100/(H99))*C111)/100</f>
        <v>0</v>
      </c>
      <c r="E111" s="82"/>
      <c r="F111" s="83"/>
      <c r="G111" s="82"/>
      <c r="H111" s="86"/>
      <c r="I111" s="17" t="s">
        <v>102</v>
      </c>
      <c r="J111" s="32">
        <f ca="1">(IF(B99&gt;1.5,(H99/(B99+2)+J105+MAX(0,J106-J105)+MAX(0,J107-J106)+MAX(0,J108-J107)+MAX(0,J109-J108)+MAX(0,J110-J109)),IF(B99=1,(H99/(B99+3)+J110),IF(B99=0,H99/4+J110))))</f>
        <v>4</v>
      </c>
    </row>
    <row r="112" spans="1:11" ht="15.75" customHeight="1" x14ac:dyDescent="0.25">
      <c r="A112" s="66" t="s">
        <v>142</v>
      </c>
      <c r="B112" s="67"/>
      <c r="C112" s="68" t="str">
        <f>D58</f>
        <v>Building No.3 (Wing A, B ) = Gr/St + 1st to 4th Floor</v>
      </c>
      <c r="D112" s="69"/>
      <c r="E112" s="69"/>
      <c r="F112" s="69"/>
      <c r="G112" s="69"/>
      <c r="H112" s="70"/>
      <c r="I112" s="15" t="str">
        <f ca="1">(IF(E116&gt;99%,"All work completed. Please provide OC.",IF(E116&gt;89.8%,"Plinth, RCC, Brick, Plaster, Flooring, Painting work Completed. Finishing work is in process.",IF(E116&lt;94%,(IF(C116=0,"Work not yet Started.",IF(D116=25%,"Piling work in process",IF(D116=50%,"Excavation work in process",IF(D116=100%,"Excavation work Completed. ","0")))&amp;(IF(C117=0%,"",IF(C117=J118,"Footing work is process",IF(C117=J119,"Footing work Completed",IF(C117=J120,"1st Basement Completed",IF(C117=J121,"1st &amp; 2nd Basement Completed",IF(C117=J122,"1st to 3rd Basement Completed",IF(C117=J123,"1st to 4th Basement Completed",IF(C117=J124,"Plinth work is process",IF(C117=J125,"Plinth work completed","0")))))))))))&amp;(IF(C118=(D113+F113+H113),", RCC Slab Completed",IF(C118&gt;0,", RCC upto "&amp;C118&amp;" Slab Completed",""))&amp;(IF(C119=H113,", Brickwork Completed",IF(C119&gt;0,", Brickwork upto "&amp;C119&amp;" Floor Completed",""))&amp;(IF(C120=H113,", Internal Plaster Completed",IF(C120&gt;0,", Internal Plaster upto "&amp;C120&amp;" Floor Completed",""))&amp;(IF(C121=H113,", External Plaster Completed",IF(C121&gt;0,", External Plaster upto "&amp;C121&amp;" Floor Completed",""))&amp;(IF(C122=H113,", Flooring Completed",IF(C122&gt;0,", Flooring upto "&amp;C122&amp;" Floor Completed",""))&amp;(IF(C123=H113,", Painting Completed",IF(C123&gt;0,", Painting upto "&amp;C123&amp;" Floor Completed",""))&amp;(IF(C124&gt;0,", Finishing upto "&amp;C124&amp;" Floor Completed","")&amp;(IF(C118&gt;0.5,".",""))))))))))))))</f>
        <v>Work not yet Started.</v>
      </c>
      <c r="J112" s="26"/>
    </row>
    <row r="113" spans="1:10" x14ac:dyDescent="0.25">
      <c r="A113" s="18" t="s">
        <v>144</v>
      </c>
      <c r="B113" s="56">
        <v>0</v>
      </c>
      <c r="C113" s="56" t="s">
        <v>69</v>
      </c>
      <c r="D113" s="56">
        <v>1</v>
      </c>
      <c r="E113" s="56" t="s">
        <v>68</v>
      </c>
      <c r="F113" s="56">
        <v>0</v>
      </c>
      <c r="G113" s="56" t="s">
        <v>78</v>
      </c>
      <c r="H113" s="19">
        <f ca="1">--TRIM(RIGHT(SUBSTITUTE(LEFT(C112,_xlfn.AGGREGATE(16,6,FIND({0,1,2,3,4,5,6,7,8,9},C112,ROW(INDIRECT("1:"&amp;LEN(C112)))),1))," ",REPT(" ",LEN(C112))),LEN(C112)))</f>
        <v>4</v>
      </c>
      <c r="I113" s="16"/>
      <c r="J113" s="27"/>
    </row>
    <row r="114" spans="1:10" ht="15.75" customHeight="1" x14ac:dyDescent="0.25">
      <c r="A114" s="71" t="s">
        <v>87</v>
      </c>
      <c r="B114" s="72"/>
      <c r="C114" s="73" t="str">
        <f ca="1">(IF($G$51="NA",I112,"All work Completed. OC Received."))</f>
        <v>Work not yet Started.</v>
      </c>
      <c r="D114" s="73"/>
      <c r="E114" s="73"/>
      <c r="F114" s="73"/>
      <c r="G114" s="73"/>
      <c r="H114" s="74"/>
      <c r="I114" s="16" t="s">
        <v>103</v>
      </c>
      <c r="J114" s="27"/>
    </row>
    <row r="115" spans="1:10" ht="15.75" customHeight="1" x14ac:dyDescent="0.25">
      <c r="A115" s="75" t="s">
        <v>47</v>
      </c>
      <c r="B115" s="76"/>
      <c r="C115" s="52" t="s">
        <v>141</v>
      </c>
      <c r="D115" s="52" t="s">
        <v>81</v>
      </c>
      <c r="E115" s="76" t="s">
        <v>83</v>
      </c>
      <c r="F115" s="76"/>
      <c r="G115" s="76" t="s">
        <v>82</v>
      </c>
      <c r="H115" s="77"/>
      <c r="I115" s="14" t="s">
        <v>143</v>
      </c>
      <c r="J115" s="28">
        <f ca="1">H113*25%</f>
        <v>1</v>
      </c>
    </row>
    <row r="116" spans="1:10" x14ac:dyDescent="0.25">
      <c r="A116" s="75" t="s">
        <v>130</v>
      </c>
      <c r="B116" s="76"/>
      <c r="C116" s="52">
        <v>0</v>
      </c>
      <c r="D116" s="48">
        <f ca="1">((100/H113)*C116)/100</f>
        <v>0</v>
      </c>
      <c r="E116" s="78">
        <f ca="1">(((C117/H113*10)+(40/(D113+F113+H113)*C118)+(7.5/(H113)*C119)+(7.5/(H113)*C120)+(10/H113*C121)+(10/H113*C122)+(5/H113*C123)+(5/H113*C124)+(5/H113*C125))/100)</f>
        <v>0</v>
      </c>
      <c r="F116" s="79"/>
      <c r="G116" s="78">
        <f ca="1">((((C116/H113)*20)+((C117/H113)*25)+(30/(H113+F113+D113)*C118)+(5/H113*C119)+(5/H113*C120)+(5/H113*C121)+(5/H113*C122)+(0/H113*C123)+(0/H113*C124)+(5/H113*C125))/100)</f>
        <v>0</v>
      </c>
      <c r="H116" s="84"/>
      <c r="I116" s="14" t="s">
        <v>98</v>
      </c>
      <c r="J116" s="29">
        <f ca="1">H113*50%</f>
        <v>2</v>
      </c>
    </row>
    <row r="117" spans="1:10" x14ac:dyDescent="0.25">
      <c r="A117" s="75" t="s">
        <v>48</v>
      </c>
      <c r="B117" s="76"/>
      <c r="C117" s="52">
        <v>0</v>
      </c>
      <c r="D117" s="48">
        <f ca="1">((100/H113)*C117)/100</f>
        <v>0</v>
      </c>
      <c r="E117" s="80"/>
      <c r="F117" s="81"/>
      <c r="G117" s="80"/>
      <c r="H117" s="85"/>
      <c r="I117" s="14" t="s">
        <v>99</v>
      </c>
      <c r="J117" s="29">
        <f ca="1">H113</f>
        <v>4</v>
      </c>
    </row>
    <row r="118" spans="1:10" ht="15.75" customHeight="1" x14ac:dyDescent="0.25">
      <c r="A118" s="75" t="s">
        <v>131</v>
      </c>
      <c r="B118" s="76"/>
      <c r="C118" s="52">
        <v>0</v>
      </c>
      <c r="D118" s="48">
        <f ca="1">((100/(D113+F113+H113))*C118)/100</f>
        <v>0</v>
      </c>
      <c r="E118" s="80"/>
      <c r="F118" s="81"/>
      <c r="G118" s="80"/>
      <c r="H118" s="85"/>
      <c r="I118" s="14" t="s">
        <v>100</v>
      </c>
      <c r="J118" s="30">
        <f ca="1">(IF(B113&gt;1,(H113/(B113+2)),H113/4))</f>
        <v>1</v>
      </c>
    </row>
    <row r="119" spans="1:10" ht="15.75" customHeight="1" x14ac:dyDescent="0.25">
      <c r="A119" s="75" t="s">
        <v>138</v>
      </c>
      <c r="B119" s="76" t="s">
        <v>132</v>
      </c>
      <c r="C119" s="52">
        <v>0</v>
      </c>
      <c r="D119" s="48">
        <f ca="1">((100/H113)*C119)/100</f>
        <v>0</v>
      </c>
      <c r="E119" s="80"/>
      <c r="F119" s="81"/>
      <c r="G119" s="80"/>
      <c r="H119" s="85"/>
      <c r="I119" s="14" t="s">
        <v>101</v>
      </c>
      <c r="J119" s="30">
        <f ca="1">(IF(B113&gt;1,(H113/(B113+2)+J118),H113/4+J118))</f>
        <v>2</v>
      </c>
    </row>
    <row r="120" spans="1:10" ht="15.75" customHeight="1" x14ac:dyDescent="0.25">
      <c r="A120" s="75" t="s">
        <v>139</v>
      </c>
      <c r="B120" s="76" t="s">
        <v>132</v>
      </c>
      <c r="C120" s="52">
        <v>0</v>
      </c>
      <c r="D120" s="48">
        <f ca="1">((100/H113)*C120)/100</f>
        <v>0</v>
      </c>
      <c r="E120" s="80"/>
      <c r="F120" s="81"/>
      <c r="G120" s="80"/>
      <c r="H120" s="85"/>
      <c r="I120" s="14" t="s">
        <v>148</v>
      </c>
      <c r="J120" s="30">
        <f>(IF(B113&gt;1,(H113/(B113+2)+J119),0))</f>
        <v>0</v>
      </c>
    </row>
    <row r="121" spans="1:10" ht="15" customHeight="1" x14ac:dyDescent="0.25">
      <c r="A121" s="75" t="s">
        <v>137</v>
      </c>
      <c r="B121" s="76" t="s">
        <v>134</v>
      </c>
      <c r="C121" s="52">
        <v>0</v>
      </c>
      <c r="D121" s="48">
        <f ca="1">((100/(H113))*C121)/100</f>
        <v>0</v>
      </c>
      <c r="E121" s="80"/>
      <c r="F121" s="81"/>
      <c r="G121" s="80"/>
      <c r="H121" s="85"/>
      <c r="I121" s="14" t="s">
        <v>145</v>
      </c>
      <c r="J121" s="30">
        <f>(IF(B113&gt;2,(H113/(B113+2)+J120),0))</f>
        <v>0</v>
      </c>
    </row>
    <row r="122" spans="1:10" ht="15.75" customHeight="1" x14ac:dyDescent="0.25">
      <c r="A122" s="75" t="s">
        <v>133</v>
      </c>
      <c r="B122" s="76" t="s">
        <v>133</v>
      </c>
      <c r="C122" s="52">
        <v>0</v>
      </c>
      <c r="D122" s="48">
        <f ca="1">((100/H113)*C122)/100</f>
        <v>0</v>
      </c>
      <c r="E122" s="80"/>
      <c r="F122" s="81"/>
      <c r="G122" s="80"/>
      <c r="H122" s="85"/>
      <c r="I122" s="14" t="s">
        <v>146</v>
      </c>
      <c r="J122" s="31">
        <f>(IF(B113&gt;3,(H113/(B113+2)+J121),0))</f>
        <v>0</v>
      </c>
    </row>
    <row r="123" spans="1:10" ht="15.75" customHeight="1" x14ac:dyDescent="0.25">
      <c r="A123" s="75" t="s">
        <v>140</v>
      </c>
      <c r="B123" s="76"/>
      <c r="C123" s="52">
        <v>0</v>
      </c>
      <c r="D123" s="48">
        <f ca="1">((100/H113)*C123)/100</f>
        <v>0</v>
      </c>
      <c r="E123" s="80"/>
      <c r="F123" s="81"/>
      <c r="G123" s="80"/>
      <c r="H123" s="85"/>
      <c r="I123" s="14" t="s">
        <v>147</v>
      </c>
      <c r="J123" s="30">
        <f>(IF(B113&gt;4,(H113/(B113+2)+J122),0))</f>
        <v>0</v>
      </c>
    </row>
    <row r="124" spans="1:10" ht="15.75" customHeight="1" x14ac:dyDescent="0.25">
      <c r="A124" s="75" t="s">
        <v>135</v>
      </c>
      <c r="B124" s="76" t="s">
        <v>135</v>
      </c>
      <c r="C124" s="52">
        <v>0</v>
      </c>
      <c r="D124" s="48">
        <f ca="1">((100/(H113))*C124)/100</f>
        <v>0</v>
      </c>
      <c r="E124" s="80"/>
      <c r="F124" s="81"/>
      <c r="G124" s="80"/>
      <c r="H124" s="85"/>
      <c r="I124" s="14" t="s">
        <v>149</v>
      </c>
      <c r="J124" s="30">
        <f ca="1">(IF(B113=1,(H113/(B113+3)+J119),IF(B113=0,(H113/4+J119),IF(B113&gt;1,0))))</f>
        <v>3</v>
      </c>
    </row>
    <row r="125" spans="1:10" ht="16.5" thickBot="1" x14ac:dyDescent="0.3">
      <c r="A125" s="87" t="s">
        <v>136</v>
      </c>
      <c r="B125" s="88"/>
      <c r="C125" s="55">
        <v>0</v>
      </c>
      <c r="D125" s="49">
        <f ca="1">((100/(H113))*C125)/100</f>
        <v>0</v>
      </c>
      <c r="E125" s="82"/>
      <c r="F125" s="83"/>
      <c r="G125" s="82"/>
      <c r="H125" s="86"/>
      <c r="I125" s="17" t="s">
        <v>102</v>
      </c>
      <c r="J125" s="32">
        <f ca="1">(IF(B113&gt;1.5,(H113/(B113+2)+J119+MAX(0,J120-J119)+MAX(0,J121-J120)+MAX(0,J122-J121)+MAX(0,J123-J122)+MAX(0,J124-J123)),IF(B113=1,(H113/(B113+3)+J124),IF(B113=0,H113/4+J124))))</f>
        <v>4</v>
      </c>
    </row>
    <row r="126" spans="1:10" ht="15.75" customHeight="1" x14ac:dyDescent="0.25">
      <c r="A126" s="66" t="s">
        <v>142</v>
      </c>
      <c r="B126" s="67"/>
      <c r="C126" s="68" t="s">
        <v>263</v>
      </c>
      <c r="D126" s="69"/>
      <c r="E126" s="69"/>
      <c r="F126" s="69"/>
      <c r="G126" s="69"/>
      <c r="H126" s="70"/>
      <c r="I126" s="15" t="str">
        <f ca="1">(IF(E130&gt;99%,"All work completed. Please provide OC.",IF(E130&gt;89.8%,"Plinth, RCC, Brick, Plaster, Flooring, Painting work Completed. Finishing work is in process.",IF(E130&lt;94%,(IF(C130=0,"Work not yet Started.",IF(D130=25%,"Piling work in process",IF(D130=50%,"Excavation work in process",IF(D130=100%,"Excavation work Completed. ","0")))&amp;(IF(C131=0%,"",IF(C131=J132,"Footing work is process",IF(C131=J133,"Footing work Completed",IF(C131=J134,"1st Basement Completed",IF(C131=J135,"1st &amp; 2nd Basement Completed",IF(C131=J136,"1st to 3rd Basement Completed",IF(C131=J137,"1st to 4th Basement Completed",IF(C131=J138,"Plinth work is process",IF(C131=J139,"Plinth work completed","0")))))))))))&amp;(IF(C132=(D127+F127+H127),", RCC Slab Completed",IF(C132&gt;0,", RCC upto "&amp;C132&amp;" Slab Completed",""))&amp;(IF(C133=H127,", Brickwork Completed",IF(C133&gt;0,", Brickwork upto "&amp;C133&amp;" Floor Completed",""))&amp;(IF(C134=H127,", Internal Plaster Completed",IF(C134&gt;0,", Internal Plaster upto "&amp;C134&amp;" Floor Completed",""))&amp;(IF(C135=H127,", External Plaster Completed",IF(C135&gt;0,", External Plaster upto "&amp;C135&amp;" Floor Completed",""))&amp;(IF(C136=H127,", Flooring Completed",IF(C136&gt;0,", Flooring upto "&amp;C136&amp;" Floor Completed",""))&amp;(IF(C137=H127,", Painting Completed",IF(C137&gt;0,", Painting upto "&amp;C137&amp;" Floor Completed",""))&amp;(IF(C138&gt;0,", Finishing upto "&amp;C138&amp;" Floor Completed","")&amp;(IF(C132&gt;0.5,".",""))))))))))))))</f>
        <v>Excavation work Completed. Plinth work completed, RCC Slab Completed, Brickwork Completed, Internal Plaster Completed, External Plaster upto 3 Floor Completed.</v>
      </c>
      <c r="J126" s="26"/>
    </row>
    <row r="127" spans="1:10" x14ac:dyDescent="0.25">
      <c r="A127" s="18" t="s">
        <v>144</v>
      </c>
      <c r="B127" s="56">
        <v>0</v>
      </c>
      <c r="C127" s="56" t="s">
        <v>69</v>
      </c>
      <c r="D127" s="56">
        <v>1</v>
      </c>
      <c r="E127" s="56" t="s">
        <v>68</v>
      </c>
      <c r="F127" s="56">
        <v>0</v>
      </c>
      <c r="G127" s="56" t="s">
        <v>78</v>
      </c>
      <c r="H127" s="19">
        <f ca="1">--TRIM(RIGHT(SUBSTITUTE(LEFT(C126,_xlfn.AGGREGATE(16,6,FIND({0,1,2,3,4,5,6,7,8,9},C126,ROW(INDIRECT("1:"&amp;LEN(C126)))),1))," ",REPT(" ",LEN(C126))),LEN(C126)))</f>
        <v>4</v>
      </c>
      <c r="I127" s="16"/>
      <c r="J127" s="27"/>
    </row>
    <row r="128" spans="1:10" ht="52.15" customHeight="1" x14ac:dyDescent="0.25">
      <c r="A128" s="71" t="s">
        <v>87</v>
      </c>
      <c r="B128" s="72"/>
      <c r="C128" s="73" t="str">
        <f ca="1">(IF($G$51="NA",I126,"All work Completed. OC Received."))</f>
        <v>Excavation work Completed. Plinth work completed, RCC Slab Completed, Brickwork Completed, Internal Plaster Completed, External Plaster upto 3 Floor Completed.</v>
      </c>
      <c r="D128" s="73"/>
      <c r="E128" s="73"/>
      <c r="F128" s="73"/>
      <c r="G128" s="73"/>
      <c r="H128" s="74"/>
      <c r="I128" s="16" t="s">
        <v>103</v>
      </c>
      <c r="J128" s="27"/>
    </row>
    <row r="129" spans="1:11" ht="15.75" customHeight="1" x14ac:dyDescent="0.25">
      <c r="A129" s="75" t="s">
        <v>47</v>
      </c>
      <c r="B129" s="76"/>
      <c r="C129" s="52" t="s">
        <v>141</v>
      </c>
      <c r="D129" s="52" t="s">
        <v>81</v>
      </c>
      <c r="E129" s="76" t="s">
        <v>83</v>
      </c>
      <c r="F129" s="76"/>
      <c r="G129" s="76" t="s">
        <v>82</v>
      </c>
      <c r="H129" s="77"/>
      <c r="I129" s="14" t="s">
        <v>143</v>
      </c>
      <c r="J129" s="28">
        <f ca="1">H127*25%</f>
        <v>1</v>
      </c>
    </row>
    <row r="130" spans="1:11" x14ac:dyDescent="0.25">
      <c r="A130" s="75" t="s">
        <v>130</v>
      </c>
      <c r="B130" s="76"/>
      <c r="C130" s="52">
        <f ca="1">J131</f>
        <v>4</v>
      </c>
      <c r="D130" s="48">
        <f ca="1">((100/H127)*C130)/100</f>
        <v>1</v>
      </c>
      <c r="E130" s="78">
        <f ca="1">(((C131/H127*10)+(40/(D127+F127+H127)*C132)+(7.5/(H127)*C133)+(7.5/(H127)*C134)+(10/H127*C135)+(10/H127*C136)+(5/H127*C137)+(5/H127*C138)+(5/H127*C139))/100)</f>
        <v>0.72499999999999998</v>
      </c>
      <c r="F130" s="79"/>
      <c r="G130" s="78">
        <f ca="1">((((C130/H127)*20)+((C131/H127)*25)+(30/(H127+F127+D127)*C132)+(5/H127*C133)+(5/H127*C134)+(5/H127*C135)+(5/H127*C136)+(0/H127*C137)+(0/H127*C138)+(5/H127*C139))/100)</f>
        <v>0.88749999999999996</v>
      </c>
      <c r="H130" s="84"/>
      <c r="I130" s="14" t="s">
        <v>98</v>
      </c>
      <c r="J130" s="29">
        <f ca="1">H127*50%</f>
        <v>2</v>
      </c>
      <c r="K130" s="20" t="s">
        <v>155</v>
      </c>
    </row>
    <row r="131" spans="1:11" x14ac:dyDescent="0.25">
      <c r="A131" s="75" t="s">
        <v>48</v>
      </c>
      <c r="B131" s="76"/>
      <c r="C131" s="64">
        <f ca="1">J139</f>
        <v>4</v>
      </c>
      <c r="D131" s="48">
        <f ca="1">((100/H127)*C131)/100</f>
        <v>1</v>
      </c>
      <c r="E131" s="80"/>
      <c r="F131" s="81"/>
      <c r="G131" s="80"/>
      <c r="H131" s="85"/>
      <c r="I131" s="14" t="s">
        <v>99</v>
      </c>
      <c r="J131" s="29">
        <f ca="1">H127</f>
        <v>4</v>
      </c>
    </row>
    <row r="132" spans="1:11" ht="15.75" customHeight="1" x14ac:dyDescent="0.25">
      <c r="A132" s="75" t="s">
        <v>131</v>
      </c>
      <c r="B132" s="76"/>
      <c r="C132" s="52">
        <v>5</v>
      </c>
      <c r="D132" s="48">
        <f ca="1">((100/(D127+F127+H127))*C132)/100</f>
        <v>1</v>
      </c>
      <c r="E132" s="80"/>
      <c r="F132" s="81"/>
      <c r="G132" s="80"/>
      <c r="H132" s="85"/>
      <c r="I132" s="14" t="s">
        <v>100</v>
      </c>
      <c r="J132" s="30">
        <f ca="1">(IF(B127&gt;1,(H127/(B127+2)),H127/4))</f>
        <v>1</v>
      </c>
    </row>
    <row r="133" spans="1:11" ht="15.75" customHeight="1" x14ac:dyDescent="0.25">
      <c r="A133" s="75" t="s">
        <v>138</v>
      </c>
      <c r="B133" s="76" t="s">
        <v>132</v>
      </c>
      <c r="C133" s="52">
        <v>4</v>
      </c>
      <c r="D133" s="48">
        <f ca="1">((100/H127)*C133)/100</f>
        <v>1</v>
      </c>
      <c r="E133" s="80"/>
      <c r="F133" s="81"/>
      <c r="G133" s="80"/>
      <c r="H133" s="85"/>
      <c r="I133" s="14" t="s">
        <v>101</v>
      </c>
      <c r="J133" s="30">
        <f ca="1">(IF(B127&gt;1,(H127/(B127+2)+J132),H127/4+J132))</f>
        <v>2</v>
      </c>
    </row>
    <row r="134" spans="1:11" ht="15.75" customHeight="1" x14ac:dyDescent="0.25">
      <c r="A134" s="75" t="s">
        <v>139</v>
      </c>
      <c r="B134" s="76" t="s">
        <v>132</v>
      </c>
      <c r="C134" s="52">
        <v>4</v>
      </c>
      <c r="D134" s="48">
        <f ca="1">((100/H127)*C134)/100</f>
        <v>1</v>
      </c>
      <c r="E134" s="80"/>
      <c r="F134" s="81"/>
      <c r="G134" s="80"/>
      <c r="H134" s="85"/>
      <c r="I134" s="14" t="s">
        <v>148</v>
      </c>
      <c r="J134" s="30">
        <f>(IF(B127&gt;1,(H127/(B127+2)+J133),0))</f>
        <v>0</v>
      </c>
    </row>
    <row r="135" spans="1:11" ht="15" customHeight="1" x14ac:dyDescent="0.25">
      <c r="A135" s="75" t="s">
        <v>137</v>
      </c>
      <c r="B135" s="76" t="s">
        <v>134</v>
      </c>
      <c r="C135" s="52">
        <v>3</v>
      </c>
      <c r="D135" s="48">
        <f ca="1">((100/(H127))*C135)/100</f>
        <v>0.75</v>
      </c>
      <c r="E135" s="80"/>
      <c r="F135" s="81"/>
      <c r="G135" s="80"/>
      <c r="H135" s="85"/>
      <c r="I135" s="14" t="s">
        <v>145</v>
      </c>
      <c r="J135" s="30">
        <f>(IF(B127&gt;2,(H127/(B127+2)+J134),0))</f>
        <v>0</v>
      </c>
    </row>
    <row r="136" spans="1:11" ht="15.75" customHeight="1" x14ac:dyDescent="0.25">
      <c r="A136" s="75" t="s">
        <v>133</v>
      </c>
      <c r="B136" s="76" t="s">
        <v>133</v>
      </c>
      <c r="C136" s="52">
        <v>0</v>
      </c>
      <c r="D136" s="48">
        <f ca="1">((100/H127)*C136)/100</f>
        <v>0</v>
      </c>
      <c r="E136" s="80"/>
      <c r="F136" s="81"/>
      <c r="G136" s="80"/>
      <c r="H136" s="85"/>
      <c r="I136" s="14" t="s">
        <v>146</v>
      </c>
      <c r="J136" s="31">
        <f>(IF(B127&gt;3,(H127/(B127+2)+J135),0))</f>
        <v>0</v>
      </c>
    </row>
    <row r="137" spans="1:11" ht="15.75" customHeight="1" x14ac:dyDescent="0.25">
      <c r="A137" s="75" t="s">
        <v>140</v>
      </c>
      <c r="B137" s="76"/>
      <c r="C137" s="52">
        <v>0</v>
      </c>
      <c r="D137" s="48">
        <f ca="1">((100/H127)*C137)/100</f>
        <v>0</v>
      </c>
      <c r="E137" s="80"/>
      <c r="F137" s="81"/>
      <c r="G137" s="80"/>
      <c r="H137" s="85"/>
      <c r="I137" s="14" t="s">
        <v>147</v>
      </c>
      <c r="J137" s="30">
        <f>(IF(B127&gt;4,(H127/(B127+2)+J136),0))</f>
        <v>0</v>
      </c>
    </row>
    <row r="138" spans="1:11" ht="15.75" customHeight="1" x14ac:dyDescent="0.25">
      <c r="A138" s="75" t="s">
        <v>135</v>
      </c>
      <c r="B138" s="76" t="s">
        <v>135</v>
      </c>
      <c r="C138" s="52">
        <v>0</v>
      </c>
      <c r="D138" s="48">
        <f ca="1">((100/(H127))*C138)/100</f>
        <v>0</v>
      </c>
      <c r="E138" s="80"/>
      <c r="F138" s="81"/>
      <c r="G138" s="80"/>
      <c r="H138" s="85"/>
      <c r="I138" s="14" t="s">
        <v>149</v>
      </c>
      <c r="J138" s="30">
        <f ca="1">(IF(B127=1,(H127/(B127+3)+J133),IF(B127=0,(H127/4+J133),IF(B127&gt;1,0))))</f>
        <v>3</v>
      </c>
    </row>
    <row r="139" spans="1:11" ht="16.5" thickBot="1" x14ac:dyDescent="0.3">
      <c r="A139" s="87" t="s">
        <v>136</v>
      </c>
      <c r="B139" s="88"/>
      <c r="C139" s="55">
        <v>0</v>
      </c>
      <c r="D139" s="49">
        <f ca="1">((100/(H127))*C139)/100</f>
        <v>0</v>
      </c>
      <c r="E139" s="82"/>
      <c r="F139" s="83"/>
      <c r="G139" s="82"/>
      <c r="H139" s="86"/>
      <c r="I139" s="17" t="s">
        <v>102</v>
      </c>
      <c r="J139" s="32">
        <f ca="1">(IF(B127&gt;1.5,(H127/(B127+2)+J133+MAX(0,J134-J133)+MAX(0,J135-J134)+MAX(0,J136-J135)+MAX(0,J137-J136)+MAX(0,J138-J137)),IF(B127=1,(H127/(B127+3)+J138),IF(B127=0,H127/4+J138))))</f>
        <v>4</v>
      </c>
    </row>
    <row r="140" spans="1:11" ht="15.75" customHeight="1" x14ac:dyDescent="0.25">
      <c r="A140" s="66" t="s">
        <v>142</v>
      </c>
      <c r="B140" s="67"/>
      <c r="C140" s="68" t="s">
        <v>255</v>
      </c>
      <c r="D140" s="69"/>
      <c r="E140" s="69"/>
      <c r="F140" s="69"/>
      <c r="G140" s="69"/>
      <c r="H140" s="70"/>
      <c r="I140" s="15" t="str">
        <f ca="1">(IF(E144&gt;99%,"All work completed. Please provide OC.",IF(E144&gt;89.8%,"Plinth, RCC, Brick, Plaster, Flooring, Painting work Completed. Finishing work is in process.",IF(E144&lt;94%,(IF(C144=0,"Work not yet Started.",IF(D144=25%,"Piling work in process",IF(D144=50%,"Excavation work in process",IF(D144=100%,"Excavation work Completed. ","0")))&amp;(IF(C145=0%,"",IF(C145=J146,"Footing work is process",IF(C145=J147,"Footing work Completed",IF(C145=J148,"1st Basement Completed",IF(C145=J149,"1st &amp; 2nd Basement Completed",IF(C145=J150,"1st to 3rd Basement Completed",IF(C145=J151,"1st to 4th Basement Completed",IF(C145=J152,"Plinth work is process",IF(C145=J153,"Plinth work completed","0")))))))))))&amp;(IF(C146=(D141+F141+H141),", RCC Slab Completed",IF(C146&gt;0,", RCC upto "&amp;C146&amp;" Slab Completed",""))&amp;(IF(C147=H141,", Brickwork Completed",IF(C147&gt;0,", Brickwork upto "&amp;C147&amp;" Floor Completed",""))&amp;(IF(C148=H141,", Internal Plaster Completed",IF(C148&gt;0,", Internal Plaster upto "&amp;C148&amp;" Floor Completed",""))&amp;(IF(C149=H141,", External Plaster Completed",IF(C149&gt;0,", External Plaster upto "&amp;C149&amp;" Floor Completed",""))&amp;(IF(C150=H141,", Flooring Completed",IF(C150&gt;0,", Flooring upto "&amp;C150&amp;" Floor Completed",""))&amp;(IF(C151=H141,", Painting Completed",IF(C151&gt;0,", Painting upto "&amp;C151&amp;" Floor Completed",""))&amp;(IF(C152&gt;0,", Finishing upto "&amp;C152&amp;" Floor Completed","")&amp;(IF(C146&gt;0.5,".",""))))))))))))))</f>
        <v>Excavation work Completed. Plinth work completed, RCC Slab Completed, Brickwork Completed, Internal Plaster Completed, External Plaster upto 1 Floor Completed.</v>
      </c>
      <c r="J140" s="26"/>
    </row>
    <row r="141" spans="1:11" x14ac:dyDescent="0.25">
      <c r="A141" s="18" t="s">
        <v>144</v>
      </c>
      <c r="B141" s="56">
        <v>0</v>
      </c>
      <c r="C141" s="56" t="s">
        <v>69</v>
      </c>
      <c r="D141" s="56">
        <v>1</v>
      </c>
      <c r="E141" s="56" t="s">
        <v>68</v>
      </c>
      <c r="F141" s="56">
        <v>0</v>
      </c>
      <c r="G141" s="56" t="s">
        <v>78</v>
      </c>
      <c r="H141" s="19">
        <f ca="1">--TRIM(RIGHT(SUBSTITUTE(LEFT(C140,_xlfn.AGGREGATE(16,6,FIND({0,1,2,3,4,5,6,7,8,9},C140,ROW(INDIRECT("1:"&amp;LEN(C140)))),1))," ",REPT(" ",LEN(C140))),LEN(C140)))</f>
        <v>4</v>
      </c>
      <c r="I141" s="16"/>
      <c r="J141" s="27"/>
    </row>
    <row r="142" spans="1:11" ht="48.75" customHeight="1" x14ac:dyDescent="0.25">
      <c r="A142" s="71" t="s">
        <v>87</v>
      </c>
      <c r="B142" s="72"/>
      <c r="C142" s="73" t="str">
        <f ca="1">(IF($G$51="NA",I140,"All work Completed. OC Received."))</f>
        <v>Excavation work Completed. Plinth work completed, RCC Slab Completed, Brickwork Completed, Internal Plaster Completed, External Plaster upto 1 Floor Completed.</v>
      </c>
      <c r="D142" s="73"/>
      <c r="E142" s="73"/>
      <c r="F142" s="73"/>
      <c r="G142" s="73"/>
      <c r="H142" s="74"/>
      <c r="I142" s="16" t="s">
        <v>103</v>
      </c>
      <c r="J142" s="27"/>
    </row>
    <row r="143" spans="1:11" ht="15.75" customHeight="1" x14ac:dyDescent="0.25">
      <c r="A143" s="75" t="s">
        <v>47</v>
      </c>
      <c r="B143" s="76"/>
      <c r="C143" s="52" t="s">
        <v>141</v>
      </c>
      <c r="D143" s="52" t="s">
        <v>81</v>
      </c>
      <c r="E143" s="76" t="s">
        <v>83</v>
      </c>
      <c r="F143" s="76"/>
      <c r="G143" s="76" t="s">
        <v>82</v>
      </c>
      <c r="H143" s="77"/>
      <c r="I143" s="14" t="s">
        <v>143</v>
      </c>
      <c r="J143" s="28">
        <f ca="1">H141*25%</f>
        <v>1</v>
      </c>
    </row>
    <row r="144" spans="1:11" x14ac:dyDescent="0.25">
      <c r="A144" s="75" t="s">
        <v>130</v>
      </c>
      <c r="B144" s="76"/>
      <c r="C144" s="52">
        <f ca="1">J145</f>
        <v>4</v>
      </c>
      <c r="D144" s="48">
        <f ca="1">((100/H141)*C144)/100</f>
        <v>1</v>
      </c>
      <c r="E144" s="78">
        <f ca="1">(((C145/H141*10)+(40/(D141+F141+H141)*C146)+(7.5/(H141)*C147)+(7.5/(H141)*C148)+(10/H141*C149)+(10/H141*C150)+(5/H141*C151)+(5/H141*C152)+(5/H141*C153))/100)</f>
        <v>0.67500000000000004</v>
      </c>
      <c r="F144" s="79"/>
      <c r="G144" s="78">
        <f ca="1">((((C144/H141)*20)+((C145/H141)*25)+(30/(H141+F141+D141)*C146)+(5/H141*C147)+(5/H141*C148)+(5/H141*C149)+(5/H141*C150)+(0/H141*C151)+(0/H141*C152)+(5/H141*C153))/100)</f>
        <v>0.86250000000000004</v>
      </c>
      <c r="H144" s="84"/>
      <c r="I144" s="14" t="s">
        <v>98</v>
      </c>
      <c r="J144" s="29">
        <f ca="1">H141*50%</f>
        <v>2</v>
      </c>
    </row>
    <row r="145" spans="1:10" x14ac:dyDescent="0.25">
      <c r="A145" s="75" t="s">
        <v>48</v>
      </c>
      <c r="B145" s="76"/>
      <c r="C145" s="64">
        <f ca="1">J153</f>
        <v>4</v>
      </c>
      <c r="D145" s="48">
        <f ca="1">((100/H141)*C145)/100</f>
        <v>1</v>
      </c>
      <c r="E145" s="80"/>
      <c r="F145" s="81"/>
      <c r="G145" s="80"/>
      <c r="H145" s="85"/>
      <c r="I145" s="14" t="s">
        <v>99</v>
      </c>
      <c r="J145" s="29">
        <f ca="1">H141</f>
        <v>4</v>
      </c>
    </row>
    <row r="146" spans="1:10" ht="15.75" customHeight="1" x14ac:dyDescent="0.25">
      <c r="A146" s="75" t="s">
        <v>131</v>
      </c>
      <c r="B146" s="76"/>
      <c r="C146" s="52">
        <v>5</v>
      </c>
      <c r="D146" s="48">
        <f ca="1">((100/(D141+F141+H141))*C146)/100</f>
        <v>1</v>
      </c>
      <c r="E146" s="80"/>
      <c r="F146" s="81"/>
      <c r="G146" s="80"/>
      <c r="H146" s="85"/>
      <c r="I146" s="14" t="s">
        <v>100</v>
      </c>
      <c r="J146" s="30">
        <f ca="1">(IF(B141&gt;1,(H141/(B141+2)),H141/4))</f>
        <v>1</v>
      </c>
    </row>
    <row r="147" spans="1:10" ht="15.75" customHeight="1" x14ac:dyDescent="0.25">
      <c r="A147" s="75" t="s">
        <v>138</v>
      </c>
      <c r="B147" s="76" t="s">
        <v>132</v>
      </c>
      <c r="C147" s="52">
        <v>4</v>
      </c>
      <c r="D147" s="48">
        <f ca="1">((100/H141)*C147)/100</f>
        <v>1</v>
      </c>
      <c r="E147" s="80"/>
      <c r="F147" s="81"/>
      <c r="G147" s="80"/>
      <c r="H147" s="85"/>
      <c r="I147" s="14" t="s">
        <v>101</v>
      </c>
      <c r="J147" s="30">
        <f ca="1">(IF(B141&gt;1,(H141/(B141+2)+J146),H141/4+J146))</f>
        <v>2</v>
      </c>
    </row>
    <row r="148" spans="1:10" ht="15.75" customHeight="1" x14ac:dyDescent="0.25">
      <c r="A148" s="75" t="s">
        <v>139</v>
      </c>
      <c r="B148" s="76" t="s">
        <v>132</v>
      </c>
      <c r="C148" s="52">
        <v>4</v>
      </c>
      <c r="D148" s="48">
        <f ca="1">((100/H141)*C148)/100</f>
        <v>1</v>
      </c>
      <c r="E148" s="80"/>
      <c r="F148" s="81"/>
      <c r="G148" s="80"/>
      <c r="H148" s="85"/>
      <c r="I148" s="14" t="s">
        <v>148</v>
      </c>
      <c r="J148" s="30">
        <f>(IF(B141&gt;1,(H141/(B141+2)+J147),0))</f>
        <v>0</v>
      </c>
    </row>
    <row r="149" spans="1:10" ht="15" customHeight="1" x14ac:dyDescent="0.25">
      <c r="A149" s="75" t="s">
        <v>137</v>
      </c>
      <c r="B149" s="76" t="s">
        <v>134</v>
      </c>
      <c r="C149" s="52">
        <v>1</v>
      </c>
      <c r="D149" s="48">
        <f ca="1">((100/(H141))*C149)/100</f>
        <v>0.25</v>
      </c>
      <c r="E149" s="80"/>
      <c r="F149" s="81"/>
      <c r="G149" s="80"/>
      <c r="H149" s="85"/>
      <c r="I149" s="14" t="s">
        <v>145</v>
      </c>
      <c r="J149" s="30">
        <f>(IF(B141&gt;2,(H141/(B141+2)+J148),0))</f>
        <v>0</v>
      </c>
    </row>
    <row r="150" spans="1:10" ht="15.75" customHeight="1" x14ac:dyDescent="0.25">
      <c r="A150" s="75" t="s">
        <v>133</v>
      </c>
      <c r="B150" s="76" t="s">
        <v>133</v>
      </c>
      <c r="C150" s="52">
        <v>0</v>
      </c>
      <c r="D150" s="48">
        <f ca="1">((100/H141)*C150)/100</f>
        <v>0</v>
      </c>
      <c r="E150" s="80"/>
      <c r="F150" s="81"/>
      <c r="G150" s="80"/>
      <c r="H150" s="85"/>
      <c r="I150" s="14" t="s">
        <v>146</v>
      </c>
      <c r="J150" s="31">
        <f>(IF(B141&gt;3,(H141/(B141+2)+J149),0))</f>
        <v>0</v>
      </c>
    </row>
    <row r="151" spans="1:10" ht="15.75" customHeight="1" x14ac:dyDescent="0.25">
      <c r="A151" s="75" t="s">
        <v>140</v>
      </c>
      <c r="B151" s="76"/>
      <c r="C151" s="52">
        <v>0</v>
      </c>
      <c r="D151" s="48">
        <f ca="1">((100/H141)*C151)/100</f>
        <v>0</v>
      </c>
      <c r="E151" s="80"/>
      <c r="F151" s="81"/>
      <c r="G151" s="80"/>
      <c r="H151" s="85"/>
      <c r="I151" s="14" t="s">
        <v>147</v>
      </c>
      <c r="J151" s="30">
        <f>(IF(B141&gt;4,(H141/(B141+2)+J150),0))</f>
        <v>0</v>
      </c>
    </row>
    <row r="152" spans="1:10" ht="15.75" customHeight="1" x14ac:dyDescent="0.25">
      <c r="A152" s="75" t="s">
        <v>135</v>
      </c>
      <c r="B152" s="76" t="s">
        <v>135</v>
      </c>
      <c r="C152" s="52">
        <v>0</v>
      </c>
      <c r="D152" s="48">
        <f ca="1">((100/(H141))*C152)/100</f>
        <v>0</v>
      </c>
      <c r="E152" s="80"/>
      <c r="F152" s="81"/>
      <c r="G152" s="80"/>
      <c r="H152" s="85"/>
      <c r="I152" s="14" t="s">
        <v>149</v>
      </c>
      <c r="J152" s="30">
        <f ca="1">(IF(B141=1,(H141/(B141+3)+J147),IF(B141=0,(H141/4+J147),IF(B141&gt;1,0))))</f>
        <v>3</v>
      </c>
    </row>
    <row r="153" spans="1:10" ht="16.5" thickBot="1" x14ac:dyDescent="0.3">
      <c r="A153" s="87" t="s">
        <v>136</v>
      </c>
      <c r="B153" s="88"/>
      <c r="C153" s="55">
        <v>0</v>
      </c>
      <c r="D153" s="49">
        <f ca="1">((100/(H141))*C153)/100</f>
        <v>0</v>
      </c>
      <c r="E153" s="82"/>
      <c r="F153" s="83"/>
      <c r="G153" s="82"/>
      <c r="H153" s="86"/>
      <c r="I153" s="17" t="s">
        <v>102</v>
      </c>
      <c r="J153" s="32">
        <f ca="1">(IF(B141&gt;1.5,(H141/(B141+2)+J147+MAX(0,J148-J147)+MAX(0,J149-J148)+MAX(0,J150-J149)+MAX(0,J151-J150)+MAX(0,J152-J151)),IF(B141=1,(H141/(B141+3)+J152),IF(B141=0,H141/4+J152))))</f>
        <v>4</v>
      </c>
    </row>
    <row r="154" spans="1:10" ht="15.75" customHeight="1" x14ac:dyDescent="0.25">
      <c r="A154" s="66" t="s">
        <v>142</v>
      </c>
      <c r="B154" s="67"/>
      <c r="C154" s="68" t="str">
        <f>D60</f>
        <v>Building No.5 = Gr/St + 1st to 4th Floor</v>
      </c>
      <c r="D154" s="69"/>
      <c r="E154" s="69"/>
      <c r="F154" s="69"/>
      <c r="G154" s="69"/>
      <c r="H154" s="70"/>
      <c r="I154" s="15" t="str">
        <f ca="1">(IF(E158&gt;99%,"All work completed. Please provide OC.",IF(E158&gt;89.8%,"Plinth, RCC, Brick, Plaster, Flooring, Painting work Completed. Finishing work is in process.",IF(E158&lt;94%,(IF(C158=0,"Work not yet Started.",IF(D158=25%,"Piling work in process",IF(D158=50%,"Excavation work in process",IF(D158=100%,"Excavation work Completed. ","0")))&amp;(IF(C159=0%,"",IF(C159=J160,"Footing work is process",IF(C159=J161,"Footing work Completed",IF(C159=J162,"1st Basement Completed",IF(C159=J163,"1st &amp; 2nd Basement Completed",IF(C159=J164,"1st to 3rd Basement Completed",IF(C159=J165,"1st to 4th Basement Completed",IF(C159=J166,"Plinth work is process",IF(C159=J167,"Plinth work completed","0")))))))))))&amp;(IF(C160=(D155+F155+H155),", RCC Slab Completed",IF(C160&gt;0,", RCC upto "&amp;C160&amp;" Slab Completed",""))&amp;(IF(C161=H155,", Brickwork Completed",IF(C161&gt;0,", Brickwork upto "&amp;C161&amp;" Floor Completed",""))&amp;(IF(C162=H155,", Internal Plaster Completed",IF(C162&gt;0,", Internal Plaster upto "&amp;C162&amp;" Floor Completed",""))&amp;(IF(C163=H155,", External Plaster Completed",IF(C163&gt;0,", External Plaster upto "&amp;C163&amp;" Floor Completed",""))&amp;(IF(C164=H155,", Flooring Completed",IF(C164&gt;0,", Flooring upto "&amp;C164&amp;" Floor Completed",""))&amp;(IF(C165=H155,", Painting Completed",IF(C165&gt;0,", Painting upto "&amp;C165&amp;" Floor Completed",""))&amp;(IF(C166&gt;0,", Finishing upto "&amp;C166&amp;" Floor Completed","")&amp;(IF(C160&gt;0.5,".",""))))))))))))))</f>
        <v>Excavation work Completed. Plinth work completed, RCC Slab Completed, Brickwork Completed, Internal Plaster Completed, External Plaster upto 2 Floor Completed.</v>
      </c>
      <c r="J154" s="26"/>
    </row>
    <row r="155" spans="1:10" x14ac:dyDescent="0.25">
      <c r="A155" s="18" t="s">
        <v>144</v>
      </c>
      <c r="B155" s="56">
        <v>0</v>
      </c>
      <c r="C155" s="56" t="s">
        <v>69</v>
      </c>
      <c r="D155" s="56">
        <v>1</v>
      </c>
      <c r="E155" s="56" t="s">
        <v>68</v>
      </c>
      <c r="F155" s="56">
        <v>0</v>
      </c>
      <c r="G155" s="56" t="s">
        <v>78</v>
      </c>
      <c r="H155" s="19">
        <f ca="1">--TRIM(RIGHT(SUBSTITUTE(LEFT(C154,_xlfn.AGGREGATE(16,6,FIND({0,1,2,3,4,5,6,7,8,9},C154,ROW(INDIRECT("1:"&amp;LEN(C154)))),1))," ",REPT(" ",LEN(C154))),LEN(C154)))</f>
        <v>4</v>
      </c>
      <c r="I155" s="16"/>
      <c r="J155" s="27"/>
    </row>
    <row r="156" spans="1:10" ht="48" customHeight="1" x14ac:dyDescent="0.25">
      <c r="A156" s="71" t="s">
        <v>87</v>
      </c>
      <c r="B156" s="72"/>
      <c r="C156" s="73" t="str">
        <f ca="1">(IF($G$51="NA",I154,"All work Completed. OC Received."))</f>
        <v>Excavation work Completed. Plinth work completed, RCC Slab Completed, Brickwork Completed, Internal Plaster Completed, External Plaster upto 2 Floor Completed.</v>
      </c>
      <c r="D156" s="73"/>
      <c r="E156" s="73"/>
      <c r="F156" s="73"/>
      <c r="G156" s="73"/>
      <c r="H156" s="74"/>
      <c r="I156" s="16" t="s">
        <v>103</v>
      </c>
      <c r="J156" s="27"/>
    </row>
    <row r="157" spans="1:10" ht="15.75" customHeight="1" x14ac:dyDescent="0.25">
      <c r="A157" s="75" t="s">
        <v>47</v>
      </c>
      <c r="B157" s="76"/>
      <c r="C157" s="52" t="s">
        <v>141</v>
      </c>
      <c r="D157" s="52" t="s">
        <v>81</v>
      </c>
      <c r="E157" s="76" t="s">
        <v>83</v>
      </c>
      <c r="F157" s="76"/>
      <c r="G157" s="76" t="s">
        <v>82</v>
      </c>
      <c r="H157" s="77"/>
      <c r="I157" s="14" t="s">
        <v>143</v>
      </c>
      <c r="J157" s="28">
        <f ca="1">H155*25%</f>
        <v>1</v>
      </c>
    </row>
    <row r="158" spans="1:10" x14ac:dyDescent="0.25">
      <c r="A158" s="75" t="s">
        <v>130</v>
      </c>
      <c r="B158" s="76"/>
      <c r="C158" s="52">
        <f ca="1">J159</f>
        <v>4</v>
      </c>
      <c r="D158" s="48">
        <f ca="1">((100/H155)*C158)/100</f>
        <v>1</v>
      </c>
      <c r="E158" s="78">
        <f ca="1">(((C159/H155*10)+(40/(D155+F155+H155)*C160)+(7.5/(H155)*C161)+(7.5/(H155)*C162)+(10/H155*C163)+(10/H155*C164)+(5/H155*C165)+(5/H155*C166)+(5/H155*C167))/100)</f>
        <v>0.7</v>
      </c>
      <c r="F158" s="79"/>
      <c r="G158" s="78">
        <f ca="1">((((C158/H155)*20)+((C159/H155)*25)+(30/(H155+F155+D155)*C160)+(5/H155*C161)+(5/H155*C162)+(5/H155*C163)+(5/H155*C164)+(0/H155*C165)+(0/H155*C166)+(5/H155*C167))/100)</f>
        <v>0.875</v>
      </c>
      <c r="H158" s="84"/>
      <c r="I158" s="14" t="s">
        <v>98</v>
      </c>
      <c r="J158" s="29">
        <f ca="1">H155*50%</f>
        <v>2</v>
      </c>
    </row>
    <row r="159" spans="1:10" x14ac:dyDescent="0.25">
      <c r="A159" s="75" t="s">
        <v>48</v>
      </c>
      <c r="B159" s="76"/>
      <c r="C159" s="64">
        <f ca="1">J167</f>
        <v>4</v>
      </c>
      <c r="D159" s="48">
        <f ca="1">((100/H155)*C159)/100</f>
        <v>1</v>
      </c>
      <c r="E159" s="80"/>
      <c r="F159" s="81"/>
      <c r="G159" s="80"/>
      <c r="H159" s="85"/>
      <c r="I159" s="14" t="s">
        <v>99</v>
      </c>
      <c r="J159" s="29">
        <f ca="1">H155</f>
        <v>4</v>
      </c>
    </row>
    <row r="160" spans="1:10" ht="15.75" customHeight="1" x14ac:dyDescent="0.25">
      <c r="A160" s="75" t="s">
        <v>131</v>
      </c>
      <c r="B160" s="76"/>
      <c r="C160" s="52">
        <v>5</v>
      </c>
      <c r="D160" s="48">
        <f ca="1">((100/(D155+F155+H155))*C160)/100</f>
        <v>1</v>
      </c>
      <c r="E160" s="80"/>
      <c r="F160" s="81"/>
      <c r="G160" s="80"/>
      <c r="H160" s="85"/>
      <c r="I160" s="14" t="s">
        <v>100</v>
      </c>
      <c r="J160" s="30">
        <f ca="1">(IF(B155&gt;1,(H155/(B155+2)),H155/4))</f>
        <v>1</v>
      </c>
    </row>
    <row r="161" spans="1:10" ht="15.75" customHeight="1" x14ac:dyDescent="0.25">
      <c r="A161" s="75" t="s">
        <v>138</v>
      </c>
      <c r="B161" s="76" t="s">
        <v>132</v>
      </c>
      <c r="C161" s="52">
        <v>4</v>
      </c>
      <c r="D161" s="48">
        <f ca="1">((100/H155)*C161)/100</f>
        <v>1</v>
      </c>
      <c r="E161" s="80"/>
      <c r="F161" s="81"/>
      <c r="G161" s="80"/>
      <c r="H161" s="85"/>
      <c r="I161" s="14" t="s">
        <v>101</v>
      </c>
      <c r="J161" s="30">
        <f ca="1">(IF(B155&gt;1,(H155/(B155+2)+J160),H155/4+J160))</f>
        <v>2</v>
      </c>
    </row>
    <row r="162" spans="1:10" ht="15.75" customHeight="1" x14ac:dyDescent="0.25">
      <c r="A162" s="75" t="s">
        <v>139</v>
      </c>
      <c r="B162" s="76" t="s">
        <v>132</v>
      </c>
      <c r="C162" s="52">
        <v>4</v>
      </c>
      <c r="D162" s="48">
        <f ca="1">((100/H155)*C162)/100</f>
        <v>1</v>
      </c>
      <c r="E162" s="80"/>
      <c r="F162" s="81"/>
      <c r="G162" s="80"/>
      <c r="H162" s="85"/>
      <c r="I162" s="14" t="s">
        <v>148</v>
      </c>
      <c r="J162" s="30">
        <f>(IF(B155&gt;1,(H155/(B155+2)+J161),0))</f>
        <v>0</v>
      </c>
    </row>
    <row r="163" spans="1:10" ht="15" customHeight="1" x14ac:dyDescent="0.25">
      <c r="A163" s="75" t="s">
        <v>137</v>
      </c>
      <c r="B163" s="76" t="s">
        <v>134</v>
      </c>
      <c r="C163" s="52">
        <v>2</v>
      </c>
      <c r="D163" s="48">
        <f ca="1">((100/(H155))*C163)/100</f>
        <v>0.5</v>
      </c>
      <c r="E163" s="80"/>
      <c r="F163" s="81"/>
      <c r="G163" s="80"/>
      <c r="H163" s="85"/>
      <c r="I163" s="14" t="s">
        <v>145</v>
      </c>
      <c r="J163" s="30">
        <f>(IF(B155&gt;2,(H155/(B155+2)+J162),0))</f>
        <v>0</v>
      </c>
    </row>
    <row r="164" spans="1:10" ht="15.75" customHeight="1" x14ac:dyDescent="0.25">
      <c r="A164" s="75" t="s">
        <v>133</v>
      </c>
      <c r="B164" s="76" t="s">
        <v>133</v>
      </c>
      <c r="C164" s="52">
        <v>0</v>
      </c>
      <c r="D164" s="48">
        <f ca="1">((100/H155)*C164)/100</f>
        <v>0</v>
      </c>
      <c r="E164" s="80"/>
      <c r="F164" s="81"/>
      <c r="G164" s="80"/>
      <c r="H164" s="85"/>
      <c r="I164" s="14" t="s">
        <v>146</v>
      </c>
      <c r="J164" s="31">
        <f>(IF(B155&gt;3,(H155/(B155+2)+J163),0))</f>
        <v>0</v>
      </c>
    </row>
    <row r="165" spans="1:10" ht="15.75" customHeight="1" x14ac:dyDescent="0.25">
      <c r="A165" s="75" t="s">
        <v>140</v>
      </c>
      <c r="B165" s="76"/>
      <c r="C165" s="52">
        <v>0</v>
      </c>
      <c r="D165" s="48">
        <f ca="1">((100/H155)*C165)/100</f>
        <v>0</v>
      </c>
      <c r="E165" s="80"/>
      <c r="F165" s="81"/>
      <c r="G165" s="80"/>
      <c r="H165" s="85"/>
      <c r="I165" s="14" t="s">
        <v>147</v>
      </c>
      <c r="J165" s="30">
        <f>(IF(B155&gt;4,(H155/(B155+2)+J164),0))</f>
        <v>0</v>
      </c>
    </row>
    <row r="166" spans="1:10" ht="15.75" customHeight="1" x14ac:dyDescent="0.25">
      <c r="A166" s="75" t="s">
        <v>135</v>
      </c>
      <c r="B166" s="76" t="s">
        <v>135</v>
      </c>
      <c r="C166" s="52">
        <v>0</v>
      </c>
      <c r="D166" s="48">
        <f ca="1">((100/(H155))*C166)/100</f>
        <v>0</v>
      </c>
      <c r="E166" s="80"/>
      <c r="F166" s="81"/>
      <c r="G166" s="80"/>
      <c r="H166" s="85"/>
      <c r="I166" s="14" t="s">
        <v>149</v>
      </c>
      <c r="J166" s="30">
        <f ca="1">(IF(B155=1,(H155/(B155+3)+J161),IF(B155=0,(H155/4+J161),IF(B155&gt;1,0))))</f>
        <v>3</v>
      </c>
    </row>
    <row r="167" spans="1:10" ht="16.5" thickBot="1" x14ac:dyDescent="0.3">
      <c r="A167" s="87" t="s">
        <v>136</v>
      </c>
      <c r="B167" s="88"/>
      <c r="C167" s="55">
        <v>0</v>
      </c>
      <c r="D167" s="49">
        <f ca="1">((100/(H155))*C167)/100</f>
        <v>0</v>
      </c>
      <c r="E167" s="82"/>
      <c r="F167" s="83"/>
      <c r="G167" s="82"/>
      <c r="H167" s="86"/>
      <c r="I167" s="17" t="s">
        <v>102</v>
      </c>
      <c r="J167" s="32">
        <f ca="1">(IF(B155&gt;1.5,(H155/(B155+2)+J161+MAX(0,J162-J161)+MAX(0,J163-J162)+MAX(0,J164-J163)+MAX(0,J165-J164)+MAX(0,J166-J165)),IF(B155=1,(H155/(B155+3)+J166),IF(B155=0,H155/4+J166))))</f>
        <v>4</v>
      </c>
    </row>
    <row r="168" spans="1:10" ht="15.75" customHeight="1" x14ac:dyDescent="0.25">
      <c r="A168" s="66" t="s">
        <v>142</v>
      </c>
      <c r="B168" s="67"/>
      <c r="C168" s="68" t="str">
        <f>D61</f>
        <v>Building No.6 (Wing A &amp; B) = Gr/St + 1st to 4th Floor</v>
      </c>
      <c r="D168" s="69"/>
      <c r="E168" s="69"/>
      <c r="F168" s="69"/>
      <c r="G168" s="69"/>
      <c r="H168" s="70"/>
      <c r="I168" s="15" t="str">
        <f ca="1">(IF(E172&gt;99%,"All work completed. Please provide OC.",IF(E172&gt;89.8%,"Plinth, RCC, Brick, Plaster, Flooring, Painting work Completed. Finishing work is in process.",IF(E172&lt;94%,(IF(C172=0,"Work not yet Started.",IF(D172=25%,"Piling work in process",IF(D172=50%,"Excavation work in process",IF(D172=100%,"Excavation work Completed. ","0")))&amp;(IF(C173=0%,"",IF(C173=J174,"Footing work is process",IF(C173=J175,"Footing work Completed",IF(C173=J176,"1st Basement Completed",IF(C173=J177,"1st &amp; 2nd Basement Completed",IF(C173=J178,"1st to 3rd Basement Completed",IF(C173=J179,"1st to 4th Basement Completed",IF(C173=J180,"Plinth work is process",IF(C173=J181,"Plinth work completed","0")))))))))))&amp;(IF(C174=(D169+F169+H169),", RCC Slab Completed",IF(C174&gt;0,", RCC upto "&amp;C174&amp;" Slab Completed",""))&amp;(IF(C175=H169,", Brickwork Completed",IF(C175&gt;0,", Brickwork upto "&amp;C175&amp;" Floor Completed",""))&amp;(IF(C176=H169,", Internal Plaster Completed",IF(C176&gt;0,", Internal Plaster upto "&amp;C176&amp;" Floor Completed",""))&amp;(IF(C177=H169,", External Plaster Completed",IF(C177&gt;0,", External Plaster upto "&amp;C177&amp;" Floor Completed",""))&amp;(IF(C178=H169,", Flooring Completed",IF(C178&gt;0,", Flooring upto "&amp;C178&amp;" Floor Completed",""))&amp;(IF(C179=H169,", Painting Completed",IF(C179&gt;0,", Painting upto "&amp;C179&amp;" Floor Completed",""))&amp;(IF(C180&gt;0,", Finishing upto "&amp;C180&amp;" Floor Completed","")&amp;(IF(C174&gt;0.5,".",""))))))))))))))</f>
        <v>Work not yet Started.</v>
      </c>
      <c r="J168" s="26"/>
    </row>
    <row r="169" spans="1:10" x14ac:dyDescent="0.25">
      <c r="A169" s="18" t="s">
        <v>144</v>
      </c>
      <c r="B169" s="56">
        <v>0</v>
      </c>
      <c r="C169" s="56" t="s">
        <v>69</v>
      </c>
      <c r="D169" s="56">
        <v>1</v>
      </c>
      <c r="E169" s="56" t="s">
        <v>68</v>
      </c>
      <c r="F169" s="56">
        <v>0</v>
      </c>
      <c r="G169" s="56" t="s">
        <v>78</v>
      </c>
      <c r="H169" s="19">
        <f ca="1">--TRIM(RIGHT(SUBSTITUTE(LEFT(C168,_xlfn.AGGREGATE(16,6,FIND({0,1,2,3,4,5,6,7,8,9},C168,ROW(INDIRECT("1:"&amp;LEN(C168)))),1))," ",REPT(" ",LEN(C168))),LEN(C168)))</f>
        <v>4</v>
      </c>
      <c r="I169" s="16"/>
      <c r="J169" s="27"/>
    </row>
    <row r="170" spans="1:10" ht="15.75" customHeight="1" x14ac:dyDescent="0.25">
      <c r="A170" s="71" t="s">
        <v>87</v>
      </c>
      <c r="B170" s="72"/>
      <c r="C170" s="73" t="str">
        <f ca="1">(IF($G$51="NA",I168,"All work Completed. OC Received."))</f>
        <v>Work not yet Started.</v>
      </c>
      <c r="D170" s="73"/>
      <c r="E170" s="73"/>
      <c r="F170" s="73"/>
      <c r="G170" s="73"/>
      <c r="H170" s="74"/>
      <c r="I170" s="16" t="s">
        <v>103</v>
      </c>
      <c r="J170" s="27"/>
    </row>
    <row r="171" spans="1:10" ht="15.75" customHeight="1" x14ac:dyDescent="0.25">
      <c r="A171" s="75" t="s">
        <v>47</v>
      </c>
      <c r="B171" s="76"/>
      <c r="C171" s="52" t="s">
        <v>141</v>
      </c>
      <c r="D171" s="52" t="s">
        <v>81</v>
      </c>
      <c r="E171" s="76" t="s">
        <v>83</v>
      </c>
      <c r="F171" s="76"/>
      <c r="G171" s="76" t="s">
        <v>82</v>
      </c>
      <c r="H171" s="77"/>
      <c r="I171" s="14" t="s">
        <v>143</v>
      </c>
      <c r="J171" s="28">
        <f ca="1">H169*25%</f>
        <v>1</v>
      </c>
    </row>
    <row r="172" spans="1:10" x14ac:dyDescent="0.25">
      <c r="A172" s="75" t="s">
        <v>130</v>
      </c>
      <c r="B172" s="76"/>
      <c r="C172" s="52">
        <v>0</v>
      </c>
      <c r="D172" s="48">
        <f ca="1">((100/H169)*C172)/100</f>
        <v>0</v>
      </c>
      <c r="E172" s="78">
        <f ca="1">(((C173/H169*10)+(40/(D169+F169+H169)*C174)+(7.5/(H169)*C175)+(7.5/(H169)*C176)+(10/H169*C177)+(10/H169*C178)+(5/H169*C179)+(5/H169*C180)+(5/H169*C181))/100)</f>
        <v>0</v>
      </c>
      <c r="F172" s="79"/>
      <c r="G172" s="78">
        <f ca="1">((((C172/H169)*20)+((C173/H169)*25)+(30/(H169+F169+D169)*C174)+(5/H169*C175)+(5/H169*C176)+(5/H169*C177)+(5/H169*C178)+(0/H169*C179)+(0/H169*C180)+(5/H169*C181))/100)</f>
        <v>0</v>
      </c>
      <c r="H172" s="84"/>
      <c r="I172" s="14" t="s">
        <v>98</v>
      </c>
      <c r="J172" s="29">
        <f ca="1">H169*50%</f>
        <v>2</v>
      </c>
    </row>
    <row r="173" spans="1:10" x14ac:dyDescent="0.25">
      <c r="A173" s="75" t="s">
        <v>48</v>
      </c>
      <c r="B173" s="76"/>
      <c r="C173" s="52">
        <v>0</v>
      </c>
      <c r="D173" s="48">
        <f ca="1">((100/H169)*C173)/100</f>
        <v>0</v>
      </c>
      <c r="E173" s="80"/>
      <c r="F173" s="81"/>
      <c r="G173" s="80"/>
      <c r="H173" s="85"/>
      <c r="I173" s="14" t="s">
        <v>99</v>
      </c>
      <c r="J173" s="29">
        <f ca="1">H169</f>
        <v>4</v>
      </c>
    </row>
    <row r="174" spans="1:10" ht="15.75" customHeight="1" x14ac:dyDescent="0.25">
      <c r="A174" s="75" t="s">
        <v>131</v>
      </c>
      <c r="B174" s="76"/>
      <c r="C174" s="52">
        <v>0</v>
      </c>
      <c r="D174" s="48">
        <f ca="1">((100/(D169+F169+H169))*C174)/100</f>
        <v>0</v>
      </c>
      <c r="E174" s="80"/>
      <c r="F174" s="81"/>
      <c r="G174" s="80"/>
      <c r="H174" s="85"/>
      <c r="I174" s="14" t="s">
        <v>100</v>
      </c>
      <c r="J174" s="30">
        <f ca="1">(IF(B169&gt;1,(H169/(B169+2)),H169/4))</f>
        <v>1</v>
      </c>
    </row>
    <row r="175" spans="1:10" ht="15.75" customHeight="1" x14ac:dyDescent="0.25">
      <c r="A175" s="75" t="s">
        <v>138</v>
      </c>
      <c r="B175" s="76" t="s">
        <v>132</v>
      </c>
      <c r="C175" s="52">
        <v>0</v>
      </c>
      <c r="D175" s="48">
        <f ca="1">((100/H169)*C175)/100</f>
        <v>0</v>
      </c>
      <c r="E175" s="80"/>
      <c r="F175" s="81"/>
      <c r="G175" s="80"/>
      <c r="H175" s="85"/>
      <c r="I175" s="14" t="s">
        <v>101</v>
      </c>
      <c r="J175" s="30">
        <f ca="1">(IF(B169&gt;1,(H169/(B169+2)+J174),H169/4+J174))</f>
        <v>2</v>
      </c>
    </row>
    <row r="176" spans="1:10" ht="15.75" customHeight="1" x14ac:dyDescent="0.25">
      <c r="A176" s="75" t="s">
        <v>139</v>
      </c>
      <c r="B176" s="76" t="s">
        <v>132</v>
      </c>
      <c r="C176" s="52">
        <v>0</v>
      </c>
      <c r="D176" s="48">
        <f ca="1">((100/H169)*C176)/100</f>
        <v>0</v>
      </c>
      <c r="E176" s="80"/>
      <c r="F176" s="81"/>
      <c r="G176" s="80"/>
      <c r="H176" s="85"/>
      <c r="I176" s="14" t="s">
        <v>148</v>
      </c>
      <c r="J176" s="30">
        <f>(IF(B169&gt;1,(H169/(B169+2)+J175),0))</f>
        <v>0</v>
      </c>
    </row>
    <row r="177" spans="1:10" ht="15" customHeight="1" x14ac:dyDescent="0.25">
      <c r="A177" s="75" t="s">
        <v>137</v>
      </c>
      <c r="B177" s="76" t="s">
        <v>134</v>
      </c>
      <c r="C177" s="52">
        <v>0</v>
      </c>
      <c r="D177" s="48">
        <f ca="1">((100/(H169))*C177)/100</f>
        <v>0</v>
      </c>
      <c r="E177" s="80"/>
      <c r="F177" s="81"/>
      <c r="G177" s="80"/>
      <c r="H177" s="85"/>
      <c r="I177" s="14" t="s">
        <v>145</v>
      </c>
      <c r="J177" s="30">
        <f>(IF(B169&gt;2,(H169/(B169+2)+J176),0))</f>
        <v>0</v>
      </c>
    </row>
    <row r="178" spans="1:10" ht="15.75" customHeight="1" x14ac:dyDescent="0.25">
      <c r="A178" s="75" t="s">
        <v>133</v>
      </c>
      <c r="B178" s="76" t="s">
        <v>133</v>
      </c>
      <c r="C178" s="52">
        <v>0</v>
      </c>
      <c r="D178" s="48">
        <f ca="1">((100/H169)*C178)/100</f>
        <v>0</v>
      </c>
      <c r="E178" s="80"/>
      <c r="F178" s="81"/>
      <c r="G178" s="80"/>
      <c r="H178" s="85"/>
      <c r="I178" s="14" t="s">
        <v>146</v>
      </c>
      <c r="J178" s="31">
        <f>(IF(B169&gt;3,(H169/(B169+2)+J177),0))</f>
        <v>0</v>
      </c>
    </row>
    <row r="179" spans="1:10" ht="15.75" customHeight="1" x14ac:dyDescent="0.25">
      <c r="A179" s="75" t="s">
        <v>140</v>
      </c>
      <c r="B179" s="76"/>
      <c r="C179" s="52">
        <v>0</v>
      </c>
      <c r="D179" s="48">
        <f ca="1">((100/H169)*C179)/100</f>
        <v>0</v>
      </c>
      <c r="E179" s="80"/>
      <c r="F179" s="81"/>
      <c r="G179" s="80"/>
      <c r="H179" s="85"/>
      <c r="I179" s="14" t="s">
        <v>147</v>
      </c>
      <c r="J179" s="30">
        <f>(IF(B169&gt;4,(H169/(B169+2)+J178),0))</f>
        <v>0</v>
      </c>
    </row>
    <row r="180" spans="1:10" ht="15.75" customHeight="1" x14ac:dyDescent="0.25">
      <c r="A180" s="75" t="s">
        <v>135</v>
      </c>
      <c r="B180" s="76" t="s">
        <v>135</v>
      </c>
      <c r="C180" s="52">
        <v>0</v>
      </c>
      <c r="D180" s="48">
        <f ca="1">((100/(H169))*C180)/100</f>
        <v>0</v>
      </c>
      <c r="E180" s="80"/>
      <c r="F180" s="81"/>
      <c r="G180" s="80"/>
      <c r="H180" s="85"/>
      <c r="I180" s="14" t="s">
        <v>149</v>
      </c>
      <c r="J180" s="30">
        <f ca="1">(IF(B169=1,(H169/(B169+3)+J175),IF(B169=0,(H169/4+J175),IF(B169&gt;1,0))))</f>
        <v>3</v>
      </c>
    </row>
    <row r="181" spans="1:10" ht="16.5" thickBot="1" x14ac:dyDescent="0.3">
      <c r="A181" s="87" t="s">
        <v>136</v>
      </c>
      <c r="B181" s="88"/>
      <c r="C181" s="55">
        <v>0</v>
      </c>
      <c r="D181" s="49">
        <f ca="1">((100/(H169))*C181)/100</f>
        <v>0</v>
      </c>
      <c r="E181" s="82"/>
      <c r="F181" s="83"/>
      <c r="G181" s="82"/>
      <c r="H181" s="86"/>
      <c r="I181" s="17" t="s">
        <v>102</v>
      </c>
      <c r="J181" s="32">
        <f ca="1">(IF(B169&gt;1.5,(H169/(B169+2)+J175+MAX(0,J176-J175)+MAX(0,J177-J176)+MAX(0,J178-J177)+MAX(0,J179-J178)+MAX(0,J180-J179)),IF(B169=1,(H169/(B169+3)+J180),IF(B169=0,H169/4+J180))))</f>
        <v>4</v>
      </c>
    </row>
    <row r="182" spans="1:10" ht="15.75" customHeight="1" x14ac:dyDescent="0.25">
      <c r="A182" s="66" t="s">
        <v>142</v>
      </c>
      <c r="B182" s="67"/>
      <c r="C182" s="68" t="str">
        <f>D62</f>
        <v>Building No.7 (Wing A &amp; B) = Gr/St + 1st to 4th Floor</v>
      </c>
      <c r="D182" s="69"/>
      <c r="E182" s="69"/>
      <c r="F182" s="69"/>
      <c r="G182" s="69"/>
      <c r="H182" s="70"/>
      <c r="I182" s="15" t="str">
        <f ca="1">(IF(E186&gt;99%,"All work completed. Please provide OC.",IF(E186&gt;89.8%,"Plinth, RCC, Brick, Plaster, Flooring, Painting work Completed. Finishing work is in process.",IF(E186&lt;94%,(IF(C186=0,"Work not yet Started.",IF(D186=25%,"Piling work in process",IF(D186=50%,"Excavation work in process",IF(D186=100%,"Excavation work Completed. ","0")))&amp;(IF(C187=0%,"",IF(C187=J188,"Footing work is process",IF(C187=J189,"Footing work Completed",IF(C187=J190,"1st Basement Completed",IF(C187=J191,"1st &amp; 2nd Basement Completed",IF(C187=J192,"1st to 3rd Basement Completed",IF(C187=J193,"1st to 4th Basement Completed",IF(C187=J194,"Plinth work is process",IF(C187=J195,"Plinth work completed","0")))))))))))&amp;(IF(C188=(D183+F183+H183),", RCC Slab Completed",IF(C188&gt;0,", RCC upto "&amp;C188&amp;" Slab Completed",""))&amp;(IF(C189=H183,", Brickwork Completed",IF(C189&gt;0,", Brickwork upto "&amp;C189&amp;" Floor Completed",""))&amp;(IF(C190=H183,", Internal Plaster Completed",IF(C190&gt;0,", Internal Plaster upto "&amp;C190&amp;" Floor Completed",""))&amp;(IF(C191=H183,", External Plaster Completed",IF(C191&gt;0,", External Plaster upto "&amp;C191&amp;" Floor Completed",""))&amp;(IF(C192=H183,", Flooring Completed",IF(C192&gt;0,", Flooring upto "&amp;C192&amp;" Floor Completed",""))&amp;(IF(C193=H183,", Painting Completed",IF(C193&gt;0,", Painting upto "&amp;C193&amp;" Floor Completed",""))&amp;(IF(C194&gt;0,", Finishing upto "&amp;C194&amp;" Floor Completed","")&amp;(IF(C188&gt;0.5,".",""))))))))))))))</f>
        <v>Excavation work in process</v>
      </c>
      <c r="J182" s="26"/>
    </row>
    <row r="183" spans="1:10" x14ac:dyDescent="0.25">
      <c r="A183" s="18" t="s">
        <v>144</v>
      </c>
      <c r="B183" s="56">
        <v>0</v>
      </c>
      <c r="C183" s="56" t="s">
        <v>69</v>
      </c>
      <c r="D183" s="56">
        <v>1</v>
      </c>
      <c r="E183" s="56" t="s">
        <v>68</v>
      </c>
      <c r="F183" s="56">
        <v>0</v>
      </c>
      <c r="G183" s="56" t="s">
        <v>78</v>
      </c>
      <c r="H183" s="19">
        <f ca="1">--TRIM(RIGHT(SUBSTITUTE(LEFT(C182,_xlfn.AGGREGATE(16,6,FIND({0,1,2,3,4,5,6,7,8,9},C182,ROW(INDIRECT("1:"&amp;LEN(C182)))),1))," ",REPT(" ",LEN(C182))),LEN(C182)))</f>
        <v>4</v>
      </c>
      <c r="I183" s="16"/>
      <c r="J183" s="27"/>
    </row>
    <row r="184" spans="1:10" ht="15.75" customHeight="1" x14ac:dyDescent="0.25">
      <c r="A184" s="71" t="s">
        <v>87</v>
      </c>
      <c r="B184" s="72"/>
      <c r="C184" s="73" t="str">
        <f ca="1">(IF($G$51="NA",I182,"All work Completed. OC Received."))</f>
        <v>Excavation work in process</v>
      </c>
      <c r="D184" s="73"/>
      <c r="E184" s="73"/>
      <c r="F184" s="73"/>
      <c r="G184" s="73"/>
      <c r="H184" s="74"/>
      <c r="I184" s="16" t="s">
        <v>103</v>
      </c>
      <c r="J184" s="27"/>
    </row>
    <row r="185" spans="1:10" ht="15.75" customHeight="1" x14ac:dyDescent="0.25">
      <c r="A185" s="75" t="s">
        <v>47</v>
      </c>
      <c r="B185" s="76"/>
      <c r="C185" s="52" t="s">
        <v>141</v>
      </c>
      <c r="D185" s="52" t="s">
        <v>81</v>
      </c>
      <c r="E185" s="76" t="s">
        <v>83</v>
      </c>
      <c r="F185" s="76"/>
      <c r="G185" s="76" t="s">
        <v>82</v>
      </c>
      <c r="H185" s="77"/>
      <c r="I185" s="14" t="s">
        <v>143</v>
      </c>
      <c r="J185" s="28">
        <f ca="1">H183*25%</f>
        <v>1</v>
      </c>
    </row>
    <row r="186" spans="1:10" x14ac:dyDescent="0.25">
      <c r="A186" s="75" t="s">
        <v>130</v>
      </c>
      <c r="B186" s="76"/>
      <c r="C186" s="52">
        <f ca="1">J186</f>
        <v>2</v>
      </c>
      <c r="D186" s="48">
        <f ca="1">((100/H183)*C186)/100</f>
        <v>0.5</v>
      </c>
      <c r="E186" s="78">
        <f ca="1">(((C187/H183*10)+(40/(D183+F183+H183)*C188)+(7.5/(H183)*C189)+(7.5/(H183)*C190)+(10/H183*C191)+(10/H183*C192)+(5/H183*C193)+(5/H183*C194)+(5/H183*C195))/100)</f>
        <v>0</v>
      </c>
      <c r="F186" s="79"/>
      <c r="G186" s="78">
        <f ca="1">((((C186/H183)*20)+((C187/H183)*25)+(30/(H183+F183+D183)*C188)+(5/H183*C189)+(5/H183*C190)+(5/H183*C191)+(5/H183*C192)+(0/H183*C193)+(0/H183*C194)+(5/H183*C195))/100)</f>
        <v>0.1</v>
      </c>
      <c r="H186" s="84"/>
      <c r="I186" s="14" t="s">
        <v>98</v>
      </c>
      <c r="J186" s="29">
        <f ca="1">H183*50%</f>
        <v>2</v>
      </c>
    </row>
    <row r="187" spans="1:10" x14ac:dyDescent="0.25">
      <c r="A187" s="75" t="s">
        <v>48</v>
      </c>
      <c r="B187" s="76"/>
      <c r="C187" s="52">
        <v>0</v>
      </c>
      <c r="D187" s="48">
        <f ca="1">((100/H183)*C187)/100</f>
        <v>0</v>
      </c>
      <c r="E187" s="80"/>
      <c r="F187" s="81"/>
      <c r="G187" s="80"/>
      <c r="H187" s="85"/>
      <c r="I187" s="14" t="s">
        <v>99</v>
      </c>
      <c r="J187" s="29">
        <f ca="1">H183</f>
        <v>4</v>
      </c>
    </row>
    <row r="188" spans="1:10" ht="15.75" customHeight="1" x14ac:dyDescent="0.25">
      <c r="A188" s="75" t="s">
        <v>131</v>
      </c>
      <c r="B188" s="76"/>
      <c r="C188" s="52">
        <v>0</v>
      </c>
      <c r="D188" s="48">
        <f ca="1">((100/(D183+F183+H183))*C188)/100</f>
        <v>0</v>
      </c>
      <c r="E188" s="80"/>
      <c r="F188" s="81"/>
      <c r="G188" s="80"/>
      <c r="H188" s="85"/>
      <c r="I188" s="14" t="s">
        <v>100</v>
      </c>
      <c r="J188" s="30">
        <f ca="1">(IF(B183&gt;1,(H183/(B183+2)),H183/4))</f>
        <v>1</v>
      </c>
    </row>
    <row r="189" spans="1:10" ht="15.75" customHeight="1" x14ac:dyDescent="0.25">
      <c r="A189" s="75" t="s">
        <v>138</v>
      </c>
      <c r="B189" s="76" t="s">
        <v>132</v>
      </c>
      <c r="C189" s="52">
        <v>0</v>
      </c>
      <c r="D189" s="48">
        <f ca="1">((100/H183)*C189)/100</f>
        <v>0</v>
      </c>
      <c r="E189" s="80"/>
      <c r="F189" s="81"/>
      <c r="G189" s="80"/>
      <c r="H189" s="85"/>
      <c r="I189" s="14" t="s">
        <v>101</v>
      </c>
      <c r="J189" s="30">
        <f ca="1">(IF(B183&gt;1,(H183/(B183+2)+J188),H183/4+J188))</f>
        <v>2</v>
      </c>
    </row>
    <row r="190" spans="1:10" ht="15.75" customHeight="1" x14ac:dyDescent="0.25">
      <c r="A190" s="75" t="s">
        <v>139</v>
      </c>
      <c r="B190" s="76" t="s">
        <v>132</v>
      </c>
      <c r="C190" s="52">
        <v>0</v>
      </c>
      <c r="D190" s="48">
        <f ca="1">((100/H183)*C190)/100</f>
        <v>0</v>
      </c>
      <c r="E190" s="80"/>
      <c r="F190" s="81"/>
      <c r="G190" s="80"/>
      <c r="H190" s="85"/>
      <c r="I190" s="14" t="s">
        <v>148</v>
      </c>
      <c r="J190" s="30">
        <f>(IF(B183&gt;1,(H183/(B183+2)+J189),0))</f>
        <v>0</v>
      </c>
    </row>
    <row r="191" spans="1:10" ht="15" customHeight="1" x14ac:dyDescent="0.25">
      <c r="A191" s="75" t="s">
        <v>137</v>
      </c>
      <c r="B191" s="76" t="s">
        <v>134</v>
      </c>
      <c r="C191" s="52">
        <v>0</v>
      </c>
      <c r="D191" s="48">
        <f ca="1">((100/(H183))*C191)/100</f>
        <v>0</v>
      </c>
      <c r="E191" s="80"/>
      <c r="F191" s="81"/>
      <c r="G191" s="80"/>
      <c r="H191" s="85"/>
      <c r="I191" s="14" t="s">
        <v>145</v>
      </c>
      <c r="J191" s="30">
        <f>(IF(B183&gt;2,(H183/(B183+2)+J190),0))</f>
        <v>0</v>
      </c>
    </row>
    <row r="192" spans="1:10" ht="15.75" customHeight="1" x14ac:dyDescent="0.25">
      <c r="A192" s="75" t="s">
        <v>133</v>
      </c>
      <c r="B192" s="76" t="s">
        <v>133</v>
      </c>
      <c r="C192" s="52">
        <v>0</v>
      </c>
      <c r="D192" s="48">
        <f ca="1">((100/H183)*C192)/100</f>
        <v>0</v>
      </c>
      <c r="E192" s="80"/>
      <c r="F192" s="81"/>
      <c r="G192" s="80"/>
      <c r="H192" s="85"/>
      <c r="I192" s="14" t="s">
        <v>146</v>
      </c>
      <c r="J192" s="31">
        <f>(IF(B183&gt;3,(H183/(B183+2)+J191),0))</f>
        <v>0</v>
      </c>
    </row>
    <row r="193" spans="1:10" ht="15.75" customHeight="1" x14ac:dyDescent="0.25">
      <c r="A193" s="75" t="s">
        <v>140</v>
      </c>
      <c r="B193" s="76"/>
      <c r="C193" s="52">
        <v>0</v>
      </c>
      <c r="D193" s="48">
        <f ca="1">((100/H183)*C193)/100</f>
        <v>0</v>
      </c>
      <c r="E193" s="80"/>
      <c r="F193" s="81"/>
      <c r="G193" s="80"/>
      <c r="H193" s="85"/>
      <c r="I193" s="14" t="s">
        <v>147</v>
      </c>
      <c r="J193" s="30">
        <f>(IF(B183&gt;4,(H183/(B183+2)+J192),0))</f>
        <v>0</v>
      </c>
    </row>
    <row r="194" spans="1:10" ht="15.75" customHeight="1" x14ac:dyDescent="0.25">
      <c r="A194" s="75" t="s">
        <v>135</v>
      </c>
      <c r="B194" s="76" t="s">
        <v>135</v>
      </c>
      <c r="C194" s="52">
        <v>0</v>
      </c>
      <c r="D194" s="48">
        <f ca="1">((100/(H183))*C194)/100</f>
        <v>0</v>
      </c>
      <c r="E194" s="80"/>
      <c r="F194" s="81"/>
      <c r="G194" s="80"/>
      <c r="H194" s="85"/>
      <c r="I194" s="14" t="s">
        <v>149</v>
      </c>
      <c r="J194" s="30">
        <f ca="1">(IF(B183=1,(H183/(B183+3)+J189),IF(B183=0,(H183/4+J189),IF(B183&gt;1,0))))</f>
        <v>3</v>
      </c>
    </row>
    <row r="195" spans="1:10" ht="16.5" thickBot="1" x14ac:dyDescent="0.3">
      <c r="A195" s="87" t="s">
        <v>136</v>
      </c>
      <c r="B195" s="88"/>
      <c r="C195" s="55">
        <v>0</v>
      </c>
      <c r="D195" s="49">
        <f ca="1">((100/(H183))*C195)/100</f>
        <v>0</v>
      </c>
      <c r="E195" s="82"/>
      <c r="F195" s="83"/>
      <c r="G195" s="82"/>
      <c r="H195" s="86"/>
      <c r="I195" s="17" t="s">
        <v>102</v>
      </c>
      <c r="J195" s="32">
        <f ca="1">(IF(B183&gt;1.5,(H183/(B183+2)+J189+MAX(0,J190-J189)+MAX(0,J191-J190)+MAX(0,J192-J191)+MAX(0,J193-J192)+MAX(0,J194-J193)),IF(B183=1,(H183/(B183+3)+J194),IF(B183=0,H183/4+J194))))</f>
        <v>4</v>
      </c>
    </row>
    <row r="196" spans="1:10" x14ac:dyDescent="0.25">
      <c r="A196" s="185" t="s">
        <v>159</v>
      </c>
      <c r="B196" s="185"/>
      <c r="C196" s="185"/>
      <c r="D196" s="185"/>
      <c r="E196" s="185"/>
      <c r="F196" s="186" t="s">
        <v>164</v>
      </c>
      <c r="G196" s="186"/>
      <c r="H196" s="186"/>
    </row>
    <row r="197" spans="1:10" x14ac:dyDescent="0.25">
      <c r="A197" s="138" t="s">
        <v>162</v>
      </c>
      <c r="B197" s="138"/>
      <c r="C197" s="138"/>
      <c r="D197" s="138"/>
      <c r="E197" s="138"/>
      <c r="F197" s="89">
        <v>4300</v>
      </c>
      <c r="G197" s="89"/>
      <c r="H197" s="89"/>
    </row>
    <row r="198" spans="1:10" x14ac:dyDescent="0.25">
      <c r="A198" s="138" t="s">
        <v>161</v>
      </c>
      <c r="B198" s="138"/>
      <c r="C198" s="138"/>
      <c r="D198" s="138"/>
      <c r="E198" s="138"/>
      <c r="F198" s="89">
        <v>7000</v>
      </c>
      <c r="G198" s="89"/>
      <c r="H198" s="89"/>
    </row>
    <row r="199" spans="1:10" hidden="1" x14ac:dyDescent="0.25">
      <c r="A199" s="138" t="s">
        <v>163</v>
      </c>
      <c r="B199" s="138"/>
      <c r="C199" s="138"/>
      <c r="D199" s="138"/>
      <c r="E199" s="138"/>
      <c r="F199" s="89"/>
      <c r="G199" s="89"/>
      <c r="H199" s="89"/>
    </row>
    <row r="200" spans="1:10" s="33" customFormat="1" hidden="1" x14ac:dyDescent="0.25">
      <c r="A200" s="138" t="s">
        <v>160</v>
      </c>
      <c r="B200" s="138"/>
      <c r="C200" s="138"/>
      <c r="D200" s="138"/>
      <c r="E200" s="138"/>
      <c r="F200" s="89"/>
      <c r="G200" s="89"/>
      <c r="H200" s="89"/>
    </row>
    <row r="201" spans="1:10" s="33" customFormat="1" hidden="1" x14ac:dyDescent="0.25">
      <c r="A201" s="138" t="s">
        <v>92</v>
      </c>
      <c r="B201" s="138"/>
      <c r="C201" s="138"/>
      <c r="D201" s="138"/>
      <c r="E201" s="138"/>
      <c r="F201" s="89"/>
      <c r="G201" s="89"/>
      <c r="H201" s="89"/>
    </row>
    <row r="202" spans="1:10" s="33" customFormat="1" hidden="1" x14ac:dyDescent="0.25">
      <c r="A202" s="138" t="s">
        <v>93</v>
      </c>
      <c r="B202" s="138"/>
      <c r="C202" s="138"/>
      <c r="D202" s="138"/>
      <c r="E202" s="138"/>
      <c r="F202" s="89"/>
      <c r="G202" s="89"/>
      <c r="H202" s="89"/>
    </row>
    <row r="203" spans="1:10" s="33" customFormat="1" hidden="1" x14ac:dyDescent="0.25">
      <c r="A203" s="138" t="s">
        <v>165</v>
      </c>
      <c r="B203" s="138"/>
      <c r="C203" s="138"/>
      <c r="D203" s="138"/>
      <c r="E203" s="138"/>
      <c r="F203" s="89"/>
      <c r="G203" s="89"/>
      <c r="H203" s="89"/>
    </row>
    <row r="204" spans="1:10" s="33" customFormat="1" hidden="1" x14ac:dyDescent="0.25">
      <c r="A204" s="138" t="s">
        <v>94</v>
      </c>
      <c r="B204" s="138"/>
      <c r="C204" s="138"/>
      <c r="D204" s="138"/>
      <c r="E204" s="138"/>
      <c r="F204" s="89"/>
      <c r="G204" s="89"/>
      <c r="H204" s="89"/>
    </row>
    <row r="205" spans="1:10" s="33" customFormat="1" hidden="1" x14ac:dyDescent="0.25">
      <c r="A205" s="138" t="s">
        <v>95</v>
      </c>
      <c r="B205" s="138"/>
      <c r="C205" s="138"/>
      <c r="D205" s="138"/>
      <c r="E205" s="138"/>
      <c r="F205" s="89"/>
      <c r="G205" s="89"/>
      <c r="H205" s="89"/>
    </row>
    <row r="206" spans="1:10" s="33" customFormat="1" hidden="1" x14ac:dyDescent="0.25">
      <c r="A206" s="138" t="s">
        <v>96</v>
      </c>
      <c r="B206" s="138"/>
      <c r="C206" s="138"/>
      <c r="D206" s="138"/>
      <c r="E206" s="138"/>
      <c r="F206" s="89"/>
      <c r="G206" s="89"/>
      <c r="H206" s="89"/>
    </row>
    <row r="207" spans="1:10" s="33" customFormat="1" hidden="1" x14ac:dyDescent="0.25">
      <c r="A207" s="138" t="s">
        <v>97</v>
      </c>
      <c r="B207" s="138"/>
      <c r="C207" s="138"/>
      <c r="D207" s="138"/>
      <c r="E207" s="138"/>
      <c r="F207" s="89"/>
      <c r="G207" s="89"/>
      <c r="H207" s="89"/>
    </row>
    <row r="208" spans="1:10" x14ac:dyDescent="0.25">
      <c r="A208" s="138" t="s">
        <v>49</v>
      </c>
      <c r="B208" s="138"/>
      <c r="C208" s="138"/>
      <c r="D208" s="138"/>
      <c r="E208" s="138"/>
      <c r="F208" s="89">
        <v>100000</v>
      </c>
      <c r="G208" s="89"/>
      <c r="H208" s="89"/>
    </row>
    <row r="209" spans="1:13" s="34" customFormat="1" x14ac:dyDescent="0.25">
      <c r="A209" s="72" t="s">
        <v>50</v>
      </c>
      <c r="B209" s="72"/>
      <c r="C209" s="72"/>
      <c r="D209" s="72"/>
      <c r="E209" s="72"/>
      <c r="F209" s="89">
        <f>F197*0.8</f>
        <v>3440</v>
      </c>
      <c r="G209" s="89"/>
      <c r="H209" s="89"/>
    </row>
    <row r="210" spans="1:13" s="35" customFormat="1" ht="15.75" customHeight="1" x14ac:dyDescent="0.25">
      <c r="A210" s="91" t="s">
        <v>73</v>
      </c>
      <c r="B210" s="91"/>
      <c r="C210" s="91"/>
      <c r="D210" s="91"/>
      <c r="E210" s="91"/>
      <c r="F210" s="91"/>
      <c r="G210" s="91"/>
      <c r="H210" s="91"/>
    </row>
    <row r="211" spans="1:13" s="35" customFormat="1" ht="15.75" customHeight="1" x14ac:dyDescent="0.25">
      <c r="A211" s="113" t="s">
        <v>51</v>
      </c>
      <c r="B211" s="113"/>
      <c r="C211" s="90" t="s">
        <v>76</v>
      </c>
      <c r="D211" s="90"/>
      <c r="E211" s="94" t="s">
        <v>52</v>
      </c>
      <c r="F211" s="94"/>
      <c r="G211" s="113" t="s">
        <v>53</v>
      </c>
      <c r="H211" s="113"/>
      <c r="I211" s="20"/>
      <c r="J211" s="20" t="s">
        <v>213</v>
      </c>
      <c r="K211" s="20" t="s">
        <v>214</v>
      </c>
      <c r="L211" s="59" t="s">
        <v>217</v>
      </c>
      <c r="M211" s="20" t="s">
        <v>218</v>
      </c>
    </row>
    <row r="212" spans="1:13" s="35" customFormat="1" x14ac:dyDescent="0.25">
      <c r="A212" s="107" t="s">
        <v>233</v>
      </c>
      <c r="B212" s="107"/>
      <c r="C212" s="108">
        <f>COUNT(D238:D247)</f>
        <v>10</v>
      </c>
      <c r="D212" s="109"/>
      <c r="E212" s="110">
        <f>SUM(D238:D247)</f>
        <v>755.56821600000001</v>
      </c>
      <c r="F212" s="111"/>
      <c r="G212" s="110">
        <f>SUM(F238:F247)</f>
        <v>1171.1307348</v>
      </c>
      <c r="H212" s="111"/>
      <c r="I212" s="20"/>
      <c r="J212" s="37">
        <f>4850000/F275</f>
        <v>5000</v>
      </c>
      <c r="K212" s="20" t="s">
        <v>216</v>
      </c>
      <c r="L212" s="60">
        <f>3200000/D440</f>
        <v>6858.312081781738</v>
      </c>
      <c r="M212" s="20" t="s">
        <v>219</v>
      </c>
    </row>
    <row r="213" spans="1:13" s="35" customFormat="1" x14ac:dyDescent="0.25">
      <c r="A213" s="107" t="s">
        <v>234</v>
      </c>
      <c r="B213" s="107"/>
      <c r="C213" s="108">
        <f>COUNT(D250:D256)</f>
        <v>7</v>
      </c>
      <c r="D213" s="109"/>
      <c r="E213" s="110">
        <f>SUM(D250:D256)</f>
        <v>650.97442799999988</v>
      </c>
      <c r="F213" s="111"/>
      <c r="G213" s="110">
        <f>SUM(F250:F256)</f>
        <v>1009.0103634</v>
      </c>
      <c r="H213" s="111"/>
      <c r="I213" s="20"/>
      <c r="J213" s="37">
        <f>4850000/F276</f>
        <v>5000</v>
      </c>
      <c r="K213" s="20" t="s">
        <v>215</v>
      </c>
      <c r="L213" s="61">
        <f>1700000/D412</f>
        <v>7061.6522953734629</v>
      </c>
      <c r="M213" s="20"/>
    </row>
    <row r="214" spans="1:13" s="35" customFormat="1" x14ac:dyDescent="0.25">
      <c r="A214" s="107" t="s">
        <v>235</v>
      </c>
      <c r="B214" s="107"/>
      <c r="C214" s="108">
        <f>COUNT(D260:D262)</f>
        <v>3</v>
      </c>
      <c r="D214" s="109"/>
      <c r="E214" s="110">
        <f>SUM(D260:D262)</f>
        <v>254.89151999999999</v>
      </c>
      <c r="F214" s="111"/>
      <c r="G214" s="110">
        <f>SUM(F260:F262)</f>
        <v>395.08185600000002</v>
      </c>
      <c r="H214" s="111"/>
      <c r="I214" s="20" t="s">
        <v>164</v>
      </c>
      <c r="J214" s="62">
        <f>3175000/F277</f>
        <v>5000</v>
      </c>
      <c r="K214" s="20"/>
      <c r="L214" s="61">
        <f>AVERAGE(L212:L213)</f>
        <v>6959.9821885776</v>
      </c>
      <c r="M214" s="20"/>
    </row>
    <row r="215" spans="1:13" s="35" customFormat="1" x14ac:dyDescent="0.25">
      <c r="A215" s="107" t="s">
        <v>236</v>
      </c>
      <c r="B215" s="107"/>
      <c r="C215" s="108">
        <f>COUNT(D266:D269)</f>
        <v>4</v>
      </c>
      <c r="D215" s="109"/>
      <c r="E215" s="110">
        <f>SUM(D266:D269)</f>
        <v>347.28969599999994</v>
      </c>
      <c r="F215" s="111"/>
      <c r="G215" s="110">
        <f>SUM(F266:F269)</f>
        <v>538.29902879999997</v>
      </c>
      <c r="H215" s="111"/>
      <c r="I215" s="33"/>
      <c r="J215" s="33"/>
      <c r="K215" s="33"/>
      <c r="L215" s="63">
        <f>L214/1.6</f>
        <v>4349.9888678609996</v>
      </c>
      <c r="M215" s="33"/>
    </row>
    <row r="216" spans="1:13" s="35" customFormat="1" x14ac:dyDescent="0.25">
      <c r="A216" s="91" t="s">
        <v>152</v>
      </c>
      <c r="B216" s="91"/>
      <c r="C216" s="92">
        <f>SUM(C212:D215)</f>
        <v>24</v>
      </c>
      <c r="D216" s="90"/>
      <c r="E216" s="93">
        <f>SUM(E212:F215)</f>
        <v>2008.7238599999996</v>
      </c>
      <c r="F216" s="94"/>
      <c r="G216" s="113">
        <f>SUM(G212:H215)</f>
        <v>3113.5219829999996</v>
      </c>
      <c r="H216" s="113"/>
    </row>
    <row r="217" spans="1:13" s="35" customFormat="1" x14ac:dyDescent="0.25">
      <c r="A217" s="91" t="s">
        <v>190</v>
      </c>
      <c r="B217" s="91"/>
      <c r="C217" s="91"/>
      <c r="D217" s="91"/>
      <c r="E217" s="91"/>
      <c r="F217" s="91"/>
      <c r="G217" s="91"/>
      <c r="H217" s="91"/>
    </row>
    <row r="218" spans="1:13" s="35" customFormat="1" ht="15.75" customHeight="1" x14ac:dyDescent="0.25">
      <c r="A218" s="113" t="s">
        <v>51</v>
      </c>
      <c r="B218" s="113"/>
      <c r="C218" s="90" t="s">
        <v>76</v>
      </c>
      <c r="D218" s="90"/>
      <c r="E218" s="94" t="s">
        <v>52</v>
      </c>
      <c r="F218" s="94"/>
      <c r="G218" s="113" t="s">
        <v>53</v>
      </c>
      <c r="H218" s="113"/>
    </row>
    <row r="219" spans="1:13" s="35" customFormat="1" x14ac:dyDescent="0.25">
      <c r="A219" s="107" t="s">
        <v>237</v>
      </c>
      <c r="B219" s="107"/>
      <c r="C219" s="109">
        <f>COUNT(D275:D279)*2+COUNT(D281:D285)*2</f>
        <v>20</v>
      </c>
      <c r="D219" s="109"/>
      <c r="E219" s="110">
        <f>SUM(D275:D279)*2+SUM(D281:D285)*2</f>
        <v>10140.699816</v>
      </c>
      <c r="F219" s="110"/>
      <c r="G219" s="110">
        <f>SUM(F275:F279)*2+SUM(F281:F285)*2</f>
        <v>17870</v>
      </c>
      <c r="H219" s="110"/>
    </row>
    <row r="220" spans="1:13" s="35" customFormat="1" ht="30.75" customHeight="1" x14ac:dyDescent="0.25">
      <c r="A220" s="107" t="s">
        <v>238</v>
      </c>
      <c r="B220" s="107"/>
      <c r="C220" s="109">
        <f>COUNT(D290:D293)*2+COUNT(D295:D298)*2+COUNT(D301:D307)*2+COUNT(D309:D315)*2+COUNT(D318:D324)*2+COUNT(D326:D332)*2+COUNT(D335:D341)*2+COUNT(D343:D349)*2</f>
        <v>100</v>
      </c>
      <c r="D220" s="109"/>
      <c r="E220" s="112">
        <f>SUM(D290:D293)*2+SUM(D295:D298)*2+SUM(D301:D307)*2+SUM(D309:D315)*2+SUM(D318:D324)*2+SUM(D326:D332)*2+SUM(D335:D341)*2+SUM(D343:D349)*2</f>
        <v>33684.022008</v>
      </c>
      <c r="F220" s="112"/>
      <c r="G220" s="112">
        <f>SUM(F290:F293)*2+SUM(F295:F298)*2+SUM(F301:F307)*2+SUM(F309:F315)*2+SUM(F318:F324)*2+SUM(F326:F332)*2+SUM(F335:F341)*2+SUM(F343:F349)*2</f>
        <v>63180</v>
      </c>
      <c r="H220" s="112"/>
    </row>
    <row r="221" spans="1:13" s="35" customFormat="1" ht="31.5" customHeight="1" x14ac:dyDescent="0.25">
      <c r="A221" s="107" t="s">
        <v>239</v>
      </c>
      <c r="B221" s="107"/>
      <c r="C221" s="109">
        <f>COUNT(D354:D359)*2+COUNT(D361:D366)*2+COUNT(D369:D374)*2+COUNT(D376:D381)*2</f>
        <v>48</v>
      </c>
      <c r="D221" s="109"/>
      <c r="E221" s="112">
        <f>SUM(D354:D359)*2+SUM(D361:D366)*2+SUM(D369:D374)*2+SUM(D376:D381)*2</f>
        <v>17399.403215999995</v>
      </c>
      <c r="F221" s="112"/>
      <c r="G221" s="112">
        <f>SUM(F354:F359)*2+SUM(F361:F366)*2+SUM(F369:F374)*2+SUM(F376:F381)*2</f>
        <v>32320</v>
      </c>
      <c r="H221" s="112"/>
    </row>
    <row r="222" spans="1:13" s="35" customFormat="1" ht="31.5" customHeight="1" x14ac:dyDescent="0.25">
      <c r="A222" s="107" t="s">
        <v>240</v>
      </c>
      <c r="B222" s="107"/>
      <c r="C222" s="109">
        <f>COUNT(D386:D393)*2+COUNT(D395:D402)*2+COUNT(D406:D412)*2+COUNT(D414:D420)*2</f>
        <v>60</v>
      </c>
      <c r="D222" s="109"/>
      <c r="E222" s="112">
        <f>SUM(D386:D393)*2+SUM(D395:D402)*2+SUM(D406:D412)*2+SUM(D414:D420)*2</f>
        <v>19195.01064</v>
      </c>
      <c r="F222" s="112"/>
      <c r="G222" s="112">
        <f>SUM(F386:F393)*2+SUM(F395:F402)*2+SUM(F406:F412)*2+SUM(F414:F420)*2</f>
        <v>35880</v>
      </c>
      <c r="H222" s="112"/>
    </row>
    <row r="223" spans="1:13" s="35" customFormat="1" x14ac:dyDescent="0.25">
      <c r="A223" s="107" t="s">
        <v>234</v>
      </c>
      <c r="B223" s="107"/>
      <c r="C223" s="109">
        <f>COUNT(D423:D428)*2+COUNT(D430:D435)*2</f>
        <v>24</v>
      </c>
      <c r="D223" s="109"/>
      <c r="E223" s="110">
        <f>SUM(D423:D428)*2+SUM(D430:D435)*2</f>
        <v>10310.663376</v>
      </c>
      <c r="F223" s="110"/>
      <c r="G223" s="110">
        <f>SUM(F423:F428)*2+SUM(F430:F435)*2</f>
        <v>18210</v>
      </c>
      <c r="H223" s="110"/>
    </row>
    <row r="224" spans="1:13" s="35" customFormat="1" ht="33.75" customHeight="1" x14ac:dyDescent="0.25">
      <c r="A224" s="107" t="s">
        <v>241</v>
      </c>
      <c r="B224" s="107"/>
      <c r="C224" s="109">
        <f>COUNT(D439:D442,D453)*2+COUNT(D444:D447,D458)*2</f>
        <v>20</v>
      </c>
      <c r="D224" s="109"/>
      <c r="E224" s="112">
        <f>SUM(D439:D442,D453)*2+SUM(D444:D447,D458)*2</f>
        <v>7809.3250559999988</v>
      </c>
      <c r="F224" s="112"/>
      <c r="G224" s="112">
        <f>SUM(F439:F442,F453)*2+SUM(F444:F447,F458)*2</f>
        <v>13530</v>
      </c>
      <c r="H224" s="112"/>
    </row>
    <row r="225" spans="1:14" s="35" customFormat="1" x14ac:dyDescent="0.25">
      <c r="A225" s="91" t="s">
        <v>152</v>
      </c>
      <c r="B225" s="91"/>
      <c r="C225" s="90">
        <f>SUM(C219:D224)</f>
        <v>272</v>
      </c>
      <c r="D225" s="90"/>
      <c r="E225" s="93">
        <f>SUM(E219:F224)</f>
        <v>98539.124112000005</v>
      </c>
      <c r="F225" s="93"/>
      <c r="G225" s="93">
        <f>SUM(G219:H224)</f>
        <v>180990</v>
      </c>
      <c r="H225" s="93"/>
    </row>
    <row r="226" spans="1:14" s="35" customFormat="1" x14ac:dyDescent="0.25">
      <c r="A226" s="91" t="s">
        <v>191</v>
      </c>
      <c r="B226" s="91"/>
      <c r="C226" s="91"/>
      <c r="D226" s="91"/>
      <c r="E226" s="91"/>
      <c r="F226" s="91"/>
      <c r="G226" s="91"/>
      <c r="H226" s="91"/>
    </row>
    <row r="227" spans="1:14" s="35" customFormat="1" ht="33.75" customHeight="1" x14ac:dyDescent="0.25">
      <c r="A227" s="107" t="s">
        <v>242</v>
      </c>
      <c r="B227" s="107"/>
      <c r="C227" s="109">
        <f>COUNT(D450:D451)+COUNT(D454:D456)*2+COUNT(D459:D461)*2</f>
        <v>14</v>
      </c>
      <c r="D227" s="109"/>
      <c r="E227" s="112">
        <f>SUM(D450:D451)+SUM(D454:D456)*2+SUM(D459:D461)*2</f>
        <v>6434.3747519999997</v>
      </c>
      <c r="F227" s="112"/>
      <c r="G227" s="112">
        <f>SUM(F450:F451)+SUM(F454:F456)*2+SUM(F459:F461)*2</f>
        <v>10620</v>
      </c>
      <c r="H227" s="112"/>
    </row>
    <row r="228" spans="1:14" s="35" customFormat="1" ht="33.75" customHeight="1" x14ac:dyDescent="0.25">
      <c r="A228" s="107" t="s">
        <v>243</v>
      </c>
      <c r="B228" s="107"/>
      <c r="C228" s="109">
        <f>COUNT(D465:D468)*2+COUNT(D470:D473)*2</f>
        <v>16</v>
      </c>
      <c r="D228" s="109"/>
      <c r="E228" s="112">
        <f>SUM(D465:D468)*2+SUM(D470:D473)*2</f>
        <v>7075.2202559999996</v>
      </c>
      <c r="F228" s="112"/>
      <c r="G228" s="112">
        <f>SUM(F465:F468)*2+SUM(F470:F473)*2</f>
        <v>11720</v>
      </c>
      <c r="H228" s="112"/>
    </row>
    <row r="229" spans="1:14" s="35" customFormat="1" ht="33.75" customHeight="1" x14ac:dyDescent="0.25">
      <c r="A229" s="107" t="s">
        <v>244</v>
      </c>
      <c r="B229" s="107"/>
      <c r="C229" s="109">
        <f>COUNT(D476:D477)+COUNT(D479:D481)*2+COUNT(D483:D485)*2</f>
        <v>14</v>
      </c>
      <c r="D229" s="109"/>
      <c r="E229" s="112">
        <f>SUM(D476:D477)+SUM(D479:D481)*2+SUM(D483:D485)*2</f>
        <v>5645.911752</v>
      </c>
      <c r="F229" s="112"/>
      <c r="G229" s="112">
        <f>SUM(F476:F477)+SUM(F479:F481)*2+SUM(F483:F485)*2</f>
        <v>9410</v>
      </c>
      <c r="H229" s="112"/>
    </row>
    <row r="230" spans="1:14" s="35" customFormat="1" x14ac:dyDescent="0.25">
      <c r="A230" s="91" t="s">
        <v>152</v>
      </c>
      <c r="B230" s="91"/>
      <c r="C230" s="90">
        <f>SUM(C227:D229)</f>
        <v>44</v>
      </c>
      <c r="D230" s="90"/>
      <c r="E230" s="93">
        <f>SUM(E227:F229)</f>
        <v>19155.50676</v>
      </c>
      <c r="F230" s="94"/>
      <c r="G230" s="113">
        <f>SUM(G227:H229)</f>
        <v>31750</v>
      </c>
      <c r="H230" s="113"/>
    </row>
    <row r="231" spans="1:14" s="34" customFormat="1" x14ac:dyDescent="0.25">
      <c r="A231" s="122" t="s">
        <v>54</v>
      </c>
      <c r="B231" s="122"/>
      <c r="C231" s="122"/>
      <c r="D231" s="122"/>
      <c r="E231" s="122"/>
      <c r="F231" s="122"/>
      <c r="G231" s="122"/>
      <c r="H231" s="122"/>
    </row>
    <row r="232" spans="1:14" x14ac:dyDescent="0.25">
      <c r="A232" s="122" t="s">
        <v>55</v>
      </c>
      <c r="B232" s="122"/>
      <c r="C232" s="122"/>
      <c r="D232" s="122"/>
      <c r="E232" s="122"/>
      <c r="F232" s="122"/>
      <c r="G232" s="122"/>
      <c r="H232" s="122"/>
    </row>
    <row r="233" spans="1:14" ht="47.25" customHeight="1" x14ac:dyDescent="0.25">
      <c r="A233" s="139" t="s">
        <v>120</v>
      </c>
      <c r="B233" s="139" t="s">
        <v>119</v>
      </c>
      <c r="C233" s="139" t="s">
        <v>56</v>
      </c>
      <c r="D233" s="139" t="s">
        <v>57</v>
      </c>
      <c r="E233" s="178" t="s">
        <v>158</v>
      </c>
      <c r="F233" s="53" t="s">
        <v>151</v>
      </c>
      <c r="G233" s="136" t="s">
        <v>59</v>
      </c>
      <c r="H233" s="137"/>
    </row>
    <row r="234" spans="1:14" s="37" customFormat="1" x14ac:dyDescent="0.25">
      <c r="A234" s="140"/>
      <c r="B234" s="140"/>
      <c r="C234" s="140"/>
      <c r="D234" s="140"/>
      <c r="E234" s="179"/>
      <c r="F234" s="13">
        <v>0.55000000000000004</v>
      </c>
      <c r="G234" s="180"/>
      <c r="H234" s="181"/>
    </row>
    <row r="235" spans="1:14" s="34" customFormat="1" x14ac:dyDescent="0.25">
      <c r="A235" s="122" t="s">
        <v>245</v>
      </c>
      <c r="B235" s="122"/>
      <c r="C235" s="122"/>
      <c r="D235" s="122"/>
      <c r="E235" s="122"/>
      <c r="F235" s="122"/>
      <c r="G235" s="122"/>
      <c r="H235" s="122"/>
    </row>
    <row r="236" spans="1:14" s="34" customFormat="1" x14ac:dyDescent="0.25">
      <c r="A236" s="122" t="s">
        <v>176</v>
      </c>
      <c r="B236" s="122"/>
      <c r="C236" s="122"/>
      <c r="D236" s="122"/>
      <c r="E236" s="122"/>
      <c r="F236" s="122"/>
      <c r="G236" s="122"/>
      <c r="H236" s="122"/>
    </row>
    <row r="237" spans="1:14" s="37" customFormat="1" x14ac:dyDescent="0.25">
      <c r="A237" s="116" t="s">
        <v>183</v>
      </c>
      <c r="B237" s="117"/>
      <c r="C237" s="117"/>
      <c r="D237" s="117"/>
      <c r="E237" s="117"/>
      <c r="F237" s="117"/>
      <c r="G237" s="117"/>
      <c r="H237" s="118"/>
      <c r="J237" s="36"/>
    </row>
    <row r="238" spans="1:14" s="37" customFormat="1" x14ac:dyDescent="0.25">
      <c r="A238" s="114">
        <v>1</v>
      </c>
      <c r="B238" s="115"/>
      <c r="C238" s="42" t="s">
        <v>184</v>
      </c>
      <c r="D238" s="42">
        <f>7.012*10.764</f>
        <v>75.477167999999992</v>
      </c>
      <c r="E238" s="42">
        <v>0</v>
      </c>
      <c r="F238" s="42">
        <f>(D238+E238)*(($F$234)+1)</f>
        <v>116.98961039999999</v>
      </c>
      <c r="G238" s="114" t="str">
        <f>A237</f>
        <v>Ground Floor for Commercial &amp; Parking</v>
      </c>
      <c r="H238" s="115"/>
      <c r="I238" s="36"/>
      <c r="L238" s="123"/>
      <c r="M238" s="123"/>
      <c r="N238" s="36"/>
    </row>
    <row r="239" spans="1:14" s="37" customFormat="1" x14ac:dyDescent="0.25">
      <c r="A239" s="114">
        <f t="shared" ref="A239:A247" si="0">A238+1</f>
        <v>2</v>
      </c>
      <c r="B239" s="115"/>
      <c r="C239" s="42" t="s">
        <v>184</v>
      </c>
      <c r="D239" s="42">
        <f>6.96*10.764</f>
        <v>74.917439999999999</v>
      </c>
      <c r="E239" s="42">
        <v>0</v>
      </c>
      <c r="F239" s="42">
        <f t="shared" ref="F239:F241" si="1">(D239+E239)*(($F$234)+1)</f>
        <v>116.122032</v>
      </c>
      <c r="G239" s="114" t="str">
        <f t="shared" ref="G239:G247" si="2">G238</f>
        <v>Ground Floor for Commercial &amp; Parking</v>
      </c>
      <c r="H239" s="115"/>
      <c r="I239" s="36"/>
      <c r="L239" s="123"/>
      <c r="M239" s="123"/>
      <c r="N239" s="36"/>
    </row>
    <row r="240" spans="1:14" s="37" customFormat="1" x14ac:dyDescent="0.25">
      <c r="A240" s="114">
        <f t="shared" si="0"/>
        <v>3</v>
      </c>
      <c r="B240" s="115"/>
      <c r="C240" s="42" t="s">
        <v>184</v>
      </c>
      <c r="D240" s="42">
        <f>5.96*10.764</f>
        <v>64.153439999999989</v>
      </c>
      <c r="E240" s="42">
        <v>0</v>
      </c>
      <c r="F240" s="42">
        <f t="shared" si="1"/>
        <v>99.437831999999986</v>
      </c>
      <c r="G240" s="114" t="str">
        <f t="shared" si="2"/>
        <v>Ground Floor for Commercial &amp; Parking</v>
      </c>
      <c r="H240" s="115"/>
      <c r="I240" s="36"/>
      <c r="L240" s="123"/>
      <c r="M240" s="123"/>
      <c r="N240" s="36"/>
    </row>
    <row r="241" spans="1:14" s="37" customFormat="1" x14ac:dyDescent="0.25">
      <c r="A241" s="114">
        <f t="shared" si="0"/>
        <v>4</v>
      </c>
      <c r="B241" s="115"/>
      <c r="C241" s="42" t="s">
        <v>184</v>
      </c>
      <c r="D241" s="42">
        <f>7.56*10.764</f>
        <v>81.375839999999997</v>
      </c>
      <c r="E241" s="42">
        <v>0</v>
      </c>
      <c r="F241" s="42">
        <f t="shared" si="1"/>
        <v>126.132552</v>
      </c>
      <c r="G241" s="114" t="str">
        <f t="shared" si="2"/>
        <v>Ground Floor for Commercial &amp; Parking</v>
      </c>
      <c r="H241" s="115"/>
      <c r="I241" s="36"/>
      <c r="L241" s="123"/>
      <c r="M241" s="123"/>
      <c r="N241" s="36"/>
    </row>
    <row r="242" spans="1:14" s="37" customFormat="1" x14ac:dyDescent="0.25">
      <c r="A242" s="114">
        <f t="shared" si="0"/>
        <v>5</v>
      </c>
      <c r="B242" s="115"/>
      <c r="C242" s="42" t="s">
        <v>184</v>
      </c>
      <c r="D242" s="42">
        <f>7.105*10.764</f>
        <v>76.478219999999993</v>
      </c>
      <c r="E242" s="42">
        <v>0</v>
      </c>
      <c r="F242" s="42">
        <f t="shared" ref="F242:F244" si="3">(D242+E242)*(($F$234)+1)</f>
        <v>118.541241</v>
      </c>
      <c r="G242" s="114" t="str">
        <f t="shared" si="2"/>
        <v>Ground Floor for Commercial &amp; Parking</v>
      </c>
      <c r="H242" s="115"/>
      <c r="I242" s="36"/>
      <c r="L242" s="123"/>
      <c r="M242" s="123"/>
      <c r="N242" s="36"/>
    </row>
    <row r="243" spans="1:14" s="37" customFormat="1" x14ac:dyDescent="0.25">
      <c r="A243" s="114">
        <f t="shared" si="0"/>
        <v>6</v>
      </c>
      <c r="B243" s="115"/>
      <c r="C243" s="42" t="s">
        <v>184</v>
      </c>
      <c r="D243" s="42">
        <f>7.105*10.764</f>
        <v>76.478219999999993</v>
      </c>
      <c r="E243" s="42">
        <v>0</v>
      </c>
      <c r="F243" s="42">
        <f t="shared" si="3"/>
        <v>118.541241</v>
      </c>
      <c r="G243" s="114" t="str">
        <f t="shared" si="2"/>
        <v>Ground Floor for Commercial &amp; Parking</v>
      </c>
      <c r="H243" s="115"/>
      <c r="I243" s="36"/>
      <c r="L243" s="123"/>
      <c r="M243" s="123"/>
      <c r="N243" s="36"/>
    </row>
    <row r="244" spans="1:14" s="37" customFormat="1" x14ac:dyDescent="0.25">
      <c r="A244" s="114">
        <f t="shared" si="0"/>
        <v>7</v>
      </c>
      <c r="B244" s="115"/>
      <c r="C244" s="42" t="s">
        <v>184</v>
      </c>
      <c r="D244" s="42">
        <f>7.56*10.764</f>
        <v>81.375839999999997</v>
      </c>
      <c r="E244" s="42">
        <v>0</v>
      </c>
      <c r="F244" s="42">
        <f t="shared" si="3"/>
        <v>126.132552</v>
      </c>
      <c r="G244" s="114" t="str">
        <f t="shared" si="2"/>
        <v>Ground Floor for Commercial &amp; Parking</v>
      </c>
      <c r="H244" s="115"/>
      <c r="I244" s="36"/>
      <c r="L244" s="123"/>
      <c r="M244" s="123"/>
      <c r="N244" s="36"/>
    </row>
    <row r="245" spans="1:14" s="37" customFormat="1" x14ac:dyDescent="0.25">
      <c r="A245" s="114">
        <f t="shared" si="0"/>
        <v>8</v>
      </c>
      <c r="B245" s="115"/>
      <c r="C245" s="42" t="s">
        <v>184</v>
      </c>
      <c r="D245" s="42">
        <f>6.96*10.764</f>
        <v>74.917439999999999</v>
      </c>
      <c r="E245" s="42">
        <v>0</v>
      </c>
      <c r="F245" s="42">
        <f t="shared" ref="F245:F246" si="4">(D245+E245)*(($F$234)+1)</f>
        <v>116.122032</v>
      </c>
      <c r="G245" s="114" t="str">
        <f t="shared" si="2"/>
        <v>Ground Floor for Commercial &amp; Parking</v>
      </c>
      <c r="H245" s="115"/>
      <c r="I245" s="36"/>
      <c r="L245" s="123"/>
      <c r="M245" s="123"/>
      <c r="N245" s="36"/>
    </row>
    <row r="246" spans="1:14" s="37" customFormat="1" x14ac:dyDescent="0.25">
      <c r="A246" s="114">
        <f t="shared" si="0"/>
        <v>9</v>
      </c>
      <c r="B246" s="115"/>
      <c r="C246" s="42" t="s">
        <v>184</v>
      </c>
      <c r="D246" s="42">
        <f>6.96*10.764</f>
        <v>74.917439999999999</v>
      </c>
      <c r="E246" s="42">
        <v>0</v>
      </c>
      <c r="F246" s="42">
        <f t="shared" si="4"/>
        <v>116.122032</v>
      </c>
      <c r="G246" s="114" t="str">
        <f t="shared" si="2"/>
        <v>Ground Floor for Commercial &amp; Parking</v>
      </c>
      <c r="H246" s="115"/>
      <c r="I246" s="36"/>
      <c r="L246" s="123"/>
      <c r="M246" s="123"/>
      <c r="N246" s="36"/>
    </row>
    <row r="247" spans="1:14" s="37" customFormat="1" x14ac:dyDescent="0.25">
      <c r="A247" s="114">
        <f t="shared" si="0"/>
        <v>10</v>
      </c>
      <c r="B247" s="115"/>
      <c r="C247" s="42" t="s">
        <v>184</v>
      </c>
      <c r="D247" s="42">
        <f>7.012*10.764</f>
        <v>75.477167999999992</v>
      </c>
      <c r="E247" s="42">
        <v>0</v>
      </c>
      <c r="F247" s="42">
        <f t="shared" ref="F247" si="5">(D247+E247)*(($F$234)+1)</f>
        <v>116.98961039999999</v>
      </c>
      <c r="G247" s="114" t="str">
        <f t="shared" si="2"/>
        <v>Ground Floor for Commercial &amp; Parking</v>
      </c>
      <c r="H247" s="115"/>
      <c r="I247" s="36"/>
      <c r="L247" s="123"/>
      <c r="M247" s="123"/>
      <c r="N247" s="36"/>
    </row>
    <row r="248" spans="1:14" s="34" customFormat="1" x14ac:dyDescent="0.25">
      <c r="A248" s="122" t="s">
        <v>234</v>
      </c>
      <c r="B248" s="122"/>
      <c r="C248" s="122"/>
      <c r="D248" s="122"/>
      <c r="E248" s="122"/>
      <c r="F248" s="122"/>
      <c r="G248" s="122"/>
      <c r="H248" s="122"/>
    </row>
    <row r="249" spans="1:14" s="37" customFormat="1" x14ac:dyDescent="0.25">
      <c r="A249" s="116" t="s">
        <v>183</v>
      </c>
      <c r="B249" s="117"/>
      <c r="C249" s="117"/>
      <c r="D249" s="117"/>
      <c r="E249" s="117"/>
      <c r="F249" s="117"/>
      <c r="G249" s="117"/>
      <c r="H249" s="118"/>
      <c r="J249" s="36"/>
    </row>
    <row r="250" spans="1:14" s="37" customFormat="1" x14ac:dyDescent="0.25">
      <c r="A250" s="114">
        <v>1</v>
      </c>
      <c r="B250" s="115"/>
      <c r="C250" s="42" t="s">
        <v>184</v>
      </c>
      <c r="D250" s="42">
        <f>9.9*10.764</f>
        <v>106.56359999999999</v>
      </c>
      <c r="E250" s="42">
        <v>0</v>
      </c>
      <c r="F250" s="42">
        <f>(D250+E250)*(($F$234)+1)</f>
        <v>165.17357999999999</v>
      </c>
      <c r="G250" s="114" t="str">
        <f>A249</f>
        <v>Ground Floor for Commercial &amp; Parking</v>
      </c>
      <c r="H250" s="115"/>
      <c r="I250" s="36"/>
      <c r="L250" s="123"/>
      <c r="M250" s="123"/>
      <c r="N250" s="36"/>
    </row>
    <row r="251" spans="1:14" s="37" customFormat="1" x14ac:dyDescent="0.25">
      <c r="A251" s="114">
        <f t="shared" ref="A251:A256" si="6">A250+1</f>
        <v>2</v>
      </c>
      <c r="B251" s="115"/>
      <c r="C251" s="42" t="s">
        <v>184</v>
      </c>
      <c r="D251" s="42">
        <f>9.405*10.764</f>
        <v>101.23541999999999</v>
      </c>
      <c r="E251" s="42">
        <v>0</v>
      </c>
      <c r="F251" s="42">
        <f t="shared" ref="F251:F256" si="7">(D251+E251)*(($F$234)+1)</f>
        <v>156.91490099999999</v>
      </c>
      <c r="G251" s="114" t="str">
        <f t="shared" ref="G251:G256" si="8">G250</f>
        <v>Ground Floor for Commercial &amp; Parking</v>
      </c>
      <c r="H251" s="115"/>
      <c r="I251" s="36"/>
      <c r="L251" s="123"/>
      <c r="M251" s="123"/>
      <c r="N251" s="36"/>
    </row>
    <row r="252" spans="1:14" s="37" customFormat="1" x14ac:dyDescent="0.25">
      <c r="A252" s="114">
        <f t="shared" si="6"/>
        <v>3</v>
      </c>
      <c r="B252" s="115"/>
      <c r="C252" s="42" t="s">
        <v>184</v>
      </c>
      <c r="D252" s="42">
        <f>9.405*10.764</f>
        <v>101.23541999999999</v>
      </c>
      <c r="E252" s="42">
        <v>0</v>
      </c>
      <c r="F252" s="42">
        <f t="shared" si="7"/>
        <v>156.91490099999999</v>
      </c>
      <c r="G252" s="114" t="str">
        <f t="shared" si="8"/>
        <v>Ground Floor for Commercial &amp; Parking</v>
      </c>
      <c r="H252" s="115"/>
      <c r="I252" s="36"/>
      <c r="L252" s="123"/>
      <c r="M252" s="123"/>
      <c r="N252" s="36"/>
    </row>
    <row r="253" spans="1:14" s="37" customFormat="1" x14ac:dyDescent="0.25">
      <c r="A253" s="114">
        <f t="shared" si="6"/>
        <v>4</v>
      </c>
      <c r="B253" s="115"/>
      <c r="C253" s="42" t="s">
        <v>184</v>
      </c>
      <c r="D253" s="42">
        <f>8.407*10.764</f>
        <v>90.492947999999998</v>
      </c>
      <c r="E253" s="42">
        <v>0</v>
      </c>
      <c r="F253" s="42">
        <f t="shared" si="7"/>
        <v>140.26406940000001</v>
      </c>
      <c r="G253" s="114" t="str">
        <f t="shared" si="8"/>
        <v>Ground Floor for Commercial &amp; Parking</v>
      </c>
      <c r="H253" s="115"/>
      <c r="I253" s="36"/>
      <c r="L253" s="123"/>
      <c r="M253" s="123"/>
      <c r="N253" s="36"/>
    </row>
    <row r="254" spans="1:14" s="37" customFormat="1" x14ac:dyDescent="0.25">
      <c r="A254" s="114">
        <f t="shared" si="6"/>
        <v>5</v>
      </c>
      <c r="B254" s="115"/>
      <c r="C254" s="42" t="s">
        <v>184</v>
      </c>
      <c r="D254" s="42">
        <f>7.965*10.764</f>
        <v>85.735259999999997</v>
      </c>
      <c r="E254" s="42">
        <v>0</v>
      </c>
      <c r="F254" s="42">
        <f t="shared" si="7"/>
        <v>132.88965300000001</v>
      </c>
      <c r="G254" s="114" t="str">
        <f t="shared" si="8"/>
        <v>Ground Floor for Commercial &amp; Parking</v>
      </c>
      <c r="H254" s="115"/>
      <c r="I254" s="36"/>
      <c r="L254" s="123"/>
      <c r="M254" s="123"/>
      <c r="N254" s="36"/>
    </row>
    <row r="255" spans="1:14" s="37" customFormat="1" x14ac:dyDescent="0.25">
      <c r="A255" s="114">
        <f t="shared" si="6"/>
        <v>6</v>
      </c>
      <c r="B255" s="115"/>
      <c r="C255" s="42" t="s">
        <v>184</v>
      </c>
      <c r="D255" s="42">
        <f>8.505*10.764</f>
        <v>91.547820000000002</v>
      </c>
      <c r="E255" s="42">
        <v>0</v>
      </c>
      <c r="F255" s="42">
        <f t="shared" si="7"/>
        <v>141.89912100000001</v>
      </c>
      <c r="G255" s="114" t="str">
        <f t="shared" si="8"/>
        <v>Ground Floor for Commercial &amp; Parking</v>
      </c>
      <c r="H255" s="115"/>
      <c r="I255" s="36"/>
      <c r="L255" s="123"/>
      <c r="M255" s="123"/>
      <c r="N255" s="36"/>
    </row>
    <row r="256" spans="1:14" s="37" customFormat="1" x14ac:dyDescent="0.25">
      <c r="A256" s="114">
        <f t="shared" si="6"/>
        <v>7</v>
      </c>
      <c r="B256" s="115"/>
      <c r="C256" s="42" t="s">
        <v>184</v>
      </c>
      <c r="D256" s="42">
        <f>6.89*10.764</f>
        <v>74.163959999999989</v>
      </c>
      <c r="E256" s="42">
        <v>0</v>
      </c>
      <c r="F256" s="42">
        <f t="shared" si="7"/>
        <v>114.95413799999999</v>
      </c>
      <c r="G256" s="114" t="str">
        <f t="shared" si="8"/>
        <v>Ground Floor for Commercial &amp; Parking</v>
      </c>
      <c r="H256" s="115"/>
      <c r="I256" s="36"/>
      <c r="L256" s="123"/>
      <c r="M256" s="123"/>
      <c r="N256" s="36"/>
    </row>
    <row r="257" spans="1:14" s="34" customFormat="1" x14ac:dyDescent="0.25">
      <c r="A257" s="122" t="s">
        <v>246</v>
      </c>
      <c r="B257" s="122"/>
      <c r="C257" s="122"/>
      <c r="D257" s="122"/>
      <c r="E257" s="122"/>
      <c r="F257" s="122"/>
      <c r="G257" s="122"/>
      <c r="H257" s="122"/>
    </row>
    <row r="258" spans="1:14" s="34" customFormat="1" x14ac:dyDescent="0.25">
      <c r="A258" s="122" t="s">
        <v>175</v>
      </c>
      <c r="B258" s="122"/>
      <c r="C258" s="122"/>
      <c r="D258" s="122"/>
      <c r="E258" s="122"/>
      <c r="F258" s="122"/>
      <c r="G258" s="122"/>
      <c r="H258" s="122"/>
    </row>
    <row r="259" spans="1:14" s="37" customFormat="1" x14ac:dyDescent="0.25">
      <c r="A259" s="116" t="s">
        <v>183</v>
      </c>
      <c r="B259" s="117"/>
      <c r="C259" s="117"/>
      <c r="D259" s="117"/>
      <c r="E259" s="117"/>
      <c r="F259" s="117"/>
      <c r="G259" s="117"/>
      <c r="H259" s="118"/>
      <c r="J259" s="36"/>
    </row>
    <row r="260" spans="1:14" s="37" customFormat="1" x14ac:dyDescent="0.25">
      <c r="A260" s="114">
        <v>1</v>
      </c>
      <c r="B260" s="115"/>
      <c r="C260" s="42" t="s">
        <v>184</v>
      </c>
      <c r="D260" s="42">
        <f>6.86*10.764</f>
        <v>73.841039999999992</v>
      </c>
      <c r="E260" s="42">
        <v>0</v>
      </c>
      <c r="F260" s="42">
        <f>(D260+E260)*(($F$234)+1)</f>
        <v>114.45361199999999</v>
      </c>
      <c r="G260" s="114" t="str">
        <f>A259</f>
        <v>Ground Floor for Commercial &amp; Parking</v>
      </c>
      <c r="H260" s="115"/>
      <c r="I260" s="36"/>
      <c r="L260" s="123"/>
      <c r="M260" s="123"/>
      <c r="N260" s="36"/>
    </row>
    <row r="261" spans="1:14" s="37" customFormat="1" x14ac:dyDescent="0.25">
      <c r="A261" s="114">
        <f t="shared" ref="A261:A262" si="9">A260+1</f>
        <v>2</v>
      </c>
      <c r="B261" s="115"/>
      <c r="C261" s="42" t="s">
        <v>184</v>
      </c>
      <c r="D261" s="42">
        <f>9.96*10.764</f>
        <v>107.20944</v>
      </c>
      <c r="E261" s="42">
        <v>0</v>
      </c>
      <c r="F261" s="42">
        <f t="shared" ref="F261:F262" si="10">(D261+E261)*(($F$234)+1)</f>
        <v>166.174632</v>
      </c>
      <c r="G261" s="114" t="str">
        <f t="shared" ref="G261:G262" si="11">G260</f>
        <v>Ground Floor for Commercial &amp; Parking</v>
      </c>
      <c r="H261" s="115"/>
      <c r="I261" s="36"/>
      <c r="L261" s="123"/>
      <c r="M261" s="123"/>
      <c r="N261" s="36"/>
    </row>
    <row r="262" spans="1:14" s="37" customFormat="1" x14ac:dyDescent="0.25">
      <c r="A262" s="114">
        <f t="shared" si="9"/>
        <v>3</v>
      </c>
      <c r="B262" s="115"/>
      <c r="C262" s="42" t="s">
        <v>184</v>
      </c>
      <c r="D262" s="42">
        <f>6.86*10.764</f>
        <v>73.841039999999992</v>
      </c>
      <c r="E262" s="42">
        <v>0</v>
      </c>
      <c r="F262" s="42">
        <f t="shared" si="10"/>
        <v>114.45361199999999</v>
      </c>
      <c r="G262" s="114" t="str">
        <f t="shared" si="11"/>
        <v>Ground Floor for Commercial &amp; Parking</v>
      </c>
      <c r="H262" s="115"/>
      <c r="I262" s="36"/>
      <c r="L262" s="123"/>
      <c r="M262" s="123"/>
      <c r="N262" s="36"/>
    </row>
    <row r="263" spans="1:14" s="34" customFormat="1" x14ac:dyDescent="0.25">
      <c r="A263" s="124" t="s">
        <v>247</v>
      </c>
      <c r="B263" s="122"/>
      <c r="C263" s="122"/>
      <c r="D263" s="122"/>
      <c r="E263" s="122"/>
      <c r="F263" s="122"/>
      <c r="G263" s="122"/>
      <c r="H263" s="122"/>
    </row>
    <row r="264" spans="1:14" s="37" customFormat="1" x14ac:dyDescent="0.25">
      <c r="A264" s="116" t="s">
        <v>175</v>
      </c>
      <c r="B264" s="117"/>
      <c r="C264" s="117"/>
      <c r="D264" s="117"/>
      <c r="E264" s="117"/>
      <c r="F264" s="117"/>
      <c r="G264" s="117"/>
      <c r="H264" s="118"/>
      <c r="J264" s="36"/>
    </row>
    <row r="265" spans="1:14" s="37" customFormat="1" x14ac:dyDescent="0.25">
      <c r="A265" s="116" t="s">
        <v>183</v>
      </c>
      <c r="B265" s="117"/>
      <c r="C265" s="117"/>
      <c r="D265" s="117"/>
      <c r="E265" s="117"/>
      <c r="F265" s="117"/>
      <c r="G265" s="117"/>
      <c r="H265" s="118"/>
      <c r="J265" s="36"/>
    </row>
    <row r="266" spans="1:14" s="37" customFormat="1" x14ac:dyDescent="0.25">
      <c r="A266" s="114">
        <v>1</v>
      </c>
      <c r="B266" s="115"/>
      <c r="C266" s="42" t="s">
        <v>184</v>
      </c>
      <c r="D266" s="42">
        <f>7.56*10.764</f>
        <v>81.375839999999997</v>
      </c>
      <c r="E266" s="42">
        <v>0</v>
      </c>
      <c r="F266" s="42">
        <f>(D266+E266)*(($F$234)+1)</f>
        <v>126.132552</v>
      </c>
      <c r="G266" s="114" t="str">
        <f>A265</f>
        <v>Ground Floor for Commercial &amp; Parking</v>
      </c>
      <c r="H266" s="115"/>
      <c r="I266" s="36"/>
      <c r="L266" s="123"/>
      <c r="M266" s="123"/>
      <c r="N266" s="36"/>
    </row>
    <row r="267" spans="1:14" s="37" customFormat="1" x14ac:dyDescent="0.25">
      <c r="A267" s="114">
        <f t="shared" ref="A267:A269" si="12">A266+1</f>
        <v>2</v>
      </c>
      <c r="B267" s="115"/>
      <c r="C267" s="42" t="s">
        <v>184</v>
      </c>
      <c r="D267" s="42">
        <f>8.572*10.764</f>
        <v>92.269007999999985</v>
      </c>
      <c r="E267" s="42">
        <v>0</v>
      </c>
      <c r="F267" s="42">
        <f t="shared" ref="F267:F268" si="13">(D267+E267)*(($F$234)+1)</f>
        <v>143.01696239999998</v>
      </c>
      <c r="G267" s="114" t="str">
        <f t="shared" ref="G267:G269" si="14">G266</f>
        <v>Ground Floor for Commercial &amp; Parking</v>
      </c>
      <c r="H267" s="115"/>
      <c r="I267" s="36"/>
      <c r="L267" s="123"/>
      <c r="M267" s="123"/>
      <c r="N267" s="36"/>
    </row>
    <row r="268" spans="1:14" s="37" customFormat="1" x14ac:dyDescent="0.25">
      <c r="A268" s="114">
        <f t="shared" si="12"/>
        <v>3</v>
      </c>
      <c r="B268" s="115"/>
      <c r="C268" s="42" t="s">
        <v>184</v>
      </c>
      <c r="D268" s="42">
        <f>8.572*10.764</f>
        <v>92.269007999999985</v>
      </c>
      <c r="E268" s="42">
        <v>0</v>
      </c>
      <c r="F268" s="42">
        <f t="shared" si="13"/>
        <v>143.01696239999998</v>
      </c>
      <c r="G268" s="114" t="str">
        <f t="shared" si="14"/>
        <v>Ground Floor for Commercial &amp; Parking</v>
      </c>
      <c r="H268" s="115"/>
      <c r="I268" s="36"/>
      <c r="L268" s="123"/>
      <c r="M268" s="123"/>
      <c r="N268" s="36"/>
    </row>
    <row r="269" spans="1:14" s="37" customFormat="1" x14ac:dyDescent="0.25">
      <c r="A269" s="114">
        <f t="shared" si="12"/>
        <v>4</v>
      </c>
      <c r="B269" s="115"/>
      <c r="C269" s="42" t="s">
        <v>184</v>
      </c>
      <c r="D269" s="42">
        <f>7.56*10.764</f>
        <v>81.375839999999997</v>
      </c>
      <c r="E269" s="42">
        <v>0</v>
      </c>
      <c r="F269" s="42">
        <f t="shared" ref="F269" si="15">(D269+E269)*(($F$234)+1)</f>
        <v>126.132552</v>
      </c>
      <c r="G269" s="114" t="str">
        <f t="shared" si="14"/>
        <v>Ground Floor for Commercial &amp; Parking</v>
      </c>
      <c r="H269" s="115"/>
      <c r="I269" s="36"/>
      <c r="L269" s="123"/>
      <c r="M269" s="123"/>
      <c r="N269" s="36"/>
    </row>
    <row r="270" spans="1:14" s="37" customFormat="1" x14ac:dyDescent="0.25">
      <c r="A270" s="114"/>
      <c r="B270" s="127"/>
      <c r="C270" s="127"/>
      <c r="D270" s="127"/>
      <c r="E270" s="127"/>
      <c r="F270" s="127"/>
      <c r="G270" s="127"/>
      <c r="H270" s="115"/>
      <c r="I270" s="36"/>
      <c r="N270" s="36"/>
    </row>
    <row r="271" spans="1:14" ht="47.25" customHeight="1" x14ac:dyDescent="0.25">
      <c r="A271" s="53" t="s">
        <v>121</v>
      </c>
      <c r="B271" s="53" t="s">
        <v>122</v>
      </c>
      <c r="C271" s="53" t="s">
        <v>56</v>
      </c>
      <c r="D271" s="53" t="s">
        <v>57</v>
      </c>
      <c r="E271" s="54" t="s">
        <v>58</v>
      </c>
      <c r="F271" s="53" t="s">
        <v>212</v>
      </c>
      <c r="G271" s="136" t="s">
        <v>59</v>
      </c>
      <c r="H271" s="137"/>
      <c r="I271" s="36"/>
    </row>
    <row r="272" spans="1:14" s="34" customFormat="1" x14ac:dyDescent="0.25">
      <c r="A272" s="122" t="s">
        <v>237</v>
      </c>
      <c r="B272" s="122"/>
      <c r="C272" s="122"/>
      <c r="D272" s="122"/>
      <c r="E272" s="122"/>
      <c r="F272" s="122"/>
      <c r="G272" s="122"/>
      <c r="H272" s="122"/>
    </row>
    <row r="273" spans="1:10" s="34" customFormat="1" x14ac:dyDescent="0.25">
      <c r="A273" s="122" t="s">
        <v>166</v>
      </c>
      <c r="B273" s="122"/>
      <c r="C273" s="122"/>
      <c r="D273" s="122"/>
      <c r="E273" s="122"/>
      <c r="F273" s="122"/>
      <c r="G273" s="122"/>
      <c r="H273" s="122"/>
    </row>
    <row r="274" spans="1:10" s="37" customFormat="1" x14ac:dyDescent="0.25">
      <c r="A274" s="116" t="s">
        <v>167</v>
      </c>
      <c r="B274" s="117"/>
      <c r="C274" s="117"/>
      <c r="D274" s="117"/>
      <c r="E274" s="117"/>
      <c r="F274" s="117"/>
      <c r="G274" s="117"/>
      <c r="H274" s="118"/>
      <c r="I274" s="36"/>
    </row>
    <row r="275" spans="1:10" s="37" customFormat="1" x14ac:dyDescent="0.25">
      <c r="A275" s="114" t="str">
        <f ca="1">(SUMPRODUCT(MID(0&amp;(LEFT(A274,SUM(LEN(A274)-LEN(SUBSTITUTE(A274,{"0","1","2"},""))))), LARGE(INDEX(ISNUMBER(--MID((LEFT(A274,SUM(LEN(A274)-LEN(SUBSTITUTE(A274,{"0","1","2"},""))))), ROW(INDIRECT("1:"&amp;LEN((LEFT(A274,SUM(LEN(A274)-LEN(SUBSTITUTE(A274,{"0","1","2"},"")))))))), 1)) * ROW(INDIRECT("1:"&amp;LEN((LEFT(A274,SUM(LEN(A274)-LEN(SUBSTITUTE(A274,{"0","1","2"},"")))))))), 0), ROW(INDIRECT("1:"&amp;LEN((LEFT(A274,SUM(LEN(A274)-LEN(SUBSTITUTE(A274,{"0","1","2"},"")))))))))+1, 1) * 10^ROW(INDIRECT("1:"&amp;LEN((LEFT(A274,SUM(LEN(A274)-LEN(SUBSTITUTE(A274,{"0","1","2"},""))))))))/10))*100+1&amp;""&amp;" &amp; "&amp;""&amp;(SUMPRODUCT(MID(0&amp;(--TRIM(RIGHT(SUBSTITUTE(LEFT(A274,_xlfn.AGGREGATE(16,6,FIND({0,1,2,3,4,5,6,7,8,9},A274,ROW(INDIRECT("1:"&amp;LEN(A274)))),1))," ",REPT(" ",LEN(A274))),LEN(A274)))), LARGE(INDEX(ISNUMBER(--MID((--TRIM(RIGHT(SUBSTITUTE(LEFT(A274,_xlfn.AGGREGATE(16,6,FIND({0,1,2,3,4,5,6,7,8,9},A274,ROW(INDIRECT("1:"&amp;LEN(A274)))),1))," ",REPT(" ",LEN(A274))),LEN(A274)))), ROW(INDIRECT("1:"&amp;LEN((--TRIM(RIGHT(SUBSTITUTE(LEFT(A274,_xlfn.AGGREGATE(16,6,FIND({0,1,2,3,4,5,6,7,8,9},A274,ROW(INDIRECT("1:"&amp;LEN(A274)))),1))," ",REPT(" ",LEN(A274))),LEN(A274))))))), 1)) * ROW(INDIRECT("1:"&amp;LEN((--TRIM(RIGHT(SUBSTITUTE(LEFT(A274,_xlfn.AGGREGATE(16,6,FIND({0,1,2,3,4,5,6,7,8,9},A274,ROW(INDIRECT("1:"&amp;LEN(A274)))),1))," ",REPT(" ",LEN(A274))),LEN(A274))))))), 0), ROW(INDIRECT("1:"&amp;LEN((--TRIM(RIGHT(SUBSTITUTE(LEFT(A274,_xlfn.AGGREGATE(16,6,FIND({0,1,2,3,4,5,6,7,8,9},A274,ROW(INDIRECT("1:"&amp;LEN(A274)))),1))," ",REPT(" ",LEN(A274))),LEN(A274))))))))+1, 1) * 10^ROW(INDIRECT("1:"&amp;LEN((--TRIM(RIGHT(SUBSTITUTE(LEFT(A274,_xlfn.AGGREGATE(16,6,FIND({0,1,2,3,4,5,6,7,8,9},A274,ROW(INDIRECT("1:"&amp;LEN(A274)))),1))," ",REPT(" ",LEN(A274))),LEN(A274)))))))/10))*100+1</f>
        <v>101 &amp; 301</v>
      </c>
      <c r="B275" s="115"/>
      <c r="C275" s="42" t="s">
        <v>168</v>
      </c>
      <c r="D275" s="42">
        <f>(45.062+3.325+2.4)*10.764</f>
        <v>546.67126799999994</v>
      </c>
      <c r="E275" s="42">
        <f>(6.507*10.764)</f>
        <v>70.041347999999999</v>
      </c>
      <c r="F275" s="42">
        <v>970</v>
      </c>
      <c r="G275" s="114" t="str">
        <f>A274</f>
        <v>1st &amp; 3rd Floor for Residential</v>
      </c>
      <c r="H275" s="115"/>
      <c r="I275" s="36"/>
      <c r="J275" s="57">
        <f>(F275-E275)/D275</f>
        <v>1.6462519702059779</v>
      </c>
    </row>
    <row r="276" spans="1:10" s="37" customFormat="1" x14ac:dyDescent="0.25">
      <c r="A276" s="114" t="str">
        <f ca="1">(SUMPRODUCT(MID(0&amp;(LEFT(A275,SUM(LEN(A275)-LEN(SUBSTITUTE(A275,{"0","1","2"},""))))), LARGE(INDEX(ISNUMBER(--MID((LEFT(A275,SUM(LEN(A275)-LEN(SUBSTITUTE(A275,{"0","1","2"},""))))), ROW(INDIRECT("1:"&amp;LEN((LEFT(A275,SUM(LEN(A275)-LEN(SUBSTITUTE(A275,{"0","1","2"},"")))))))), 1)) * ROW(INDIRECT("1:"&amp;LEN((LEFT(A275,SUM(LEN(A275)-LEN(SUBSTITUTE(A275,{"0","1","2"},"")))))))), 0), ROW(INDIRECT("1:"&amp;LEN((LEFT(A275,SUM(LEN(A275)-LEN(SUBSTITUTE(A275,{"0","1","2"},"")))))))))+1, 1) * 10^ROW(INDIRECT("1:"&amp;LEN((LEFT(A275,SUM(LEN(A275)-LEN(SUBSTITUTE(A275,{"0","1","2"},""))))))))/10))*1+1&amp;""&amp;" &amp; "&amp;""&amp;(SUMPRODUCT(MID(0&amp;(--TRIM(RIGHT(SUBSTITUTE(LEFT(A275,_xlfn.AGGREGATE(16,6,FIND({0,1,2,3,4,5,6,7,8,9},A275,ROW(INDIRECT("1:"&amp;LEN(A275)))),1))," ",REPT(" ",LEN(A275))),LEN(A275)))), LARGE(INDEX(ISNUMBER(--MID((--TRIM(RIGHT(SUBSTITUTE(LEFT(A275,_xlfn.AGGREGATE(16,6,FIND({0,1,2,3,4,5,6,7,8,9},A275,ROW(INDIRECT("1:"&amp;LEN(A275)))),1))," ",REPT(" ",LEN(A275))),LEN(A275)))), ROW(INDIRECT("1:"&amp;LEN((--TRIM(RIGHT(SUBSTITUTE(LEFT(A275,_xlfn.AGGREGATE(16,6,FIND({0,1,2,3,4,5,6,7,8,9},A275,ROW(INDIRECT("1:"&amp;LEN(A275)))),1))," ",REPT(" ",LEN(A275))),LEN(A275))))))), 1)) * ROW(INDIRECT("1:"&amp;LEN((--TRIM(RIGHT(SUBSTITUTE(LEFT(A275,_xlfn.AGGREGATE(16,6,FIND({0,1,2,3,4,5,6,7,8,9},A275,ROW(INDIRECT("1:"&amp;LEN(A275)))),1))," ",REPT(" ",LEN(A275))),LEN(A275))))))), 0), ROW(INDIRECT("1:"&amp;LEN((--TRIM(RIGHT(SUBSTITUTE(LEFT(A275,_xlfn.AGGREGATE(16,6,FIND({0,1,2,3,4,5,6,7,8,9},A275,ROW(INDIRECT("1:"&amp;LEN(A275)))),1))," ",REPT(" ",LEN(A275))),LEN(A275))))))))+1, 1) * 10^ROW(INDIRECT("1:"&amp;LEN((--TRIM(RIGHT(SUBSTITUTE(LEFT(A275,_xlfn.AGGREGATE(16,6,FIND({0,1,2,3,4,5,6,7,8,9},A275,ROW(INDIRECT("1:"&amp;LEN(A275)))),1))," ",REPT(" ",LEN(A275))),LEN(A275)))))))/10))*1+1</f>
        <v>102 &amp; 302</v>
      </c>
      <c r="B276" s="115"/>
      <c r="C276" s="42" t="s">
        <v>168</v>
      </c>
      <c r="D276" s="42">
        <f>(45.062+3.325+2.4)*10.764</f>
        <v>546.67126799999994</v>
      </c>
      <c r="E276" s="42">
        <f>(6.162)*10.764</f>
        <v>66.327767999999992</v>
      </c>
      <c r="F276" s="42">
        <v>970</v>
      </c>
      <c r="G276" s="114" t="str">
        <f t="shared" ref="G276:G279" si="16">G275</f>
        <v>1st &amp; 3rd Floor for Residential</v>
      </c>
      <c r="H276" s="115"/>
      <c r="I276" s="36"/>
      <c r="J276" s="57">
        <f t="shared" ref="J276:J339" si="17">(F276-E276)/D276</f>
        <v>1.6530450471744933</v>
      </c>
    </row>
    <row r="277" spans="1:10" s="37" customFormat="1" x14ac:dyDescent="0.25">
      <c r="A277" s="114" t="str">
        <f ca="1">(SUMPRODUCT(MID(0&amp;(LEFT(A276,SUM(LEN(A276)-LEN(SUBSTITUTE(A276,{"0","1","2"},""))))), LARGE(INDEX(ISNUMBER(--MID((LEFT(A276,SUM(LEN(A276)-LEN(SUBSTITUTE(A276,{"0","1","2"},""))))), ROW(INDIRECT("1:"&amp;LEN((LEFT(A276,SUM(LEN(A276)-LEN(SUBSTITUTE(A276,{"0","1","2"},"")))))))), 1)) * ROW(INDIRECT("1:"&amp;LEN((LEFT(A276,SUM(LEN(A276)-LEN(SUBSTITUTE(A276,{"0","1","2"},"")))))))), 0), ROW(INDIRECT("1:"&amp;LEN((LEFT(A276,SUM(LEN(A276)-LEN(SUBSTITUTE(A276,{"0","1","2"},"")))))))))+1, 1) * 10^ROW(INDIRECT("1:"&amp;LEN((LEFT(A276,SUM(LEN(A276)-LEN(SUBSTITUTE(A276,{"0","1","2"},""))))))))/10))*1+1&amp;""&amp;" &amp; "&amp;""&amp;(SUMPRODUCT(MID(0&amp;(--TRIM(RIGHT(SUBSTITUTE(LEFT(A276,_xlfn.AGGREGATE(16,6,FIND({0,1,2,3,4,5,6,7,8,9},A276,ROW(INDIRECT("1:"&amp;LEN(A276)))),1))," ",REPT(" ",LEN(A276))),LEN(A276)))), LARGE(INDEX(ISNUMBER(--MID((--TRIM(RIGHT(SUBSTITUTE(LEFT(A276,_xlfn.AGGREGATE(16,6,FIND({0,1,2,3,4,5,6,7,8,9},A276,ROW(INDIRECT("1:"&amp;LEN(A276)))),1))," ",REPT(" ",LEN(A276))),LEN(A276)))), ROW(INDIRECT("1:"&amp;LEN((--TRIM(RIGHT(SUBSTITUTE(LEFT(A276,_xlfn.AGGREGATE(16,6,FIND({0,1,2,3,4,5,6,7,8,9},A276,ROW(INDIRECT("1:"&amp;LEN(A276)))),1))," ",REPT(" ",LEN(A276))),LEN(A276))))))), 1)) * ROW(INDIRECT("1:"&amp;LEN((--TRIM(RIGHT(SUBSTITUTE(LEFT(A276,_xlfn.AGGREGATE(16,6,FIND({0,1,2,3,4,5,6,7,8,9},A276,ROW(INDIRECT("1:"&amp;LEN(A276)))),1))," ",REPT(" ",LEN(A276))),LEN(A276))))))), 0), ROW(INDIRECT("1:"&amp;LEN((--TRIM(RIGHT(SUBSTITUTE(LEFT(A276,_xlfn.AGGREGATE(16,6,FIND({0,1,2,3,4,5,6,7,8,9},A276,ROW(INDIRECT("1:"&amp;LEN(A276)))),1))," ",REPT(" ",LEN(A276))),LEN(A276))))))))+1, 1) * 10^ROW(INDIRECT("1:"&amp;LEN((--TRIM(RIGHT(SUBSTITUTE(LEFT(A276,_xlfn.AGGREGATE(16,6,FIND({0,1,2,3,4,5,6,7,8,9},A276,ROW(INDIRECT("1:"&amp;LEN(A276)))),1))," ",REPT(" ",LEN(A276))),LEN(A276)))))))/10))*1+1</f>
        <v>103 &amp; 303</v>
      </c>
      <c r="B277" s="115"/>
      <c r="C277" s="42" t="s">
        <v>169</v>
      </c>
      <c r="D277" s="42">
        <f>(30.002+2.5)*10.764</f>
        <v>349.85152799999992</v>
      </c>
      <c r="E277" s="42">
        <f>(3.732)*10.764</f>
        <v>40.171247999999999</v>
      </c>
      <c r="F277" s="42">
        <v>635</v>
      </c>
      <c r="G277" s="114" t="str">
        <f t="shared" si="16"/>
        <v>1st &amp; 3rd Floor for Residential</v>
      </c>
      <c r="H277" s="115"/>
      <c r="I277" s="36"/>
      <c r="J277" s="57">
        <f t="shared" si="17"/>
        <v>1.7002319681164866</v>
      </c>
    </row>
    <row r="278" spans="1:10" s="37" customFormat="1" x14ac:dyDescent="0.25">
      <c r="A278" s="114" t="str">
        <f ca="1">(SUMPRODUCT(MID(0&amp;(LEFT(A277,SUM(LEN(A277)-LEN(SUBSTITUTE(A277,{"0","1","2"},""))))), LARGE(INDEX(ISNUMBER(--MID((LEFT(A277,SUM(LEN(A277)-LEN(SUBSTITUTE(A277,{"0","1","2"},""))))), ROW(INDIRECT("1:"&amp;LEN((LEFT(A277,SUM(LEN(A277)-LEN(SUBSTITUTE(A277,{"0","1","2"},"")))))))), 1)) * ROW(INDIRECT("1:"&amp;LEN((LEFT(A277,SUM(LEN(A277)-LEN(SUBSTITUTE(A277,{"0","1","2"},"")))))))), 0), ROW(INDIRECT("1:"&amp;LEN((LEFT(A277,SUM(LEN(A277)-LEN(SUBSTITUTE(A277,{"0","1","2"},"")))))))))+1, 1) * 10^ROW(INDIRECT("1:"&amp;LEN((LEFT(A277,SUM(LEN(A277)-LEN(SUBSTITUTE(A277,{"0","1","2"},""))))))))/10))*1+1&amp;""&amp;" &amp; "&amp;""&amp;(SUMPRODUCT(MID(0&amp;(--TRIM(RIGHT(SUBSTITUTE(LEFT(A277,_xlfn.AGGREGATE(16,6,FIND({0,1,2,3,4,5,6,7,8,9},A277,ROW(INDIRECT("1:"&amp;LEN(A277)))),1))," ",REPT(" ",LEN(A277))),LEN(A277)))), LARGE(INDEX(ISNUMBER(--MID((--TRIM(RIGHT(SUBSTITUTE(LEFT(A277,_xlfn.AGGREGATE(16,6,FIND({0,1,2,3,4,5,6,7,8,9},A277,ROW(INDIRECT("1:"&amp;LEN(A277)))),1))," ",REPT(" ",LEN(A277))),LEN(A277)))), ROW(INDIRECT("1:"&amp;LEN((--TRIM(RIGHT(SUBSTITUTE(LEFT(A277,_xlfn.AGGREGATE(16,6,FIND({0,1,2,3,4,5,6,7,8,9},A277,ROW(INDIRECT("1:"&amp;LEN(A277)))),1))," ",REPT(" ",LEN(A277))),LEN(A277))))))), 1)) * ROW(INDIRECT("1:"&amp;LEN((--TRIM(RIGHT(SUBSTITUTE(LEFT(A277,_xlfn.AGGREGATE(16,6,FIND({0,1,2,3,4,5,6,7,8,9},A277,ROW(INDIRECT("1:"&amp;LEN(A277)))),1))," ",REPT(" ",LEN(A277))),LEN(A277))))))), 0), ROW(INDIRECT("1:"&amp;LEN((--TRIM(RIGHT(SUBSTITUTE(LEFT(A277,_xlfn.AGGREGATE(16,6,FIND({0,1,2,3,4,5,6,7,8,9},A277,ROW(INDIRECT("1:"&amp;LEN(A277)))),1))," ",REPT(" ",LEN(A277))),LEN(A277))))))))+1, 1) * 10^ROW(INDIRECT("1:"&amp;LEN((--TRIM(RIGHT(SUBSTITUTE(LEFT(A277,_xlfn.AGGREGATE(16,6,FIND({0,1,2,3,4,5,6,7,8,9},A277,ROW(INDIRECT("1:"&amp;LEN(A277)))),1))," ",REPT(" ",LEN(A277))),LEN(A277)))))))/10))*1+1</f>
        <v>104 &amp; 304</v>
      </c>
      <c r="B278" s="115"/>
      <c r="C278" s="42" t="s">
        <v>168</v>
      </c>
      <c r="D278" s="42">
        <f>(45.062+3.325+2.4)*10.764</f>
        <v>546.67126799999994</v>
      </c>
      <c r="E278" s="42">
        <f>(6.32)*10.764</f>
        <v>68.028480000000002</v>
      </c>
      <c r="F278" s="42">
        <v>970</v>
      </c>
      <c r="G278" s="114" t="str">
        <f t="shared" si="16"/>
        <v>1st &amp; 3rd Floor for Residential</v>
      </c>
      <c r="H278" s="115"/>
      <c r="I278" s="36"/>
      <c r="J278" s="57">
        <f t="shared" si="17"/>
        <v>1.6499340148236949</v>
      </c>
    </row>
    <row r="279" spans="1:10" s="37" customFormat="1" x14ac:dyDescent="0.25">
      <c r="A279" s="114" t="str">
        <f ca="1">(SUMPRODUCT(MID(0&amp;(LEFT(A278,SUM(LEN(A278)-LEN(SUBSTITUTE(A278,{"0","1","2"},""))))), LARGE(INDEX(ISNUMBER(--MID((LEFT(A278,SUM(LEN(A278)-LEN(SUBSTITUTE(A278,{"0","1","2"},""))))), ROW(INDIRECT("1:"&amp;LEN((LEFT(A278,SUM(LEN(A278)-LEN(SUBSTITUTE(A278,{"0","1","2"},"")))))))), 1)) * ROW(INDIRECT("1:"&amp;LEN((LEFT(A278,SUM(LEN(A278)-LEN(SUBSTITUTE(A278,{"0","1","2"},"")))))))), 0), ROW(INDIRECT("1:"&amp;LEN((LEFT(A278,SUM(LEN(A278)-LEN(SUBSTITUTE(A278,{"0","1","2"},"")))))))))+1, 1) * 10^ROW(INDIRECT("1:"&amp;LEN((LEFT(A278,SUM(LEN(A278)-LEN(SUBSTITUTE(A278,{"0","1","2"},""))))))))/10))*1+1&amp;""&amp;" &amp; "&amp;""&amp;(SUMPRODUCT(MID(0&amp;(--TRIM(RIGHT(SUBSTITUTE(LEFT(A278,_xlfn.AGGREGATE(16,6,FIND({0,1,2,3,4,5,6,7,8,9},A278,ROW(INDIRECT("1:"&amp;LEN(A278)))),1))," ",REPT(" ",LEN(A278))),LEN(A278)))), LARGE(INDEX(ISNUMBER(--MID((--TRIM(RIGHT(SUBSTITUTE(LEFT(A278,_xlfn.AGGREGATE(16,6,FIND({0,1,2,3,4,5,6,7,8,9},A278,ROW(INDIRECT("1:"&amp;LEN(A278)))),1))," ",REPT(" ",LEN(A278))),LEN(A278)))), ROW(INDIRECT("1:"&amp;LEN((--TRIM(RIGHT(SUBSTITUTE(LEFT(A278,_xlfn.AGGREGATE(16,6,FIND({0,1,2,3,4,5,6,7,8,9},A278,ROW(INDIRECT("1:"&amp;LEN(A278)))),1))," ",REPT(" ",LEN(A278))),LEN(A278))))))), 1)) * ROW(INDIRECT("1:"&amp;LEN((--TRIM(RIGHT(SUBSTITUTE(LEFT(A278,_xlfn.AGGREGATE(16,6,FIND({0,1,2,3,4,5,6,7,8,9},A278,ROW(INDIRECT("1:"&amp;LEN(A278)))),1))," ",REPT(" ",LEN(A278))),LEN(A278))))))), 0), ROW(INDIRECT("1:"&amp;LEN((--TRIM(RIGHT(SUBSTITUTE(LEFT(A278,_xlfn.AGGREGATE(16,6,FIND({0,1,2,3,4,5,6,7,8,9},A278,ROW(INDIRECT("1:"&amp;LEN(A278)))),1))," ",REPT(" ",LEN(A278))),LEN(A278))))))))+1, 1) * 10^ROW(INDIRECT("1:"&amp;LEN((--TRIM(RIGHT(SUBSTITUTE(LEFT(A278,_xlfn.AGGREGATE(16,6,FIND({0,1,2,3,4,5,6,7,8,9},A278,ROW(INDIRECT("1:"&amp;LEN(A278)))),1))," ",REPT(" ",LEN(A278))),LEN(A278)))))))/10))*1+1</f>
        <v>105 &amp; 305</v>
      </c>
      <c r="B279" s="115"/>
      <c r="C279" s="42" t="s">
        <v>168</v>
      </c>
      <c r="D279" s="42">
        <f>(45.062+3.325+2.4)*10.764</f>
        <v>546.67126799999994</v>
      </c>
      <c r="E279" s="42">
        <f>(6.289)*10.764</f>
        <v>67.694795999999997</v>
      </c>
      <c r="F279" s="42">
        <v>970</v>
      </c>
      <c r="G279" s="114" t="str">
        <f t="shared" si="16"/>
        <v>1st &amp; 3rd Floor for Residential</v>
      </c>
      <c r="H279" s="115"/>
      <c r="I279" s="36"/>
      <c r="J279" s="58">
        <f t="shared" si="17"/>
        <v>1.6505444072469528</v>
      </c>
    </row>
    <row r="280" spans="1:10" s="37" customFormat="1" x14ac:dyDescent="0.25">
      <c r="A280" s="116" t="s">
        <v>170</v>
      </c>
      <c r="B280" s="117"/>
      <c r="C280" s="117"/>
      <c r="D280" s="117"/>
      <c r="E280" s="117"/>
      <c r="F280" s="117"/>
      <c r="G280" s="117"/>
      <c r="H280" s="118"/>
      <c r="I280" s="36"/>
      <c r="J280" s="57" t="e">
        <f t="shared" si="17"/>
        <v>#DIV/0!</v>
      </c>
    </row>
    <row r="281" spans="1:10" s="37" customFormat="1" x14ac:dyDescent="0.25">
      <c r="A281" s="125" t="str">
        <f ca="1">(SUMPRODUCT(MID(0&amp;(LEFT(A280,SUM(LEN(A280)-LEN(SUBSTITUTE(A280,{"0","1","2"},""))))), LARGE(INDEX(ISNUMBER(--MID((LEFT(A280,SUM(LEN(A280)-LEN(SUBSTITUTE(A280,{"0","1","2"},""))))), ROW(INDIRECT("1:"&amp;LEN((LEFT(A280,SUM(LEN(A280)-LEN(SUBSTITUTE(A280,{"0","1","2"},"")))))))), 1)) * ROW(INDIRECT("1:"&amp;LEN((LEFT(A280,SUM(LEN(A280)-LEN(SUBSTITUTE(A280,{"0","1","2"},"")))))))), 0), ROW(INDIRECT("1:"&amp;LEN((LEFT(A280,SUM(LEN(A280)-LEN(SUBSTITUTE(A280,{"0","1","2"},"")))))))))+1, 1) * 10^ROW(INDIRECT("1:"&amp;LEN((LEFT(A280,SUM(LEN(A280)-LEN(SUBSTITUTE(A280,{"0","1","2"},""))))))))/10))*100+1&amp;""&amp;" &amp; "&amp;""&amp;(SUMPRODUCT(MID(0&amp;(--TRIM(RIGHT(SUBSTITUTE(LEFT(A280,_xlfn.AGGREGATE(16,6,FIND({0,1,2,3,4,5,6,7,8,9},A280,ROW(INDIRECT("1:"&amp;LEN(A280)))),1))," ",REPT(" ",LEN(A280))),LEN(A280)))), LARGE(INDEX(ISNUMBER(--MID((--TRIM(RIGHT(SUBSTITUTE(LEFT(A280,_xlfn.AGGREGATE(16,6,FIND({0,1,2,3,4,5,6,7,8,9},A280,ROW(INDIRECT("1:"&amp;LEN(A280)))),1))," ",REPT(" ",LEN(A280))),LEN(A280)))), ROW(INDIRECT("1:"&amp;LEN((--TRIM(RIGHT(SUBSTITUTE(LEFT(A280,_xlfn.AGGREGATE(16,6,FIND({0,1,2,3,4,5,6,7,8,9},A280,ROW(INDIRECT("1:"&amp;LEN(A280)))),1))," ",REPT(" ",LEN(A280))),LEN(A280))))))), 1)) * ROW(INDIRECT("1:"&amp;LEN((--TRIM(RIGHT(SUBSTITUTE(LEFT(A280,_xlfn.AGGREGATE(16,6,FIND({0,1,2,3,4,5,6,7,8,9},A280,ROW(INDIRECT("1:"&amp;LEN(A280)))),1))," ",REPT(" ",LEN(A280))),LEN(A280))))))), 0), ROW(INDIRECT("1:"&amp;LEN((--TRIM(RIGHT(SUBSTITUTE(LEFT(A280,_xlfn.AGGREGATE(16,6,FIND({0,1,2,3,4,5,6,7,8,9},A280,ROW(INDIRECT("1:"&amp;LEN(A280)))),1))," ",REPT(" ",LEN(A280))),LEN(A280))))))))+1, 1) * 10^ROW(INDIRECT("1:"&amp;LEN((--TRIM(RIGHT(SUBSTITUTE(LEFT(A280,_xlfn.AGGREGATE(16,6,FIND({0,1,2,3,4,5,6,7,8,9},A280,ROW(INDIRECT("1:"&amp;LEN(A280)))),1))," ",REPT(" ",LEN(A280))),LEN(A280)))))))/10))*100+1</f>
        <v>201 &amp; 401</v>
      </c>
      <c r="B281" s="126"/>
      <c r="C281" s="42" t="s">
        <v>168</v>
      </c>
      <c r="D281" s="45">
        <f>(45.01+3.325+2.4)*10.764</f>
        <v>546.11153999999999</v>
      </c>
      <c r="E281" s="45">
        <f>5.477*10.764</f>
        <v>58.954428</v>
      </c>
      <c r="F281" s="45">
        <v>950</v>
      </c>
      <c r="G281" s="125" t="str">
        <f>A280</f>
        <v>2nd &amp; 4th Floor</v>
      </c>
      <c r="H281" s="126"/>
      <c r="I281" s="36"/>
      <c r="J281" s="57">
        <f t="shared" si="17"/>
        <v>1.6316182807636697</v>
      </c>
    </row>
    <row r="282" spans="1:10" s="37" customFormat="1" x14ac:dyDescent="0.25">
      <c r="A282" s="125" t="str">
        <f ca="1">(SUMPRODUCT(MID(0&amp;(LEFT(A281,SUM(LEN(A281)-LEN(SUBSTITUTE(A281,{"0","1","2"},""))))), LARGE(INDEX(ISNUMBER(--MID((LEFT(A281,SUM(LEN(A281)-LEN(SUBSTITUTE(A281,{"0","1","2"},""))))), ROW(INDIRECT("1:"&amp;LEN((LEFT(A281,SUM(LEN(A281)-LEN(SUBSTITUTE(A281,{"0","1","2"},"")))))))), 1)) * ROW(INDIRECT("1:"&amp;LEN((LEFT(A281,SUM(LEN(A281)-LEN(SUBSTITUTE(A281,{"0","1","2"},"")))))))), 0), ROW(INDIRECT("1:"&amp;LEN((LEFT(A281,SUM(LEN(A281)-LEN(SUBSTITUTE(A281,{"0","1","2"},"")))))))))+1, 1) * 10^ROW(INDIRECT("1:"&amp;LEN((LEFT(A281,SUM(LEN(A281)-LEN(SUBSTITUTE(A281,{"0","1","2"},""))))))))/10))*1+1&amp;""&amp;" &amp; "&amp;""&amp;(SUMPRODUCT(MID(0&amp;(--TRIM(RIGHT(SUBSTITUTE(LEFT(A281,_xlfn.AGGREGATE(16,6,FIND({0,1,2,3,4,5,6,7,8,9},A281,ROW(INDIRECT("1:"&amp;LEN(A281)))),1))," ",REPT(" ",LEN(A281))),LEN(A281)))), LARGE(INDEX(ISNUMBER(--MID((--TRIM(RIGHT(SUBSTITUTE(LEFT(A281,_xlfn.AGGREGATE(16,6,FIND({0,1,2,3,4,5,6,7,8,9},A281,ROW(INDIRECT("1:"&amp;LEN(A281)))),1))," ",REPT(" ",LEN(A281))),LEN(A281)))), ROW(INDIRECT("1:"&amp;LEN((--TRIM(RIGHT(SUBSTITUTE(LEFT(A281,_xlfn.AGGREGATE(16,6,FIND({0,1,2,3,4,5,6,7,8,9},A281,ROW(INDIRECT("1:"&amp;LEN(A281)))),1))," ",REPT(" ",LEN(A281))),LEN(A281))))))), 1)) * ROW(INDIRECT("1:"&amp;LEN((--TRIM(RIGHT(SUBSTITUTE(LEFT(A281,_xlfn.AGGREGATE(16,6,FIND({0,1,2,3,4,5,6,7,8,9},A281,ROW(INDIRECT("1:"&amp;LEN(A281)))),1))," ",REPT(" ",LEN(A281))),LEN(A281))))))), 0), ROW(INDIRECT("1:"&amp;LEN((--TRIM(RIGHT(SUBSTITUTE(LEFT(A281,_xlfn.AGGREGATE(16,6,FIND({0,1,2,3,4,5,6,7,8,9},A281,ROW(INDIRECT("1:"&amp;LEN(A281)))),1))," ",REPT(" ",LEN(A281))),LEN(A281))))))))+1, 1) * 10^ROW(INDIRECT("1:"&amp;LEN((--TRIM(RIGHT(SUBSTITUTE(LEFT(A281,_xlfn.AGGREGATE(16,6,FIND({0,1,2,3,4,5,6,7,8,9},A281,ROW(INDIRECT("1:"&amp;LEN(A281)))),1))," ",REPT(" ",LEN(A281))),LEN(A281)))))))/10))*1+1</f>
        <v>202 &amp; 402</v>
      </c>
      <c r="B282" s="126"/>
      <c r="C282" s="42" t="s">
        <v>168</v>
      </c>
      <c r="D282" s="45">
        <f>(45.01+3.325+2.4)*10.764</f>
        <v>546.11153999999999</v>
      </c>
      <c r="E282" s="45">
        <f>5.477*10.764</f>
        <v>58.954428</v>
      </c>
      <c r="F282" s="45">
        <v>950</v>
      </c>
      <c r="G282" s="125" t="str">
        <f t="shared" ref="G282:G285" si="18">G281</f>
        <v>2nd &amp; 4th Floor</v>
      </c>
      <c r="H282" s="126"/>
      <c r="I282" s="36"/>
      <c r="J282" s="57">
        <f t="shared" si="17"/>
        <v>1.6316182807636697</v>
      </c>
    </row>
    <row r="283" spans="1:10" s="37" customFormat="1" x14ac:dyDescent="0.25">
      <c r="A283" s="125" t="str">
        <f ca="1">(SUMPRODUCT(MID(0&amp;(LEFT(A282,SUM(LEN(A282)-LEN(SUBSTITUTE(A282,{"0","1","2"},""))))), LARGE(INDEX(ISNUMBER(--MID((LEFT(A282,SUM(LEN(A282)-LEN(SUBSTITUTE(A282,{"0","1","2"},""))))), ROW(INDIRECT("1:"&amp;LEN((LEFT(A282,SUM(LEN(A282)-LEN(SUBSTITUTE(A282,{"0","1","2"},"")))))))), 1)) * ROW(INDIRECT("1:"&amp;LEN((LEFT(A282,SUM(LEN(A282)-LEN(SUBSTITUTE(A282,{"0","1","2"},"")))))))), 0), ROW(INDIRECT("1:"&amp;LEN((LEFT(A282,SUM(LEN(A282)-LEN(SUBSTITUTE(A282,{"0","1","2"},"")))))))))+1, 1) * 10^ROW(INDIRECT("1:"&amp;LEN((LEFT(A282,SUM(LEN(A282)-LEN(SUBSTITUTE(A282,{"0","1","2"},""))))))))/10))*1+1&amp;""&amp;" &amp; "&amp;""&amp;(SUMPRODUCT(MID(0&amp;(--TRIM(RIGHT(SUBSTITUTE(LEFT(A282,_xlfn.AGGREGATE(16,6,FIND({0,1,2,3,4,5,6,7,8,9},A282,ROW(INDIRECT("1:"&amp;LEN(A282)))),1))," ",REPT(" ",LEN(A282))),LEN(A282)))), LARGE(INDEX(ISNUMBER(--MID((--TRIM(RIGHT(SUBSTITUTE(LEFT(A282,_xlfn.AGGREGATE(16,6,FIND({0,1,2,3,4,5,6,7,8,9},A282,ROW(INDIRECT("1:"&amp;LEN(A282)))),1))," ",REPT(" ",LEN(A282))),LEN(A282)))), ROW(INDIRECT("1:"&amp;LEN((--TRIM(RIGHT(SUBSTITUTE(LEFT(A282,_xlfn.AGGREGATE(16,6,FIND({0,1,2,3,4,5,6,7,8,9},A282,ROW(INDIRECT("1:"&amp;LEN(A282)))),1))," ",REPT(" ",LEN(A282))),LEN(A282))))))), 1)) * ROW(INDIRECT("1:"&amp;LEN((--TRIM(RIGHT(SUBSTITUTE(LEFT(A282,_xlfn.AGGREGATE(16,6,FIND({0,1,2,3,4,5,6,7,8,9},A282,ROW(INDIRECT("1:"&amp;LEN(A282)))),1))," ",REPT(" ",LEN(A282))),LEN(A282))))))), 0), ROW(INDIRECT("1:"&amp;LEN((--TRIM(RIGHT(SUBSTITUTE(LEFT(A282,_xlfn.AGGREGATE(16,6,FIND({0,1,2,3,4,5,6,7,8,9},A282,ROW(INDIRECT("1:"&amp;LEN(A282)))),1))," ",REPT(" ",LEN(A282))),LEN(A282))))))))+1, 1) * 10^ROW(INDIRECT("1:"&amp;LEN((--TRIM(RIGHT(SUBSTITUTE(LEFT(A282,_xlfn.AGGREGATE(16,6,FIND({0,1,2,3,4,5,6,7,8,9},A282,ROW(INDIRECT("1:"&amp;LEN(A282)))),1))," ",REPT(" ",LEN(A282))),LEN(A282)))))))/10))*1+1</f>
        <v>203 &amp; 403</v>
      </c>
      <c r="B283" s="126"/>
      <c r="C283" s="42" t="s">
        <v>169</v>
      </c>
      <c r="D283" s="45">
        <f>(29.957+2.5)*10.764</f>
        <v>349.36714799999999</v>
      </c>
      <c r="E283" s="45">
        <f>2.922*10.764</f>
        <v>31.452407999999998</v>
      </c>
      <c r="F283" s="45">
        <v>620</v>
      </c>
      <c r="G283" s="125" t="str">
        <f t="shared" si="18"/>
        <v>2nd &amp; 4th Floor</v>
      </c>
      <c r="H283" s="126"/>
      <c r="I283" s="36"/>
      <c r="J283" s="57">
        <f t="shared" si="17"/>
        <v>1.6846105747756226</v>
      </c>
    </row>
    <row r="284" spans="1:10" s="37" customFormat="1" x14ac:dyDescent="0.25">
      <c r="A284" s="125" t="str">
        <f ca="1">(SUMPRODUCT(MID(0&amp;(LEFT(A283,SUM(LEN(A283)-LEN(SUBSTITUTE(A283,{"0","1","2"},""))))), LARGE(INDEX(ISNUMBER(--MID((LEFT(A283,SUM(LEN(A283)-LEN(SUBSTITUTE(A283,{"0","1","2"},""))))), ROW(INDIRECT("1:"&amp;LEN((LEFT(A283,SUM(LEN(A283)-LEN(SUBSTITUTE(A283,{"0","1","2"},"")))))))), 1)) * ROW(INDIRECT("1:"&amp;LEN((LEFT(A283,SUM(LEN(A283)-LEN(SUBSTITUTE(A283,{"0","1","2"},"")))))))), 0), ROW(INDIRECT("1:"&amp;LEN((LEFT(A283,SUM(LEN(A283)-LEN(SUBSTITUTE(A283,{"0","1","2"},"")))))))))+1, 1) * 10^ROW(INDIRECT("1:"&amp;LEN((LEFT(A283,SUM(LEN(A283)-LEN(SUBSTITUTE(A283,{"0","1","2"},""))))))))/10))*1+1&amp;""&amp;" &amp; "&amp;""&amp;(SUMPRODUCT(MID(0&amp;(--TRIM(RIGHT(SUBSTITUTE(LEFT(A283,_xlfn.AGGREGATE(16,6,FIND({0,1,2,3,4,5,6,7,8,9},A283,ROW(INDIRECT("1:"&amp;LEN(A283)))),1))," ",REPT(" ",LEN(A283))),LEN(A283)))), LARGE(INDEX(ISNUMBER(--MID((--TRIM(RIGHT(SUBSTITUTE(LEFT(A283,_xlfn.AGGREGATE(16,6,FIND({0,1,2,3,4,5,6,7,8,9},A283,ROW(INDIRECT("1:"&amp;LEN(A283)))),1))," ",REPT(" ",LEN(A283))),LEN(A283)))), ROW(INDIRECT("1:"&amp;LEN((--TRIM(RIGHT(SUBSTITUTE(LEFT(A283,_xlfn.AGGREGATE(16,6,FIND({0,1,2,3,4,5,6,7,8,9},A283,ROW(INDIRECT("1:"&amp;LEN(A283)))),1))," ",REPT(" ",LEN(A283))),LEN(A283))))))), 1)) * ROW(INDIRECT("1:"&amp;LEN((--TRIM(RIGHT(SUBSTITUTE(LEFT(A283,_xlfn.AGGREGATE(16,6,FIND({0,1,2,3,4,5,6,7,8,9},A283,ROW(INDIRECT("1:"&amp;LEN(A283)))),1))," ",REPT(" ",LEN(A283))),LEN(A283))))))), 0), ROW(INDIRECT("1:"&amp;LEN((--TRIM(RIGHT(SUBSTITUTE(LEFT(A283,_xlfn.AGGREGATE(16,6,FIND({0,1,2,3,4,5,6,7,8,9},A283,ROW(INDIRECT("1:"&amp;LEN(A283)))),1))," ",REPT(" ",LEN(A283))),LEN(A283))))))))+1, 1) * 10^ROW(INDIRECT("1:"&amp;LEN((--TRIM(RIGHT(SUBSTITUTE(LEFT(A283,_xlfn.AGGREGATE(16,6,FIND({0,1,2,3,4,5,6,7,8,9},A283,ROW(INDIRECT("1:"&amp;LEN(A283)))),1))," ",REPT(" ",LEN(A283))),LEN(A283)))))))/10))*1+1</f>
        <v>204 &amp; 404</v>
      </c>
      <c r="B284" s="126"/>
      <c r="C284" s="42" t="s">
        <v>168</v>
      </c>
      <c r="D284" s="45">
        <f>(45.01+3.325+2.4)*10.764</f>
        <v>546.11153999999999</v>
      </c>
      <c r="E284" s="45">
        <f>5.477*10.764</f>
        <v>58.954428</v>
      </c>
      <c r="F284" s="45">
        <v>950</v>
      </c>
      <c r="G284" s="125" t="str">
        <f t="shared" si="18"/>
        <v>2nd &amp; 4th Floor</v>
      </c>
      <c r="H284" s="126"/>
      <c r="I284" s="36"/>
      <c r="J284" s="57">
        <f t="shared" si="17"/>
        <v>1.6316182807636697</v>
      </c>
    </row>
    <row r="285" spans="1:10" s="37" customFormat="1" x14ac:dyDescent="0.25">
      <c r="A285" s="125" t="str">
        <f ca="1">(SUMPRODUCT(MID(0&amp;(LEFT(A284,SUM(LEN(A284)-LEN(SUBSTITUTE(A284,{"0","1","2"},""))))), LARGE(INDEX(ISNUMBER(--MID((LEFT(A284,SUM(LEN(A284)-LEN(SUBSTITUTE(A284,{"0","1","2"},""))))), ROW(INDIRECT("1:"&amp;LEN((LEFT(A284,SUM(LEN(A284)-LEN(SUBSTITUTE(A284,{"0","1","2"},"")))))))), 1)) * ROW(INDIRECT("1:"&amp;LEN((LEFT(A284,SUM(LEN(A284)-LEN(SUBSTITUTE(A284,{"0","1","2"},"")))))))), 0), ROW(INDIRECT("1:"&amp;LEN((LEFT(A284,SUM(LEN(A284)-LEN(SUBSTITUTE(A284,{"0","1","2"},"")))))))))+1, 1) * 10^ROW(INDIRECT("1:"&amp;LEN((LEFT(A284,SUM(LEN(A284)-LEN(SUBSTITUTE(A284,{"0","1","2"},""))))))))/10))*1+1&amp;""&amp;" &amp; "&amp;""&amp;(SUMPRODUCT(MID(0&amp;(--TRIM(RIGHT(SUBSTITUTE(LEFT(A284,_xlfn.AGGREGATE(16,6,FIND({0,1,2,3,4,5,6,7,8,9},A284,ROW(INDIRECT("1:"&amp;LEN(A284)))),1))," ",REPT(" ",LEN(A284))),LEN(A284)))), LARGE(INDEX(ISNUMBER(--MID((--TRIM(RIGHT(SUBSTITUTE(LEFT(A284,_xlfn.AGGREGATE(16,6,FIND({0,1,2,3,4,5,6,7,8,9},A284,ROW(INDIRECT("1:"&amp;LEN(A284)))),1))," ",REPT(" ",LEN(A284))),LEN(A284)))), ROW(INDIRECT("1:"&amp;LEN((--TRIM(RIGHT(SUBSTITUTE(LEFT(A284,_xlfn.AGGREGATE(16,6,FIND({0,1,2,3,4,5,6,7,8,9},A284,ROW(INDIRECT("1:"&amp;LEN(A284)))),1))," ",REPT(" ",LEN(A284))),LEN(A284))))))), 1)) * ROW(INDIRECT("1:"&amp;LEN((--TRIM(RIGHT(SUBSTITUTE(LEFT(A284,_xlfn.AGGREGATE(16,6,FIND({0,1,2,3,4,5,6,7,8,9},A284,ROW(INDIRECT("1:"&amp;LEN(A284)))),1))," ",REPT(" ",LEN(A284))),LEN(A284))))))), 0), ROW(INDIRECT("1:"&amp;LEN((--TRIM(RIGHT(SUBSTITUTE(LEFT(A284,_xlfn.AGGREGATE(16,6,FIND({0,1,2,3,4,5,6,7,8,9},A284,ROW(INDIRECT("1:"&amp;LEN(A284)))),1))," ",REPT(" ",LEN(A284))),LEN(A284))))))))+1, 1) * 10^ROW(INDIRECT("1:"&amp;LEN((--TRIM(RIGHT(SUBSTITUTE(LEFT(A284,_xlfn.AGGREGATE(16,6,FIND({0,1,2,3,4,5,6,7,8,9},A284,ROW(INDIRECT("1:"&amp;LEN(A284)))),1))," ",REPT(" ",LEN(A284))),LEN(A284)))))))/10))*1+1</f>
        <v>205 &amp; 405</v>
      </c>
      <c r="B285" s="126"/>
      <c r="C285" s="42" t="s">
        <v>168</v>
      </c>
      <c r="D285" s="45">
        <f>(45.01+3.325+2.4)*10.764</f>
        <v>546.11153999999999</v>
      </c>
      <c r="E285" s="45">
        <f>5.477*10.764</f>
        <v>58.954428</v>
      </c>
      <c r="F285" s="45">
        <v>950</v>
      </c>
      <c r="G285" s="125" t="str">
        <f t="shared" si="18"/>
        <v>2nd &amp; 4th Floor</v>
      </c>
      <c r="H285" s="126"/>
      <c r="I285" s="36"/>
      <c r="J285" s="57">
        <f t="shared" si="17"/>
        <v>1.6316182807636697</v>
      </c>
    </row>
    <row r="286" spans="1:10" s="34" customFormat="1" x14ac:dyDescent="0.25">
      <c r="A286" s="122" t="s">
        <v>248</v>
      </c>
      <c r="B286" s="122"/>
      <c r="C286" s="122"/>
      <c r="D286" s="122"/>
      <c r="E286" s="122"/>
      <c r="F286" s="122"/>
      <c r="G286" s="122"/>
      <c r="H286" s="122"/>
      <c r="J286" s="57" t="e">
        <f t="shared" si="17"/>
        <v>#DIV/0!</v>
      </c>
    </row>
    <row r="287" spans="1:10" s="34" customFormat="1" x14ac:dyDescent="0.25">
      <c r="A287" s="122" t="s">
        <v>166</v>
      </c>
      <c r="B287" s="122"/>
      <c r="C287" s="122"/>
      <c r="D287" s="122"/>
      <c r="E287" s="122"/>
      <c r="F287" s="122"/>
      <c r="G287" s="122"/>
      <c r="H287" s="122"/>
      <c r="J287" s="57" t="e">
        <f t="shared" si="17"/>
        <v>#DIV/0!</v>
      </c>
    </row>
    <row r="288" spans="1:10" s="34" customFormat="1" x14ac:dyDescent="0.25">
      <c r="A288" s="122" t="s">
        <v>175</v>
      </c>
      <c r="B288" s="122"/>
      <c r="C288" s="122"/>
      <c r="D288" s="122"/>
      <c r="E288" s="122"/>
      <c r="F288" s="122"/>
      <c r="G288" s="122"/>
      <c r="H288" s="122"/>
      <c r="J288" s="57" t="e">
        <f t="shared" si="17"/>
        <v>#DIV/0!</v>
      </c>
    </row>
    <row r="289" spans="1:10" s="37" customFormat="1" x14ac:dyDescent="0.25">
      <c r="A289" s="116" t="s">
        <v>167</v>
      </c>
      <c r="B289" s="117"/>
      <c r="C289" s="117"/>
      <c r="D289" s="117"/>
      <c r="E289" s="117"/>
      <c r="F289" s="117"/>
      <c r="G289" s="117"/>
      <c r="H289" s="118"/>
      <c r="I289" s="36"/>
      <c r="J289" s="57" t="e">
        <f t="shared" si="17"/>
        <v>#DIV/0!</v>
      </c>
    </row>
    <row r="290" spans="1:10" s="37" customFormat="1" x14ac:dyDescent="0.25">
      <c r="A290" s="114" t="str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10^ROW(INDIRECT("1:"&amp;LEN((LEFT(A289,SUM(LEN(A289)-LEN(SUBSTITUTE(A289,{"0","1","2"},""))))))))/10))*100+1&amp;""&amp;" &amp; "&amp;""&amp;(SUMPRODUCT(MID(0&amp;(--TRIM(RIGHT(SUBSTITUTE(LEFT(A289,_xlfn.AGGREGATE(16,6,FIND({0,1,2,3,4,5,6,7,8,9},A289,ROW(INDIRECT("1:"&amp;LEN(A289)))),1)),"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",LEN(A289))),LEN(A289)))))))/10))*100+1</f>
        <v>101 &amp; 301</v>
      </c>
      <c r="B290" s="115"/>
      <c r="C290" s="42" t="s">
        <v>169</v>
      </c>
      <c r="D290" s="42">
        <f>(29.75+5.3)*10.764</f>
        <v>377.27819999999997</v>
      </c>
      <c r="E290" s="42">
        <f>(5.735)*10.764</f>
        <v>61.731540000000003</v>
      </c>
      <c r="F290" s="42">
        <v>700</v>
      </c>
      <c r="G290" s="114" t="str">
        <f>A289</f>
        <v>1st &amp; 3rd Floor for Residential</v>
      </c>
      <c r="H290" s="115"/>
      <c r="I290" s="36"/>
      <c r="J290" s="57">
        <f t="shared" si="17"/>
        <v>1.6917713771959262</v>
      </c>
    </row>
    <row r="291" spans="1:10" s="37" customFormat="1" x14ac:dyDescent="0.25">
      <c r="A291" s="114" t="str">
        <f ca="1">(SUMPRODUCT(MID(0&amp;(LEFT(A290,SUM(LEN(A290)-LEN(SUBSTITUTE(A290,{"0","1","2"},""))))), LARGE(INDEX(ISNUMBER(--MID((LEFT(A290,SUM(LEN(A290)-LEN(SUBSTITUTE(A290,{"0","1","2"},""))))), ROW(INDIRECT("1:"&amp;LEN((LEFT(A290,SUM(LEN(A290)-LEN(SUBSTITUTE(A290,{"0","1","2"},"")))))))), 1)) * ROW(INDIRECT("1:"&amp;LEN((LEFT(A290,SUM(LEN(A290)-LEN(SUBSTITUTE(A290,{"0","1","2"},"")))))))), 0), ROW(INDIRECT("1:"&amp;LEN((LEFT(A290,SUM(LEN(A290)-LEN(SUBSTITUTE(A290,{"0","1","2"},"")))))))))+1, 1) * 10^ROW(INDIRECT("1:"&amp;LEN((LEFT(A290,SUM(LEN(A290)-LEN(SUBSTITUTE(A290,{"0","1","2"},""))))))))/10))*1+1&amp;""&amp;" &amp; "&amp;""&amp;(SUMPRODUCT(MID(0&amp;(--TRIM(RIGHT(SUBSTITUTE(LEFT(A290,_xlfn.AGGREGATE(16,6,FIND({0,1,2,3,4,5,6,7,8,9},A290,ROW(INDIRECT("1:"&amp;LEN(A290)))),1))," ",REPT(" ",LEN(A290))),LEN(A290)))), LARGE(INDEX(ISNUMBER(--MID((--TRIM(RIGHT(SUBSTITUTE(LEFT(A290,_xlfn.AGGREGATE(16,6,FIND({0,1,2,3,4,5,6,7,8,9},A290,ROW(INDIRECT("1:"&amp;LEN(A290)))),1))," ",REPT(" ",LEN(A290))),LEN(A290)))), ROW(INDIRECT("1:"&amp;LEN((--TRIM(RIGHT(SUBSTITUTE(LEFT(A290,_xlfn.AGGREGATE(16,6,FIND({0,1,2,3,4,5,6,7,8,9},A290,ROW(INDIRECT("1:"&amp;LEN(A290)))),1))," ",REPT(" ",LEN(A290))),LEN(A290))))))), 1)) * ROW(INDIRECT("1:"&amp;LEN((--TRIM(RIGHT(SUBSTITUTE(LEFT(A290,_xlfn.AGGREGATE(16,6,FIND({0,1,2,3,4,5,6,7,8,9},A290,ROW(INDIRECT("1:"&amp;LEN(A290)))),1))," ",REPT(" ",LEN(A290))),LEN(A290))))))), 0), ROW(INDIRECT("1:"&amp;LEN((--TRIM(RIGHT(SUBSTITUTE(LEFT(A290,_xlfn.AGGREGATE(16,6,FIND({0,1,2,3,4,5,6,7,8,9},A290,ROW(INDIRECT("1:"&amp;LEN(A290)))),1))," ",REPT(" ",LEN(A290))),LEN(A290))))))))+1, 1) * 10^ROW(INDIRECT("1:"&amp;LEN((--TRIM(RIGHT(SUBSTITUTE(LEFT(A290,_xlfn.AGGREGATE(16,6,FIND({0,1,2,3,4,5,6,7,8,9},A290,ROW(INDIRECT("1:"&amp;LEN(A290)))),1))," ",REPT(" ",LEN(A290))),LEN(A290)))))))/10))*1+1</f>
        <v>102 &amp; 302</v>
      </c>
      <c r="B291" s="115"/>
      <c r="C291" s="42" t="s">
        <v>168</v>
      </c>
      <c r="D291" s="42">
        <f>(38.737+5.3+2.8)*10.764</f>
        <v>504.15346799999992</v>
      </c>
      <c r="E291" s="42">
        <f>(4.903)*10.764</f>
        <v>52.775891999999992</v>
      </c>
      <c r="F291" s="42">
        <v>870</v>
      </c>
      <c r="G291" s="114" t="str">
        <f t="shared" ref="G291:G293" si="19">G290</f>
        <v>1st &amp; 3rd Floor for Residential</v>
      </c>
      <c r="H291" s="115"/>
      <c r="I291" s="36"/>
      <c r="J291" s="57">
        <f t="shared" si="17"/>
        <v>1.6209828154945869</v>
      </c>
    </row>
    <row r="292" spans="1:10" s="37" customFormat="1" x14ac:dyDescent="0.25">
      <c r="A292" s="114" t="str">
        <f ca="1">(SUMPRODUCT(MID(0&amp;(LEFT(A291,SUM(LEN(A291)-LEN(SUBSTITUTE(A291,{"0","1","2"},""))))), LARGE(INDEX(ISNUMBER(--MID((LEFT(A291,SUM(LEN(A291)-LEN(SUBSTITUTE(A291,{"0","1","2"},""))))), ROW(INDIRECT("1:"&amp;LEN((LEFT(A291,SUM(LEN(A291)-LEN(SUBSTITUTE(A291,{"0","1","2"},"")))))))), 1)) * ROW(INDIRECT("1:"&amp;LEN((LEFT(A291,SUM(LEN(A291)-LEN(SUBSTITUTE(A291,{"0","1","2"},"")))))))), 0), ROW(INDIRECT("1:"&amp;LEN((LEFT(A291,SUM(LEN(A291)-LEN(SUBSTITUTE(A291,{"0","1","2"},"")))))))))+1, 1) * 10^ROW(INDIRECT("1:"&amp;LEN((LEFT(A291,SUM(LEN(A291)-LEN(SUBSTITUTE(A291,{"0","1","2"},""))))))))/10))*1+1&amp;""&amp;" &amp; "&amp;""&amp;(SUMPRODUCT(MID(0&amp;(--TRIM(RIGHT(SUBSTITUTE(LEFT(A291,_xlfn.AGGREGATE(16,6,FIND({0,1,2,3,4,5,6,7,8,9},A291,ROW(INDIRECT("1:"&amp;LEN(A291)))),1))," ",REPT(" ",LEN(A291))),LEN(A291)))), LARGE(INDEX(ISNUMBER(--MID((--TRIM(RIGHT(SUBSTITUTE(LEFT(A291,_xlfn.AGGREGATE(16,6,FIND({0,1,2,3,4,5,6,7,8,9},A291,ROW(INDIRECT("1:"&amp;LEN(A291)))),1))," ",REPT(" ",LEN(A291))),LEN(A291)))), ROW(INDIRECT("1:"&amp;LEN((--TRIM(RIGHT(SUBSTITUTE(LEFT(A291,_xlfn.AGGREGATE(16,6,FIND({0,1,2,3,4,5,6,7,8,9},A291,ROW(INDIRECT("1:"&amp;LEN(A291)))),1))," ",REPT(" ",LEN(A291))),LEN(A291))))))), 1)) * ROW(INDIRECT("1:"&amp;LEN((--TRIM(RIGHT(SUBSTITUTE(LEFT(A291,_xlfn.AGGREGATE(16,6,FIND({0,1,2,3,4,5,6,7,8,9},A291,ROW(INDIRECT("1:"&amp;LEN(A291)))),1))," ",REPT(" ",LEN(A291))),LEN(A291))))))), 0), ROW(INDIRECT("1:"&amp;LEN((--TRIM(RIGHT(SUBSTITUTE(LEFT(A291,_xlfn.AGGREGATE(16,6,FIND({0,1,2,3,4,5,6,7,8,9},A291,ROW(INDIRECT("1:"&amp;LEN(A291)))),1))," ",REPT(" ",LEN(A291))),LEN(A291))))))))+1, 1) * 10^ROW(INDIRECT("1:"&amp;LEN((--TRIM(RIGHT(SUBSTITUTE(LEFT(A291,_xlfn.AGGREGATE(16,6,FIND({0,1,2,3,4,5,6,7,8,9},A291,ROW(INDIRECT("1:"&amp;LEN(A291)))),1))," ",REPT(" ",LEN(A291))),LEN(A291)))))))/10))*1+1</f>
        <v>103 &amp; 303</v>
      </c>
      <c r="B292" s="115"/>
      <c r="C292" s="42" t="s">
        <v>169</v>
      </c>
      <c r="D292" s="42">
        <f>(30.08+2.5)*10.764</f>
        <v>350.69111999999996</v>
      </c>
      <c r="E292" s="42">
        <f>(5.68)*10.764</f>
        <v>61.13951999999999</v>
      </c>
      <c r="F292" s="42">
        <v>670</v>
      </c>
      <c r="G292" s="114" t="str">
        <f t="shared" si="19"/>
        <v>1st &amp; 3rd Floor for Residential</v>
      </c>
      <c r="H292" s="115"/>
      <c r="I292" s="36"/>
      <c r="J292" s="57">
        <f t="shared" si="17"/>
        <v>1.7361730744707768</v>
      </c>
    </row>
    <row r="293" spans="1:10" s="37" customFormat="1" x14ac:dyDescent="0.25">
      <c r="A293" s="114" t="str">
        <f ca="1">(SUMPRODUCT(MID(0&amp;(LEFT(A292,SUM(LEN(A292)-LEN(SUBSTITUTE(A292,{"0","1","2"},""))))), LARGE(INDEX(ISNUMBER(--MID((LEFT(A292,SUM(LEN(A292)-LEN(SUBSTITUTE(A292,{"0","1","2"},""))))), ROW(INDIRECT("1:"&amp;LEN((LEFT(A292,SUM(LEN(A292)-LEN(SUBSTITUTE(A292,{"0","1","2"},"")))))))), 1)) * ROW(INDIRECT("1:"&amp;LEN((LEFT(A292,SUM(LEN(A292)-LEN(SUBSTITUTE(A292,{"0","1","2"},"")))))))), 0), ROW(INDIRECT("1:"&amp;LEN((LEFT(A292,SUM(LEN(A292)-LEN(SUBSTITUTE(A292,{"0","1","2"},"")))))))))+1, 1) * 10^ROW(INDIRECT("1:"&amp;LEN((LEFT(A292,SUM(LEN(A292)-LEN(SUBSTITUTE(A292,{"0","1","2"},""))))))))/10))*1+1&amp;""&amp;" &amp; "&amp;""&amp;(SUMPRODUCT(MID(0&amp;(--TRIM(RIGHT(SUBSTITUTE(LEFT(A292,_xlfn.AGGREGATE(16,6,FIND({0,1,2,3,4,5,6,7,8,9},A292,ROW(INDIRECT("1:"&amp;LEN(A292)))),1)),"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",LEN(A292))),LEN(A292)))))))/10))*1+1</f>
        <v>104 &amp; 304</v>
      </c>
      <c r="B293" s="115"/>
      <c r="C293" s="42" t="s">
        <v>169</v>
      </c>
      <c r="D293" s="42">
        <f>(30.08+2.5)*10.764</f>
        <v>350.69111999999996</v>
      </c>
      <c r="E293" s="42">
        <f>(5.717)*10.764</f>
        <v>61.537787999999992</v>
      </c>
      <c r="F293" s="42">
        <v>670</v>
      </c>
      <c r="G293" s="114" t="str">
        <f t="shared" si="19"/>
        <v>1st &amp; 3rd Floor for Residential</v>
      </c>
      <c r="H293" s="115"/>
      <c r="I293" s="36"/>
      <c r="J293" s="57">
        <f t="shared" si="17"/>
        <v>1.7350374084179836</v>
      </c>
    </row>
    <row r="294" spans="1:10" s="37" customFormat="1" x14ac:dyDescent="0.25">
      <c r="A294" s="116" t="s">
        <v>170</v>
      </c>
      <c r="B294" s="117"/>
      <c r="C294" s="117"/>
      <c r="D294" s="117"/>
      <c r="E294" s="117"/>
      <c r="F294" s="117"/>
      <c r="G294" s="117"/>
      <c r="H294" s="118"/>
      <c r="I294" s="36"/>
      <c r="J294" s="57" t="e">
        <f t="shared" si="17"/>
        <v>#DIV/0!</v>
      </c>
    </row>
    <row r="295" spans="1:10" s="37" customFormat="1" x14ac:dyDescent="0.25">
      <c r="A295" s="125" t="str">
        <f ca="1">(SUMPRODUCT(MID(0&amp;(LEFT(A294,SUM(LEN(A294)-LEN(SUBSTITUTE(A294,{"0","1","2"},""))))), LARGE(INDEX(ISNUMBER(--MID((LEFT(A294,SUM(LEN(A294)-LEN(SUBSTITUTE(A294,{"0","1","2"},""))))), ROW(INDIRECT("1:"&amp;LEN((LEFT(A294,SUM(LEN(A294)-LEN(SUBSTITUTE(A294,{"0","1","2"},"")))))))), 1)) * ROW(INDIRECT("1:"&amp;LEN((LEFT(A294,SUM(LEN(A294)-LEN(SUBSTITUTE(A294,{"0","1","2"},"")))))))), 0), ROW(INDIRECT("1:"&amp;LEN((LEFT(A294,SUM(LEN(A294)-LEN(SUBSTITUTE(A294,{"0","1","2"},"")))))))))+1, 1) * 10^ROW(INDIRECT("1:"&amp;LEN((LEFT(A294,SUM(LEN(A294)-LEN(SUBSTITUTE(A294,{"0","1","2"},""))))))))/10))*100+1&amp;""&amp;" &amp; "&amp;""&amp;(SUMPRODUCT(MID(0&amp;(--TRIM(RIGHT(SUBSTITUTE(LEFT(A294,_xlfn.AGGREGATE(16,6,FIND({0,1,2,3,4,5,6,7,8,9},A294,ROW(INDIRECT("1:"&amp;LEN(A294)))),1))," ",REPT(" ",LEN(A294))),LEN(A294)))), LARGE(INDEX(ISNUMBER(--MID((--TRIM(RIGHT(SUBSTITUTE(LEFT(A294,_xlfn.AGGREGATE(16,6,FIND({0,1,2,3,4,5,6,7,8,9},A294,ROW(INDIRECT("1:"&amp;LEN(A294)))),1))," ",REPT(" ",LEN(A294))),LEN(A294)))), ROW(INDIRECT("1:"&amp;LEN((--TRIM(RIGHT(SUBSTITUTE(LEFT(A294,_xlfn.AGGREGATE(16,6,FIND({0,1,2,3,4,5,6,7,8,9},A294,ROW(INDIRECT("1:"&amp;LEN(A294)))),1))," ",REPT(" ",LEN(A294))),LEN(A294))))))), 1)) * ROW(INDIRECT("1:"&amp;LEN((--TRIM(RIGHT(SUBSTITUTE(LEFT(A294,_xlfn.AGGREGATE(16,6,FIND({0,1,2,3,4,5,6,7,8,9},A294,ROW(INDIRECT("1:"&amp;LEN(A294)))),1))," ",REPT(" ",LEN(A294))),LEN(A294))))))), 0), ROW(INDIRECT("1:"&amp;LEN((--TRIM(RIGHT(SUBSTITUTE(LEFT(A294,_xlfn.AGGREGATE(16,6,FIND({0,1,2,3,4,5,6,7,8,9},A294,ROW(INDIRECT("1:"&amp;LEN(A294)))),1))," ",REPT(" ",LEN(A294))),LEN(A294))))))))+1, 1) * 10^ROW(INDIRECT("1:"&amp;LEN((--TRIM(RIGHT(SUBSTITUTE(LEFT(A294,_xlfn.AGGREGATE(16,6,FIND({0,1,2,3,4,5,6,7,8,9},A294,ROW(INDIRECT("1:"&amp;LEN(A294)))),1))," ",REPT(" ",LEN(A294))),LEN(A294)))))))/10))*100+1</f>
        <v>201 &amp; 401</v>
      </c>
      <c r="B295" s="126"/>
      <c r="C295" s="45" t="s">
        <v>169</v>
      </c>
      <c r="D295" s="45">
        <f>(29.705+5.3)*10.764</f>
        <v>376.79381999999993</v>
      </c>
      <c r="E295" s="45">
        <f>7.366*10.764</f>
        <v>79.287623999999994</v>
      </c>
      <c r="F295" s="45">
        <v>725</v>
      </c>
      <c r="G295" s="125" t="str">
        <f>A294</f>
        <v>2nd &amp; 4th Floor</v>
      </c>
      <c r="H295" s="126"/>
      <c r="I295" s="36"/>
      <c r="J295" s="57">
        <f t="shared" si="17"/>
        <v>1.7137021408684465</v>
      </c>
    </row>
    <row r="296" spans="1:10" s="37" customFormat="1" x14ac:dyDescent="0.25">
      <c r="A296" s="125" t="str">
        <f ca="1">(SUMPRODUCT(MID(0&amp;(LEFT(A295,SUM(LEN(A295)-LEN(SUBSTITUTE(A295,{"0","1","2"},""))))), LARGE(INDEX(ISNUMBER(--MID((LEFT(A295,SUM(LEN(A295)-LEN(SUBSTITUTE(A295,{"0","1","2"},""))))), ROW(INDIRECT("1:"&amp;LEN((LEFT(A295,SUM(LEN(A295)-LEN(SUBSTITUTE(A295,{"0","1","2"},"")))))))), 1)) * ROW(INDIRECT("1:"&amp;LEN((LEFT(A295,SUM(LEN(A295)-LEN(SUBSTITUTE(A295,{"0","1","2"},"")))))))), 0), ROW(INDIRECT("1:"&amp;LEN((LEFT(A295,SUM(LEN(A295)-LEN(SUBSTITUTE(A295,{"0","1","2"},"")))))))))+1, 1) * 10^ROW(INDIRECT("1:"&amp;LEN((LEFT(A295,SUM(LEN(A295)-LEN(SUBSTITUTE(A295,{"0","1","2"},""))))))))/10))*1+1&amp;""&amp;" &amp; "&amp;""&amp;(SUMPRODUCT(MID(0&amp;(--TRIM(RIGHT(SUBSTITUTE(LEFT(A295,_xlfn.AGGREGATE(16,6,FIND({0,1,2,3,4,5,6,7,8,9},A295,ROW(INDIRECT("1:"&amp;LEN(A295)))),1))," ",REPT(" ",LEN(A295))),LEN(A295)))), LARGE(INDEX(ISNUMBER(--MID((--TRIM(RIGHT(SUBSTITUTE(LEFT(A295,_xlfn.AGGREGATE(16,6,FIND({0,1,2,3,4,5,6,7,8,9},A295,ROW(INDIRECT("1:"&amp;LEN(A295)))),1))," ",REPT(" ",LEN(A295))),LEN(A295)))), ROW(INDIRECT("1:"&amp;LEN((--TRIM(RIGHT(SUBSTITUTE(LEFT(A295,_xlfn.AGGREGATE(16,6,FIND({0,1,2,3,4,5,6,7,8,9},A295,ROW(INDIRECT("1:"&amp;LEN(A295)))),1))," ",REPT(" ",LEN(A295))),LEN(A295))))))), 1)) * ROW(INDIRECT("1:"&amp;LEN((--TRIM(RIGHT(SUBSTITUTE(LEFT(A295,_xlfn.AGGREGATE(16,6,FIND({0,1,2,3,4,5,6,7,8,9},A295,ROW(INDIRECT("1:"&amp;LEN(A295)))),1))," ",REPT(" ",LEN(A295))),LEN(A295))))))), 0), ROW(INDIRECT("1:"&amp;LEN((--TRIM(RIGHT(SUBSTITUTE(LEFT(A295,_xlfn.AGGREGATE(16,6,FIND({0,1,2,3,4,5,6,7,8,9},A295,ROW(INDIRECT("1:"&amp;LEN(A295)))),1))," ",REPT(" ",LEN(A295))),LEN(A295))))))))+1, 1) * 10^ROW(INDIRECT("1:"&amp;LEN((--TRIM(RIGHT(SUBSTITUTE(LEFT(A295,_xlfn.AGGREGATE(16,6,FIND({0,1,2,3,4,5,6,7,8,9},A295,ROW(INDIRECT("1:"&amp;LEN(A295)))),1))," ",REPT(" ",LEN(A295))),LEN(A295)))))))/10))*1+1</f>
        <v>202 &amp; 402</v>
      </c>
      <c r="B296" s="126"/>
      <c r="C296" s="45" t="s">
        <v>168</v>
      </c>
      <c r="D296" s="45">
        <f>(38.45+5.3+2.8)*10.764</f>
        <v>501.06419999999991</v>
      </c>
      <c r="E296" s="45">
        <f>(7.366)*10.764</f>
        <v>79.287623999999994</v>
      </c>
      <c r="F296" s="45">
        <v>905</v>
      </c>
      <c r="G296" s="125" t="str">
        <f t="shared" ref="G296:G298" si="20">G295</f>
        <v>2nd &amp; 4th Floor</v>
      </c>
      <c r="H296" s="126"/>
      <c r="I296" s="36"/>
      <c r="J296" s="57">
        <f t="shared" si="17"/>
        <v>1.6479173247659682</v>
      </c>
    </row>
    <row r="297" spans="1:10" s="37" customFormat="1" x14ac:dyDescent="0.25">
      <c r="A297" s="125" t="str">
        <f ca="1">(SUMPRODUCT(MID(0&amp;(LEFT(A296,SUM(LEN(A296)-LEN(SUBSTITUTE(A296,{"0","1","2"},""))))), LARGE(INDEX(ISNUMBER(--MID((LEFT(A296,SUM(LEN(A296)-LEN(SUBSTITUTE(A296,{"0","1","2"},""))))), ROW(INDIRECT("1:"&amp;LEN((LEFT(A296,SUM(LEN(A296)-LEN(SUBSTITUTE(A296,{"0","1","2"},"")))))))), 1)) * ROW(INDIRECT("1:"&amp;LEN((LEFT(A296,SUM(LEN(A296)-LEN(SUBSTITUTE(A296,{"0","1","2"},"")))))))), 0), ROW(INDIRECT("1:"&amp;LEN((LEFT(A296,SUM(LEN(A296)-LEN(SUBSTITUTE(A296,{"0","1","2"},"")))))))))+1, 1) * 10^ROW(INDIRECT("1:"&amp;LEN((LEFT(A296,SUM(LEN(A296)-LEN(SUBSTITUTE(A296,{"0","1","2"},""))))))))/10))*1+1&amp;""&amp;" &amp; "&amp;""&amp;(SUMPRODUCT(MID(0&amp;(--TRIM(RIGHT(SUBSTITUTE(LEFT(A296,_xlfn.AGGREGATE(16,6,FIND({0,1,2,3,4,5,6,7,8,9},A296,ROW(INDIRECT("1:"&amp;LEN(A296)))),1))," ",REPT(" ",LEN(A296))),LEN(A296)))), LARGE(INDEX(ISNUMBER(--MID((--TRIM(RIGHT(SUBSTITUTE(LEFT(A296,_xlfn.AGGREGATE(16,6,FIND({0,1,2,3,4,5,6,7,8,9},A296,ROW(INDIRECT("1:"&amp;LEN(A296)))),1))," ",REPT(" ",LEN(A296))),LEN(A296)))), ROW(INDIRECT("1:"&amp;LEN((--TRIM(RIGHT(SUBSTITUTE(LEFT(A296,_xlfn.AGGREGATE(16,6,FIND({0,1,2,3,4,5,6,7,8,9},A296,ROW(INDIRECT("1:"&amp;LEN(A296)))),1))," ",REPT(" ",LEN(A296))),LEN(A296))))))), 1)) * ROW(INDIRECT("1:"&amp;LEN((--TRIM(RIGHT(SUBSTITUTE(LEFT(A296,_xlfn.AGGREGATE(16,6,FIND({0,1,2,3,4,5,6,7,8,9},A296,ROW(INDIRECT("1:"&amp;LEN(A296)))),1))," ",REPT(" ",LEN(A296))),LEN(A296))))))), 0), ROW(INDIRECT("1:"&amp;LEN((--TRIM(RIGHT(SUBSTITUTE(LEFT(A296,_xlfn.AGGREGATE(16,6,FIND({0,1,2,3,4,5,6,7,8,9},A296,ROW(INDIRECT("1:"&amp;LEN(A296)))),1))," ",REPT(" ",LEN(A296))),LEN(A296))))))))+1, 1) * 10^ROW(INDIRECT("1:"&amp;LEN((--TRIM(RIGHT(SUBSTITUTE(LEFT(A296,_xlfn.AGGREGATE(16,6,FIND({0,1,2,3,4,5,6,7,8,9},A296,ROW(INDIRECT("1:"&amp;LEN(A296)))),1))," ",REPT(" ",LEN(A296))),LEN(A296)))))))/10))*1+1</f>
        <v>203 &amp; 403</v>
      </c>
      <c r="B297" s="126"/>
      <c r="C297" s="45" t="s">
        <v>169</v>
      </c>
      <c r="D297" s="45">
        <f>(30.08+2.5)*10.764</f>
        <v>350.69111999999996</v>
      </c>
      <c r="E297" s="45">
        <f>5.811*10.764</f>
        <v>62.549603999999995</v>
      </c>
      <c r="F297" s="45">
        <v>670</v>
      </c>
      <c r="G297" s="125" t="str">
        <f t="shared" si="20"/>
        <v>2nd &amp; 4th Floor</v>
      </c>
      <c r="H297" s="126"/>
      <c r="I297" s="36"/>
      <c r="J297" s="57">
        <f t="shared" si="17"/>
        <v>1.7321522027703469</v>
      </c>
    </row>
    <row r="298" spans="1:10" s="37" customFormat="1" x14ac:dyDescent="0.25">
      <c r="A298" s="125" t="str">
        <f ca="1">(SUMPRODUCT(MID(0&amp;(LEFT(A297,SUM(LEN(A297)-LEN(SUBSTITUTE(A297,{"0","1","2"},""))))), LARGE(INDEX(ISNUMBER(--MID((LEFT(A297,SUM(LEN(A297)-LEN(SUBSTITUTE(A297,{"0","1","2"},""))))), ROW(INDIRECT("1:"&amp;LEN((LEFT(A297,SUM(LEN(A297)-LEN(SUBSTITUTE(A297,{"0","1","2"},"")))))))), 1)) * ROW(INDIRECT("1:"&amp;LEN((LEFT(A297,SUM(LEN(A297)-LEN(SUBSTITUTE(A297,{"0","1","2"},"")))))))), 0), ROW(INDIRECT("1:"&amp;LEN((LEFT(A297,SUM(LEN(A297)-LEN(SUBSTITUTE(A297,{"0","1","2"},"")))))))))+1, 1) * 10^ROW(INDIRECT("1:"&amp;LEN((LEFT(A297,SUM(LEN(A297)-LEN(SUBSTITUTE(A297,{"0","1","2"},""))))))))/10))*1+1&amp;""&amp;" &amp; "&amp;""&amp;(SUMPRODUCT(MID(0&amp;(--TRIM(RIGHT(SUBSTITUTE(LEFT(A297,_xlfn.AGGREGATE(16,6,FIND({0,1,2,3,4,5,6,7,8,9},A297,ROW(INDIRECT("1:"&amp;LEN(A297)))),1))," ",REPT(" ",LEN(A297))),LEN(A297)))), LARGE(INDEX(ISNUMBER(--MID((--TRIM(RIGHT(SUBSTITUTE(LEFT(A297,_xlfn.AGGREGATE(16,6,FIND({0,1,2,3,4,5,6,7,8,9},A297,ROW(INDIRECT("1:"&amp;LEN(A297)))),1))," ",REPT(" ",LEN(A297))),LEN(A297)))), ROW(INDIRECT("1:"&amp;LEN((--TRIM(RIGHT(SUBSTITUTE(LEFT(A297,_xlfn.AGGREGATE(16,6,FIND({0,1,2,3,4,5,6,7,8,9},A297,ROW(INDIRECT("1:"&amp;LEN(A297)))),1))," ",REPT(" ",LEN(A297))),LEN(A297))))))), 1)) * ROW(INDIRECT("1:"&amp;LEN((--TRIM(RIGHT(SUBSTITUTE(LEFT(A297,_xlfn.AGGREGATE(16,6,FIND({0,1,2,3,4,5,6,7,8,9},A297,ROW(INDIRECT("1:"&amp;LEN(A297)))),1))," ",REPT(" ",LEN(A297))),LEN(A297))))))), 0), ROW(INDIRECT("1:"&amp;LEN((--TRIM(RIGHT(SUBSTITUTE(LEFT(A297,_xlfn.AGGREGATE(16,6,FIND({0,1,2,3,4,5,6,7,8,9},A297,ROW(INDIRECT("1:"&amp;LEN(A297)))),1))," ",REPT(" ",LEN(A297))),LEN(A297))))))))+1, 1) * 10^ROW(INDIRECT("1:"&amp;LEN((--TRIM(RIGHT(SUBSTITUTE(LEFT(A297,_xlfn.AGGREGATE(16,6,FIND({0,1,2,3,4,5,6,7,8,9},A297,ROW(INDIRECT("1:"&amp;LEN(A297)))),1))," ",REPT(" ",LEN(A297))),LEN(A297)))))))/10))*1+1</f>
        <v>204 &amp; 404</v>
      </c>
      <c r="B298" s="126"/>
      <c r="C298" s="45" t="s">
        <v>169</v>
      </c>
      <c r="D298" s="45">
        <f>(30.08+2.5)*10.764</f>
        <v>350.69111999999996</v>
      </c>
      <c r="E298" s="45">
        <f>5.811*10.764</f>
        <v>62.549603999999995</v>
      </c>
      <c r="F298" s="45">
        <v>670</v>
      </c>
      <c r="G298" s="125" t="str">
        <f t="shared" si="20"/>
        <v>2nd &amp; 4th Floor</v>
      </c>
      <c r="H298" s="126"/>
      <c r="I298" s="36"/>
      <c r="J298" s="57">
        <f t="shared" si="17"/>
        <v>1.7321522027703469</v>
      </c>
    </row>
    <row r="299" spans="1:10" s="34" customFormat="1" x14ac:dyDescent="0.25">
      <c r="A299" s="131" t="s">
        <v>176</v>
      </c>
      <c r="B299" s="131"/>
      <c r="C299" s="131"/>
      <c r="D299" s="131"/>
      <c r="E299" s="131"/>
      <c r="F299" s="131"/>
      <c r="G299" s="131"/>
      <c r="H299" s="131"/>
      <c r="J299" s="57" t="e">
        <f t="shared" si="17"/>
        <v>#DIV/0!</v>
      </c>
    </row>
    <row r="300" spans="1:10" s="37" customFormat="1" x14ac:dyDescent="0.25">
      <c r="A300" s="116" t="s">
        <v>167</v>
      </c>
      <c r="B300" s="117"/>
      <c r="C300" s="117"/>
      <c r="D300" s="117"/>
      <c r="E300" s="117"/>
      <c r="F300" s="117"/>
      <c r="G300" s="117"/>
      <c r="H300" s="118"/>
      <c r="I300" s="36"/>
      <c r="J300" s="57" t="e">
        <f t="shared" si="17"/>
        <v>#DIV/0!</v>
      </c>
    </row>
    <row r="301" spans="1:10" s="37" customFormat="1" x14ac:dyDescent="0.25">
      <c r="A301" s="114" t="str">
        <f ca="1">(SUMPRODUCT(MID(0&amp;(LEFT(A300,SUM(LEN(A300)-LEN(SUBSTITUTE(A300,{"0","1","2"},""))))), LARGE(INDEX(ISNUMBER(--MID((LEFT(A300,SUM(LEN(A300)-LEN(SUBSTITUTE(A300,{"0","1","2"},""))))), ROW(INDIRECT("1:"&amp;LEN((LEFT(A300,SUM(LEN(A300)-LEN(SUBSTITUTE(A300,{"0","1","2"},"")))))))), 1)) * ROW(INDIRECT("1:"&amp;LEN((LEFT(A300,SUM(LEN(A300)-LEN(SUBSTITUTE(A300,{"0","1","2"},"")))))))), 0), ROW(INDIRECT("1:"&amp;LEN((LEFT(A300,SUM(LEN(A300)-LEN(SUBSTITUTE(A300,{"0","1","2"},"")))))))))+1, 1) * 10^ROW(INDIRECT("1:"&amp;LEN((LEFT(A300,SUM(LEN(A300)-LEN(SUBSTITUTE(A300,{"0","1","2"},""))))))))/10))*100+1&amp;""&amp;" &amp; "&amp;""&amp;(SUMPRODUCT(MID(0&amp;(--TRIM(RIGHT(SUBSTITUTE(LEFT(A300,_xlfn.AGGREGATE(16,6,FIND({0,1,2,3,4,5,6,7,8,9},A300,ROW(INDIRECT("1:"&amp;LEN(A300)))),1))," ",REPT(" ",LEN(A300))),LEN(A300)))), LARGE(INDEX(ISNUMBER(--MID((--TRIM(RIGHT(SUBSTITUTE(LEFT(A300,_xlfn.AGGREGATE(16,6,FIND({0,1,2,3,4,5,6,7,8,9},A300,ROW(INDIRECT("1:"&amp;LEN(A300)))),1))," ",REPT(" ",LEN(A300))),LEN(A300)))), ROW(INDIRECT("1:"&amp;LEN((--TRIM(RIGHT(SUBSTITUTE(LEFT(A300,_xlfn.AGGREGATE(16,6,FIND({0,1,2,3,4,5,6,7,8,9},A300,ROW(INDIRECT("1:"&amp;LEN(A300)))),1))," ",REPT(" ",LEN(A300))),LEN(A300))))))), 1)) * ROW(INDIRECT("1:"&amp;LEN((--TRIM(RIGHT(SUBSTITUTE(LEFT(A300,_xlfn.AGGREGATE(16,6,FIND({0,1,2,3,4,5,6,7,8,9},A300,ROW(INDIRECT("1:"&amp;LEN(A300)))),1))," ",REPT(" ",LEN(A300))),LEN(A300))))))), 0), ROW(INDIRECT("1:"&amp;LEN((--TRIM(RIGHT(SUBSTITUTE(LEFT(A300,_xlfn.AGGREGATE(16,6,FIND({0,1,2,3,4,5,6,7,8,9},A300,ROW(INDIRECT("1:"&amp;LEN(A300)))),1))," ",REPT(" ",LEN(A300))),LEN(A300))))))))+1, 1) * 10^ROW(INDIRECT("1:"&amp;LEN((--TRIM(RIGHT(SUBSTITUTE(LEFT(A300,_xlfn.AGGREGATE(16,6,FIND({0,1,2,3,4,5,6,7,8,9},A300,ROW(INDIRECT("1:"&amp;LEN(A300)))),1))," ",REPT(" ",LEN(A300))),LEN(A300)))))))/10))*100+1</f>
        <v>101 &amp; 301</v>
      </c>
      <c r="B301" s="115"/>
      <c r="C301" s="42" t="s">
        <v>169</v>
      </c>
      <c r="D301" s="42">
        <f>(30.08+2.5)*10.764</f>
        <v>350.69111999999996</v>
      </c>
      <c r="E301" s="42">
        <f>5.68*10.764</f>
        <v>61.13951999999999</v>
      </c>
      <c r="F301" s="42">
        <v>670</v>
      </c>
      <c r="G301" s="114" t="str">
        <f>A300</f>
        <v>1st &amp; 3rd Floor for Residential</v>
      </c>
      <c r="H301" s="115"/>
      <c r="I301" s="36"/>
      <c r="J301" s="57">
        <f t="shared" si="17"/>
        <v>1.7361730744707768</v>
      </c>
    </row>
    <row r="302" spans="1:10" s="37" customFormat="1" x14ac:dyDescent="0.25">
      <c r="A302" s="114" t="str">
        <f ca="1">(SUMPRODUCT(MID(0&amp;(LEFT(A301,SUM(LEN(A301)-LEN(SUBSTITUTE(A301,{"0","1","2"},""))))), LARGE(INDEX(ISNUMBER(--MID((LEFT(A301,SUM(LEN(A301)-LEN(SUBSTITUTE(A301,{"0","1","2"},""))))), ROW(INDIRECT("1:"&amp;LEN((LEFT(A301,SUM(LEN(A301)-LEN(SUBSTITUTE(A301,{"0","1","2"},"")))))))), 1)) * ROW(INDIRECT("1:"&amp;LEN((LEFT(A301,SUM(LEN(A301)-LEN(SUBSTITUTE(A301,{"0","1","2"},"")))))))), 0), ROW(INDIRECT("1:"&amp;LEN((LEFT(A301,SUM(LEN(A301)-LEN(SUBSTITUTE(A301,{"0","1","2"},"")))))))))+1, 1) * 10^ROW(INDIRECT("1:"&amp;LEN((LEFT(A301,SUM(LEN(A301)-LEN(SUBSTITUTE(A301,{"0","1","2"},""))))))))/10))*1+1&amp;""&amp;" &amp; "&amp;""&amp;(SUMPRODUCT(MID(0&amp;(--TRIM(RIGHT(SUBSTITUTE(LEFT(A301,_xlfn.AGGREGATE(16,6,FIND({0,1,2,3,4,5,6,7,8,9},A301,ROW(INDIRECT("1:"&amp;LEN(A301)))),1))," ",REPT(" ",LEN(A301))),LEN(A301)))), LARGE(INDEX(ISNUMBER(--MID((--TRIM(RIGHT(SUBSTITUTE(LEFT(A301,_xlfn.AGGREGATE(16,6,FIND({0,1,2,3,4,5,6,7,8,9},A301,ROW(INDIRECT("1:"&amp;LEN(A301)))),1))," ",REPT(" ",LEN(A301))),LEN(A301)))), ROW(INDIRECT("1:"&amp;LEN((--TRIM(RIGHT(SUBSTITUTE(LEFT(A301,_xlfn.AGGREGATE(16,6,FIND({0,1,2,3,4,5,6,7,8,9},A301,ROW(INDIRECT("1:"&amp;LEN(A301)))),1))," ",REPT(" ",LEN(A301))),LEN(A301))))))), 1)) * ROW(INDIRECT("1:"&amp;LEN((--TRIM(RIGHT(SUBSTITUTE(LEFT(A301,_xlfn.AGGREGATE(16,6,FIND({0,1,2,3,4,5,6,7,8,9},A301,ROW(INDIRECT("1:"&amp;LEN(A301)))),1))," ",REPT(" ",LEN(A301))),LEN(A301))))))), 0), ROW(INDIRECT("1:"&amp;LEN((--TRIM(RIGHT(SUBSTITUTE(LEFT(A301,_xlfn.AGGREGATE(16,6,FIND({0,1,2,3,4,5,6,7,8,9},A301,ROW(INDIRECT("1:"&amp;LEN(A301)))),1))," ",REPT(" ",LEN(A301))),LEN(A301))))))))+1, 1) * 10^ROW(INDIRECT("1:"&amp;LEN((--TRIM(RIGHT(SUBSTITUTE(LEFT(A301,_xlfn.AGGREGATE(16,6,FIND({0,1,2,3,4,5,6,7,8,9},A301,ROW(INDIRECT("1:"&amp;LEN(A301)))),1))," ",REPT(" ",LEN(A301))),LEN(A301)))))))/10))*1+1</f>
        <v>102 &amp; 302</v>
      </c>
      <c r="B302" s="115"/>
      <c r="C302" s="42" t="s">
        <v>169</v>
      </c>
      <c r="D302" s="42">
        <f>(30.08+2.5)*10.764</f>
        <v>350.69111999999996</v>
      </c>
      <c r="E302" s="42">
        <f>5.68*10.764</f>
        <v>61.13951999999999</v>
      </c>
      <c r="F302" s="42">
        <v>670</v>
      </c>
      <c r="G302" s="114" t="str">
        <f t="shared" ref="G302:G307" si="21">G301</f>
        <v>1st &amp; 3rd Floor for Residential</v>
      </c>
      <c r="H302" s="115"/>
      <c r="I302" s="36"/>
      <c r="J302" s="57">
        <f t="shared" si="17"/>
        <v>1.7361730744707768</v>
      </c>
    </row>
    <row r="303" spans="1:10" s="37" customFormat="1" x14ac:dyDescent="0.25">
      <c r="A303" s="114" t="str">
        <f ca="1">(SUMPRODUCT(MID(0&amp;(LEFT(A302,SUM(LEN(A302)-LEN(SUBSTITUTE(A302,{"0","1","2"},""))))), LARGE(INDEX(ISNUMBER(--MID((LEFT(A302,SUM(LEN(A302)-LEN(SUBSTITUTE(A302,{"0","1","2"},""))))), ROW(INDIRECT("1:"&amp;LEN((LEFT(A302,SUM(LEN(A302)-LEN(SUBSTITUTE(A302,{"0","1","2"},"")))))))), 1)) * ROW(INDIRECT("1:"&amp;LEN((LEFT(A302,SUM(LEN(A302)-LEN(SUBSTITUTE(A302,{"0","1","2"},"")))))))), 0), ROW(INDIRECT("1:"&amp;LEN((LEFT(A302,SUM(LEN(A302)-LEN(SUBSTITUTE(A302,{"0","1","2"},"")))))))))+1, 1) * 10^ROW(INDIRECT("1:"&amp;LEN((LEFT(A302,SUM(LEN(A302)-LEN(SUBSTITUTE(A302,{"0","1","2"},""))))))))/10))*1+1&amp;""&amp;" &amp; "&amp;""&amp;(SUMPRODUCT(MID(0&amp;(--TRIM(RIGHT(SUBSTITUTE(LEFT(A302,_xlfn.AGGREGATE(16,6,FIND({0,1,2,3,4,5,6,7,8,9},A302,ROW(INDIRECT("1:"&amp;LEN(A302)))),1))," ",REPT(" ",LEN(A302))),LEN(A302)))), LARGE(INDEX(ISNUMBER(--MID((--TRIM(RIGHT(SUBSTITUTE(LEFT(A302,_xlfn.AGGREGATE(16,6,FIND({0,1,2,3,4,5,6,7,8,9},A302,ROW(INDIRECT("1:"&amp;LEN(A302)))),1))," ",REPT(" ",LEN(A302))),LEN(A302)))), ROW(INDIRECT("1:"&amp;LEN((--TRIM(RIGHT(SUBSTITUTE(LEFT(A302,_xlfn.AGGREGATE(16,6,FIND({0,1,2,3,4,5,6,7,8,9},A302,ROW(INDIRECT("1:"&amp;LEN(A302)))),1))," ",REPT(" ",LEN(A302))),LEN(A302))))))), 1)) * ROW(INDIRECT("1:"&amp;LEN((--TRIM(RIGHT(SUBSTITUTE(LEFT(A302,_xlfn.AGGREGATE(16,6,FIND({0,1,2,3,4,5,6,7,8,9},A302,ROW(INDIRECT("1:"&amp;LEN(A302)))),1))," ",REPT(" ",LEN(A302))),LEN(A302))))))), 0), ROW(INDIRECT("1:"&amp;LEN((--TRIM(RIGHT(SUBSTITUTE(LEFT(A302,_xlfn.AGGREGATE(16,6,FIND({0,1,2,3,4,5,6,7,8,9},A302,ROW(INDIRECT("1:"&amp;LEN(A302)))),1))," ",REPT(" ",LEN(A302))),LEN(A302))))))))+1, 1) * 10^ROW(INDIRECT("1:"&amp;LEN((--TRIM(RIGHT(SUBSTITUTE(LEFT(A302,_xlfn.AGGREGATE(16,6,FIND({0,1,2,3,4,5,6,7,8,9},A302,ROW(INDIRECT("1:"&amp;LEN(A302)))),1))," ",REPT(" ",LEN(A302))),LEN(A302)))))))/10))*1+1</f>
        <v>103 &amp; 303</v>
      </c>
      <c r="B303" s="115"/>
      <c r="C303" s="42" t="s">
        <v>169</v>
      </c>
      <c r="D303" s="42">
        <f>(29.75+5.3)*10.764</f>
        <v>377.27819999999997</v>
      </c>
      <c r="E303" s="42">
        <f>6.02*10.764</f>
        <v>64.799279999999996</v>
      </c>
      <c r="F303" s="42">
        <v>700</v>
      </c>
      <c r="G303" s="114" t="str">
        <f t="shared" si="21"/>
        <v>1st &amp; 3rd Floor for Residential</v>
      </c>
      <c r="H303" s="115"/>
      <c r="I303" s="36"/>
      <c r="J303" s="57">
        <f t="shared" si="17"/>
        <v>1.6836401361117608</v>
      </c>
    </row>
    <row r="304" spans="1:10" s="37" customFormat="1" x14ac:dyDescent="0.25">
      <c r="A304" s="114" t="str">
        <f ca="1">(SUMPRODUCT(MID(0&amp;(LEFT(A303,SUM(LEN(A303)-LEN(SUBSTITUTE(A303,{"0","1","2"},""))))), LARGE(INDEX(ISNUMBER(--MID((LEFT(A303,SUM(LEN(A303)-LEN(SUBSTITUTE(A303,{"0","1","2"},""))))), ROW(INDIRECT("1:"&amp;LEN((LEFT(A303,SUM(LEN(A303)-LEN(SUBSTITUTE(A303,{"0","1","2"},"")))))))), 1)) * ROW(INDIRECT("1:"&amp;LEN((LEFT(A303,SUM(LEN(A303)-LEN(SUBSTITUTE(A303,{"0","1","2"},"")))))))), 0), ROW(INDIRECT("1:"&amp;LEN((LEFT(A303,SUM(LEN(A303)-LEN(SUBSTITUTE(A303,{"0","1","2"},"")))))))))+1, 1) * 10^ROW(INDIRECT("1:"&amp;LEN((LEFT(A303,SUM(LEN(A303)-LEN(SUBSTITUTE(A303,{"0","1","2"},""))))))))/10))*1+1&amp;""&amp;" &amp; "&amp;""&amp;(SUMPRODUCT(MID(0&amp;(--TRIM(RIGHT(SUBSTITUTE(LEFT(A303,_xlfn.AGGREGATE(16,6,FIND({0,1,2,3,4,5,6,7,8,9},A303,ROW(INDIRECT("1:"&amp;LEN(A303)))),1))," ",REPT(" ",LEN(A303))),LEN(A303)))), LARGE(INDEX(ISNUMBER(--MID((--TRIM(RIGHT(SUBSTITUTE(LEFT(A303,_xlfn.AGGREGATE(16,6,FIND({0,1,2,3,4,5,6,7,8,9},A303,ROW(INDIRECT("1:"&amp;LEN(A303)))),1))," ",REPT(" ",LEN(A303))),LEN(A303)))), ROW(INDIRECT("1:"&amp;LEN((--TRIM(RIGHT(SUBSTITUTE(LEFT(A303,_xlfn.AGGREGATE(16,6,FIND({0,1,2,3,4,5,6,7,8,9},A303,ROW(INDIRECT("1:"&amp;LEN(A303)))),1))," ",REPT(" ",LEN(A303))),LEN(A303))))))), 1)) * ROW(INDIRECT("1:"&amp;LEN((--TRIM(RIGHT(SUBSTITUTE(LEFT(A303,_xlfn.AGGREGATE(16,6,FIND({0,1,2,3,4,5,6,7,8,9},A303,ROW(INDIRECT("1:"&amp;LEN(A303)))),1))," ",REPT(" ",LEN(A303))),LEN(A303))))))), 0), ROW(INDIRECT("1:"&amp;LEN((--TRIM(RIGHT(SUBSTITUTE(LEFT(A303,_xlfn.AGGREGATE(16,6,FIND({0,1,2,3,4,5,6,7,8,9},A303,ROW(INDIRECT("1:"&amp;LEN(A303)))),1))," ",REPT(" ",LEN(A303))),LEN(A303))))))))+1, 1) * 10^ROW(INDIRECT("1:"&amp;LEN((--TRIM(RIGHT(SUBSTITUTE(LEFT(A303,_xlfn.AGGREGATE(16,6,FIND({0,1,2,3,4,5,6,7,8,9},A303,ROW(INDIRECT("1:"&amp;LEN(A303)))),1))," ",REPT(" ",LEN(A303))),LEN(A303)))))))/10))*1+1</f>
        <v>104 &amp; 304</v>
      </c>
      <c r="B304" s="115"/>
      <c r="C304" s="42" t="s">
        <v>169</v>
      </c>
      <c r="D304" s="42">
        <f>(29.75+5.3)*10.764</f>
        <v>377.27819999999997</v>
      </c>
      <c r="E304" s="42">
        <f>(5.811)*10.764</f>
        <v>62.549603999999995</v>
      </c>
      <c r="F304" s="42">
        <v>700</v>
      </c>
      <c r="G304" s="114" t="str">
        <f t="shared" si="21"/>
        <v>1st &amp; 3rd Floor for Residential</v>
      </c>
      <c r="H304" s="115"/>
      <c r="I304" s="36"/>
      <c r="J304" s="57">
        <f t="shared" si="17"/>
        <v>1.6896030462401486</v>
      </c>
    </row>
    <row r="305" spans="1:10" s="37" customFormat="1" x14ac:dyDescent="0.25">
      <c r="A305" s="114" t="str">
        <f ca="1">(SUMPRODUCT(MID(0&amp;(LEFT(A304,SUM(LEN(A304)-LEN(SUBSTITUTE(A304,{"0","1","2"},""))))), LARGE(INDEX(ISNUMBER(--MID((LEFT(A304,SUM(LEN(A304)-LEN(SUBSTITUTE(A304,{"0","1","2"},""))))), ROW(INDIRECT("1:"&amp;LEN((LEFT(A304,SUM(LEN(A304)-LEN(SUBSTITUTE(A304,{"0","1","2"},"")))))))), 1)) * ROW(INDIRECT("1:"&amp;LEN((LEFT(A304,SUM(LEN(A304)-LEN(SUBSTITUTE(A304,{"0","1","2"},"")))))))), 0), ROW(INDIRECT("1:"&amp;LEN((LEFT(A304,SUM(LEN(A304)-LEN(SUBSTITUTE(A304,{"0","1","2"},"")))))))))+1, 1) * 10^ROW(INDIRECT("1:"&amp;LEN((LEFT(A304,SUM(LEN(A304)-LEN(SUBSTITUTE(A304,{"0","1","2"},""))))))))/10))*1+1&amp;""&amp;" &amp; "&amp;""&amp;(SUMPRODUCT(MID(0&amp;(--TRIM(RIGHT(SUBSTITUTE(LEFT(A304,_xlfn.AGGREGATE(16,6,FIND({0,1,2,3,4,5,6,7,8,9},A304,ROW(INDIRECT("1:"&amp;LEN(A304)))),1))," ",REPT(" ",LEN(A304))),LEN(A304)))), LARGE(INDEX(ISNUMBER(--MID((--TRIM(RIGHT(SUBSTITUTE(LEFT(A304,_xlfn.AGGREGATE(16,6,FIND({0,1,2,3,4,5,6,7,8,9},A304,ROW(INDIRECT("1:"&amp;LEN(A304)))),1))," ",REPT(" ",LEN(A304))),LEN(A304)))), ROW(INDIRECT("1:"&amp;LEN((--TRIM(RIGHT(SUBSTITUTE(LEFT(A304,_xlfn.AGGREGATE(16,6,FIND({0,1,2,3,4,5,6,7,8,9},A304,ROW(INDIRECT("1:"&amp;LEN(A304)))),1))," ",REPT(" ",LEN(A304))),LEN(A304))))))), 1)) * ROW(INDIRECT("1:"&amp;LEN((--TRIM(RIGHT(SUBSTITUTE(LEFT(A304,_xlfn.AGGREGATE(16,6,FIND({0,1,2,3,4,5,6,7,8,9},A304,ROW(INDIRECT("1:"&amp;LEN(A304)))),1))," ",REPT(" ",LEN(A304))),LEN(A304))))))), 0), ROW(INDIRECT("1:"&amp;LEN((--TRIM(RIGHT(SUBSTITUTE(LEFT(A304,_xlfn.AGGREGATE(16,6,FIND({0,1,2,3,4,5,6,7,8,9},A304,ROW(INDIRECT("1:"&amp;LEN(A304)))),1))," ",REPT(" ",LEN(A304))),LEN(A304))))))))+1, 1) * 10^ROW(INDIRECT("1:"&amp;LEN((--TRIM(RIGHT(SUBSTITUTE(LEFT(A304,_xlfn.AGGREGATE(16,6,FIND({0,1,2,3,4,5,6,7,8,9},A304,ROW(INDIRECT("1:"&amp;LEN(A304)))),1))," ",REPT(" ",LEN(A304))),LEN(A304)))))))/10))*1+1</f>
        <v>105 &amp; 305</v>
      </c>
      <c r="B305" s="115"/>
      <c r="C305" s="42" t="s">
        <v>169</v>
      </c>
      <c r="D305" s="42">
        <f>(30.08+2.5)*10.764</f>
        <v>350.69111999999996</v>
      </c>
      <c r="E305" s="42">
        <f>(5.841)*10.764</f>
        <v>62.872523999999999</v>
      </c>
      <c r="F305" s="42">
        <v>670</v>
      </c>
      <c r="G305" s="114" t="str">
        <f t="shared" si="21"/>
        <v>1st &amp; 3rd Floor for Residential</v>
      </c>
      <c r="H305" s="115"/>
      <c r="I305" s="36"/>
      <c r="J305" s="57">
        <f t="shared" si="17"/>
        <v>1.7312313924572715</v>
      </c>
    </row>
    <row r="306" spans="1:10" s="37" customFormat="1" x14ac:dyDescent="0.25">
      <c r="A306" s="114" t="str">
        <f ca="1">(SUMPRODUCT(MID(0&amp;(LEFT(A305,SUM(LEN(A305)-LEN(SUBSTITUTE(A305,{"0","1","2"},""))))), LARGE(INDEX(ISNUMBER(--MID((LEFT(A305,SUM(LEN(A305)-LEN(SUBSTITUTE(A305,{"0","1","2"},""))))), ROW(INDIRECT("1:"&amp;LEN((LEFT(A305,SUM(LEN(A305)-LEN(SUBSTITUTE(A305,{"0","1","2"},"")))))))), 1)) * ROW(INDIRECT("1:"&amp;LEN((LEFT(A305,SUM(LEN(A305)-LEN(SUBSTITUTE(A305,{"0","1","2"},"")))))))), 0), ROW(INDIRECT("1:"&amp;LEN((LEFT(A305,SUM(LEN(A305)-LEN(SUBSTITUTE(A305,{"0","1","2"},"")))))))))+1, 1) * 10^ROW(INDIRECT("1:"&amp;LEN((LEFT(A305,SUM(LEN(A305)-LEN(SUBSTITUTE(A305,{"0","1","2"},""))))))))/10))*1+1&amp;""&amp;" &amp; "&amp;""&amp;(SUMPRODUCT(MID(0&amp;(--TRIM(RIGHT(SUBSTITUTE(LEFT(A305,_xlfn.AGGREGATE(16,6,FIND({0,1,2,3,4,5,6,7,8,9},A305,ROW(INDIRECT("1:"&amp;LEN(A305)))),1))," ",REPT(" ",LEN(A305))),LEN(A305)))), LARGE(INDEX(ISNUMBER(--MID((--TRIM(RIGHT(SUBSTITUTE(LEFT(A305,_xlfn.AGGREGATE(16,6,FIND({0,1,2,3,4,5,6,7,8,9},A305,ROW(INDIRECT("1:"&amp;LEN(A305)))),1))," ",REPT(" ",LEN(A305))),LEN(A305)))), ROW(INDIRECT("1:"&amp;LEN((--TRIM(RIGHT(SUBSTITUTE(LEFT(A305,_xlfn.AGGREGATE(16,6,FIND({0,1,2,3,4,5,6,7,8,9},A305,ROW(INDIRECT("1:"&amp;LEN(A305)))),1))," ",REPT(" ",LEN(A305))),LEN(A305))))))), 1)) * ROW(INDIRECT("1:"&amp;LEN((--TRIM(RIGHT(SUBSTITUTE(LEFT(A305,_xlfn.AGGREGATE(16,6,FIND({0,1,2,3,4,5,6,7,8,9},A305,ROW(INDIRECT("1:"&amp;LEN(A305)))),1))," ",REPT(" ",LEN(A305))),LEN(A305))))))), 0), ROW(INDIRECT("1:"&amp;LEN((--TRIM(RIGHT(SUBSTITUTE(LEFT(A305,_xlfn.AGGREGATE(16,6,FIND({0,1,2,3,4,5,6,7,8,9},A305,ROW(INDIRECT("1:"&amp;LEN(A305)))),1))," ",REPT(" ",LEN(A305))),LEN(A305))))))))+1, 1) * 10^ROW(INDIRECT("1:"&amp;LEN((--TRIM(RIGHT(SUBSTITUTE(LEFT(A305,_xlfn.AGGREGATE(16,6,FIND({0,1,2,3,4,5,6,7,8,9},A305,ROW(INDIRECT("1:"&amp;LEN(A305)))),1))," ",REPT(" ",LEN(A305))),LEN(A305)))))))/10))*1+1</f>
        <v>106 &amp; 306</v>
      </c>
      <c r="B306" s="115"/>
      <c r="C306" s="42" t="s">
        <v>177</v>
      </c>
      <c r="D306" s="42">
        <f>(20.4+2.425)*10.764</f>
        <v>245.68829999999997</v>
      </c>
      <c r="E306" s="42">
        <f>5.841*10.764</f>
        <v>62.872523999999999</v>
      </c>
      <c r="F306" s="42">
        <v>510</v>
      </c>
      <c r="G306" s="114" t="str">
        <f t="shared" si="21"/>
        <v>1st &amp; 3rd Floor for Residential</v>
      </c>
      <c r="H306" s="115"/>
      <c r="I306" s="36"/>
      <c r="J306" s="57">
        <f t="shared" si="17"/>
        <v>1.8198973089072621</v>
      </c>
    </row>
    <row r="307" spans="1:10" s="37" customFormat="1" x14ac:dyDescent="0.25">
      <c r="A307" s="114" t="str">
        <f ca="1">(SUMPRODUCT(MID(0&amp;(LEFT(A306,SUM(LEN(A306)-LEN(SUBSTITUTE(A306,{"0","1","2"},""))))), LARGE(INDEX(ISNUMBER(--MID((LEFT(A306,SUM(LEN(A306)-LEN(SUBSTITUTE(A306,{"0","1","2"},""))))), ROW(INDIRECT("1:"&amp;LEN((LEFT(A306,SUM(LEN(A306)-LEN(SUBSTITUTE(A306,{"0","1","2"},"")))))))), 1)) * ROW(INDIRECT("1:"&amp;LEN((LEFT(A306,SUM(LEN(A306)-LEN(SUBSTITUTE(A306,{"0","1","2"},"")))))))), 0), ROW(INDIRECT("1:"&amp;LEN((LEFT(A306,SUM(LEN(A306)-LEN(SUBSTITUTE(A306,{"0","1","2"},"")))))))))+1, 1) * 10^ROW(INDIRECT("1:"&amp;LEN((LEFT(A306,SUM(LEN(A306)-LEN(SUBSTITUTE(A306,{"0","1","2"},""))))))))/10))*1+1&amp;""&amp;" &amp; "&amp;""&amp;(SUMPRODUCT(MID(0&amp;(--TRIM(RIGHT(SUBSTITUTE(LEFT(A306,_xlfn.AGGREGATE(16,6,FIND({0,1,2,3,4,5,6,7,8,9},A306,ROW(INDIRECT("1:"&amp;LEN(A306)))),1))," ",REPT(" ",LEN(A306))),LEN(A306)))), LARGE(INDEX(ISNUMBER(--MID((--TRIM(RIGHT(SUBSTITUTE(LEFT(A306,_xlfn.AGGREGATE(16,6,FIND({0,1,2,3,4,5,6,7,8,9},A306,ROW(INDIRECT("1:"&amp;LEN(A306)))),1))," ",REPT(" ",LEN(A306))),LEN(A306)))), ROW(INDIRECT("1:"&amp;LEN((--TRIM(RIGHT(SUBSTITUTE(LEFT(A306,_xlfn.AGGREGATE(16,6,FIND({0,1,2,3,4,5,6,7,8,9},A306,ROW(INDIRECT("1:"&amp;LEN(A306)))),1))," ",REPT(" ",LEN(A306))),LEN(A306))))))), 1)) * ROW(INDIRECT("1:"&amp;LEN((--TRIM(RIGHT(SUBSTITUTE(LEFT(A306,_xlfn.AGGREGATE(16,6,FIND({0,1,2,3,4,5,6,7,8,9},A306,ROW(INDIRECT("1:"&amp;LEN(A306)))),1))," ",REPT(" ",LEN(A306))),LEN(A306))))))), 0), ROW(INDIRECT("1:"&amp;LEN((--TRIM(RIGHT(SUBSTITUTE(LEFT(A306,_xlfn.AGGREGATE(16,6,FIND({0,1,2,3,4,5,6,7,8,9},A306,ROW(INDIRECT("1:"&amp;LEN(A306)))),1))," ",REPT(" ",LEN(A306))),LEN(A306))))))))+1, 1) * 10^ROW(INDIRECT("1:"&amp;LEN((--TRIM(RIGHT(SUBSTITUTE(LEFT(A306,_xlfn.AGGREGATE(16,6,FIND({0,1,2,3,4,5,6,7,8,9},A306,ROW(INDIRECT("1:"&amp;LEN(A306)))),1))," ",REPT(" ",LEN(A306))),LEN(A306)))))))/10))*1+1</f>
        <v>107 &amp; 307</v>
      </c>
      <c r="B307" s="115"/>
      <c r="C307" s="42" t="s">
        <v>177</v>
      </c>
      <c r="D307" s="42">
        <f>(19.94+2.425)*10.764</f>
        <v>240.73686000000001</v>
      </c>
      <c r="E307" s="42">
        <f>(2.922)*10.764</f>
        <v>31.452407999999998</v>
      </c>
      <c r="F307" s="42">
        <v>455</v>
      </c>
      <c r="G307" s="114" t="str">
        <f t="shared" si="21"/>
        <v>1st &amp; 3rd Floor for Residential</v>
      </c>
      <c r="H307" s="115"/>
      <c r="I307" s="36"/>
      <c r="J307" s="57">
        <f t="shared" si="17"/>
        <v>1.7593798972039429</v>
      </c>
    </row>
    <row r="308" spans="1:10" s="37" customFormat="1" x14ac:dyDescent="0.25">
      <c r="A308" s="116" t="s">
        <v>170</v>
      </c>
      <c r="B308" s="117"/>
      <c r="C308" s="117"/>
      <c r="D308" s="117"/>
      <c r="E308" s="117"/>
      <c r="F308" s="117"/>
      <c r="G308" s="117"/>
      <c r="H308" s="118"/>
      <c r="I308" s="36"/>
      <c r="J308" s="57" t="e">
        <f t="shared" si="17"/>
        <v>#DIV/0!</v>
      </c>
    </row>
    <row r="309" spans="1:10" s="37" customFormat="1" x14ac:dyDescent="0.25">
      <c r="A309" s="114" t="str">
        <f ca="1">(SUMPRODUCT(MID(0&amp;(LEFT(A308,SUM(LEN(A308)-LEN(SUBSTITUTE(A308,{"0","1","2"},""))))), LARGE(INDEX(ISNUMBER(--MID((LEFT(A308,SUM(LEN(A308)-LEN(SUBSTITUTE(A308,{"0","1","2"},""))))), ROW(INDIRECT("1:"&amp;LEN((LEFT(A308,SUM(LEN(A308)-LEN(SUBSTITUTE(A308,{"0","1","2"},"")))))))), 1)) * ROW(INDIRECT("1:"&amp;LEN((LEFT(A308,SUM(LEN(A308)-LEN(SUBSTITUTE(A308,{"0","1","2"},"")))))))), 0), ROW(INDIRECT("1:"&amp;LEN((LEFT(A308,SUM(LEN(A308)-LEN(SUBSTITUTE(A308,{"0","1","2"},"")))))))))+1, 1) * 10^ROW(INDIRECT("1:"&amp;LEN((LEFT(A308,SUM(LEN(A308)-LEN(SUBSTITUTE(A308,{"0","1","2"},""))))))))/10))*100+1&amp;""&amp;" &amp; "&amp;""&amp;(SUMPRODUCT(MID(0&amp;(--TRIM(RIGHT(SUBSTITUTE(LEFT(A308,_xlfn.AGGREGATE(16,6,FIND({0,1,2,3,4,5,6,7,8,9},A308,ROW(INDIRECT("1:"&amp;LEN(A308)))),1))," ",REPT(" ",LEN(A308))),LEN(A308)))), LARGE(INDEX(ISNUMBER(--MID((--TRIM(RIGHT(SUBSTITUTE(LEFT(A308,_xlfn.AGGREGATE(16,6,FIND({0,1,2,3,4,5,6,7,8,9},A308,ROW(INDIRECT("1:"&amp;LEN(A308)))),1))," ",REPT(" ",LEN(A308))),LEN(A308)))), ROW(INDIRECT("1:"&amp;LEN((--TRIM(RIGHT(SUBSTITUTE(LEFT(A308,_xlfn.AGGREGATE(16,6,FIND({0,1,2,3,4,5,6,7,8,9},A308,ROW(INDIRECT("1:"&amp;LEN(A308)))),1))," ",REPT(" ",LEN(A308))),LEN(A308))))))), 1)) * ROW(INDIRECT("1:"&amp;LEN((--TRIM(RIGHT(SUBSTITUTE(LEFT(A308,_xlfn.AGGREGATE(16,6,FIND({0,1,2,3,4,5,6,7,8,9},A308,ROW(INDIRECT("1:"&amp;LEN(A308)))),1))," ",REPT(" ",LEN(A308))),LEN(A308))))))), 0), ROW(INDIRECT("1:"&amp;LEN((--TRIM(RIGHT(SUBSTITUTE(LEFT(A308,_xlfn.AGGREGATE(16,6,FIND({0,1,2,3,4,5,6,7,8,9},A308,ROW(INDIRECT("1:"&amp;LEN(A308)))),1))," ",REPT(" ",LEN(A308))),LEN(A308))))))))+1, 1) * 10^ROW(INDIRECT("1:"&amp;LEN((--TRIM(RIGHT(SUBSTITUTE(LEFT(A308,_xlfn.AGGREGATE(16,6,FIND({0,1,2,3,4,5,6,7,8,9},A308,ROW(INDIRECT("1:"&amp;LEN(A308)))),1))," ",REPT(" ",LEN(A308))),LEN(A308)))))))/10))*100+1</f>
        <v>201 &amp; 401</v>
      </c>
      <c r="B309" s="115"/>
      <c r="C309" s="42" t="s">
        <v>169</v>
      </c>
      <c r="D309" s="42">
        <f>(30.08+2.5)*10.764</f>
        <v>350.69111999999996</v>
      </c>
      <c r="E309" s="42">
        <f>5.811*10.764</f>
        <v>62.549603999999995</v>
      </c>
      <c r="F309" s="42">
        <v>670</v>
      </c>
      <c r="G309" s="114" t="str">
        <f>A308</f>
        <v>2nd &amp; 4th Floor</v>
      </c>
      <c r="H309" s="115"/>
      <c r="I309" s="36"/>
      <c r="J309" s="57">
        <f t="shared" si="17"/>
        <v>1.7321522027703469</v>
      </c>
    </row>
    <row r="310" spans="1:10" s="37" customFormat="1" x14ac:dyDescent="0.25">
      <c r="A310" s="114" t="str">
        <f ca="1">(SUMPRODUCT(MID(0&amp;(LEFT(A309,SUM(LEN(A309)-LEN(SUBSTITUTE(A309,{"0","1","2"},""))))), LARGE(INDEX(ISNUMBER(--MID((LEFT(A309,SUM(LEN(A309)-LEN(SUBSTITUTE(A309,{"0","1","2"},""))))), ROW(INDIRECT("1:"&amp;LEN((LEFT(A309,SUM(LEN(A309)-LEN(SUBSTITUTE(A309,{"0","1","2"},"")))))))), 1)) * ROW(INDIRECT("1:"&amp;LEN((LEFT(A309,SUM(LEN(A309)-LEN(SUBSTITUTE(A309,{"0","1","2"},"")))))))), 0), ROW(INDIRECT("1:"&amp;LEN((LEFT(A309,SUM(LEN(A309)-LEN(SUBSTITUTE(A309,{"0","1","2"},"")))))))))+1, 1) * 10^ROW(INDIRECT("1:"&amp;LEN((LEFT(A309,SUM(LEN(A309)-LEN(SUBSTITUTE(A309,{"0","1","2"},""))))))))/10))*1+1&amp;""&amp;" &amp; "&amp;""&amp;(SUMPRODUCT(MID(0&amp;(--TRIM(RIGHT(SUBSTITUTE(LEFT(A309,_xlfn.AGGREGATE(16,6,FIND({0,1,2,3,4,5,6,7,8,9},A309,ROW(INDIRECT("1:"&amp;LEN(A309)))),1))," ",REPT(" ",LEN(A309))),LEN(A309)))), LARGE(INDEX(ISNUMBER(--MID((--TRIM(RIGHT(SUBSTITUTE(LEFT(A309,_xlfn.AGGREGATE(16,6,FIND({0,1,2,3,4,5,6,7,8,9},A309,ROW(INDIRECT("1:"&amp;LEN(A309)))),1))," ",REPT(" ",LEN(A309))),LEN(A309)))), ROW(INDIRECT("1:"&amp;LEN((--TRIM(RIGHT(SUBSTITUTE(LEFT(A309,_xlfn.AGGREGATE(16,6,FIND({0,1,2,3,4,5,6,7,8,9},A309,ROW(INDIRECT("1:"&amp;LEN(A309)))),1))," ",REPT(" ",LEN(A309))),LEN(A309))))))), 1)) * ROW(INDIRECT("1:"&amp;LEN((--TRIM(RIGHT(SUBSTITUTE(LEFT(A309,_xlfn.AGGREGATE(16,6,FIND({0,1,2,3,4,5,6,7,8,9},A309,ROW(INDIRECT("1:"&amp;LEN(A309)))),1))," ",REPT(" ",LEN(A309))),LEN(A309))))))), 0), ROW(INDIRECT("1:"&amp;LEN((--TRIM(RIGHT(SUBSTITUTE(LEFT(A309,_xlfn.AGGREGATE(16,6,FIND({0,1,2,3,4,5,6,7,8,9},A309,ROW(INDIRECT("1:"&amp;LEN(A309)))),1))," ",REPT(" ",LEN(A309))),LEN(A309))))))))+1, 1) * 10^ROW(INDIRECT("1:"&amp;LEN((--TRIM(RIGHT(SUBSTITUTE(LEFT(A309,_xlfn.AGGREGATE(16,6,FIND({0,1,2,3,4,5,6,7,8,9},A309,ROW(INDIRECT("1:"&amp;LEN(A309)))),1))," ",REPT(" ",LEN(A309))),LEN(A309)))))))/10))*1+1</f>
        <v>202 &amp; 402</v>
      </c>
      <c r="B310" s="115"/>
      <c r="C310" s="42" t="s">
        <v>169</v>
      </c>
      <c r="D310" s="42">
        <f>(30.08+2.5)*10.764</f>
        <v>350.69111999999996</v>
      </c>
      <c r="E310" s="42">
        <f>5.811*10.764</f>
        <v>62.549603999999995</v>
      </c>
      <c r="F310" s="42">
        <v>670</v>
      </c>
      <c r="G310" s="114" t="str">
        <f t="shared" ref="G310:G315" si="22">G309</f>
        <v>2nd &amp; 4th Floor</v>
      </c>
      <c r="H310" s="115"/>
      <c r="I310" s="36"/>
      <c r="J310" s="57">
        <f t="shared" si="17"/>
        <v>1.7321522027703469</v>
      </c>
    </row>
    <row r="311" spans="1:10" s="37" customFormat="1" x14ac:dyDescent="0.25">
      <c r="A311" s="114" t="str">
        <f ca="1">(SUMPRODUCT(MID(0&amp;(LEFT(A310,SUM(LEN(A310)-LEN(SUBSTITUTE(A310,{"0","1","2"},""))))), LARGE(INDEX(ISNUMBER(--MID((LEFT(A310,SUM(LEN(A310)-LEN(SUBSTITUTE(A310,{"0","1","2"},""))))), ROW(INDIRECT("1:"&amp;LEN((LEFT(A310,SUM(LEN(A310)-LEN(SUBSTITUTE(A310,{"0","1","2"},"")))))))), 1)) * ROW(INDIRECT("1:"&amp;LEN((LEFT(A310,SUM(LEN(A310)-LEN(SUBSTITUTE(A310,{"0","1","2"},"")))))))), 0), ROW(INDIRECT("1:"&amp;LEN((LEFT(A310,SUM(LEN(A310)-LEN(SUBSTITUTE(A310,{"0","1","2"},"")))))))))+1, 1) * 10^ROW(INDIRECT("1:"&amp;LEN((LEFT(A310,SUM(LEN(A310)-LEN(SUBSTITUTE(A310,{"0","1","2"},""))))))))/10))*1+1&amp;""&amp;" &amp; "&amp;""&amp;(SUMPRODUCT(MID(0&amp;(--TRIM(RIGHT(SUBSTITUTE(LEFT(A310,_xlfn.AGGREGATE(16,6,FIND({0,1,2,3,4,5,6,7,8,9},A310,ROW(INDIRECT("1:"&amp;LEN(A310)))),1))," ",REPT(" ",LEN(A310))),LEN(A310)))), LARGE(INDEX(ISNUMBER(--MID((--TRIM(RIGHT(SUBSTITUTE(LEFT(A310,_xlfn.AGGREGATE(16,6,FIND({0,1,2,3,4,5,6,7,8,9},A310,ROW(INDIRECT("1:"&amp;LEN(A310)))),1))," ",REPT(" ",LEN(A310))),LEN(A310)))), ROW(INDIRECT("1:"&amp;LEN((--TRIM(RIGHT(SUBSTITUTE(LEFT(A310,_xlfn.AGGREGATE(16,6,FIND({0,1,2,3,4,5,6,7,8,9},A310,ROW(INDIRECT("1:"&amp;LEN(A310)))),1))," ",REPT(" ",LEN(A310))),LEN(A310))))))), 1)) * ROW(INDIRECT("1:"&amp;LEN((--TRIM(RIGHT(SUBSTITUTE(LEFT(A310,_xlfn.AGGREGATE(16,6,FIND({0,1,2,3,4,5,6,7,8,9},A310,ROW(INDIRECT("1:"&amp;LEN(A310)))),1))," ",REPT(" ",LEN(A310))),LEN(A310))))))), 0), ROW(INDIRECT("1:"&amp;LEN((--TRIM(RIGHT(SUBSTITUTE(LEFT(A310,_xlfn.AGGREGATE(16,6,FIND({0,1,2,3,4,5,6,7,8,9},A310,ROW(INDIRECT("1:"&amp;LEN(A310)))),1))," ",REPT(" ",LEN(A310))),LEN(A310))))))))+1, 1) * 10^ROW(INDIRECT("1:"&amp;LEN((--TRIM(RIGHT(SUBSTITUTE(LEFT(A310,_xlfn.AGGREGATE(16,6,FIND({0,1,2,3,4,5,6,7,8,9},A310,ROW(INDIRECT("1:"&amp;LEN(A310)))),1))," ",REPT(" ",LEN(A310))),LEN(A310)))))))/10))*1+1</f>
        <v>203 &amp; 403</v>
      </c>
      <c r="B311" s="115"/>
      <c r="C311" s="42" t="s">
        <v>169</v>
      </c>
      <c r="D311" s="42">
        <f>(29.03+5.3)*10.764</f>
        <v>369.52811999999994</v>
      </c>
      <c r="E311" s="42">
        <f>0</f>
        <v>0</v>
      </c>
      <c r="F311" s="42">
        <v>600</v>
      </c>
      <c r="G311" s="114" t="str">
        <f t="shared" si="22"/>
        <v>2nd &amp; 4th Floor</v>
      </c>
      <c r="H311" s="115"/>
      <c r="I311" s="36"/>
      <c r="J311" s="57">
        <f t="shared" si="17"/>
        <v>1.6236923999180362</v>
      </c>
    </row>
    <row r="312" spans="1:10" s="37" customFormat="1" x14ac:dyDescent="0.25">
      <c r="A312" s="114" t="str">
        <f ca="1">(SUMPRODUCT(MID(0&amp;(LEFT(A311,SUM(LEN(A311)-LEN(SUBSTITUTE(A311,{"0","1","2"},""))))), LARGE(INDEX(ISNUMBER(--MID((LEFT(A311,SUM(LEN(A311)-LEN(SUBSTITUTE(A311,{"0","1","2"},""))))), ROW(INDIRECT("1:"&amp;LEN((LEFT(A311,SUM(LEN(A311)-LEN(SUBSTITUTE(A311,{"0","1","2"},"")))))))), 1)) * ROW(INDIRECT("1:"&amp;LEN((LEFT(A311,SUM(LEN(A311)-LEN(SUBSTITUTE(A311,{"0","1","2"},"")))))))), 0), ROW(INDIRECT("1:"&amp;LEN((LEFT(A311,SUM(LEN(A311)-LEN(SUBSTITUTE(A311,{"0","1","2"},"")))))))))+1, 1) * 10^ROW(INDIRECT("1:"&amp;LEN((LEFT(A311,SUM(LEN(A311)-LEN(SUBSTITUTE(A311,{"0","1","2"},""))))))))/10))*1+1&amp;""&amp;" &amp; "&amp;""&amp;(SUMPRODUCT(MID(0&amp;(--TRIM(RIGHT(SUBSTITUTE(LEFT(A311,_xlfn.AGGREGATE(16,6,FIND({0,1,2,3,4,5,6,7,8,9},A311,ROW(INDIRECT("1:"&amp;LEN(A311)))),1))," ",REPT(" ",LEN(A311))),LEN(A311)))), LARGE(INDEX(ISNUMBER(--MID((--TRIM(RIGHT(SUBSTITUTE(LEFT(A311,_xlfn.AGGREGATE(16,6,FIND({0,1,2,3,4,5,6,7,8,9},A311,ROW(INDIRECT("1:"&amp;LEN(A311)))),1))," ",REPT(" ",LEN(A311))),LEN(A311)))), ROW(INDIRECT("1:"&amp;LEN((--TRIM(RIGHT(SUBSTITUTE(LEFT(A311,_xlfn.AGGREGATE(16,6,FIND({0,1,2,3,4,5,6,7,8,9},A311,ROW(INDIRECT("1:"&amp;LEN(A311)))),1))," ",REPT(" ",LEN(A311))),LEN(A311))))))), 1)) * ROW(INDIRECT("1:"&amp;LEN((--TRIM(RIGHT(SUBSTITUTE(LEFT(A311,_xlfn.AGGREGATE(16,6,FIND({0,1,2,3,4,5,6,7,8,9},A311,ROW(INDIRECT("1:"&amp;LEN(A311)))),1))," ",REPT(" ",LEN(A311))),LEN(A311))))))), 0), ROW(INDIRECT("1:"&amp;LEN((--TRIM(RIGHT(SUBSTITUTE(LEFT(A311,_xlfn.AGGREGATE(16,6,FIND({0,1,2,3,4,5,6,7,8,9},A311,ROW(INDIRECT("1:"&amp;LEN(A311)))),1))," ",REPT(" ",LEN(A311))),LEN(A311))))))))+1, 1) * 10^ROW(INDIRECT("1:"&amp;LEN((--TRIM(RIGHT(SUBSTITUTE(LEFT(A311,_xlfn.AGGREGATE(16,6,FIND({0,1,2,3,4,5,6,7,8,9},A311,ROW(INDIRECT("1:"&amp;LEN(A311)))),1))," ",REPT(" ",LEN(A311))),LEN(A311)))))))/10))*1+1</f>
        <v>204 &amp; 404</v>
      </c>
      <c r="B312" s="115"/>
      <c r="C312" s="42" t="s">
        <v>169</v>
      </c>
      <c r="D312" s="42">
        <f>(29.397+5.3)*10.764</f>
        <v>373.47850799999992</v>
      </c>
      <c r="E312" s="42">
        <f>3.332*10.764</f>
        <v>35.865647999999993</v>
      </c>
      <c r="F312" s="42">
        <v>655</v>
      </c>
      <c r="G312" s="114" t="str">
        <f t="shared" si="22"/>
        <v>2nd &amp; 4th Floor</v>
      </c>
      <c r="H312" s="115"/>
      <c r="I312" s="36"/>
      <c r="J312" s="57">
        <f t="shared" si="17"/>
        <v>1.65775095149518</v>
      </c>
    </row>
    <row r="313" spans="1:10" s="37" customFormat="1" x14ac:dyDescent="0.25">
      <c r="A313" s="114" t="str">
        <f ca="1">(SUMPRODUCT(MID(0&amp;(LEFT(A312,SUM(LEN(A312)-LEN(SUBSTITUTE(A312,{"0","1","2"},""))))), LARGE(INDEX(ISNUMBER(--MID((LEFT(A312,SUM(LEN(A312)-LEN(SUBSTITUTE(A312,{"0","1","2"},""))))), ROW(INDIRECT("1:"&amp;LEN((LEFT(A312,SUM(LEN(A312)-LEN(SUBSTITUTE(A312,{"0","1","2"},"")))))))), 1)) * ROW(INDIRECT("1:"&amp;LEN((LEFT(A312,SUM(LEN(A312)-LEN(SUBSTITUTE(A312,{"0","1","2"},"")))))))), 0), ROW(INDIRECT("1:"&amp;LEN((LEFT(A312,SUM(LEN(A312)-LEN(SUBSTITUTE(A312,{"0","1","2"},"")))))))))+1, 1) * 10^ROW(INDIRECT("1:"&amp;LEN((LEFT(A312,SUM(LEN(A312)-LEN(SUBSTITUTE(A312,{"0","1","2"},""))))))))/10))*1+1&amp;""&amp;" &amp; "&amp;""&amp;(SUMPRODUCT(MID(0&amp;(--TRIM(RIGHT(SUBSTITUTE(LEFT(A312,_xlfn.AGGREGATE(16,6,FIND({0,1,2,3,4,5,6,7,8,9},A312,ROW(INDIRECT("1:"&amp;LEN(A312)))),1))," ",REPT(" ",LEN(A312))),LEN(A312)))), LARGE(INDEX(ISNUMBER(--MID((--TRIM(RIGHT(SUBSTITUTE(LEFT(A312,_xlfn.AGGREGATE(16,6,FIND({0,1,2,3,4,5,6,7,8,9},A312,ROW(INDIRECT("1:"&amp;LEN(A312)))),1))," ",REPT(" ",LEN(A312))),LEN(A312)))), ROW(INDIRECT("1:"&amp;LEN((--TRIM(RIGHT(SUBSTITUTE(LEFT(A312,_xlfn.AGGREGATE(16,6,FIND({0,1,2,3,4,5,6,7,8,9},A312,ROW(INDIRECT("1:"&amp;LEN(A312)))),1))," ",REPT(" ",LEN(A312))),LEN(A312))))))), 1)) * ROW(INDIRECT("1:"&amp;LEN((--TRIM(RIGHT(SUBSTITUTE(LEFT(A312,_xlfn.AGGREGATE(16,6,FIND({0,1,2,3,4,5,6,7,8,9},A312,ROW(INDIRECT("1:"&amp;LEN(A312)))),1))," ",REPT(" ",LEN(A312))),LEN(A312))))))), 0), ROW(INDIRECT("1:"&amp;LEN((--TRIM(RIGHT(SUBSTITUTE(LEFT(A312,_xlfn.AGGREGATE(16,6,FIND({0,1,2,3,4,5,6,7,8,9},A312,ROW(INDIRECT("1:"&amp;LEN(A312)))),1))," ",REPT(" ",LEN(A312))),LEN(A312))))))))+1, 1) * 10^ROW(INDIRECT("1:"&amp;LEN((--TRIM(RIGHT(SUBSTITUTE(LEFT(A312,_xlfn.AGGREGATE(16,6,FIND({0,1,2,3,4,5,6,7,8,9},A312,ROW(INDIRECT("1:"&amp;LEN(A312)))),1))," ",REPT(" ",LEN(A312))),LEN(A312)))))))/10))*1+1</f>
        <v>205 &amp; 405</v>
      </c>
      <c r="B313" s="115"/>
      <c r="C313" s="42" t="s">
        <v>169</v>
      </c>
      <c r="D313" s="42">
        <f>(30.08+2.5)*10.764</f>
        <v>350.69111999999996</v>
      </c>
      <c r="E313" s="42">
        <f>5.972*10.764</f>
        <v>64.282607999999996</v>
      </c>
      <c r="F313" s="42">
        <v>670</v>
      </c>
      <c r="G313" s="114" t="str">
        <f t="shared" si="22"/>
        <v>2nd &amp; 4th Floor</v>
      </c>
      <c r="H313" s="115"/>
      <c r="I313" s="36"/>
      <c r="J313" s="57">
        <f t="shared" si="17"/>
        <v>1.7272105207568418</v>
      </c>
    </row>
    <row r="314" spans="1:10" s="37" customFormat="1" x14ac:dyDescent="0.25">
      <c r="A314" s="114" t="str">
        <f ca="1">(SUMPRODUCT(MID(0&amp;(LEFT(A313,SUM(LEN(A313)-LEN(SUBSTITUTE(A313,{"0","1","2"},""))))), LARGE(INDEX(ISNUMBER(--MID((LEFT(A313,SUM(LEN(A313)-LEN(SUBSTITUTE(A313,{"0","1","2"},""))))), ROW(INDIRECT("1:"&amp;LEN((LEFT(A313,SUM(LEN(A313)-LEN(SUBSTITUTE(A313,{"0","1","2"},"")))))))), 1)) * ROW(INDIRECT("1:"&amp;LEN((LEFT(A313,SUM(LEN(A313)-LEN(SUBSTITUTE(A313,{"0","1","2"},"")))))))), 0), ROW(INDIRECT("1:"&amp;LEN((LEFT(A313,SUM(LEN(A313)-LEN(SUBSTITUTE(A313,{"0","1","2"},"")))))))))+1, 1) * 10^ROW(INDIRECT("1:"&amp;LEN((LEFT(A313,SUM(LEN(A313)-LEN(SUBSTITUTE(A313,{"0","1","2"},""))))))))/10))*1+1&amp;""&amp;" &amp; "&amp;""&amp;(SUMPRODUCT(MID(0&amp;(--TRIM(RIGHT(SUBSTITUTE(LEFT(A313,_xlfn.AGGREGATE(16,6,FIND({0,1,2,3,4,5,6,7,8,9},A313,ROW(INDIRECT("1:"&amp;LEN(A313)))),1))," ",REPT(" ",LEN(A313))),LEN(A313)))), LARGE(INDEX(ISNUMBER(--MID((--TRIM(RIGHT(SUBSTITUTE(LEFT(A313,_xlfn.AGGREGATE(16,6,FIND({0,1,2,3,4,5,6,7,8,9},A313,ROW(INDIRECT("1:"&amp;LEN(A313)))),1))," ",REPT(" ",LEN(A313))),LEN(A313)))), ROW(INDIRECT("1:"&amp;LEN((--TRIM(RIGHT(SUBSTITUTE(LEFT(A313,_xlfn.AGGREGATE(16,6,FIND({0,1,2,3,4,5,6,7,8,9},A313,ROW(INDIRECT("1:"&amp;LEN(A313)))),1))," ",REPT(" ",LEN(A313))),LEN(A313))))))), 1)) * ROW(INDIRECT("1:"&amp;LEN((--TRIM(RIGHT(SUBSTITUTE(LEFT(A313,_xlfn.AGGREGATE(16,6,FIND({0,1,2,3,4,5,6,7,8,9},A313,ROW(INDIRECT("1:"&amp;LEN(A313)))),1))," ",REPT(" ",LEN(A313))),LEN(A313))))))), 0), ROW(INDIRECT("1:"&amp;LEN((--TRIM(RIGHT(SUBSTITUTE(LEFT(A313,_xlfn.AGGREGATE(16,6,FIND({0,1,2,3,4,5,6,7,8,9},A313,ROW(INDIRECT("1:"&amp;LEN(A313)))),1))," ",REPT(" ",LEN(A313))),LEN(A313))))))))+1, 1) * 10^ROW(INDIRECT("1:"&amp;LEN((--TRIM(RIGHT(SUBSTITUTE(LEFT(A313,_xlfn.AGGREGATE(16,6,FIND({0,1,2,3,4,5,6,7,8,9},A313,ROW(INDIRECT("1:"&amp;LEN(A313)))),1))," ",REPT(" ",LEN(A313))),LEN(A313)))))))/10))*1+1</f>
        <v>206 &amp; 406</v>
      </c>
      <c r="B314" s="115"/>
      <c r="C314" s="42" t="s">
        <v>177</v>
      </c>
      <c r="D314" s="42">
        <f>(19.68+2.425)*10.764</f>
        <v>237.93822</v>
      </c>
      <c r="E314" s="42">
        <f>0</f>
        <v>0</v>
      </c>
      <c r="F314" s="42">
        <v>410</v>
      </c>
      <c r="G314" s="114" t="str">
        <f t="shared" si="22"/>
        <v>2nd &amp; 4th Floor</v>
      </c>
      <c r="H314" s="115"/>
      <c r="I314" s="36"/>
      <c r="J314" s="57">
        <f t="shared" si="17"/>
        <v>1.7231363670788156</v>
      </c>
    </row>
    <row r="315" spans="1:10" s="37" customFormat="1" x14ac:dyDescent="0.25">
      <c r="A315" s="114" t="str">
        <f ca="1">(SUMPRODUCT(MID(0&amp;(LEFT(A314,SUM(LEN(A314)-LEN(SUBSTITUTE(A314,{"0","1","2"},""))))), LARGE(INDEX(ISNUMBER(--MID((LEFT(A314,SUM(LEN(A314)-LEN(SUBSTITUTE(A314,{"0","1","2"},""))))), ROW(INDIRECT("1:"&amp;LEN((LEFT(A314,SUM(LEN(A314)-LEN(SUBSTITUTE(A314,{"0","1","2"},"")))))))), 1)) * ROW(INDIRECT("1:"&amp;LEN((LEFT(A314,SUM(LEN(A314)-LEN(SUBSTITUTE(A314,{"0","1","2"},"")))))))), 0), ROW(INDIRECT("1:"&amp;LEN((LEFT(A314,SUM(LEN(A314)-LEN(SUBSTITUTE(A314,{"0","1","2"},"")))))))))+1, 1) * 10^ROW(INDIRECT("1:"&amp;LEN((LEFT(A314,SUM(LEN(A314)-LEN(SUBSTITUTE(A314,{"0","1","2"},""))))))))/10))*1+1&amp;""&amp;" &amp; "&amp;""&amp;(SUMPRODUCT(MID(0&amp;(--TRIM(RIGHT(SUBSTITUTE(LEFT(A314,_xlfn.AGGREGATE(16,6,FIND({0,1,2,3,4,5,6,7,8,9},A314,ROW(INDIRECT("1:"&amp;LEN(A314)))),1))," ",REPT(" ",LEN(A314))),LEN(A314)))), LARGE(INDEX(ISNUMBER(--MID((--TRIM(RIGHT(SUBSTITUTE(LEFT(A314,_xlfn.AGGREGATE(16,6,FIND({0,1,2,3,4,5,6,7,8,9},A314,ROW(INDIRECT("1:"&amp;LEN(A314)))),1))," ",REPT(" ",LEN(A314))),LEN(A314)))), ROW(INDIRECT("1:"&amp;LEN((--TRIM(RIGHT(SUBSTITUTE(LEFT(A314,_xlfn.AGGREGATE(16,6,FIND({0,1,2,3,4,5,6,7,8,9},A314,ROW(INDIRECT("1:"&amp;LEN(A314)))),1))," ",REPT(" ",LEN(A314))),LEN(A314))))))), 1)) * ROW(INDIRECT("1:"&amp;LEN((--TRIM(RIGHT(SUBSTITUTE(LEFT(A314,_xlfn.AGGREGATE(16,6,FIND({0,1,2,3,4,5,6,7,8,9},A314,ROW(INDIRECT("1:"&amp;LEN(A314)))),1))," ",REPT(" ",LEN(A314))),LEN(A314))))))), 0), ROW(INDIRECT("1:"&amp;LEN((--TRIM(RIGHT(SUBSTITUTE(LEFT(A314,_xlfn.AGGREGATE(16,6,FIND({0,1,2,3,4,5,6,7,8,9},A314,ROW(INDIRECT("1:"&amp;LEN(A314)))),1))," ",REPT(" ",LEN(A314))),LEN(A314))))))))+1, 1) * 10^ROW(INDIRECT("1:"&amp;LEN((--TRIM(RIGHT(SUBSTITUTE(LEFT(A314,_xlfn.AGGREGATE(16,6,FIND({0,1,2,3,4,5,6,7,8,9},A314,ROW(INDIRECT("1:"&amp;LEN(A314)))),1))," ",REPT(" ",LEN(A314))),LEN(A314)))))))/10))*1+1</f>
        <v>207 &amp; 407</v>
      </c>
      <c r="B315" s="115"/>
      <c r="C315" s="42" t="s">
        <v>177</v>
      </c>
      <c r="D315" s="42">
        <f>(19.597+2.425)*10.764</f>
        <v>237.04480800000002</v>
      </c>
      <c r="E315" s="42">
        <f>7.445*10.764</f>
        <v>80.137979999999999</v>
      </c>
      <c r="F315" s="42">
        <v>520</v>
      </c>
      <c r="G315" s="114" t="str">
        <f t="shared" si="22"/>
        <v>2nd &amp; 4th Floor</v>
      </c>
      <c r="H315" s="115"/>
      <c r="I315" s="36"/>
      <c r="J315" s="57">
        <f t="shared" si="17"/>
        <v>1.8556070631169446</v>
      </c>
    </row>
    <row r="316" spans="1:10" s="34" customFormat="1" x14ac:dyDescent="0.25">
      <c r="A316" s="182" t="s">
        <v>178</v>
      </c>
      <c r="B316" s="183"/>
      <c r="C316" s="183"/>
      <c r="D316" s="183"/>
      <c r="E316" s="183"/>
      <c r="F316" s="183"/>
      <c r="G316" s="183"/>
      <c r="H316" s="184"/>
      <c r="J316" s="57" t="e">
        <f t="shared" si="17"/>
        <v>#DIV/0!</v>
      </c>
    </row>
    <row r="317" spans="1:10" s="37" customFormat="1" ht="15.75" customHeight="1" x14ac:dyDescent="0.25">
      <c r="A317" s="116" t="s">
        <v>167</v>
      </c>
      <c r="B317" s="117"/>
      <c r="C317" s="117"/>
      <c r="D317" s="117"/>
      <c r="E317" s="117"/>
      <c r="F317" s="117"/>
      <c r="G317" s="117"/>
      <c r="H317" s="118"/>
      <c r="I317" s="36"/>
      <c r="J317" s="57" t="e">
        <f t="shared" si="17"/>
        <v>#DIV/0!</v>
      </c>
    </row>
    <row r="318" spans="1:10" s="37" customFormat="1" x14ac:dyDescent="0.25">
      <c r="A318" s="114" t="str">
        <f ca="1">(SUMPRODUCT(MID(0&amp;(LEFT(A317,SUM(LEN(A317)-LEN(SUBSTITUTE(A317,{"0","1","2"},""))))), LARGE(INDEX(ISNUMBER(--MID((LEFT(A317,SUM(LEN(A317)-LEN(SUBSTITUTE(A317,{"0","1","2"},""))))), ROW(INDIRECT("1:"&amp;LEN((LEFT(A317,SUM(LEN(A317)-LEN(SUBSTITUTE(A317,{"0","1","2"},"")))))))), 1)) * ROW(INDIRECT("1:"&amp;LEN((LEFT(A317,SUM(LEN(A317)-LEN(SUBSTITUTE(A317,{"0","1","2"},"")))))))), 0), ROW(INDIRECT("1:"&amp;LEN((LEFT(A317,SUM(LEN(A317)-LEN(SUBSTITUTE(A317,{"0","1","2"},"")))))))))+1, 1) * 10^ROW(INDIRECT("1:"&amp;LEN((LEFT(A317,SUM(LEN(A317)-LEN(SUBSTITUTE(A317,{"0","1","2"},""))))))))/10))*100+1&amp;""&amp;" &amp; "&amp;""&amp;(SUMPRODUCT(MID(0&amp;(--TRIM(RIGHT(SUBSTITUTE(LEFT(A317,_xlfn.AGGREGATE(16,6,FIND({0,1,2,3,4,5,6,7,8,9},A317,ROW(INDIRECT("1:"&amp;LEN(A317)))),1))," ",REPT(" ",LEN(A317))),LEN(A317)))), LARGE(INDEX(ISNUMBER(--MID((--TRIM(RIGHT(SUBSTITUTE(LEFT(A317,_xlfn.AGGREGATE(16,6,FIND({0,1,2,3,4,5,6,7,8,9},A317,ROW(INDIRECT("1:"&amp;LEN(A317)))),1))," ",REPT(" ",LEN(A317))),LEN(A317)))), ROW(INDIRECT("1:"&amp;LEN((--TRIM(RIGHT(SUBSTITUTE(LEFT(A317,_xlfn.AGGREGATE(16,6,FIND({0,1,2,3,4,5,6,7,8,9},A317,ROW(INDIRECT("1:"&amp;LEN(A317)))),1))," ",REPT(" ",LEN(A317))),LEN(A317))))))), 1)) * ROW(INDIRECT("1:"&amp;LEN((--TRIM(RIGHT(SUBSTITUTE(LEFT(A317,_xlfn.AGGREGATE(16,6,FIND({0,1,2,3,4,5,6,7,8,9},A317,ROW(INDIRECT("1:"&amp;LEN(A317)))),1))," ",REPT(" ",LEN(A317))),LEN(A317))))))), 0), ROW(INDIRECT("1:"&amp;LEN((--TRIM(RIGHT(SUBSTITUTE(LEFT(A317,_xlfn.AGGREGATE(16,6,FIND({0,1,2,3,4,5,6,7,8,9},A317,ROW(INDIRECT("1:"&amp;LEN(A317)))),1))," ",REPT(" ",LEN(A317))),LEN(A317))))))))+1, 1) * 10^ROW(INDIRECT("1:"&amp;LEN((--TRIM(RIGHT(SUBSTITUTE(LEFT(A317,_xlfn.AGGREGATE(16,6,FIND({0,1,2,3,4,5,6,7,8,9},A317,ROW(INDIRECT("1:"&amp;LEN(A317)))),1))," ",REPT(" ",LEN(A317))),LEN(A317)))))))/10))*100+1</f>
        <v>101 &amp; 301</v>
      </c>
      <c r="B318" s="115"/>
      <c r="C318" s="42" t="s">
        <v>177</v>
      </c>
      <c r="D318" s="42">
        <f>(19.94+2.425)*10.764</f>
        <v>240.73686000000001</v>
      </c>
      <c r="E318" s="42">
        <f>2.922*10.764</f>
        <v>31.452407999999998</v>
      </c>
      <c r="F318" s="42">
        <v>455</v>
      </c>
      <c r="G318" s="114" t="str">
        <f>A317</f>
        <v>1st &amp; 3rd Floor for Residential</v>
      </c>
      <c r="H318" s="115"/>
      <c r="I318" s="36"/>
      <c r="J318" s="57">
        <f t="shared" si="17"/>
        <v>1.7593798972039429</v>
      </c>
    </row>
    <row r="319" spans="1:10" s="37" customFormat="1" x14ac:dyDescent="0.25">
      <c r="A319" s="114" t="str">
        <f ca="1">(SUMPRODUCT(MID(0&amp;(LEFT(A318,SUM(LEN(A318)-LEN(SUBSTITUTE(A318,{"0","1","2"},""))))), LARGE(INDEX(ISNUMBER(--MID((LEFT(A318,SUM(LEN(A318)-LEN(SUBSTITUTE(A318,{"0","1","2"},""))))), ROW(INDIRECT("1:"&amp;LEN((LEFT(A318,SUM(LEN(A318)-LEN(SUBSTITUTE(A318,{"0","1","2"},"")))))))), 1)) * ROW(INDIRECT("1:"&amp;LEN((LEFT(A318,SUM(LEN(A318)-LEN(SUBSTITUTE(A318,{"0","1","2"},"")))))))), 0), ROW(INDIRECT("1:"&amp;LEN((LEFT(A318,SUM(LEN(A318)-LEN(SUBSTITUTE(A318,{"0","1","2"},"")))))))))+1, 1) * 10^ROW(INDIRECT("1:"&amp;LEN((LEFT(A318,SUM(LEN(A318)-LEN(SUBSTITUTE(A318,{"0","1","2"},""))))))))/10))*1+1&amp;""&amp;" &amp; "&amp;""&amp;(SUMPRODUCT(MID(0&amp;(--TRIM(RIGHT(SUBSTITUTE(LEFT(A318,_xlfn.AGGREGATE(16,6,FIND({0,1,2,3,4,5,6,7,8,9},A318,ROW(INDIRECT("1:"&amp;LEN(A318)))),1))," ",REPT(" ",LEN(A318))),LEN(A318)))), LARGE(INDEX(ISNUMBER(--MID((--TRIM(RIGHT(SUBSTITUTE(LEFT(A318,_xlfn.AGGREGATE(16,6,FIND({0,1,2,3,4,5,6,7,8,9},A318,ROW(INDIRECT("1:"&amp;LEN(A318)))),1))," ",REPT(" ",LEN(A318))),LEN(A318)))), ROW(INDIRECT("1:"&amp;LEN((--TRIM(RIGHT(SUBSTITUTE(LEFT(A318,_xlfn.AGGREGATE(16,6,FIND({0,1,2,3,4,5,6,7,8,9},A318,ROW(INDIRECT("1:"&amp;LEN(A318)))),1))," ",REPT(" ",LEN(A318))),LEN(A318))))))), 1)) * ROW(INDIRECT("1:"&amp;LEN((--TRIM(RIGHT(SUBSTITUTE(LEFT(A318,_xlfn.AGGREGATE(16,6,FIND({0,1,2,3,4,5,6,7,8,9},A318,ROW(INDIRECT("1:"&amp;LEN(A318)))),1))," ",REPT(" ",LEN(A318))),LEN(A318))))))), 0), ROW(INDIRECT("1:"&amp;LEN((--TRIM(RIGHT(SUBSTITUTE(LEFT(A318,_xlfn.AGGREGATE(16,6,FIND({0,1,2,3,4,5,6,7,8,9},A318,ROW(INDIRECT("1:"&amp;LEN(A318)))),1))," ",REPT(" ",LEN(A318))),LEN(A318))))))))+1, 1) * 10^ROW(INDIRECT("1:"&amp;LEN((--TRIM(RIGHT(SUBSTITUTE(LEFT(A318,_xlfn.AGGREGATE(16,6,FIND({0,1,2,3,4,5,6,7,8,9},A318,ROW(INDIRECT("1:"&amp;LEN(A318)))),1))," ",REPT(" ",LEN(A318))),LEN(A318)))))))/10))*1+1</f>
        <v>102 &amp; 302</v>
      </c>
      <c r="B319" s="115"/>
      <c r="C319" s="42" t="s">
        <v>177</v>
      </c>
      <c r="D319" s="42">
        <f>(20.4+2.425)*10.764</f>
        <v>245.68829999999997</v>
      </c>
      <c r="E319" s="42">
        <f>(6.002)*10.764</f>
        <v>64.605527999999993</v>
      </c>
      <c r="F319" s="42">
        <v>510</v>
      </c>
      <c r="G319" s="114" t="str">
        <f t="shared" ref="G319:G324" si="23">G318</f>
        <v>1st &amp; 3rd Floor for Residential</v>
      </c>
      <c r="H319" s="115"/>
      <c r="I319" s="36"/>
      <c r="J319" s="57">
        <f t="shared" si="17"/>
        <v>1.8128436396849181</v>
      </c>
    </row>
    <row r="320" spans="1:10" s="37" customFormat="1" x14ac:dyDescent="0.25">
      <c r="A320" s="114" t="str">
        <f ca="1">(SUMPRODUCT(MID(0&amp;(LEFT(A319,SUM(LEN(A319)-LEN(SUBSTITUTE(A319,{"0","1","2"},""))))), LARGE(INDEX(ISNUMBER(--MID((LEFT(A319,SUM(LEN(A319)-LEN(SUBSTITUTE(A319,{"0","1","2"},""))))), ROW(INDIRECT("1:"&amp;LEN((LEFT(A319,SUM(LEN(A319)-LEN(SUBSTITUTE(A319,{"0","1","2"},"")))))))), 1)) * ROW(INDIRECT("1:"&amp;LEN((LEFT(A319,SUM(LEN(A319)-LEN(SUBSTITUTE(A319,{"0","1","2"},"")))))))), 0), ROW(INDIRECT("1:"&amp;LEN((LEFT(A319,SUM(LEN(A319)-LEN(SUBSTITUTE(A319,{"0","1","2"},"")))))))))+1, 1) * 10^ROW(INDIRECT("1:"&amp;LEN((LEFT(A319,SUM(LEN(A319)-LEN(SUBSTITUTE(A319,{"0","1","2"},""))))))))/10))*1+1&amp;""&amp;" &amp; "&amp;""&amp;(SUMPRODUCT(MID(0&amp;(--TRIM(RIGHT(SUBSTITUTE(LEFT(A319,_xlfn.AGGREGATE(16,6,FIND({0,1,2,3,4,5,6,7,8,9},A319,ROW(INDIRECT("1:"&amp;LEN(A319)))),1))," ",REPT(" ",LEN(A319))),LEN(A319)))), LARGE(INDEX(ISNUMBER(--MID((--TRIM(RIGHT(SUBSTITUTE(LEFT(A319,_xlfn.AGGREGATE(16,6,FIND({0,1,2,3,4,5,6,7,8,9},A319,ROW(INDIRECT("1:"&amp;LEN(A319)))),1))," ",REPT(" ",LEN(A319))),LEN(A319)))), ROW(INDIRECT("1:"&amp;LEN((--TRIM(RIGHT(SUBSTITUTE(LEFT(A319,_xlfn.AGGREGATE(16,6,FIND({0,1,2,3,4,5,6,7,8,9},A319,ROW(INDIRECT("1:"&amp;LEN(A319)))),1))," ",REPT(" ",LEN(A319))),LEN(A319))))))), 1)) * ROW(INDIRECT("1:"&amp;LEN((--TRIM(RIGHT(SUBSTITUTE(LEFT(A319,_xlfn.AGGREGATE(16,6,FIND({0,1,2,3,4,5,6,7,8,9},A319,ROW(INDIRECT("1:"&amp;LEN(A319)))),1))," ",REPT(" ",LEN(A319))),LEN(A319))))))), 0), ROW(INDIRECT("1:"&amp;LEN((--TRIM(RIGHT(SUBSTITUTE(LEFT(A319,_xlfn.AGGREGATE(16,6,FIND({0,1,2,3,4,5,6,7,8,9},A319,ROW(INDIRECT("1:"&amp;LEN(A319)))),1))," ",REPT(" ",LEN(A319))),LEN(A319))))))))+1, 1) * 10^ROW(INDIRECT("1:"&amp;LEN((--TRIM(RIGHT(SUBSTITUTE(LEFT(A319,_xlfn.AGGREGATE(16,6,FIND({0,1,2,3,4,5,6,7,8,9},A319,ROW(INDIRECT("1:"&amp;LEN(A319)))),1))," ",REPT(" ",LEN(A319))),LEN(A319)))))))/10))*1+1</f>
        <v>103 &amp; 303</v>
      </c>
      <c r="B320" s="115"/>
      <c r="C320" s="42" t="s">
        <v>169</v>
      </c>
      <c r="D320" s="42">
        <f>(30.08+2.5)*10.764</f>
        <v>350.69111999999996</v>
      </c>
      <c r="E320" s="42">
        <f>5.841*10.764</f>
        <v>62.872523999999999</v>
      </c>
      <c r="F320" s="42">
        <v>670</v>
      </c>
      <c r="G320" s="114" t="str">
        <f t="shared" si="23"/>
        <v>1st &amp; 3rd Floor for Residential</v>
      </c>
      <c r="H320" s="115"/>
      <c r="I320" s="36"/>
      <c r="J320" s="57">
        <f t="shared" si="17"/>
        <v>1.7312313924572715</v>
      </c>
    </row>
    <row r="321" spans="1:10" s="37" customFormat="1" x14ac:dyDescent="0.25">
      <c r="A321" s="114" t="str">
        <f ca="1">(SUMPRODUCT(MID(0&amp;(LEFT(A320,SUM(LEN(A320)-LEN(SUBSTITUTE(A320,{"0","1","2"},""))))), LARGE(INDEX(ISNUMBER(--MID((LEFT(A320,SUM(LEN(A320)-LEN(SUBSTITUTE(A320,{"0","1","2"},""))))), ROW(INDIRECT("1:"&amp;LEN((LEFT(A320,SUM(LEN(A320)-LEN(SUBSTITUTE(A320,{"0","1","2"},"")))))))), 1)) * ROW(INDIRECT("1:"&amp;LEN((LEFT(A320,SUM(LEN(A320)-LEN(SUBSTITUTE(A320,{"0","1","2"},"")))))))), 0), ROW(INDIRECT("1:"&amp;LEN((LEFT(A320,SUM(LEN(A320)-LEN(SUBSTITUTE(A320,{"0","1","2"},"")))))))))+1, 1) * 10^ROW(INDIRECT("1:"&amp;LEN((LEFT(A320,SUM(LEN(A320)-LEN(SUBSTITUTE(A320,{"0","1","2"},""))))))))/10))*1+1&amp;""&amp;" &amp; "&amp;""&amp;(SUMPRODUCT(MID(0&amp;(--TRIM(RIGHT(SUBSTITUTE(LEFT(A320,_xlfn.AGGREGATE(16,6,FIND({0,1,2,3,4,5,6,7,8,9},A320,ROW(INDIRECT("1:"&amp;LEN(A320)))),1))," ",REPT(" ",LEN(A320))),LEN(A320)))), LARGE(INDEX(ISNUMBER(--MID((--TRIM(RIGHT(SUBSTITUTE(LEFT(A320,_xlfn.AGGREGATE(16,6,FIND({0,1,2,3,4,5,6,7,8,9},A320,ROW(INDIRECT("1:"&amp;LEN(A320)))),1))," ",REPT(" ",LEN(A320))),LEN(A320)))), ROW(INDIRECT("1:"&amp;LEN((--TRIM(RIGHT(SUBSTITUTE(LEFT(A320,_xlfn.AGGREGATE(16,6,FIND({0,1,2,3,4,5,6,7,8,9},A320,ROW(INDIRECT("1:"&amp;LEN(A320)))),1))," ",REPT(" ",LEN(A320))),LEN(A320))))))), 1)) * ROW(INDIRECT("1:"&amp;LEN((--TRIM(RIGHT(SUBSTITUTE(LEFT(A320,_xlfn.AGGREGATE(16,6,FIND({0,1,2,3,4,5,6,7,8,9},A320,ROW(INDIRECT("1:"&amp;LEN(A320)))),1))," ",REPT(" ",LEN(A320))),LEN(A320))))))), 0), ROW(INDIRECT("1:"&amp;LEN((--TRIM(RIGHT(SUBSTITUTE(LEFT(A320,_xlfn.AGGREGATE(16,6,FIND({0,1,2,3,4,5,6,7,8,9},A320,ROW(INDIRECT("1:"&amp;LEN(A320)))),1))," ",REPT(" ",LEN(A320))),LEN(A320))))))))+1, 1) * 10^ROW(INDIRECT("1:"&amp;LEN((--TRIM(RIGHT(SUBSTITUTE(LEFT(A320,_xlfn.AGGREGATE(16,6,FIND({0,1,2,3,4,5,6,7,8,9},A320,ROW(INDIRECT("1:"&amp;LEN(A320)))),1))," ",REPT(" ",LEN(A320))),LEN(A320)))))))/10))*1+1</f>
        <v>104 &amp; 304</v>
      </c>
      <c r="B321" s="115"/>
      <c r="C321" s="42" t="s">
        <v>169</v>
      </c>
      <c r="D321" s="42">
        <f>(29.75+5.3)*10.764</f>
        <v>377.27819999999997</v>
      </c>
      <c r="E321" s="42">
        <f>(5.811)*10.764</f>
        <v>62.549603999999995</v>
      </c>
      <c r="F321" s="42">
        <v>700</v>
      </c>
      <c r="G321" s="114" t="str">
        <f t="shared" si="23"/>
        <v>1st &amp; 3rd Floor for Residential</v>
      </c>
      <c r="H321" s="115"/>
      <c r="I321" s="36"/>
      <c r="J321" s="57">
        <f t="shared" si="17"/>
        <v>1.6896030462401486</v>
      </c>
    </row>
    <row r="322" spans="1:10" s="37" customFormat="1" x14ac:dyDescent="0.25">
      <c r="A322" s="114" t="str">
        <f ca="1">(SUMPRODUCT(MID(0&amp;(LEFT(A321,SUM(LEN(A321)-LEN(SUBSTITUTE(A321,{"0","1","2"},""))))), LARGE(INDEX(ISNUMBER(--MID((LEFT(A321,SUM(LEN(A321)-LEN(SUBSTITUTE(A321,{"0","1","2"},""))))), ROW(INDIRECT("1:"&amp;LEN((LEFT(A321,SUM(LEN(A321)-LEN(SUBSTITUTE(A321,{"0","1","2"},"")))))))), 1)) * ROW(INDIRECT("1:"&amp;LEN((LEFT(A321,SUM(LEN(A321)-LEN(SUBSTITUTE(A321,{"0","1","2"},"")))))))), 0), ROW(INDIRECT("1:"&amp;LEN((LEFT(A321,SUM(LEN(A321)-LEN(SUBSTITUTE(A321,{"0","1","2"},"")))))))))+1, 1) * 10^ROW(INDIRECT("1:"&amp;LEN((LEFT(A321,SUM(LEN(A321)-LEN(SUBSTITUTE(A321,{"0","1","2"},""))))))))/10))*1+1&amp;""&amp;" &amp; "&amp;""&amp;(SUMPRODUCT(MID(0&amp;(--TRIM(RIGHT(SUBSTITUTE(LEFT(A321,_xlfn.AGGREGATE(16,6,FIND({0,1,2,3,4,5,6,7,8,9},A321,ROW(INDIRECT("1:"&amp;LEN(A321)))),1))," ",REPT(" ",LEN(A321))),LEN(A321)))), LARGE(INDEX(ISNUMBER(--MID((--TRIM(RIGHT(SUBSTITUTE(LEFT(A321,_xlfn.AGGREGATE(16,6,FIND({0,1,2,3,4,5,6,7,8,9},A321,ROW(INDIRECT("1:"&amp;LEN(A321)))),1))," ",REPT(" ",LEN(A321))),LEN(A321)))), ROW(INDIRECT("1:"&amp;LEN((--TRIM(RIGHT(SUBSTITUTE(LEFT(A321,_xlfn.AGGREGATE(16,6,FIND({0,1,2,3,4,5,6,7,8,9},A321,ROW(INDIRECT("1:"&amp;LEN(A321)))),1))," ",REPT(" ",LEN(A321))),LEN(A321))))))), 1)) * ROW(INDIRECT("1:"&amp;LEN((--TRIM(RIGHT(SUBSTITUTE(LEFT(A321,_xlfn.AGGREGATE(16,6,FIND({0,1,2,3,4,5,6,7,8,9},A321,ROW(INDIRECT("1:"&amp;LEN(A321)))),1))," ",REPT(" ",LEN(A321))),LEN(A321))))))), 0), ROW(INDIRECT("1:"&amp;LEN((--TRIM(RIGHT(SUBSTITUTE(LEFT(A321,_xlfn.AGGREGATE(16,6,FIND({0,1,2,3,4,5,6,7,8,9},A321,ROW(INDIRECT("1:"&amp;LEN(A321)))),1))," ",REPT(" ",LEN(A321))),LEN(A321))))))))+1, 1) * 10^ROW(INDIRECT("1:"&amp;LEN((--TRIM(RIGHT(SUBSTITUTE(LEFT(A321,_xlfn.AGGREGATE(16,6,FIND({0,1,2,3,4,5,6,7,8,9},A321,ROW(INDIRECT("1:"&amp;LEN(A321)))),1))," ",REPT(" ",LEN(A321))),LEN(A321)))))))/10))*1+1</f>
        <v>105 &amp; 305</v>
      </c>
      <c r="B322" s="115"/>
      <c r="C322" s="42" t="s">
        <v>169</v>
      </c>
      <c r="D322" s="42">
        <f>(29.75+5.3)*10.764</f>
        <v>377.27819999999997</v>
      </c>
      <c r="E322" s="42">
        <f>(6.02)*10.764</f>
        <v>64.799279999999996</v>
      </c>
      <c r="F322" s="42">
        <v>700</v>
      </c>
      <c r="G322" s="114" t="str">
        <f t="shared" si="23"/>
        <v>1st &amp; 3rd Floor for Residential</v>
      </c>
      <c r="H322" s="115"/>
      <c r="I322" s="36"/>
      <c r="J322" s="57">
        <f t="shared" si="17"/>
        <v>1.6836401361117608</v>
      </c>
    </row>
    <row r="323" spans="1:10" s="37" customFormat="1" x14ac:dyDescent="0.25">
      <c r="A323" s="114" t="str">
        <f ca="1">(SUMPRODUCT(MID(0&amp;(LEFT(A322,SUM(LEN(A322)-LEN(SUBSTITUTE(A322,{"0","1","2"},""))))), LARGE(INDEX(ISNUMBER(--MID((LEFT(A322,SUM(LEN(A322)-LEN(SUBSTITUTE(A322,{"0","1","2"},""))))), ROW(INDIRECT("1:"&amp;LEN((LEFT(A322,SUM(LEN(A322)-LEN(SUBSTITUTE(A322,{"0","1","2"},"")))))))), 1)) * ROW(INDIRECT("1:"&amp;LEN((LEFT(A322,SUM(LEN(A322)-LEN(SUBSTITUTE(A322,{"0","1","2"},"")))))))), 0), ROW(INDIRECT("1:"&amp;LEN((LEFT(A322,SUM(LEN(A322)-LEN(SUBSTITUTE(A322,{"0","1","2"},"")))))))))+1, 1) * 10^ROW(INDIRECT("1:"&amp;LEN((LEFT(A322,SUM(LEN(A322)-LEN(SUBSTITUTE(A322,{"0","1","2"},""))))))))/10))*1+1&amp;""&amp;" &amp; "&amp;""&amp;(SUMPRODUCT(MID(0&amp;(--TRIM(RIGHT(SUBSTITUTE(LEFT(A322,_xlfn.AGGREGATE(16,6,FIND({0,1,2,3,4,5,6,7,8,9},A322,ROW(INDIRECT("1:"&amp;LEN(A322)))),1))," ",REPT(" ",LEN(A322))),LEN(A322)))), LARGE(INDEX(ISNUMBER(--MID((--TRIM(RIGHT(SUBSTITUTE(LEFT(A322,_xlfn.AGGREGATE(16,6,FIND({0,1,2,3,4,5,6,7,8,9},A322,ROW(INDIRECT("1:"&amp;LEN(A322)))),1))," ",REPT(" ",LEN(A322))),LEN(A322)))), ROW(INDIRECT("1:"&amp;LEN((--TRIM(RIGHT(SUBSTITUTE(LEFT(A322,_xlfn.AGGREGATE(16,6,FIND({0,1,2,3,4,5,6,7,8,9},A322,ROW(INDIRECT("1:"&amp;LEN(A322)))),1))," ",REPT(" ",LEN(A322))),LEN(A322))))))), 1)) * ROW(INDIRECT("1:"&amp;LEN((--TRIM(RIGHT(SUBSTITUTE(LEFT(A322,_xlfn.AGGREGATE(16,6,FIND({0,1,2,3,4,5,6,7,8,9},A322,ROW(INDIRECT("1:"&amp;LEN(A322)))),1))," ",REPT(" ",LEN(A322))),LEN(A322))))))), 0), ROW(INDIRECT("1:"&amp;LEN((--TRIM(RIGHT(SUBSTITUTE(LEFT(A322,_xlfn.AGGREGATE(16,6,FIND({0,1,2,3,4,5,6,7,8,9},A322,ROW(INDIRECT("1:"&amp;LEN(A322)))),1))," ",REPT(" ",LEN(A322))),LEN(A322))))))))+1, 1) * 10^ROW(INDIRECT("1:"&amp;LEN((--TRIM(RIGHT(SUBSTITUTE(LEFT(A322,_xlfn.AGGREGATE(16,6,FIND({0,1,2,3,4,5,6,7,8,9},A322,ROW(INDIRECT("1:"&amp;LEN(A322)))),1))," ",REPT(" ",LEN(A322))),LEN(A322)))))))/10))*1+1</f>
        <v>106 &amp; 306</v>
      </c>
      <c r="B323" s="115"/>
      <c r="C323" s="42" t="s">
        <v>169</v>
      </c>
      <c r="D323" s="42">
        <f>(30.08+2.5)*10.764</f>
        <v>350.69111999999996</v>
      </c>
      <c r="E323" s="42">
        <f>5.68*10.764</f>
        <v>61.13951999999999</v>
      </c>
      <c r="F323" s="42">
        <v>670</v>
      </c>
      <c r="G323" s="114" t="str">
        <f t="shared" si="23"/>
        <v>1st &amp; 3rd Floor for Residential</v>
      </c>
      <c r="H323" s="115"/>
      <c r="I323" s="36"/>
      <c r="J323" s="57">
        <f t="shared" si="17"/>
        <v>1.7361730744707768</v>
      </c>
    </row>
    <row r="324" spans="1:10" s="37" customFormat="1" x14ac:dyDescent="0.25">
      <c r="A324" s="114" t="str">
        <f ca="1">(SUMPRODUCT(MID(0&amp;(LEFT(A323,SUM(LEN(A323)-LEN(SUBSTITUTE(A323,{"0","1","2"},""))))), LARGE(INDEX(ISNUMBER(--MID((LEFT(A323,SUM(LEN(A323)-LEN(SUBSTITUTE(A323,{"0","1","2"},""))))), ROW(INDIRECT("1:"&amp;LEN((LEFT(A323,SUM(LEN(A323)-LEN(SUBSTITUTE(A323,{"0","1","2"},"")))))))), 1)) * ROW(INDIRECT("1:"&amp;LEN((LEFT(A323,SUM(LEN(A323)-LEN(SUBSTITUTE(A323,{"0","1","2"},"")))))))), 0), ROW(INDIRECT("1:"&amp;LEN((LEFT(A323,SUM(LEN(A323)-LEN(SUBSTITUTE(A323,{"0","1","2"},"")))))))))+1, 1) * 10^ROW(INDIRECT("1:"&amp;LEN((LEFT(A323,SUM(LEN(A323)-LEN(SUBSTITUTE(A323,{"0","1","2"},""))))))))/10))*1+1&amp;""&amp;" &amp; "&amp;""&amp;(SUMPRODUCT(MID(0&amp;(--TRIM(RIGHT(SUBSTITUTE(LEFT(A323,_xlfn.AGGREGATE(16,6,FIND({0,1,2,3,4,5,6,7,8,9},A323,ROW(INDIRECT("1:"&amp;LEN(A323)))),1))," ",REPT(" ",LEN(A323))),LEN(A323)))), LARGE(INDEX(ISNUMBER(--MID((--TRIM(RIGHT(SUBSTITUTE(LEFT(A323,_xlfn.AGGREGATE(16,6,FIND({0,1,2,3,4,5,6,7,8,9},A323,ROW(INDIRECT("1:"&amp;LEN(A323)))),1))," ",REPT(" ",LEN(A323))),LEN(A323)))), ROW(INDIRECT("1:"&amp;LEN((--TRIM(RIGHT(SUBSTITUTE(LEFT(A323,_xlfn.AGGREGATE(16,6,FIND({0,1,2,3,4,5,6,7,8,9},A323,ROW(INDIRECT("1:"&amp;LEN(A323)))),1))," ",REPT(" ",LEN(A323))),LEN(A323))))))), 1)) * ROW(INDIRECT("1:"&amp;LEN((--TRIM(RIGHT(SUBSTITUTE(LEFT(A323,_xlfn.AGGREGATE(16,6,FIND({0,1,2,3,4,5,6,7,8,9},A323,ROW(INDIRECT("1:"&amp;LEN(A323)))),1))," ",REPT(" ",LEN(A323))),LEN(A323))))))), 0), ROW(INDIRECT("1:"&amp;LEN((--TRIM(RIGHT(SUBSTITUTE(LEFT(A323,_xlfn.AGGREGATE(16,6,FIND({0,1,2,3,4,5,6,7,8,9},A323,ROW(INDIRECT("1:"&amp;LEN(A323)))),1))," ",REPT(" ",LEN(A323))),LEN(A323))))))))+1, 1) * 10^ROW(INDIRECT("1:"&amp;LEN((--TRIM(RIGHT(SUBSTITUTE(LEFT(A323,_xlfn.AGGREGATE(16,6,FIND({0,1,2,3,4,5,6,7,8,9},A323,ROW(INDIRECT("1:"&amp;LEN(A323)))),1))," ",REPT(" ",LEN(A323))),LEN(A323)))))))/10))*1+1</f>
        <v>107 &amp; 307</v>
      </c>
      <c r="B324" s="115"/>
      <c r="C324" s="42" t="s">
        <v>169</v>
      </c>
      <c r="D324" s="42">
        <f>(30.08+2.5)*10.764</f>
        <v>350.69111999999996</v>
      </c>
      <c r="E324" s="42">
        <f>(5.68)*10.764</f>
        <v>61.13951999999999</v>
      </c>
      <c r="F324" s="42">
        <v>670</v>
      </c>
      <c r="G324" s="114" t="str">
        <f t="shared" si="23"/>
        <v>1st &amp; 3rd Floor for Residential</v>
      </c>
      <c r="H324" s="115"/>
      <c r="I324" s="36"/>
      <c r="J324" s="57">
        <f t="shared" si="17"/>
        <v>1.7361730744707768</v>
      </c>
    </row>
    <row r="325" spans="1:10" s="37" customFormat="1" x14ac:dyDescent="0.25">
      <c r="A325" s="116" t="s">
        <v>170</v>
      </c>
      <c r="B325" s="117"/>
      <c r="C325" s="117"/>
      <c r="D325" s="117"/>
      <c r="E325" s="117"/>
      <c r="F325" s="117"/>
      <c r="G325" s="117"/>
      <c r="H325" s="118"/>
      <c r="I325" s="36"/>
      <c r="J325" s="57" t="e">
        <f t="shared" si="17"/>
        <v>#DIV/0!</v>
      </c>
    </row>
    <row r="326" spans="1:10" s="37" customFormat="1" x14ac:dyDescent="0.25">
      <c r="A326" s="114" t="str">
        <f ca="1">(SUMPRODUCT(MID(0&amp;(LEFT(A325,SUM(LEN(A325)-LEN(SUBSTITUTE(A325,{"0","1","2"},""))))), LARGE(INDEX(ISNUMBER(--MID((LEFT(A325,SUM(LEN(A325)-LEN(SUBSTITUTE(A325,{"0","1","2"},""))))), ROW(INDIRECT("1:"&amp;LEN((LEFT(A325,SUM(LEN(A325)-LEN(SUBSTITUTE(A325,{"0","1","2"},"")))))))), 1)) * ROW(INDIRECT("1:"&amp;LEN((LEFT(A325,SUM(LEN(A325)-LEN(SUBSTITUTE(A325,{"0","1","2"},"")))))))), 0), ROW(INDIRECT("1:"&amp;LEN((LEFT(A325,SUM(LEN(A325)-LEN(SUBSTITUTE(A325,{"0","1","2"},"")))))))))+1, 1) * 10^ROW(INDIRECT("1:"&amp;LEN((LEFT(A325,SUM(LEN(A325)-LEN(SUBSTITUTE(A325,{"0","1","2"},""))))))))/10))*100+1&amp;""&amp;" &amp; "&amp;""&amp;(SUMPRODUCT(MID(0&amp;(--TRIM(RIGHT(SUBSTITUTE(LEFT(A325,_xlfn.AGGREGATE(16,6,FIND({0,1,2,3,4,5,6,7,8,9},A325,ROW(INDIRECT("1:"&amp;LEN(A325)))),1))," ",REPT(" ",LEN(A325))),LEN(A325)))), LARGE(INDEX(ISNUMBER(--MID((--TRIM(RIGHT(SUBSTITUTE(LEFT(A325,_xlfn.AGGREGATE(16,6,FIND({0,1,2,3,4,5,6,7,8,9},A325,ROW(INDIRECT("1:"&amp;LEN(A325)))),1))," ",REPT(" ",LEN(A325))),LEN(A325)))), ROW(INDIRECT("1:"&amp;LEN((--TRIM(RIGHT(SUBSTITUTE(LEFT(A325,_xlfn.AGGREGATE(16,6,FIND({0,1,2,3,4,5,6,7,8,9},A325,ROW(INDIRECT("1:"&amp;LEN(A325)))),1))," ",REPT(" ",LEN(A325))),LEN(A325))))))), 1)) * ROW(INDIRECT("1:"&amp;LEN((--TRIM(RIGHT(SUBSTITUTE(LEFT(A325,_xlfn.AGGREGATE(16,6,FIND({0,1,2,3,4,5,6,7,8,9},A325,ROW(INDIRECT("1:"&amp;LEN(A325)))),1))," ",REPT(" ",LEN(A325))),LEN(A325))))))), 0), ROW(INDIRECT("1:"&amp;LEN((--TRIM(RIGHT(SUBSTITUTE(LEFT(A325,_xlfn.AGGREGATE(16,6,FIND({0,1,2,3,4,5,6,7,8,9},A325,ROW(INDIRECT("1:"&amp;LEN(A325)))),1))," ",REPT(" ",LEN(A325))),LEN(A325))))))))+1, 1) * 10^ROW(INDIRECT("1:"&amp;LEN((--TRIM(RIGHT(SUBSTITUTE(LEFT(A325,_xlfn.AGGREGATE(16,6,FIND({0,1,2,3,4,5,6,7,8,9},A325,ROW(INDIRECT("1:"&amp;LEN(A325)))),1))," ",REPT(" ",LEN(A325))),LEN(A325)))))))/10))*100+1</f>
        <v>201 &amp; 401</v>
      </c>
      <c r="B326" s="115"/>
      <c r="C326" s="42" t="s">
        <v>177</v>
      </c>
      <c r="D326" s="42">
        <f>(19.597+2.425)*10.764</f>
        <v>237.04480800000002</v>
      </c>
      <c r="E326" s="42">
        <f>7.445*10.764</f>
        <v>80.137979999999999</v>
      </c>
      <c r="F326" s="42">
        <v>520</v>
      </c>
      <c r="G326" s="114" t="str">
        <f>A325</f>
        <v>2nd &amp; 4th Floor</v>
      </c>
      <c r="H326" s="115"/>
      <c r="I326" s="36"/>
      <c r="J326" s="57">
        <f t="shared" si="17"/>
        <v>1.8556070631169446</v>
      </c>
    </row>
    <row r="327" spans="1:10" s="37" customFormat="1" x14ac:dyDescent="0.25">
      <c r="A327" s="114" t="str">
        <f ca="1">(SUMPRODUCT(MID(0&amp;(LEFT(A326,SUM(LEN(A326)-LEN(SUBSTITUTE(A326,{"0","1","2"},""))))), LARGE(INDEX(ISNUMBER(--MID((LEFT(A326,SUM(LEN(A326)-LEN(SUBSTITUTE(A326,{"0","1","2"},""))))), ROW(INDIRECT("1:"&amp;LEN((LEFT(A326,SUM(LEN(A326)-LEN(SUBSTITUTE(A326,{"0","1","2"},"")))))))), 1)) * ROW(INDIRECT("1:"&amp;LEN((LEFT(A326,SUM(LEN(A326)-LEN(SUBSTITUTE(A326,{"0","1","2"},"")))))))), 0), ROW(INDIRECT("1:"&amp;LEN((LEFT(A326,SUM(LEN(A326)-LEN(SUBSTITUTE(A326,{"0","1","2"},"")))))))))+1, 1) * 10^ROW(INDIRECT("1:"&amp;LEN((LEFT(A326,SUM(LEN(A326)-LEN(SUBSTITUTE(A326,{"0","1","2"},""))))))))/10))*1+1&amp;""&amp;" &amp; "&amp;""&amp;(SUMPRODUCT(MID(0&amp;(--TRIM(RIGHT(SUBSTITUTE(LEFT(A326,_xlfn.AGGREGATE(16,6,FIND({0,1,2,3,4,5,6,7,8,9},A326,ROW(INDIRECT("1:"&amp;LEN(A326)))),1))," ",REPT(" ",LEN(A326))),LEN(A326)))), LARGE(INDEX(ISNUMBER(--MID((--TRIM(RIGHT(SUBSTITUTE(LEFT(A326,_xlfn.AGGREGATE(16,6,FIND({0,1,2,3,4,5,6,7,8,9},A326,ROW(INDIRECT("1:"&amp;LEN(A326)))),1))," ",REPT(" ",LEN(A326))),LEN(A326)))), ROW(INDIRECT("1:"&amp;LEN((--TRIM(RIGHT(SUBSTITUTE(LEFT(A326,_xlfn.AGGREGATE(16,6,FIND({0,1,2,3,4,5,6,7,8,9},A326,ROW(INDIRECT("1:"&amp;LEN(A326)))),1))," ",REPT(" ",LEN(A326))),LEN(A326))))))), 1)) * ROW(INDIRECT("1:"&amp;LEN((--TRIM(RIGHT(SUBSTITUTE(LEFT(A326,_xlfn.AGGREGATE(16,6,FIND({0,1,2,3,4,5,6,7,8,9},A326,ROW(INDIRECT("1:"&amp;LEN(A326)))),1))," ",REPT(" ",LEN(A326))),LEN(A326))))))), 0), ROW(INDIRECT("1:"&amp;LEN((--TRIM(RIGHT(SUBSTITUTE(LEFT(A326,_xlfn.AGGREGATE(16,6,FIND({0,1,2,3,4,5,6,7,8,9},A326,ROW(INDIRECT("1:"&amp;LEN(A326)))),1))," ",REPT(" ",LEN(A326))),LEN(A326))))))))+1, 1) * 10^ROW(INDIRECT("1:"&amp;LEN((--TRIM(RIGHT(SUBSTITUTE(LEFT(A326,_xlfn.AGGREGATE(16,6,FIND({0,1,2,3,4,5,6,7,8,9},A326,ROW(INDIRECT("1:"&amp;LEN(A326)))),1))," ",REPT(" ",LEN(A326))),LEN(A326)))))))/10))*1+1</f>
        <v>202 &amp; 402</v>
      </c>
      <c r="B327" s="115"/>
      <c r="C327" s="42" t="s">
        <v>177</v>
      </c>
      <c r="D327" s="42">
        <f>(19.68+2.425)*10.764</f>
        <v>237.93822</v>
      </c>
      <c r="E327" s="42">
        <v>0</v>
      </c>
      <c r="F327" s="42">
        <v>410</v>
      </c>
      <c r="G327" s="114" t="str">
        <f t="shared" ref="G327:G332" si="24">G326</f>
        <v>2nd &amp; 4th Floor</v>
      </c>
      <c r="H327" s="115"/>
      <c r="I327" s="36"/>
      <c r="J327" s="57">
        <f t="shared" si="17"/>
        <v>1.7231363670788156</v>
      </c>
    </row>
    <row r="328" spans="1:10" s="37" customFormat="1" x14ac:dyDescent="0.25">
      <c r="A328" s="114" t="str">
        <f ca="1">(SUMPRODUCT(MID(0&amp;(LEFT(A327,SUM(LEN(A327)-LEN(SUBSTITUTE(A327,{"0","1","2"},""))))), LARGE(INDEX(ISNUMBER(--MID((LEFT(A327,SUM(LEN(A327)-LEN(SUBSTITUTE(A327,{"0","1","2"},""))))), ROW(INDIRECT("1:"&amp;LEN((LEFT(A327,SUM(LEN(A327)-LEN(SUBSTITUTE(A327,{"0","1","2"},"")))))))), 1)) * ROW(INDIRECT("1:"&amp;LEN((LEFT(A327,SUM(LEN(A327)-LEN(SUBSTITUTE(A327,{"0","1","2"},"")))))))), 0), ROW(INDIRECT("1:"&amp;LEN((LEFT(A327,SUM(LEN(A327)-LEN(SUBSTITUTE(A327,{"0","1","2"},"")))))))))+1, 1) * 10^ROW(INDIRECT("1:"&amp;LEN((LEFT(A327,SUM(LEN(A327)-LEN(SUBSTITUTE(A327,{"0","1","2"},""))))))))/10))*1+1&amp;""&amp;" &amp; "&amp;""&amp;(SUMPRODUCT(MID(0&amp;(--TRIM(RIGHT(SUBSTITUTE(LEFT(A327,_xlfn.AGGREGATE(16,6,FIND({0,1,2,3,4,5,6,7,8,9},A327,ROW(INDIRECT("1:"&amp;LEN(A327)))),1))," ",REPT(" ",LEN(A327))),LEN(A327)))), LARGE(INDEX(ISNUMBER(--MID((--TRIM(RIGHT(SUBSTITUTE(LEFT(A327,_xlfn.AGGREGATE(16,6,FIND({0,1,2,3,4,5,6,7,8,9},A327,ROW(INDIRECT("1:"&amp;LEN(A327)))),1))," ",REPT(" ",LEN(A327))),LEN(A327)))), ROW(INDIRECT("1:"&amp;LEN((--TRIM(RIGHT(SUBSTITUTE(LEFT(A327,_xlfn.AGGREGATE(16,6,FIND({0,1,2,3,4,5,6,7,8,9},A327,ROW(INDIRECT("1:"&amp;LEN(A327)))),1))," ",REPT(" ",LEN(A327))),LEN(A327))))))), 1)) * ROW(INDIRECT("1:"&amp;LEN((--TRIM(RIGHT(SUBSTITUTE(LEFT(A327,_xlfn.AGGREGATE(16,6,FIND({0,1,2,3,4,5,6,7,8,9},A327,ROW(INDIRECT("1:"&amp;LEN(A327)))),1))," ",REPT(" ",LEN(A327))),LEN(A327))))))), 0), ROW(INDIRECT("1:"&amp;LEN((--TRIM(RIGHT(SUBSTITUTE(LEFT(A327,_xlfn.AGGREGATE(16,6,FIND({0,1,2,3,4,5,6,7,8,9},A327,ROW(INDIRECT("1:"&amp;LEN(A327)))),1))," ",REPT(" ",LEN(A327))),LEN(A327))))))))+1, 1) * 10^ROW(INDIRECT("1:"&amp;LEN((--TRIM(RIGHT(SUBSTITUTE(LEFT(A327,_xlfn.AGGREGATE(16,6,FIND({0,1,2,3,4,5,6,7,8,9},A327,ROW(INDIRECT("1:"&amp;LEN(A327)))),1))," ",REPT(" ",LEN(A327))),LEN(A327)))))))/10))*1+1</f>
        <v>203 &amp; 403</v>
      </c>
      <c r="B328" s="115"/>
      <c r="C328" s="42" t="s">
        <v>169</v>
      </c>
      <c r="D328" s="42">
        <f>(30.08+2.5)*10.764</f>
        <v>350.69111999999996</v>
      </c>
      <c r="E328" s="42">
        <f>5.972*10.764</f>
        <v>64.282607999999996</v>
      </c>
      <c r="F328" s="42">
        <v>670</v>
      </c>
      <c r="G328" s="114" t="str">
        <f t="shared" si="24"/>
        <v>2nd &amp; 4th Floor</v>
      </c>
      <c r="H328" s="115"/>
      <c r="I328" s="36"/>
      <c r="J328" s="57">
        <f t="shared" si="17"/>
        <v>1.7272105207568418</v>
      </c>
    </row>
    <row r="329" spans="1:10" s="37" customFormat="1" x14ac:dyDescent="0.25">
      <c r="A329" s="114" t="str">
        <f ca="1">(SUMPRODUCT(MID(0&amp;(LEFT(A328,SUM(LEN(A328)-LEN(SUBSTITUTE(A328,{"0","1","2"},""))))), LARGE(INDEX(ISNUMBER(--MID((LEFT(A328,SUM(LEN(A328)-LEN(SUBSTITUTE(A328,{"0","1","2"},""))))), ROW(INDIRECT("1:"&amp;LEN((LEFT(A328,SUM(LEN(A328)-LEN(SUBSTITUTE(A328,{"0","1","2"},"")))))))), 1)) * ROW(INDIRECT("1:"&amp;LEN((LEFT(A328,SUM(LEN(A328)-LEN(SUBSTITUTE(A328,{"0","1","2"},"")))))))), 0), ROW(INDIRECT("1:"&amp;LEN((LEFT(A328,SUM(LEN(A328)-LEN(SUBSTITUTE(A328,{"0","1","2"},"")))))))))+1, 1) * 10^ROW(INDIRECT("1:"&amp;LEN((LEFT(A328,SUM(LEN(A328)-LEN(SUBSTITUTE(A328,{"0","1","2"},""))))))))/10))*1+1&amp;""&amp;" &amp; "&amp;""&amp;(SUMPRODUCT(MID(0&amp;(--TRIM(RIGHT(SUBSTITUTE(LEFT(A328,_xlfn.AGGREGATE(16,6,FIND({0,1,2,3,4,5,6,7,8,9},A328,ROW(INDIRECT("1:"&amp;LEN(A328)))),1))," ",REPT(" ",LEN(A328))),LEN(A328)))), LARGE(INDEX(ISNUMBER(--MID((--TRIM(RIGHT(SUBSTITUTE(LEFT(A328,_xlfn.AGGREGATE(16,6,FIND({0,1,2,3,4,5,6,7,8,9},A328,ROW(INDIRECT("1:"&amp;LEN(A328)))),1))," ",REPT(" ",LEN(A328))),LEN(A328)))), ROW(INDIRECT("1:"&amp;LEN((--TRIM(RIGHT(SUBSTITUTE(LEFT(A328,_xlfn.AGGREGATE(16,6,FIND({0,1,2,3,4,5,6,7,8,9},A328,ROW(INDIRECT("1:"&amp;LEN(A328)))),1))," ",REPT(" ",LEN(A328))),LEN(A328))))))), 1)) * ROW(INDIRECT("1:"&amp;LEN((--TRIM(RIGHT(SUBSTITUTE(LEFT(A328,_xlfn.AGGREGATE(16,6,FIND({0,1,2,3,4,5,6,7,8,9},A328,ROW(INDIRECT("1:"&amp;LEN(A328)))),1))," ",REPT(" ",LEN(A328))),LEN(A328))))))), 0), ROW(INDIRECT("1:"&amp;LEN((--TRIM(RIGHT(SUBSTITUTE(LEFT(A328,_xlfn.AGGREGATE(16,6,FIND({0,1,2,3,4,5,6,7,8,9},A328,ROW(INDIRECT("1:"&amp;LEN(A328)))),1))," ",REPT(" ",LEN(A328))),LEN(A328))))))))+1, 1) * 10^ROW(INDIRECT("1:"&amp;LEN((--TRIM(RIGHT(SUBSTITUTE(LEFT(A328,_xlfn.AGGREGATE(16,6,FIND({0,1,2,3,4,5,6,7,8,9},A328,ROW(INDIRECT("1:"&amp;LEN(A328)))),1))," ",REPT(" ",LEN(A328))),LEN(A328)))))))/10))*1+1</f>
        <v>204 &amp; 404</v>
      </c>
      <c r="B329" s="115"/>
      <c r="C329" s="42" t="s">
        <v>169</v>
      </c>
      <c r="D329" s="42">
        <f>(29.397+5.3)*10.764</f>
        <v>373.47850799999992</v>
      </c>
      <c r="E329" s="42">
        <f>3.332*10.764</f>
        <v>35.865647999999993</v>
      </c>
      <c r="F329" s="42">
        <v>655</v>
      </c>
      <c r="G329" s="114" t="str">
        <f t="shared" si="24"/>
        <v>2nd &amp; 4th Floor</v>
      </c>
      <c r="H329" s="115"/>
      <c r="I329" s="36"/>
      <c r="J329" s="57">
        <f t="shared" si="17"/>
        <v>1.65775095149518</v>
      </c>
    </row>
    <row r="330" spans="1:10" s="37" customFormat="1" x14ac:dyDescent="0.25">
      <c r="A330" s="114" t="str">
        <f ca="1">(SUMPRODUCT(MID(0&amp;(LEFT(A329,SUM(LEN(A329)-LEN(SUBSTITUTE(A329,{"0","1","2"},""))))), LARGE(INDEX(ISNUMBER(--MID((LEFT(A329,SUM(LEN(A329)-LEN(SUBSTITUTE(A329,{"0","1","2"},""))))), ROW(INDIRECT("1:"&amp;LEN((LEFT(A329,SUM(LEN(A329)-LEN(SUBSTITUTE(A329,{"0","1","2"},"")))))))), 1)) * ROW(INDIRECT("1:"&amp;LEN((LEFT(A329,SUM(LEN(A329)-LEN(SUBSTITUTE(A329,{"0","1","2"},"")))))))), 0), ROW(INDIRECT("1:"&amp;LEN((LEFT(A329,SUM(LEN(A329)-LEN(SUBSTITUTE(A329,{"0","1","2"},"")))))))))+1, 1) * 10^ROW(INDIRECT("1:"&amp;LEN((LEFT(A329,SUM(LEN(A329)-LEN(SUBSTITUTE(A329,{"0","1","2"},""))))))))/10))*1+1&amp;""&amp;" &amp; "&amp;""&amp;(SUMPRODUCT(MID(0&amp;(--TRIM(RIGHT(SUBSTITUTE(LEFT(A329,_xlfn.AGGREGATE(16,6,FIND({0,1,2,3,4,5,6,7,8,9},A329,ROW(INDIRECT("1:"&amp;LEN(A329)))),1))," ",REPT(" ",LEN(A329))),LEN(A329)))), LARGE(INDEX(ISNUMBER(--MID((--TRIM(RIGHT(SUBSTITUTE(LEFT(A329,_xlfn.AGGREGATE(16,6,FIND({0,1,2,3,4,5,6,7,8,9},A329,ROW(INDIRECT("1:"&amp;LEN(A329)))),1))," ",REPT(" ",LEN(A329))),LEN(A329)))), ROW(INDIRECT("1:"&amp;LEN((--TRIM(RIGHT(SUBSTITUTE(LEFT(A329,_xlfn.AGGREGATE(16,6,FIND({0,1,2,3,4,5,6,7,8,9},A329,ROW(INDIRECT("1:"&amp;LEN(A329)))),1))," ",REPT(" ",LEN(A329))),LEN(A329))))))), 1)) * ROW(INDIRECT("1:"&amp;LEN((--TRIM(RIGHT(SUBSTITUTE(LEFT(A329,_xlfn.AGGREGATE(16,6,FIND({0,1,2,3,4,5,6,7,8,9},A329,ROW(INDIRECT("1:"&amp;LEN(A329)))),1))," ",REPT(" ",LEN(A329))),LEN(A329))))))), 0), ROW(INDIRECT("1:"&amp;LEN((--TRIM(RIGHT(SUBSTITUTE(LEFT(A329,_xlfn.AGGREGATE(16,6,FIND({0,1,2,3,4,5,6,7,8,9},A329,ROW(INDIRECT("1:"&amp;LEN(A329)))),1))," ",REPT(" ",LEN(A329))),LEN(A329))))))))+1, 1) * 10^ROW(INDIRECT("1:"&amp;LEN((--TRIM(RIGHT(SUBSTITUTE(LEFT(A329,_xlfn.AGGREGATE(16,6,FIND({0,1,2,3,4,5,6,7,8,9},A329,ROW(INDIRECT("1:"&amp;LEN(A329)))),1))," ",REPT(" ",LEN(A329))),LEN(A329)))))))/10))*1+1</f>
        <v>205 &amp; 405</v>
      </c>
      <c r="B330" s="115"/>
      <c r="C330" s="42" t="s">
        <v>169</v>
      </c>
      <c r="D330" s="42">
        <f>(29.03+5.3)*10.764</f>
        <v>369.52811999999994</v>
      </c>
      <c r="E330" s="42">
        <v>0</v>
      </c>
      <c r="F330" s="42">
        <v>600</v>
      </c>
      <c r="G330" s="114" t="str">
        <f t="shared" si="24"/>
        <v>2nd &amp; 4th Floor</v>
      </c>
      <c r="H330" s="115"/>
      <c r="I330" s="36"/>
      <c r="J330" s="57">
        <f t="shared" si="17"/>
        <v>1.6236923999180362</v>
      </c>
    </row>
    <row r="331" spans="1:10" s="37" customFormat="1" x14ac:dyDescent="0.25">
      <c r="A331" s="114" t="str">
        <f ca="1">(SUMPRODUCT(MID(0&amp;(LEFT(A330,SUM(LEN(A330)-LEN(SUBSTITUTE(A330,{"0","1","2"},""))))), LARGE(INDEX(ISNUMBER(--MID((LEFT(A330,SUM(LEN(A330)-LEN(SUBSTITUTE(A330,{"0","1","2"},""))))), ROW(INDIRECT("1:"&amp;LEN((LEFT(A330,SUM(LEN(A330)-LEN(SUBSTITUTE(A330,{"0","1","2"},"")))))))), 1)) * ROW(INDIRECT("1:"&amp;LEN((LEFT(A330,SUM(LEN(A330)-LEN(SUBSTITUTE(A330,{"0","1","2"},"")))))))), 0), ROW(INDIRECT("1:"&amp;LEN((LEFT(A330,SUM(LEN(A330)-LEN(SUBSTITUTE(A330,{"0","1","2"},"")))))))))+1, 1) * 10^ROW(INDIRECT("1:"&amp;LEN((LEFT(A330,SUM(LEN(A330)-LEN(SUBSTITUTE(A330,{"0","1","2"},""))))))))/10))*1+1&amp;""&amp;" &amp; "&amp;""&amp;(SUMPRODUCT(MID(0&amp;(--TRIM(RIGHT(SUBSTITUTE(LEFT(A330,_xlfn.AGGREGATE(16,6,FIND({0,1,2,3,4,5,6,7,8,9},A330,ROW(INDIRECT("1:"&amp;LEN(A330)))),1))," ",REPT(" ",LEN(A330))),LEN(A330)))), LARGE(INDEX(ISNUMBER(--MID((--TRIM(RIGHT(SUBSTITUTE(LEFT(A330,_xlfn.AGGREGATE(16,6,FIND({0,1,2,3,4,5,6,7,8,9},A330,ROW(INDIRECT("1:"&amp;LEN(A330)))),1))," ",REPT(" ",LEN(A330))),LEN(A330)))), ROW(INDIRECT("1:"&amp;LEN((--TRIM(RIGHT(SUBSTITUTE(LEFT(A330,_xlfn.AGGREGATE(16,6,FIND({0,1,2,3,4,5,6,7,8,9},A330,ROW(INDIRECT("1:"&amp;LEN(A330)))),1))," ",REPT(" ",LEN(A330))),LEN(A330))))))), 1)) * ROW(INDIRECT("1:"&amp;LEN((--TRIM(RIGHT(SUBSTITUTE(LEFT(A330,_xlfn.AGGREGATE(16,6,FIND({0,1,2,3,4,5,6,7,8,9},A330,ROW(INDIRECT("1:"&amp;LEN(A330)))),1))," ",REPT(" ",LEN(A330))),LEN(A330))))))), 0), ROW(INDIRECT("1:"&amp;LEN((--TRIM(RIGHT(SUBSTITUTE(LEFT(A330,_xlfn.AGGREGATE(16,6,FIND({0,1,2,3,4,5,6,7,8,9},A330,ROW(INDIRECT("1:"&amp;LEN(A330)))),1))," ",REPT(" ",LEN(A330))),LEN(A330))))))))+1, 1) * 10^ROW(INDIRECT("1:"&amp;LEN((--TRIM(RIGHT(SUBSTITUTE(LEFT(A330,_xlfn.AGGREGATE(16,6,FIND({0,1,2,3,4,5,6,7,8,9},A330,ROW(INDIRECT("1:"&amp;LEN(A330)))),1))," ",REPT(" ",LEN(A330))),LEN(A330)))))))/10))*1+1</f>
        <v>206 &amp; 406</v>
      </c>
      <c r="B331" s="115"/>
      <c r="C331" s="42" t="s">
        <v>169</v>
      </c>
      <c r="D331" s="42">
        <f>(30.08+2.5)*10.764</f>
        <v>350.69111999999996</v>
      </c>
      <c r="E331" s="42">
        <f>5.68*10.764</f>
        <v>61.13951999999999</v>
      </c>
      <c r="F331" s="42">
        <v>670</v>
      </c>
      <c r="G331" s="114" t="str">
        <f t="shared" si="24"/>
        <v>2nd &amp; 4th Floor</v>
      </c>
      <c r="H331" s="115"/>
      <c r="I331" s="36"/>
      <c r="J331" s="57">
        <f t="shared" si="17"/>
        <v>1.7361730744707768</v>
      </c>
    </row>
    <row r="332" spans="1:10" s="37" customFormat="1" x14ac:dyDescent="0.25">
      <c r="A332" s="114" t="str">
        <f ca="1">(SUMPRODUCT(MID(0&amp;(LEFT(A331,SUM(LEN(A331)-LEN(SUBSTITUTE(A331,{"0","1","2"},""))))), LARGE(INDEX(ISNUMBER(--MID((LEFT(A331,SUM(LEN(A331)-LEN(SUBSTITUTE(A331,{"0","1","2"},""))))), ROW(INDIRECT("1:"&amp;LEN((LEFT(A331,SUM(LEN(A331)-LEN(SUBSTITUTE(A331,{"0","1","2"},"")))))))), 1)) * ROW(INDIRECT("1:"&amp;LEN((LEFT(A331,SUM(LEN(A331)-LEN(SUBSTITUTE(A331,{"0","1","2"},"")))))))), 0), ROW(INDIRECT("1:"&amp;LEN((LEFT(A331,SUM(LEN(A331)-LEN(SUBSTITUTE(A331,{"0","1","2"},"")))))))))+1, 1) * 10^ROW(INDIRECT("1:"&amp;LEN((LEFT(A331,SUM(LEN(A331)-LEN(SUBSTITUTE(A331,{"0","1","2"},""))))))))/10))*1+1&amp;""&amp;" &amp; "&amp;""&amp;(SUMPRODUCT(MID(0&amp;(--TRIM(RIGHT(SUBSTITUTE(LEFT(A331,_xlfn.AGGREGATE(16,6,FIND({0,1,2,3,4,5,6,7,8,9},A331,ROW(INDIRECT("1:"&amp;LEN(A331)))),1))," ",REPT(" ",LEN(A331))),LEN(A331)))), LARGE(INDEX(ISNUMBER(--MID((--TRIM(RIGHT(SUBSTITUTE(LEFT(A331,_xlfn.AGGREGATE(16,6,FIND({0,1,2,3,4,5,6,7,8,9},A331,ROW(INDIRECT("1:"&amp;LEN(A331)))),1))," ",REPT(" ",LEN(A331))),LEN(A331)))), ROW(INDIRECT("1:"&amp;LEN((--TRIM(RIGHT(SUBSTITUTE(LEFT(A331,_xlfn.AGGREGATE(16,6,FIND({0,1,2,3,4,5,6,7,8,9},A331,ROW(INDIRECT("1:"&amp;LEN(A331)))),1))," ",REPT(" ",LEN(A331))),LEN(A331))))))), 1)) * ROW(INDIRECT("1:"&amp;LEN((--TRIM(RIGHT(SUBSTITUTE(LEFT(A331,_xlfn.AGGREGATE(16,6,FIND({0,1,2,3,4,5,6,7,8,9},A331,ROW(INDIRECT("1:"&amp;LEN(A331)))),1))," ",REPT(" ",LEN(A331))),LEN(A331))))))), 0), ROW(INDIRECT("1:"&amp;LEN((--TRIM(RIGHT(SUBSTITUTE(LEFT(A331,_xlfn.AGGREGATE(16,6,FIND({0,1,2,3,4,5,6,7,8,9},A331,ROW(INDIRECT("1:"&amp;LEN(A331)))),1))," ",REPT(" ",LEN(A331))),LEN(A331))))))))+1, 1) * 10^ROW(INDIRECT("1:"&amp;LEN((--TRIM(RIGHT(SUBSTITUTE(LEFT(A331,_xlfn.AGGREGATE(16,6,FIND({0,1,2,3,4,5,6,7,8,9},A331,ROW(INDIRECT("1:"&amp;LEN(A331)))),1))," ",REPT(" ",LEN(A331))),LEN(A331)))))))/10))*1+1</f>
        <v>207 &amp; 407</v>
      </c>
      <c r="B332" s="115"/>
      <c r="C332" s="42" t="s">
        <v>169</v>
      </c>
      <c r="D332" s="42">
        <f>(30.08+2.5)*10.764</f>
        <v>350.69111999999996</v>
      </c>
      <c r="E332" s="42">
        <f>5.68*10.764</f>
        <v>61.13951999999999</v>
      </c>
      <c r="F332" s="42">
        <v>670</v>
      </c>
      <c r="G332" s="114" t="str">
        <f t="shared" si="24"/>
        <v>2nd &amp; 4th Floor</v>
      </c>
      <c r="H332" s="115"/>
      <c r="I332" s="36"/>
      <c r="J332" s="57">
        <f t="shared" si="17"/>
        <v>1.7361730744707768</v>
      </c>
    </row>
    <row r="333" spans="1:10" s="34" customFormat="1" x14ac:dyDescent="0.25">
      <c r="A333" s="122" t="s">
        <v>179</v>
      </c>
      <c r="B333" s="122"/>
      <c r="C333" s="122"/>
      <c r="D333" s="122"/>
      <c r="E333" s="122"/>
      <c r="F333" s="122"/>
      <c r="G333" s="122"/>
      <c r="H333" s="122"/>
      <c r="J333" s="57" t="e">
        <f t="shared" si="17"/>
        <v>#DIV/0!</v>
      </c>
    </row>
    <row r="334" spans="1:10" s="37" customFormat="1" x14ac:dyDescent="0.25">
      <c r="A334" s="116" t="s">
        <v>167</v>
      </c>
      <c r="B334" s="117"/>
      <c r="C334" s="117"/>
      <c r="D334" s="117"/>
      <c r="E334" s="117"/>
      <c r="F334" s="117"/>
      <c r="G334" s="117"/>
      <c r="H334" s="118"/>
      <c r="I334" s="36"/>
      <c r="J334" s="57" t="e">
        <f t="shared" si="17"/>
        <v>#DIV/0!</v>
      </c>
    </row>
    <row r="335" spans="1:10" s="37" customFormat="1" x14ac:dyDescent="0.25">
      <c r="A335" s="114" t="str">
        <f ca="1">(SUMPRODUCT(MID(0&amp;(LEFT(A334,SUM(LEN(A334)-LEN(SUBSTITUTE(A334,{"0","1","2"},""))))), LARGE(INDEX(ISNUMBER(--MID((LEFT(A334,SUM(LEN(A334)-LEN(SUBSTITUTE(A334,{"0","1","2"},""))))), ROW(INDIRECT("1:"&amp;LEN((LEFT(A334,SUM(LEN(A334)-LEN(SUBSTITUTE(A334,{"0","1","2"},"")))))))), 1)) * ROW(INDIRECT("1:"&amp;LEN((LEFT(A334,SUM(LEN(A334)-LEN(SUBSTITUTE(A334,{"0","1","2"},"")))))))), 0), ROW(INDIRECT("1:"&amp;LEN((LEFT(A334,SUM(LEN(A334)-LEN(SUBSTITUTE(A334,{"0","1","2"},"")))))))))+1, 1) * 10^ROW(INDIRECT("1:"&amp;LEN((LEFT(A334,SUM(LEN(A334)-LEN(SUBSTITUTE(A334,{"0","1","2"},""))))))))/10))*100+1&amp;""&amp;" &amp; "&amp;""&amp;(SUMPRODUCT(MID(0&amp;(--TRIM(RIGHT(SUBSTITUTE(LEFT(A334,_xlfn.AGGREGATE(16,6,FIND({0,1,2,3,4,5,6,7,8,9},A334,ROW(INDIRECT("1:"&amp;LEN(A334)))),1))," ",REPT(" ",LEN(A334))),LEN(A334)))), LARGE(INDEX(ISNUMBER(--MID((--TRIM(RIGHT(SUBSTITUTE(LEFT(A334,_xlfn.AGGREGATE(16,6,FIND({0,1,2,3,4,5,6,7,8,9},A334,ROW(INDIRECT("1:"&amp;LEN(A334)))),1))," ",REPT(" ",LEN(A334))),LEN(A334)))), ROW(INDIRECT("1:"&amp;LEN((--TRIM(RIGHT(SUBSTITUTE(LEFT(A334,_xlfn.AGGREGATE(16,6,FIND({0,1,2,3,4,5,6,7,8,9},A334,ROW(INDIRECT("1:"&amp;LEN(A334)))),1))," ",REPT(" ",LEN(A334))),LEN(A334))))))), 1)) * ROW(INDIRECT("1:"&amp;LEN((--TRIM(RIGHT(SUBSTITUTE(LEFT(A334,_xlfn.AGGREGATE(16,6,FIND({0,1,2,3,4,5,6,7,8,9},A334,ROW(INDIRECT("1:"&amp;LEN(A334)))),1))," ",REPT(" ",LEN(A334))),LEN(A334))))))), 0), ROW(INDIRECT("1:"&amp;LEN((--TRIM(RIGHT(SUBSTITUTE(LEFT(A334,_xlfn.AGGREGATE(16,6,FIND({0,1,2,3,4,5,6,7,8,9},A334,ROW(INDIRECT("1:"&amp;LEN(A334)))),1))," ",REPT(" ",LEN(A334))),LEN(A334))))))))+1, 1) * 10^ROW(INDIRECT("1:"&amp;LEN((--TRIM(RIGHT(SUBSTITUTE(LEFT(A334,_xlfn.AGGREGATE(16,6,FIND({0,1,2,3,4,5,6,7,8,9},A334,ROW(INDIRECT("1:"&amp;LEN(A334)))),1))," ",REPT(" ",LEN(A334))),LEN(A334)))))))/10))*100+1</f>
        <v>101 &amp; 301</v>
      </c>
      <c r="B335" s="115"/>
      <c r="C335" s="42" t="s">
        <v>169</v>
      </c>
      <c r="D335" s="42">
        <f>(30.08+2.5)*10.764</f>
        <v>350.69111999999996</v>
      </c>
      <c r="E335" s="42">
        <f>5.68*10.764</f>
        <v>61.13951999999999</v>
      </c>
      <c r="F335" s="42">
        <v>670</v>
      </c>
      <c r="G335" s="114" t="str">
        <f>A334</f>
        <v>1st &amp; 3rd Floor for Residential</v>
      </c>
      <c r="H335" s="115"/>
      <c r="I335" s="36"/>
      <c r="J335" s="57">
        <f t="shared" si="17"/>
        <v>1.7361730744707768</v>
      </c>
    </row>
    <row r="336" spans="1:10" s="37" customFormat="1" x14ac:dyDescent="0.25">
      <c r="A336" s="114" t="str">
        <f ca="1">(SUMPRODUCT(MID(0&amp;(LEFT(A335,SUM(LEN(A335)-LEN(SUBSTITUTE(A335,{"0","1","2"},""))))), LARGE(INDEX(ISNUMBER(--MID((LEFT(A335,SUM(LEN(A335)-LEN(SUBSTITUTE(A335,{"0","1","2"},""))))), ROW(INDIRECT("1:"&amp;LEN((LEFT(A335,SUM(LEN(A335)-LEN(SUBSTITUTE(A335,{"0","1","2"},"")))))))), 1)) * ROW(INDIRECT("1:"&amp;LEN((LEFT(A335,SUM(LEN(A335)-LEN(SUBSTITUTE(A335,{"0","1","2"},"")))))))), 0), ROW(INDIRECT("1:"&amp;LEN((LEFT(A335,SUM(LEN(A335)-LEN(SUBSTITUTE(A335,{"0","1","2"},"")))))))))+1, 1) * 10^ROW(INDIRECT("1:"&amp;LEN((LEFT(A335,SUM(LEN(A335)-LEN(SUBSTITUTE(A335,{"0","1","2"},""))))))))/10))*1+1&amp;""&amp;" &amp; "&amp;""&amp;(SUMPRODUCT(MID(0&amp;(--TRIM(RIGHT(SUBSTITUTE(LEFT(A335,_xlfn.AGGREGATE(16,6,FIND({0,1,2,3,4,5,6,7,8,9},A335,ROW(INDIRECT("1:"&amp;LEN(A335)))),1))," ",REPT(" ",LEN(A335))),LEN(A335)))), LARGE(INDEX(ISNUMBER(--MID((--TRIM(RIGHT(SUBSTITUTE(LEFT(A335,_xlfn.AGGREGATE(16,6,FIND({0,1,2,3,4,5,6,7,8,9},A335,ROW(INDIRECT("1:"&amp;LEN(A335)))),1))," ",REPT(" ",LEN(A335))),LEN(A335)))), ROW(INDIRECT("1:"&amp;LEN((--TRIM(RIGHT(SUBSTITUTE(LEFT(A335,_xlfn.AGGREGATE(16,6,FIND({0,1,2,3,4,5,6,7,8,9},A335,ROW(INDIRECT("1:"&amp;LEN(A335)))),1))," ",REPT(" ",LEN(A335))),LEN(A335))))))), 1)) * ROW(INDIRECT("1:"&amp;LEN((--TRIM(RIGHT(SUBSTITUTE(LEFT(A335,_xlfn.AGGREGATE(16,6,FIND({0,1,2,3,4,5,6,7,8,9},A335,ROW(INDIRECT("1:"&amp;LEN(A335)))),1))," ",REPT(" ",LEN(A335))),LEN(A335))))))), 0), ROW(INDIRECT("1:"&amp;LEN((--TRIM(RIGHT(SUBSTITUTE(LEFT(A335,_xlfn.AGGREGATE(16,6,FIND({0,1,2,3,4,5,6,7,8,9},A335,ROW(INDIRECT("1:"&amp;LEN(A335)))),1))," ",REPT(" ",LEN(A335))),LEN(A335))))))))+1, 1) * 10^ROW(INDIRECT("1:"&amp;LEN((--TRIM(RIGHT(SUBSTITUTE(LEFT(A335,_xlfn.AGGREGATE(16,6,FIND({0,1,2,3,4,5,6,7,8,9},A335,ROW(INDIRECT("1:"&amp;LEN(A335)))),1))," ",REPT(" ",LEN(A335))),LEN(A335)))))))/10))*1+1</f>
        <v>102 &amp; 302</v>
      </c>
      <c r="B336" s="115"/>
      <c r="C336" s="42" t="s">
        <v>169</v>
      </c>
      <c r="D336" s="42">
        <f>(30.08+2.5)*10.764</f>
        <v>350.69111999999996</v>
      </c>
      <c r="E336" s="42">
        <f>5.68*10.764</f>
        <v>61.13951999999999</v>
      </c>
      <c r="F336" s="42">
        <v>670</v>
      </c>
      <c r="G336" s="114" t="str">
        <f t="shared" ref="G336:G341" si="25">G335</f>
        <v>1st &amp; 3rd Floor for Residential</v>
      </c>
      <c r="H336" s="115"/>
      <c r="I336" s="36"/>
      <c r="J336" s="57">
        <f t="shared" si="17"/>
        <v>1.7361730744707768</v>
      </c>
    </row>
    <row r="337" spans="1:10" s="37" customFormat="1" x14ac:dyDescent="0.25">
      <c r="A337" s="114" t="str">
        <f ca="1">(SUMPRODUCT(MID(0&amp;(LEFT(A336,SUM(LEN(A336)-LEN(SUBSTITUTE(A336,{"0","1","2"},""))))), LARGE(INDEX(ISNUMBER(--MID((LEFT(A336,SUM(LEN(A336)-LEN(SUBSTITUTE(A336,{"0","1","2"},""))))), ROW(INDIRECT("1:"&amp;LEN((LEFT(A336,SUM(LEN(A336)-LEN(SUBSTITUTE(A336,{"0","1","2"},"")))))))), 1)) * ROW(INDIRECT("1:"&amp;LEN((LEFT(A336,SUM(LEN(A336)-LEN(SUBSTITUTE(A336,{"0","1","2"},"")))))))), 0), ROW(INDIRECT("1:"&amp;LEN((LEFT(A336,SUM(LEN(A336)-LEN(SUBSTITUTE(A336,{"0","1","2"},"")))))))))+1, 1) * 10^ROW(INDIRECT("1:"&amp;LEN((LEFT(A336,SUM(LEN(A336)-LEN(SUBSTITUTE(A336,{"0","1","2"},""))))))))/10))*1+1&amp;""&amp;" &amp; "&amp;""&amp;(SUMPRODUCT(MID(0&amp;(--TRIM(RIGHT(SUBSTITUTE(LEFT(A336,_xlfn.AGGREGATE(16,6,FIND({0,1,2,3,4,5,6,7,8,9},A336,ROW(INDIRECT("1:"&amp;LEN(A336)))),1))," ",REPT(" ",LEN(A336))),LEN(A336)))), LARGE(INDEX(ISNUMBER(--MID((--TRIM(RIGHT(SUBSTITUTE(LEFT(A336,_xlfn.AGGREGATE(16,6,FIND({0,1,2,3,4,5,6,7,8,9},A336,ROW(INDIRECT("1:"&amp;LEN(A336)))),1))," ",REPT(" ",LEN(A336))),LEN(A336)))), ROW(INDIRECT("1:"&amp;LEN((--TRIM(RIGHT(SUBSTITUTE(LEFT(A336,_xlfn.AGGREGATE(16,6,FIND({0,1,2,3,4,5,6,7,8,9},A336,ROW(INDIRECT("1:"&amp;LEN(A336)))),1))," ",REPT(" ",LEN(A336))),LEN(A336))))))), 1)) * ROW(INDIRECT("1:"&amp;LEN((--TRIM(RIGHT(SUBSTITUTE(LEFT(A336,_xlfn.AGGREGATE(16,6,FIND({0,1,2,3,4,5,6,7,8,9},A336,ROW(INDIRECT("1:"&amp;LEN(A336)))),1))," ",REPT(" ",LEN(A336))),LEN(A336))))))), 0), ROW(INDIRECT("1:"&amp;LEN((--TRIM(RIGHT(SUBSTITUTE(LEFT(A336,_xlfn.AGGREGATE(16,6,FIND({0,1,2,3,4,5,6,7,8,9},A336,ROW(INDIRECT("1:"&amp;LEN(A336)))),1))," ",REPT(" ",LEN(A336))),LEN(A336))))))))+1, 1) * 10^ROW(INDIRECT("1:"&amp;LEN((--TRIM(RIGHT(SUBSTITUTE(LEFT(A336,_xlfn.AGGREGATE(16,6,FIND({0,1,2,3,4,5,6,7,8,9},A336,ROW(INDIRECT("1:"&amp;LEN(A336)))),1))," ",REPT(" ",LEN(A336))),LEN(A336)))))))/10))*1+1</f>
        <v>103 &amp; 303</v>
      </c>
      <c r="B337" s="115"/>
      <c r="C337" s="42" t="s">
        <v>169</v>
      </c>
      <c r="D337" s="42">
        <f>(29.75+5.3)*10.764</f>
        <v>377.27819999999997</v>
      </c>
      <c r="E337" s="42">
        <f>6.02*10.764</f>
        <v>64.799279999999996</v>
      </c>
      <c r="F337" s="42">
        <v>700</v>
      </c>
      <c r="G337" s="114" t="str">
        <f t="shared" si="25"/>
        <v>1st &amp; 3rd Floor for Residential</v>
      </c>
      <c r="H337" s="115"/>
      <c r="I337" s="36"/>
      <c r="J337" s="57">
        <f t="shared" si="17"/>
        <v>1.6836401361117608</v>
      </c>
    </row>
    <row r="338" spans="1:10" s="37" customFormat="1" x14ac:dyDescent="0.25">
      <c r="A338" s="114" t="str">
        <f ca="1">(SUMPRODUCT(MID(0&amp;(LEFT(A337,SUM(LEN(A337)-LEN(SUBSTITUTE(A337,{"0","1","2"},""))))), LARGE(INDEX(ISNUMBER(--MID((LEFT(A337,SUM(LEN(A337)-LEN(SUBSTITUTE(A337,{"0","1","2"},""))))), ROW(INDIRECT("1:"&amp;LEN((LEFT(A337,SUM(LEN(A337)-LEN(SUBSTITUTE(A337,{"0","1","2"},"")))))))), 1)) * ROW(INDIRECT("1:"&amp;LEN((LEFT(A337,SUM(LEN(A337)-LEN(SUBSTITUTE(A337,{"0","1","2"},"")))))))), 0), ROW(INDIRECT("1:"&amp;LEN((LEFT(A337,SUM(LEN(A337)-LEN(SUBSTITUTE(A337,{"0","1","2"},"")))))))))+1, 1) * 10^ROW(INDIRECT("1:"&amp;LEN((LEFT(A337,SUM(LEN(A337)-LEN(SUBSTITUTE(A337,{"0","1","2"},""))))))))/10))*1+1&amp;""&amp;" &amp; "&amp;""&amp;(SUMPRODUCT(MID(0&amp;(--TRIM(RIGHT(SUBSTITUTE(LEFT(A337,_xlfn.AGGREGATE(16,6,FIND({0,1,2,3,4,5,6,7,8,9},A337,ROW(INDIRECT("1:"&amp;LEN(A337)))),1))," ",REPT(" ",LEN(A337))),LEN(A337)))), LARGE(INDEX(ISNUMBER(--MID((--TRIM(RIGHT(SUBSTITUTE(LEFT(A337,_xlfn.AGGREGATE(16,6,FIND({0,1,2,3,4,5,6,7,8,9},A337,ROW(INDIRECT("1:"&amp;LEN(A337)))),1))," ",REPT(" ",LEN(A337))),LEN(A337)))), ROW(INDIRECT("1:"&amp;LEN((--TRIM(RIGHT(SUBSTITUTE(LEFT(A337,_xlfn.AGGREGATE(16,6,FIND({0,1,2,3,4,5,6,7,8,9},A337,ROW(INDIRECT("1:"&amp;LEN(A337)))),1))," ",REPT(" ",LEN(A337))),LEN(A337))))))), 1)) * ROW(INDIRECT("1:"&amp;LEN((--TRIM(RIGHT(SUBSTITUTE(LEFT(A337,_xlfn.AGGREGATE(16,6,FIND({0,1,2,3,4,5,6,7,8,9},A337,ROW(INDIRECT("1:"&amp;LEN(A337)))),1))," ",REPT(" ",LEN(A337))),LEN(A337))))))), 0), ROW(INDIRECT("1:"&amp;LEN((--TRIM(RIGHT(SUBSTITUTE(LEFT(A337,_xlfn.AGGREGATE(16,6,FIND({0,1,2,3,4,5,6,7,8,9},A337,ROW(INDIRECT("1:"&amp;LEN(A337)))),1))," ",REPT(" ",LEN(A337))),LEN(A337))))))))+1, 1) * 10^ROW(INDIRECT("1:"&amp;LEN((--TRIM(RIGHT(SUBSTITUTE(LEFT(A337,_xlfn.AGGREGATE(16,6,FIND({0,1,2,3,4,5,6,7,8,9},A337,ROW(INDIRECT("1:"&amp;LEN(A337)))),1))," ",REPT(" ",LEN(A337))),LEN(A337)))))))/10))*1+1</f>
        <v>104 &amp; 304</v>
      </c>
      <c r="B338" s="115"/>
      <c r="C338" s="42" t="s">
        <v>169</v>
      </c>
      <c r="D338" s="42">
        <f>(29.75+5.3)*10.764</f>
        <v>377.27819999999997</v>
      </c>
      <c r="E338" s="42">
        <f>5.811*10.764</f>
        <v>62.549603999999995</v>
      </c>
      <c r="F338" s="42">
        <v>700</v>
      </c>
      <c r="G338" s="114" t="str">
        <f t="shared" si="25"/>
        <v>1st &amp; 3rd Floor for Residential</v>
      </c>
      <c r="H338" s="115"/>
      <c r="I338" s="36"/>
      <c r="J338" s="57">
        <f t="shared" si="17"/>
        <v>1.6896030462401486</v>
      </c>
    </row>
    <row r="339" spans="1:10" s="37" customFormat="1" x14ac:dyDescent="0.25">
      <c r="A339" s="114" t="str">
        <f ca="1">(SUMPRODUCT(MID(0&amp;(LEFT(A338,SUM(LEN(A338)-LEN(SUBSTITUTE(A338,{"0","1","2"},""))))), LARGE(INDEX(ISNUMBER(--MID((LEFT(A338,SUM(LEN(A338)-LEN(SUBSTITUTE(A338,{"0","1","2"},""))))), ROW(INDIRECT("1:"&amp;LEN((LEFT(A338,SUM(LEN(A338)-LEN(SUBSTITUTE(A338,{"0","1","2"},"")))))))), 1)) * ROW(INDIRECT("1:"&amp;LEN((LEFT(A338,SUM(LEN(A338)-LEN(SUBSTITUTE(A338,{"0","1","2"},"")))))))), 0), ROW(INDIRECT("1:"&amp;LEN((LEFT(A338,SUM(LEN(A338)-LEN(SUBSTITUTE(A338,{"0","1","2"},"")))))))))+1, 1) * 10^ROW(INDIRECT("1:"&amp;LEN((LEFT(A338,SUM(LEN(A338)-LEN(SUBSTITUTE(A338,{"0","1","2"},""))))))))/10))*1+1&amp;""&amp;" &amp; "&amp;""&amp;(SUMPRODUCT(MID(0&amp;(--TRIM(RIGHT(SUBSTITUTE(LEFT(A338,_xlfn.AGGREGATE(16,6,FIND({0,1,2,3,4,5,6,7,8,9},A338,ROW(INDIRECT("1:"&amp;LEN(A338)))),1))," ",REPT(" ",LEN(A338))),LEN(A338)))), LARGE(INDEX(ISNUMBER(--MID((--TRIM(RIGHT(SUBSTITUTE(LEFT(A338,_xlfn.AGGREGATE(16,6,FIND({0,1,2,3,4,5,6,7,8,9},A338,ROW(INDIRECT("1:"&amp;LEN(A338)))),1))," ",REPT(" ",LEN(A338))),LEN(A338)))), ROW(INDIRECT("1:"&amp;LEN((--TRIM(RIGHT(SUBSTITUTE(LEFT(A338,_xlfn.AGGREGATE(16,6,FIND({0,1,2,3,4,5,6,7,8,9},A338,ROW(INDIRECT("1:"&amp;LEN(A338)))),1))," ",REPT(" ",LEN(A338))),LEN(A338))))))), 1)) * ROW(INDIRECT("1:"&amp;LEN((--TRIM(RIGHT(SUBSTITUTE(LEFT(A338,_xlfn.AGGREGATE(16,6,FIND({0,1,2,3,4,5,6,7,8,9},A338,ROW(INDIRECT("1:"&amp;LEN(A338)))),1))," ",REPT(" ",LEN(A338))),LEN(A338))))))), 0), ROW(INDIRECT("1:"&amp;LEN((--TRIM(RIGHT(SUBSTITUTE(LEFT(A338,_xlfn.AGGREGATE(16,6,FIND({0,1,2,3,4,5,6,7,8,9},A338,ROW(INDIRECT("1:"&amp;LEN(A338)))),1))," ",REPT(" ",LEN(A338))),LEN(A338))))))))+1, 1) * 10^ROW(INDIRECT("1:"&amp;LEN((--TRIM(RIGHT(SUBSTITUTE(LEFT(A338,_xlfn.AGGREGATE(16,6,FIND({0,1,2,3,4,5,6,7,8,9},A338,ROW(INDIRECT("1:"&amp;LEN(A338)))),1))," ",REPT(" ",LEN(A338))),LEN(A338)))))))/10))*1+1</f>
        <v>105 &amp; 305</v>
      </c>
      <c r="B339" s="115"/>
      <c r="C339" s="42" t="s">
        <v>169</v>
      </c>
      <c r="D339" s="42">
        <f>(30.08+2.5)*10.764</f>
        <v>350.69111999999996</v>
      </c>
      <c r="E339" s="42">
        <f>5.841*10.764</f>
        <v>62.872523999999999</v>
      </c>
      <c r="F339" s="42">
        <v>670</v>
      </c>
      <c r="G339" s="114" t="str">
        <f t="shared" si="25"/>
        <v>1st &amp; 3rd Floor for Residential</v>
      </c>
      <c r="H339" s="115"/>
      <c r="I339" s="36"/>
      <c r="J339" s="57">
        <f t="shared" si="17"/>
        <v>1.7312313924572715</v>
      </c>
    </row>
    <row r="340" spans="1:10" s="37" customFormat="1" x14ac:dyDescent="0.25">
      <c r="A340" s="114" t="str">
        <f ca="1">(SUMPRODUCT(MID(0&amp;(LEFT(A339,SUM(LEN(A339)-LEN(SUBSTITUTE(A339,{"0","1","2"},""))))), LARGE(INDEX(ISNUMBER(--MID((LEFT(A339,SUM(LEN(A339)-LEN(SUBSTITUTE(A339,{"0","1","2"},""))))), ROW(INDIRECT("1:"&amp;LEN((LEFT(A339,SUM(LEN(A339)-LEN(SUBSTITUTE(A339,{"0","1","2"},"")))))))), 1)) * ROW(INDIRECT("1:"&amp;LEN((LEFT(A339,SUM(LEN(A339)-LEN(SUBSTITUTE(A339,{"0","1","2"},"")))))))), 0), ROW(INDIRECT("1:"&amp;LEN((LEFT(A339,SUM(LEN(A339)-LEN(SUBSTITUTE(A339,{"0","1","2"},"")))))))))+1, 1) * 10^ROW(INDIRECT("1:"&amp;LEN((LEFT(A339,SUM(LEN(A339)-LEN(SUBSTITUTE(A339,{"0","1","2"},""))))))))/10))*1+1&amp;""&amp;" &amp; "&amp;""&amp;(SUMPRODUCT(MID(0&amp;(--TRIM(RIGHT(SUBSTITUTE(LEFT(A339,_xlfn.AGGREGATE(16,6,FIND({0,1,2,3,4,5,6,7,8,9},A339,ROW(INDIRECT("1:"&amp;LEN(A339)))),1))," ",REPT(" ",LEN(A339))),LEN(A339)))), LARGE(INDEX(ISNUMBER(--MID((--TRIM(RIGHT(SUBSTITUTE(LEFT(A339,_xlfn.AGGREGATE(16,6,FIND({0,1,2,3,4,5,6,7,8,9},A339,ROW(INDIRECT("1:"&amp;LEN(A339)))),1))," ",REPT(" ",LEN(A339))),LEN(A339)))), ROW(INDIRECT("1:"&amp;LEN((--TRIM(RIGHT(SUBSTITUTE(LEFT(A339,_xlfn.AGGREGATE(16,6,FIND({0,1,2,3,4,5,6,7,8,9},A339,ROW(INDIRECT("1:"&amp;LEN(A339)))),1))," ",REPT(" ",LEN(A339))),LEN(A339))))))), 1)) * ROW(INDIRECT("1:"&amp;LEN((--TRIM(RIGHT(SUBSTITUTE(LEFT(A339,_xlfn.AGGREGATE(16,6,FIND({0,1,2,3,4,5,6,7,8,9},A339,ROW(INDIRECT("1:"&amp;LEN(A339)))),1))," ",REPT(" ",LEN(A339))),LEN(A339))))))), 0), ROW(INDIRECT("1:"&amp;LEN((--TRIM(RIGHT(SUBSTITUTE(LEFT(A339,_xlfn.AGGREGATE(16,6,FIND({0,1,2,3,4,5,6,7,8,9},A339,ROW(INDIRECT("1:"&amp;LEN(A339)))),1))," ",REPT(" ",LEN(A339))),LEN(A339))))))))+1, 1) * 10^ROW(INDIRECT("1:"&amp;LEN((--TRIM(RIGHT(SUBSTITUTE(LEFT(A339,_xlfn.AGGREGATE(16,6,FIND({0,1,2,3,4,5,6,7,8,9},A339,ROW(INDIRECT("1:"&amp;LEN(A339)))),1))," ",REPT(" ",LEN(A339))),LEN(A339)))))))/10))*1+1</f>
        <v>106 &amp; 306</v>
      </c>
      <c r="B340" s="115"/>
      <c r="C340" s="42" t="s">
        <v>177</v>
      </c>
      <c r="D340" s="42">
        <f>(22.07)*10.764</f>
        <v>237.56147999999999</v>
      </c>
      <c r="E340" s="42">
        <f>6.002*10.764</f>
        <v>64.605527999999993</v>
      </c>
      <c r="F340" s="45">
        <v>510</v>
      </c>
      <c r="G340" s="114" t="str">
        <f t="shared" si="25"/>
        <v>1st &amp; 3rd Floor for Residential</v>
      </c>
      <c r="H340" s="115"/>
      <c r="I340" s="36"/>
      <c r="J340" s="57">
        <f t="shared" ref="J340:J403" si="26">(F340-E340)/D340</f>
        <v>1.874859813131321</v>
      </c>
    </row>
    <row r="341" spans="1:10" s="37" customFormat="1" x14ac:dyDescent="0.25">
      <c r="A341" s="114" t="str">
        <f ca="1">(SUMPRODUCT(MID(0&amp;(LEFT(A340,SUM(LEN(A340)-LEN(SUBSTITUTE(A340,{"0","1","2"},""))))), LARGE(INDEX(ISNUMBER(--MID((LEFT(A340,SUM(LEN(A340)-LEN(SUBSTITUTE(A340,{"0","1","2"},""))))), ROW(INDIRECT("1:"&amp;LEN((LEFT(A340,SUM(LEN(A340)-LEN(SUBSTITUTE(A340,{"0","1","2"},"")))))))), 1)) * ROW(INDIRECT("1:"&amp;LEN((LEFT(A340,SUM(LEN(A340)-LEN(SUBSTITUTE(A340,{"0","1","2"},"")))))))), 0), ROW(INDIRECT("1:"&amp;LEN((LEFT(A340,SUM(LEN(A340)-LEN(SUBSTITUTE(A340,{"0","1","2"},"")))))))))+1, 1) * 10^ROW(INDIRECT("1:"&amp;LEN((LEFT(A340,SUM(LEN(A340)-LEN(SUBSTITUTE(A340,{"0","1","2"},""))))))))/10))*1+1&amp;""&amp;" &amp; "&amp;""&amp;(SUMPRODUCT(MID(0&amp;(--TRIM(RIGHT(SUBSTITUTE(LEFT(A340,_xlfn.AGGREGATE(16,6,FIND({0,1,2,3,4,5,6,7,8,9},A340,ROW(INDIRECT("1:"&amp;LEN(A340)))),1))," ",REPT(" ",LEN(A340))),LEN(A340)))), LARGE(INDEX(ISNUMBER(--MID((--TRIM(RIGHT(SUBSTITUTE(LEFT(A340,_xlfn.AGGREGATE(16,6,FIND({0,1,2,3,4,5,6,7,8,9},A340,ROW(INDIRECT("1:"&amp;LEN(A340)))),1))," ",REPT(" ",LEN(A340))),LEN(A340)))), ROW(INDIRECT("1:"&amp;LEN((--TRIM(RIGHT(SUBSTITUTE(LEFT(A340,_xlfn.AGGREGATE(16,6,FIND({0,1,2,3,4,5,6,7,8,9},A340,ROW(INDIRECT("1:"&amp;LEN(A340)))),1))," ",REPT(" ",LEN(A340))),LEN(A340))))))), 1)) * ROW(INDIRECT("1:"&amp;LEN((--TRIM(RIGHT(SUBSTITUTE(LEFT(A340,_xlfn.AGGREGATE(16,6,FIND({0,1,2,3,4,5,6,7,8,9},A340,ROW(INDIRECT("1:"&amp;LEN(A340)))),1))," ",REPT(" ",LEN(A340))),LEN(A340))))))), 0), ROW(INDIRECT("1:"&amp;LEN((--TRIM(RIGHT(SUBSTITUTE(LEFT(A340,_xlfn.AGGREGATE(16,6,FIND({0,1,2,3,4,5,6,7,8,9},A340,ROW(INDIRECT("1:"&amp;LEN(A340)))),1))," ",REPT(" ",LEN(A340))),LEN(A340))))))))+1, 1) * 10^ROW(INDIRECT("1:"&amp;LEN((--TRIM(RIGHT(SUBSTITUTE(LEFT(A340,_xlfn.AGGREGATE(16,6,FIND({0,1,2,3,4,5,6,7,8,9},A340,ROW(INDIRECT("1:"&amp;LEN(A340)))),1))," ",REPT(" ",LEN(A340))),LEN(A340)))))))/10))*1+1</f>
        <v>107 &amp; 307</v>
      </c>
      <c r="B341" s="115"/>
      <c r="C341" s="42" t="s">
        <v>177</v>
      </c>
      <c r="D341" s="42">
        <f>(19.597+2.5)*10.764</f>
        <v>237.85210799999999</v>
      </c>
      <c r="E341" s="42">
        <f>(7.445)*10.764</f>
        <v>80.137979999999999</v>
      </c>
      <c r="F341" s="42">
        <v>455</v>
      </c>
      <c r="G341" s="114" t="str">
        <f t="shared" si="25"/>
        <v>1st &amp; 3rd Floor for Residential</v>
      </c>
      <c r="H341" s="115"/>
      <c r="I341" s="36"/>
      <c r="J341" s="57">
        <f t="shared" si="26"/>
        <v>1.5760298411986329</v>
      </c>
    </row>
    <row r="342" spans="1:10" s="37" customFormat="1" x14ac:dyDescent="0.25">
      <c r="A342" s="116" t="s">
        <v>170</v>
      </c>
      <c r="B342" s="117"/>
      <c r="C342" s="117"/>
      <c r="D342" s="117"/>
      <c r="E342" s="117"/>
      <c r="F342" s="117"/>
      <c r="G342" s="117"/>
      <c r="H342" s="118"/>
      <c r="I342" s="36"/>
      <c r="J342" s="57" t="e">
        <f t="shared" si="26"/>
        <v>#DIV/0!</v>
      </c>
    </row>
    <row r="343" spans="1:10" s="37" customFormat="1" x14ac:dyDescent="0.25">
      <c r="A343" s="114" t="str">
        <f ca="1">(SUMPRODUCT(MID(0&amp;(LEFT(A342,SUM(LEN(A342)-LEN(SUBSTITUTE(A342,{"0","1","2"},""))))), LARGE(INDEX(ISNUMBER(--MID((LEFT(A342,SUM(LEN(A342)-LEN(SUBSTITUTE(A342,{"0","1","2"},""))))), ROW(INDIRECT("1:"&amp;LEN((LEFT(A342,SUM(LEN(A342)-LEN(SUBSTITUTE(A342,{"0","1","2"},"")))))))), 1)) * ROW(INDIRECT("1:"&amp;LEN((LEFT(A342,SUM(LEN(A342)-LEN(SUBSTITUTE(A342,{"0","1","2"},"")))))))), 0), ROW(INDIRECT("1:"&amp;LEN((LEFT(A342,SUM(LEN(A342)-LEN(SUBSTITUTE(A342,{"0","1","2"},"")))))))))+1, 1) * 10^ROW(INDIRECT("1:"&amp;LEN((LEFT(A342,SUM(LEN(A342)-LEN(SUBSTITUTE(A342,{"0","1","2"},""))))))))/10))*100+1&amp;""&amp;" &amp; "&amp;""&amp;(SUMPRODUCT(MID(0&amp;(--TRIM(RIGHT(SUBSTITUTE(LEFT(A342,_xlfn.AGGREGATE(16,6,FIND({0,1,2,3,4,5,6,7,8,9},A342,ROW(INDIRECT("1:"&amp;LEN(A342)))),1))," ",REPT(" ",LEN(A342))),LEN(A342)))), LARGE(INDEX(ISNUMBER(--MID((--TRIM(RIGHT(SUBSTITUTE(LEFT(A342,_xlfn.AGGREGATE(16,6,FIND({0,1,2,3,4,5,6,7,8,9},A342,ROW(INDIRECT("1:"&amp;LEN(A342)))),1))," ",REPT(" ",LEN(A342))),LEN(A342)))), ROW(INDIRECT("1:"&amp;LEN((--TRIM(RIGHT(SUBSTITUTE(LEFT(A342,_xlfn.AGGREGATE(16,6,FIND({0,1,2,3,4,5,6,7,8,9},A342,ROW(INDIRECT("1:"&amp;LEN(A342)))),1))," ",REPT(" ",LEN(A342))),LEN(A342))))))), 1)) * ROW(INDIRECT("1:"&amp;LEN((--TRIM(RIGHT(SUBSTITUTE(LEFT(A342,_xlfn.AGGREGATE(16,6,FIND({0,1,2,3,4,5,6,7,8,9},A342,ROW(INDIRECT("1:"&amp;LEN(A342)))),1))," ",REPT(" ",LEN(A342))),LEN(A342))))))), 0), ROW(INDIRECT("1:"&amp;LEN((--TRIM(RIGHT(SUBSTITUTE(LEFT(A342,_xlfn.AGGREGATE(16,6,FIND({0,1,2,3,4,5,6,7,8,9},A342,ROW(INDIRECT("1:"&amp;LEN(A342)))),1))," ",REPT(" ",LEN(A342))),LEN(A342))))))))+1, 1) * 10^ROW(INDIRECT("1:"&amp;LEN((--TRIM(RIGHT(SUBSTITUTE(LEFT(A342,_xlfn.AGGREGATE(16,6,FIND({0,1,2,3,4,5,6,7,8,9},A342,ROW(INDIRECT("1:"&amp;LEN(A342)))),1))," ",REPT(" ",LEN(A342))),LEN(A342)))))))/10))*100+1</f>
        <v>201 &amp; 401</v>
      </c>
      <c r="B343" s="115"/>
      <c r="C343" s="42" t="s">
        <v>169</v>
      </c>
      <c r="D343" s="42">
        <f>(30.08+2.5)*10.764</f>
        <v>350.69111999999996</v>
      </c>
      <c r="E343" s="42">
        <f>5.811*10.764</f>
        <v>62.549603999999995</v>
      </c>
      <c r="F343" s="42">
        <v>670</v>
      </c>
      <c r="G343" s="114" t="str">
        <f>A342</f>
        <v>2nd &amp; 4th Floor</v>
      </c>
      <c r="H343" s="115"/>
      <c r="I343" s="36"/>
      <c r="J343" s="57">
        <f t="shared" si="26"/>
        <v>1.7321522027703469</v>
      </c>
    </row>
    <row r="344" spans="1:10" s="37" customFormat="1" x14ac:dyDescent="0.25">
      <c r="A344" s="114" t="str">
        <f ca="1">(SUMPRODUCT(MID(0&amp;(LEFT(A343,SUM(LEN(A343)-LEN(SUBSTITUTE(A343,{"0","1","2"},""))))), LARGE(INDEX(ISNUMBER(--MID((LEFT(A343,SUM(LEN(A343)-LEN(SUBSTITUTE(A343,{"0","1","2"},""))))), ROW(INDIRECT("1:"&amp;LEN((LEFT(A343,SUM(LEN(A343)-LEN(SUBSTITUTE(A343,{"0","1","2"},"")))))))), 1)) * ROW(INDIRECT("1:"&amp;LEN((LEFT(A343,SUM(LEN(A343)-LEN(SUBSTITUTE(A343,{"0","1","2"},"")))))))), 0), ROW(INDIRECT("1:"&amp;LEN((LEFT(A343,SUM(LEN(A343)-LEN(SUBSTITUTE(A343,{"0","1","2"},"")))))))))+1, 1) * 10^ROW(INDIRECT("1:"&amp;LEN((LEFT(A343,SUM(LEN(A343)-LEN(SUBSTITUTE(A343,{"0","1","2"},""))))))))/10))*1+1&amp;""&amp;" &amp; "&amp;""&amp;(SUMPRODUCT(MID(0&amp;(--TRIM(RIGHT(SUBSTITUTE(LEFT(A343,_xlfn.AGGREGATE(16,6,FIND({0,1,2,3,4,5,6,7,8,9},A343,ROW(INDIRECT("1:"&amp;LEN(A343)))),1))," ",REPT(" ",LEN(A343))),LEN(A343)))), LARGE(INDEX(ISNUMBER(--MID((--TRIM(RIGHT(SUBSTITUTE(LEFT(A343,_xlfn.AGGREGATE(16,6,FIND({0,1,2,3,4,5,6,7,8,9},A343,ROW(INDIRECT("1:"&amp;LEN(A343)))),1))," ",REPT(" ",LEN(A343))),LEN(A343)))), ROW(INDIRECT("1:"&amp;LEN((--TRIM(RIGHT(SUBSTITUTE(LEFT(A343,_xlfn.AGGREGATE(16,6,FIND({0,1,2,3,4,5,6,7,8,9},A343,ROW(INDIRECT("1:"&amp;LEN(A343)))),1))," ",REPT(" ",LEN(A343))),LEN(A343))))))), 1)) * ROW(INDIRECT("1:"&amp;LEN((--TRIM(RIGHT(SUBSTITUTE(LEFT(A343,_xlfn.AGGREGATE(16,6,FIND({0,1,2,3,4,5,6,7,8,9},A343,ROW(INDIRECT("1:"&amp;LEN(A343)))),1))," ",REPT(" ",LEN(A343))),LEN(A343))))))), 0), ROW(INDIRECT("1:"&amp;LEN((--TRIM(RIGHT(SUBSTITUTE(LEFT(A343,_xlfn.AGGREGATE(16,6,FIND({0,1,2,3,4,5,6,7,8,9},A343,ROW(INDIRECT("1:"&amp;LEN(A343)))),1))," ",REPT(" ",LEN(A343))),LEN(A343))))))))+1, 1) * 10^ROW(INDIRECT("1:"&amp;LEN((--TRIM(RIGHT(SUBSTITUTE(LEFT(A343,_xlfn.AGGREGATE(16,6,FIND({0,1,2,3,4,5,6,7,8,9},A343,ROW(INDIRECT("1:"&amp;LEN(A343)))),1))," ",REPT(" ",LEN(A343))),LEN(A343)))))))/10))*1+1</f>
        <v>202 &amp; 402</v>
      </c>
      <c r="B344" s="115"/>
      <c r="C344" s="42" t="s">
        <v>169</v>
      </c>
      <c r="D344" s="42">
        <f>(30.08+2.5)*10.764</f>
        <v>350.69111999999996</v>
      </c>
      <c r="E344" s="42">
        <f>5.811*10.764</f>
        <v>62.549603999999995</v>
      </c>
      <c r="F344" s="42">
        <v>670</v>
      </c>
      <c r="G344" s="114" t="str">
        <f t="shared" ref="G344:G349" si="27">G343</f>
        <v>2nd &amp; 4th Floor</v>
      </c>
      <c r="H344" s="115"/>
      <c r="I344" s="36"/>
      <c r="J344" s="57">
        <f t="shared" si="26"/>
        <v>1.7321522027703469</v>
      </c>
    </row>
    <row r="345" spans="1:10" s="37" customFormat="1" x14ac:dyDescent="0.25">
      <c r="A345" s="114" t="str">
        <f ca="1">(SUMPRODUCT(MID(0&amp;(LEFT(A344,SUM(LEN(A344)-LEN(SUBSTITUTE(A344,{"0","1","2"},""))))), LARGE(INDEX(ISNUMBER(--MID((LEFT(A344,SUM(LEN(A344)-LEN(SUBSTITUTE(A344,{"0","1","2"},""))))), ROW(INDIRECT("1:"&amp;LEN((LEFT(A344,SUM(LEN(A344)-LEN(SUBSTITUTE(A344,{"0","1","2"},"")))))))), 1)) * ROW(INDIRECT("1:"&amp;LEN((LEFT(A344,SUM(LEN(A344)-LEN(SUBSTITUTE(A344,{"0","1","2"},"")))))))), 0), ROW(INDIRECT("1:"&amp;LEN((LEFT(A344,SUM(LEN(A344)-LEN(SUBSTITUTE(A344,{"0","1","2"},"")))))))))+1, 1) * 10^ROW(INDIRECT("1:"&amp;LEN((LEFT(A344,SUM(LEN(A344)-LEN(SUBSTITUTE(A344,{"0","1","2"},""))))))))/10))*1+1&amp;""&amp;" &amp; "&amp;""&amp;(SUMPRODUCT(MID(0&amp;(--TRIM(RIGHT(SUBSTITUTE(LEFT(A344,_xlfn.AGGREGATE(16,6,FIND({0,1,2,3,4,5,6,7,8,9},A344,ROW(INDIRECT("1:"&amp;LEN(A344)))),1))," ",REPT(" ",LEN(A344))),LEN(A344)))), LARGE(INDEX(ISNUMBER(--MID((--TRIM(RIGHT(SUBSTITUTE(LEFT(A344,_xlfn.AGGREGATE(16,6,FIND({0,1,2,3,4,5,6,7,8,9},A344,ROW(INDIRECT("1:"&amp;LEN(A344)))),1))," ",REPT(" ",LEN(A344))),LEN(A344)))), ROW(INDIRECT("1:"&amp;LEN((--TRIM(RIGHT(SUBSTITUTE(LEFT(A344,_xlfn.AGGREGATE(16,6,FIND({0,1,2,3,4,5,6,7,8,9},A344,ROW(INDIRECT("1:"&amp;LEN(A344)))),1))," ",REPT(" ",LEN(A344))),LEN(A344))))))), 1)) * ROW(INDIRECT("1:"&amp;LEN((--TRIM(RIGHT(SUBSTITUTE(LEFT(A344,_xlfn.AGGREGATE(16,6,FIND({0,1,2,3,4,5,6,7,8,9},A344,ROW(INDIRECT("1:"&amp;LEN(A344)))),1))," ",REPT(" ",LEN(A344))),LEN(A344))))))), 0), ROW(INDIRECT("1:"&amp;LEN((--TRIM(RIGHT(SUBSTITUTE(LEFT(A344,_xlfn.AGGREGATE(16,6,FIND({0,1,2,3,4,5,6,7,8,9},A344,ROW(INDIRECT("1:"&amp;LEN(A344)))),1))," ",REPT(" ",LEN(A344))),LEN(A344))))))))+1, 1) * 10^ROW(INDIRECT("1:"&amp;LEN((--TRIM(RIGHT(SUBSTITUTE(LEFT(A344,_xlfn.AGGREGATE(16,6,FIND({0,1,2,3,4,5,6,7,8,9},A344,ROW(INDIRECT("1:"&amp;LEN(A344)))),1))," ",REPT(" ",LEN(A344))),LEN(A344)))))))/10))*1+1</f>
        <v>203 &amp; 403</v>
      </c>
      <c r="B345" s="115"/>
      <c r="C345" s="42" t="s">
        <v>169</v>
      </c>
      <c r="D345" s="42">
        <f>(29.03+5.3)*10.764</f>
        <v>369.52811999999994</v>
      </c>
      <c r="E345" s="42">
        <v>0</v>
      </c>
      <c r="F345" s="42">
        <v>600</v>
      </c>
      <c r="G345" s="114" t="str">
        <f t="shared" si="27"/>
        <v>2nd &amp; 4th Floor</v>
      </c>
      <c r="H345" s="115"/>
      <c r="I345" s="36"/>
      <c r="J345" s="57">
        <f t="shared" si="26"/>
        <v>1.6236923999180362</v>
      </c>
    </row>
    <row r="346" spans="1:10" s="37" customFormat="1" x14ac:dyDescent="0.25">
      <c r="A346" s="114" t="str">
        <f ca="1">(SUMPRODUCT(MID(0&amp;(LEFT(A345,SUM(LEN(A345)-LEN(SUBSTITUTE(A345,{"0","1","2"},""))))), LARGE(INDEX(ISNUMBER(--MID((LEFT(A345,SUM(LEN(A345)-LEN(SUBSTITUTE(A345,{"0","1","2"},""))))), ROW(INDIRECT("1:"&amp;LEN((LEFT(A345,SUM(LEN(A345)-LEN(SUBSTITUTE(A345,{"0","1","2"},"")))))))), 1)) * ROW(INDIRECT("1:"&amp;LEN((LEFT(A345,SUM(LEN(A345)-LEN(SUBSTITUTE(A345,{"0","1","2"},"")))))))), 0), ROW(INDIRECT("1:"&amp;LEN((LEFT(A345,SUM(LEN(A345)-LEN(SUBSTITUTE(A345,{"0","1","2"},"")))))))))+1, 1) * 10^ROW(INDIRECT("1:"&amp;LEN((LEFT(A345,SUM(LEN(A345)-LEN(SUBSTITUTE(A345,{"0","1","2"},""))))))))/10))*1+1&amp;""&amp;" &amp; "&amp;""&amp;(SUMPRODUCT(MID(0&amp;(--TRIM(RIGHT(SUBSTITUTE(LEFT(A345,_xlfn.AGGREGATE(16,6,FIND({0,1,2,3,4,5,6,7,8,9},A345,ROW(INDIRECT("1:"&amp;LEN(A345)))),1))," ",REPT(" ",LEN(A345))),LEN(A345)))), LARGE(INDEX(ISNUMBER(--MID((--TRIM(RIGHT(SUBSTITUTE(LEFT(A345,_xlfn.AGGREGATE(16,6,FIND({0,1,2,3,4,5,6,7,8,9},A345,ROW(INDIRECT("1:"&amp;LEN(A345)))),1))," ",REPT(" ",LEN(A345))),LEN(A345)))), ROW(INDIRECT("1:"&amp;LEN((--TRIM(RIGHT(SUBSTITUTE(LEFT(A345,_xlfn.AGGREGATE(16,6,FIND({0,1,2,3,4,5,6,7,8,9},A345,ROW(INDIRECT("1:"&amp;LEN(A345)))),1))," ",REPT(" ",LEN(A345))),LEN(A345))))))), 1)) * ROW(INDIRECT("1:"&amp;LEN((--TRIM(RIGHT(SUBSTITUTE(LEFT(A345,_xlfn.AGGREGATE(16,6,FIND({0,1,2,3,4,5,6,7,8,9},A345,ROW(INDIRECT("1:"&amp;LEN(A345)))),1))," ",REPT(" ",LEN(A345))),LEN(A345))))))), 0), ROW(INDIRECT("1:"&amp;LEN((--TRIM(RIGHT(SUBSTITUTE(LEFT(A345,_xlfn.AGGREGATE(16,6,FIND({0,1,2,3,4,5,6,7,8,9},A345,ROW(INDIRECT("1:"&amp;LEN(A345)))),1))," ",REPT(" ",LEN(A345))),LEN(A345))))))))+1, 1) * 10^ROW(INDIRECT("1:"&amp;LEN((--TRIM(RIGHT(SUBSTITUTE(LEFT(A345,_xlfn.AGGREGATE(16,6,FIND({0,1,2,3,4,5,6,7,8,9},A345,ROW(INDIRECT("1:"&amp;LEN(A345)))),1))," ",REPT(" ",LEN(A345))),LEN(A345)))))))/10))*1+1</f>
        <v>204 &amp; 404</v>
      </c>
      <c r="B346" s="115"/>
      <c r="C346" s="42" t="s">
        <v>169</v>
      </c>
      <c r="D346" s="42">
        <f>(29.397+5.3)*10.764</f>
        <v>373.47850799999992</v>
      </c>
      <c r="E346" s="42">
        <f>3.332*10.764</f>
        <v>35.865647999999993</v>
      </c>
      <c r="F346" s="42">
        <v>655</v>
      </c>
      <c r="G346" s="114" t="str">
        <f t="shared" si="27"/>
        <v>2nd &amp; 4th Floor</v>
      </c>
      <c r="H346" s="115"/>
      <c r="I346" s="36"/>
      <c r="J346" s="57">
        <f t="shared" si="26"/>
        <v>1.65775095149518</v>
      </c>
    </row>
    <row r="347" spans="1:10" s="37" customFormat="1" x14ac:dyDescent="0.25">
      <c r="A347" s="114" t="str">
        <f ca="1">(SUMPRODUCT(MID(0&amp;(LEFT(A346,SUM(LEN(A346)-LEN(SUBSTITUTE(A346,{"0","1","2"},""))))), LARGE(INDEX(ISNUMBER(--MID((LEFT(A346,SUM(LEN(A346)-LEN(SUBSTITUTE(A346,{"0","1","2"},""))))), ROW(INDIRECT("1:"&amp;LEN((LEFT(A346,SUM(LEN(A346)-LEN(SUBSTITUTE(A346,{"0","1","2"},"")))))))), 1)) * ROW(INDIRECT("1:"&amp;LEN((LEFT(A346,SUM(LEN(A346)-LEN(SUBSTITUTE(A346,{"0","1","2"},"")))))))), 0), ROW(INDIRECT("1:"&amp;LEN((LEFT(A346,SUM(LEN(A346)-LEN(SUBSTITUTE(A346,{"0","1","2"},"")))))))))+1, 1) * 10^ROW(INDIRECT("1:"&amp;LEN((LEFT(A346,SUM(LEN(A346)-LEN(SUBSTITUTE(A346,{"0","1","2"},""))))))))/10))*1+1&amp;""&amp;" &amp; "&amp;""&amp;(SUMPRODUCT(MID(0&amp;(--TRIM(RIGHT(SUBSTITUTE(LEFT(A346,_xlfn.AGGREGATE(16,6,FIND({0,1,2,3,4,5,6,7,8,9},A346,ROW(INDIRECT("1:"&amp;LEN(A346)))),1))," ",REPT(" ",LEN(A346))),LEN(A346)))), LARGE(INDEX(ISNUMBER(--MID((--TRIM(RIGHT(SUBSTITUTE(LEFT(A346,_xlfn.AGGREGATE(16,6,FIND({0,1,2,3,4,5,6,7,8,9},A346,ROW(INDIRECT("1:"&amp;LEN(A346)))),1))," ",REPT(" ",LEN(A346))),LEN(A346)))), ROW(INDIRECT("1:"&amp;LEN((--TRIM(RIGHT(SUBSTITUTE(LEFT(A346,_xlfn.AGGREGATE(16,6,FIND({0,1,2,3,4,5,6,7,8,9},A346,ROW(INDIRECT("1:"&amp;LEN(A346)))),1))," ",REPT(" ",LEN(A346))),LEN(A346))))))), 1)) * ROW(INDIRECT("1:"&amp;LEN((--TRIM(RIGHT(SUBSTITUTE(LEFT(A346,_xlfn.AGGREGATE(16,6,FIND({0,1,2,3,4,5,6,7,8,9},A346,ROW(INDIRECT("1:"&amp;LEN(A346)))),1))," ",REPT(" ",LEN(A346))),LEN(A346))))))), 0), ROW(INDIRECT("1:"&amp;LEN((--TRIM(RIGHT(SUBSTITUTE(LEFT(A346,_xlfn.AGGREGATE(16,6,FIND({0,1,2,3,4,5,6,7,8,9},A346,ROW(INDIRECT("1:"&amp;LEN(A346)))),1))," ",REPT(" ",LEN(A346))),LEN(A346))))))))+1, 1) * 10^ROW(INDIRECT("1:"&amp;LEN((--TRIM(RIGHT(SUBSTITUTE(LEFT(A346,_xlfn.AGGREGATE(16,6,FIND({0,1,2,3,4,5,6,7,8,9},A346,ROW(INDIRECT("1:"&amp;LEN(A346)))),1))," ",REPT(" ",LEN(A346))),LEN(A346)))))))/10))*1+1</f>
        <v>205 &amp; 405</v>
      </c>
      <c r="B347" s="115"/>
      <c r="C347" s="42" t="s">
        <v>169</v>
      </c>
      <c r="D347" s="42">
        <f>(30.08+2.5)*10.764</f>
        <v>350.69111999999996</v>
      </c>
      <c r="E347" s="42">
        <f>5.972*10.764</f>
        <v>64.282607999999996</v>
      </c>
      <c r="F347" s="42">
        <v>670</v>
      </c>
      <c r="G347" s="114" t="str">
        <f t="shared" si="27"/>
        <v>2nd &amp; 4th Floor</v>
      </c>
      <c r="H347" s="115"/>
      <c r="I347" s="36"/>
      <c r="J347" s="57">
        <f t="shared" si="26"/>
        <v>1.7272105207568418</v>
      </c>
    </row>
    <row r="348" spans="1:10" s="37" customFormat="1" x14ac:dyDescent="0.25">
      <c r="A348" s="114" t="str">
        <f ca="1">(SUMPRODUCT(MID(0&amp;(LEFT(A347,SUM(LEN(A347)-LEN(SUBSTITUTE(A347,{"0","1","2"},""))))), LARGE(INDEX(ISNUMBER(--MID((LEFT(A347,SUM(LEN(A347)-LEN(SUBSTITUTE(A347,{"0","1","2"},""))))), ROW(INDIRECT("1:"&amp;LEN((LEFT(A347,SUM(LEN(A347)-LEN(SUBSTITUTE(A347,{"0","1","2"},"")))))))), 1)) * ROW(INDIRECT("1:"&amp;LEN((LEFT(A347,SUM(LEN(A347)-LEN(SUBSTITUTE(A347,{"0","1","2"},"")))))))), 0), ROW(INDIRECT("1:"&amp;LEN((LEFT(A347,SUM(LEN(A347)-LEN(SUBSTITUTE(A347,{"0","1","2"},"")))))))))+1, 1) * 10^ROW(INDIRECT("1:"&amp;LEN((LEFT(A347,SUM(LEN(A347)-LEN(SUBSTITUTE(A347,{"0","1","2"},""))))))))/10))*1+1&amp;""&amp;" &amp; "&amp;""&amp;(SUMPRODUCT(MID(0&amp;(--TRIM(RIGHT(SUBSTITUTE(LEFT(A347,_xlfn.AGGREGATE(16,6,FIND({0,1,2,3,4,5,6,7,8,9},A347,ROW(INDIRECT("1:"&amp;LEN(A347)))),1))," ",REPT(" ",LEN(A347))),LEN(A347)))), LARGE(INDEX(ISNUMBER(--MID((--TRIM(RIGHT(SUBSTITUTE(LEFT(A347,_xlfn.AGGREGATE(16,6,FIND({0,1,2,3,4,5,6,7,8,9},A347,ROW(INDIRECT("1:"&amp;LEN(A347)))),1))," ",REPT(" ",LEN(A347))),LEN(A347)))), ROW(INDIRECT("1:"&amp;LEN((--TRIM(RIGHT(SUBSTITUTE(LEFT(A347,_xlfn.AGGREGATE(16,6,FIND({0,1,2,3,4,5,6,7,8,9},A347,ROW(INDIRECT("1:"&amp;LEN(A347)))),1))," ",REPT(" ",LEN(A347))),LEN(A347))))))), 1)) * ROW(INDIRECT("1:"&amp;LEN((--TRIM(RIGHT(SUBSTITUTE(LEFT(A347,_xlfn.AGGREGATE(16,6,FIND({0,1,2,3,4,5,6,7,8,9},A347,ROW(INDIRECT("1:"&amp;LEN(A347)))),1))," ",REPT(" ",LEN(A347))),LEN(A347))))))), 0), ROW(INDIRECT("1:"&amp;LEN((--TRIM(RIGHT(SUBSTITUTE(LEFT(A347,_xlfn.AGGREGATE(16,6,FIND({0,1,2,3,4,5,6,7,8,9},A347,ROW(INDIRECT("1:"&amp;LEN(A347)))),1))," ",REPT(" ",LEN(A347))),LEN(A347))))))))+1, 1) * 10^ROW(INDIRECT("1:"&amp;LEN((--TRIM(RIGHT(SUBSTITUTE(LEFT(A347,_xlfn.AGGREGATE(16,6,FIND({0,1,2,3,4,5,6,7,8,9},A347,ROW(INDIRECT("1:"&amp;LEN(A347)))),1))," ",REPT(" ",LEN(A347))),LEN(A347)))))))/10))*1+1</f>
        <v>206 &amp; 406</v>
      </c>
      <c r="B348" s="115"/>
      <c r="C348" s="42" t="s">
        <v>177</v>
      </c>
      <c r="D348" s="42">
        <f>(19.68+2.5)*10.764</f>
        <v>238.74551999999997</v>
      </c>
      <c r="E348" s="42">
        <v>0</v>
      </c>
      <c r="F348" s="42">
        <v>410</v>
      </c>
      <c r="G348" s="114" t="str">
        <f t="shared" si="27"/>
        <v>2nd &amp; 4th Floor</v>
      </c>
      <c r="H348" s="115"/>
      <c r="I348" s="36"/>
      <c r="J348" s="57">
        <f t="shared" si="26"/>
        <v>1.7173097111937432</v>
      </c>
    </row>
    <row r="349" spans="1:10" s="37" customFormat="1" x14ac:dyDescent="0.25">
      <c r="A349" s="114" t="str">
        <f ca="1">(SUMPRODUCT(MID(0&amp;(LEFT(A348,SUM(LEN(A348)-LEN(SUBSTITUTE(A348,{"0","1","2"},""))))), LARGE(INDEX(ISNUMBER(--MID((LEFT(A348,SUM(LEN(A348)-LEN(SUBSTITUTE(A348,{"0","1","2"},""))))), ROW(INDIRECT("1:"&amp;LEN((LEFT(A348,SUM(LEN(A348)-LEN(SUBSTITUTE(A348,{"0","1","2"},"")))))))), 1)) * ROW(INDIRECT("1:"&amp;LEN((LEFT(A348,SUM(LEN(A348)-LEN(SUBSTITUTE(A348,{"0","1","2"},"")))))))), 0), ROW(INDIRECT("1:"&amp;LEN((LEFT(A348,SUM(LEN(A348)-LEN(SUBSTITUTE(A348,{"0","1","2"},"")))))))))+1, 1) * 10^ROW(INDIRECT("1:"&amp;LEN((LEFT(A348,SUM(LEN(A348)-LEN(SUBSTITUTE(A348,{"0","1","2"},""))))))))/10))*1+1&amp;""&amp;" &amp; "&amp;""&amp;(SUMPRODUCT(MID(0&amp;(--TRIM(RIGHT(SUBSTITUTE(LEFT(A348,_xlfn.AGGREGATE(16,6,FIND({0,1,2,3,4,5,6,7,8,9},A348,ROW(INDIRECT("1:"&amp;LEN(A348)))),1))," ",REPT(" ",LEN(A348))),LEN(A348)))), LARGE(INDEX(ISNUMBER(--MID((--TRIM(RIGHT(SUBSTITUTE(LEFT(A348,_xlfn.AGGREGATE(16,6,FIND({0,1,2,3,4,5,6,7,8,9},A348,ROW(INDIRECT("1:"&amp;LEN(A348)))),1))," ",REPT(" ",LEN(A348))),LEN(A348)))), ROW(INDIRECT("1:"&amp;LEN((--TRIM(RIGHT(SUBSTITUTE(LEFT(A348,_xlfn.AGGREGATE(16,6,FIND({0,1,2,3,4,5,6,7,8,9},A348,ROW(INDIRECT("1:"&amp;LEN(A348)))),1))," ",REPT(" ",LEN(A348))),LEN(A348))))))), 1)) * ROW(INDIRECT("1:"&amp;LEN((--TRIM(RIGHT(SUBSTITUTE(LEFT(A348,_xlfn.AGGREGATE(16,6,FIND({0,1,2,3,4,5,6,7,8,9},A348,ROW(INDIRECT("1:"&amp;LEN(A348)))),1))," ",REPT(" ",LEN(A348))),LEN(A348))))))), 0), ROW(INDIRECT("1:"&amp;LEN((--TRIM(RIGHT(SUBSTITUTE(LEFT(A348,_xlfn.AGGREGATE(16,6,FIND({0,1,2,3,4,5,6,7,8,9},A348,ROW(INDIRECT("1:"&amp;LEN(A348)))),1))," ",REPT(" ",LEN(A348))),LEN(A348))))))))+1, 1) * 10^ROW(INDIRECT("1:"&amp;LEN((--TRIM(RIGHT(SUBSTITUTE(LEFT(A348,_xlfn.AGGREGATE(16,6,FIND({0,1,2,3,4,5,6,7,8,9},A348,ROW(INDIRECT("1:"&amp;LEN(A348)))),1))," ",REPT(" ",LEN(A348))),LEN(A348)))))))/10))*1+1</f>
        <v>207 &amp; 407</v>
      </c>
      <c r="B349" s="115"/>
      <c r="C349" s="42" t="s">
        <v>177</v>
      </c>
      <c r="D349" s="42">
        <f>(19.597+2.5)*10.764</f>
        <v>237.85210799999999</v>
      </c>
      <c r="E349" s="42">
        <f>7.445*10.764</f>
        <v>80.137979999999999</v>
      </c>
      <c r="F349" s="42">
        <v>520</v>
      </c>
      <c r="G349" s="114" t="str">
        <f t="shared" si="27"/>
        <v>2nd &amp; 4th Floor</v>
      </c>
      <c r="H349" s="115"/>
      <c r="I349" s="36"/>
      <c r="J349" s="57">
        <f t="shared" si="26"/>
        <v>1.8493088991248294</v>
      </c>
    </row>
    <row r="350" spans="1:10" s="34" customFormat="1" x14ac:dyDescent="0.25">
      <c r="A350" s="122" t="s">
        <v>245</v>
      </c>
      <c r="B350" s="122"/>
      <c r="C350" s="122"/>
      <c r="D350" s="122"/>
      <c r="E350" s="122"/>
      <c r="F350" s="122"/>
      <c r="G350" s="122"/>
      <c r="H350" s="122"/>
      <c r="J350" s="57" t="e">
        <f t="shared" si="26"/>
        <v>#DIV/0!</v>
      </c>
    </row>
    <row r="351" spans="1:10" s="34" customFormat="1" x14ac:dyDescent="0.25">
      <c r="A351" s="122" t="s">
        <v>175</v>
      </c>
      <c r="B351" s="122"/>
      <c r="C351" s="122"/>
      <c r="D351" s="122"/>
      <c r="E351" s="122"/>
      <c r="F351" s="122"/>
      <c r="G351" s="122"/>
      <c r="H351" s="122"/>
      <c r="J351" s="57" t="e">
        <f t="shared" si="26"/>
        <v>#DIV/0!</v>
      </c>
    </row>
    <row r="352" spans="1:10" s="34" customFormat="1" x14ac:dyDescent="0.25">
      <c r="A352" s="122" t="s">
        <v>166</v>
      </c>
      <c r="B352" s="122"/>
      <c r="C352" s="122"/>
      <c r="D352" s="122"/>
      <c r="E352" s="122"/>
      <c r="F352" s="122"/>
      <c r="G352" s="122"/>
      <c r="H352" s="122"/>
      <c r="J352" s="57" t="e">
        <f t="shared" si="26"/>
        <v>#DIV/0!</v>
      </c>
    </row>
    <row r="353" spans="1:10" s="37" customFormat="1" x14ac:dyDescent="0.25">
      <c r="A353" s="119" t="s">
        <v>167</v>
      </c>
      <c r="B353" s="120"/>
      <c r="C353" s="120"/>
      <c r="D353" s="120"/>
      <c r="E353" s="120"/>
      <c r="F353" s="120"/>
      <c r="G353" s="120"/>
      <c r="H353" s="121"/>
      <c r="I353" s="36"/>
      <c r="J353" s="57" t="e">
        <f t="shared" si="26"/>
        <v>#DIV/0!</v>
      </c>
    </row>
    <row r="354" spans="1:10" s="37" customFormat="1" x14ac:dyDescent="0.25">
      <c r="A354" s="114" t="str">
        <f ca="1">(SUMPRODUCT(MID(0&amp;(LEFT(A353,SUM(LEN(A353)-LEN(SUBSTITUTE(A353,{"0","1","2"},""))))), LARGE(INDEX(ISNUMBER(--MID((LEFT(A353,SUM(LEN(A353)-LEN(SUBSTITUTE(A353,{"0","1","2"},""))))), ROW(INDIRECT("1:"&amp;LEN((LEFT(A353,SUM(LEN(A353)-LEN(SUBSTITUTE(A353,{"0","1","2"},"")))))))), 1)) * ROW(INDIRECT("1:"&amp;LEN((LEFT(A353,SUM(LEN(A353)-LEN(SUBSTITUTE(A353,{"0","1","2"},"")))))))), 0), ROW(INDIRECT("1:"&amp;LEN((LEFT(A353,SUM(LEN(A353)-LEN(SUBSTITUTE(A353,{"0","1","2"},"")))))))))+1, 1) * 10^ROW(INDIRECT("1:"&amp;LEN((LEFT(A353,SUM(LEN(A353)-LEN(SUBSTITUTE(A353,{"0","1","2"},""))))))))/10))*100+1&amp;""&amp;" &amp; "&amp;""&amp;(SUMPRODUCT(MID(0&amp;(--TRIM(RIGHT(SUBSTITUTE(LEFT(A353,_xlfn.AGGREGATE(16,6,FIND({0,1,2,3,4,5,6,7,8,9},A353,ROW(INDIRECT("1:"&amp;LEN(A353)))),1))," ",REPT(" ",LEN(A353))),LEN(A353)))), LARGE(INDEX(ISNUMBER(--MID((--TRIM(RIGHT(SUBSTITUTE(LEFT(A353,_xlfn.AGGREGATE(16,6,FIND({0,1,2,3,4,5,6,7,8,9},A353,ROW(INDIRECT("1:"&amp;LEN(A353)))),1))," ",REPT(" ",LEN(A353))),LEN(A353)))), ROW(INDIRECT("1:"&amp;LEN((--TRIM(RIGHT(SUBSTITUTE(LEFT(A353,_xlfn.AGGREGATE(16,6,FIND({0,1,2,3,4,5,6,7,8,9},A353,ROW(INDIRECT("1:"&amp;LEN(A353)))),1))," ",REPT(" ",LEN(A353))),LEN(A353))))))), 1)) * ROW(INDIRECT("1:"&amp;LEN((--TRIM(RIGHT(SUBSTITUTE(LEFT(A353,_xlfn.AGGREGATE(16,6,FIND({0,1,2,3,4,5,6,7,8,9},A353,ROW(INDIRECT("1:"&amp;LEN(A353)))),1))," ",REPT(" ",LEN(A353))),LEN(A353))))))), 0), ROW(INDIRECT("1:"&amp;LEN((--TRIM(RIGHT(SUBSTITUTE(LEFT(A353,_xlfn.AGGREGATE(16,6,FIND({0,1,2,3,4,5,6,7,8,9},A353,ROW(INDIRECT("1:"&amp;LEN(A353)))),1))," ",REPT(" ",LEN(A353))),LEN(A353))))))))+1, 1) * 10^ROW(INDIRECT("1:"&amp;LEN((--TRIM(RIGHT(SUBSTITUTE(LEFT(A353,_xlfn.AGGREGATE(16,6,FIND({0,1,2,3,4,5,6,7,8,9},A353,ROW(INDIRECT("1:"&amp;LEN(A353)))),1))," ",REPT(" ",LEN(A353))),LEN(A353)))))))/10))*100+1</f>
        <v>101 &amp; 301</v>
      </c>
      <c r="B354" s="115"/>
      <c r="C354" s="42" t="s">
        <v>169</v>
      </c>
      <c r="D354" s="42">
        <f>(28.912+2.975)*10.764</f>
        <v>343.23166799999996</v>
      </c>
      <c r="E354" s="42">
        <f>4.448*10.764</f>
        <v>47.878272000000003</v>
      </c>
      <c r="F354" s="42">
        <v>635</v>
      </c>
      <c r="G354" s="114" t="str">
        <f>A353</f>
        <v>1st &amp; 3rd Floor for Residential</v>
      </c>
      <c r="H354" s="115"/>
      <c r="I354" s="36"/>
      <c r="J354" s="57">
        <f t="shared" si="26"/>
        <v>1.7105698067463868</v>
      </c>
    </row>
    <row r="355" spans="1:10" s="37" customFormat="1" x14ac:dyDescent="0.25">
      <c r="A355" s="114" t="str">
        <f ca="1">(SUMPRODUCT(MID(0&amp;(LEFT(A354,SUM(LEN(A354)-LEN(SUBSTITUTE(A354,{"0","1","2"},""))))), LARGE(INDEX(ISNUMBER(--MID((LEFT(A354,SUM(LEN(A354)-LEN(SUBSTITUTE(A354,{"0","1","2"},""))))), ROW(INDIRECT("1:"&amp;LEN((LEFT(A354,SUM(LEN(A354)-LEN(SUBSTITUTE(A354,{"0","1","2"},"")))))))), 1)) * ROW(INDIRECT("1:"&amp;LEN((LEFT(A354,SUM(LEN(A354)-LEN(SUBSTITUTE(A354,{"0","1","2"},"")))))))), 0), ROW(INDIRECT("1:"&amp;LEN((LEFT(A354,SUM(LEN(A354)-LEN(SUBSTITUTE(A354,{"0","1","2"},"")))))))))+1, 1) * 10^ROW(INDIRECT("1:"&amp;LEN((LEFT(A354,SUM(LEN(A354)-LEN(SUBSTITUTE(A354,{"0","1","2"},""))))))))/10))*1+1&amp;""&amp;" &amp; "&amp;""&amp;(SUMPRODUCT(MID(0&amp;(--TRIM(RIGHT(SUBSTITUTE(LEFT(A354,_xlfn.AGGREGATE(16,6,FIND({0,1,2,3,4,5,6,7,8,9},A354,ROW(INDIRECT("1:"&amp;LEN(A354)))),1))," ",REPT(" ",LEN(A354))),LEN(A354)))), LARGE(INDEX(ISNUMBER(--MID((--TRIM(RIGHT(SUBSTITUTE(LEFT(A354,_xlfn.AGGREGATE(16,6,FIND({0,1,2,3,4,5,6,7,8,9},A354,ROW(INDIRECT("1:"&amp;LEN(A354)))),1))," ",REPT(" ",LEN(A354))),LEN(A354)))), ROW(INDIRECT("1:"&amp;LEN((--TRIM(RIGHT(SUBSTITUTE(LEFT(A354,_xlfn.AGGREGATE(16,6,FIND({0,1,2,3,4,5,6,7,8,9},A354,ROW(INDIRECT("1:"&amp;LEN(A354)))),1))," ",REPT(" ",LEN(A354))),LEN(A354))))))), 1)) * ROW(INDIRECT("1:"&amp;LEN((--TRIM(RIGHT(SUBSTITUTE(LEFT(A354,_xlfn.AGGREGATE(16,6,FIND({0,1,2,3,4,5,6,7,8,9},A354,ROW(INDIRECT("1:"&amp;LEN(A354)))),1))," ",REPT(" ",LEN(A354))),LEN(A354))))))), 0), ROW(INDIRECT("1:"&amp;LEN((--TRIM(RIGHT(SUBSTITUTE(LEFT(A354,_xlfn.AGGREGATE(16,6,FIND({0,1,2,3,4,5,6,7,8,9},A354,ROW(INDIRECT("1:"&amp;LEN(A354)))),1))," ",REPT(" ",LEN(A354))),LEN(A354))))))))+1, 1) * 10^ROW(INDIRECT("1:"&amp;LEN((--TRIM(RIGHT(SUBSTITUTE(LEFT(A354,_xlfn.AGGREGATE(16,6,FIND({0,1,2,3,4,5,6,7,8,9},A354,ROW(INDIRECT("1:"&amp;LEN(A354)))),1))," ",REPT(" ",LEN(A354))),LEN(A354)))))))/10))*1+1</f>
        <v>102 &amp; 302</v>
      </c>
      <c r="B355" s="115"/>
      <c r="C355" s="42" t="s">
        <v>169</v>
      </c>
      <c r="D355" s="42">
        <f>(30.014+3.05+3.65)*10.764</f>
        <v>395.18949599999996</v>
      </c>
      <c r="E355" s="42">
        <f>4.448*10.764</f>
        <v>47.878272000000003</v>
      </c>
      <c r="F355" s="42">
        <v>700</v>
      </c>
      <c r="G355" s="114" t="str">
        <f t="shared" ref="G355:G359" si="28">G354</f>
        <v>1st &amp; 3rd Floor for Residential</v>
      </c>
      <c r="H355" s="115"/>
      <c r="I355" s="36"/>
      <c r="J355" s="57">
        <f t="shared" si="26"/>
        <v>1.6501494462798172</v>
      </c>
    </row>
    <row r="356" spans="1:10" s="37" customFormat="1" x14ac:dyDescent="0.25">
      <c r="A356" s="114" t="str">
        <f ca="1">(SUMPRODUCT(MID(0&amp;(LEFT(A355,SUM(LEN(A355)-LEN(SUBSTITUTE(A355,{"0","1","2"},""))))), LARGE(INDEX(ISNUMBER(--MID((LEFT(A355,SUM(LEN(A355)-LEN(SUBSTITUTE(A355,{"0","1","2"},""))))), ROW(INDIRECT("1:"&amp;LEN((LEFT(A355,SUM(LEN(A355)-LEN(SUBSTITUTE(A355,{"0","1","2"},"")))))))), 1)) * ROW(INDIRECT("1:"&amp;LEN((LEFT(A355,SUM(LEN(A355)-LEN(SUBSTITUTE(A355,{"0","1","2"},"")))))))), 0), ROW(INDIRECT("1:"&amp;LEN((LEFT(A355,SUM(LEN(A355)-LEN(SUBSTITUTE(A355,{"0","1","2"},"")))))))))+1, 1) * 10^ROW(INDIRECT("1:"&amp;LEN((LEFT(A355,SUM(LEN(A355)-LEN(SUBSTITUTE(A355,{"0","1","2"},""))))))))/10))*1+1&amp;""&amp;" &amp; "&amp;""&amp;(SUMPRODUCT(MID(0&amp;(--TRIM(RIGHT(SUBSTITUTE(LEFT(A355,_xlfn.AGGREGATE(16,6,FIND({0,1,2,3,4,5,6,7,8,9},A355,ROW(INDIRECT("1:"&amp;LEN(A355)))),1))," ",REPT(" ",LEN(A355))),LEN(A355)))), LARGE(INDEX(ISNUMBER(--MID((--TRIM(RIGHT(SUBSTITUTE(LEFT(A355,_xlfn.AGGREGATE(16,6,FIND({0,1,2,3,4,5,6,7,8,9},A355,ROW(INDIRECT("1:"&amp;LEN(A355)))),1))," ",REPT(" ",LEN(A355))),LEN(A355)))), ROW(INDIRECT("1:"&amp;LEN((--TRIM(RIGHT(SUBSTITUTE(LEFT(A355,_xlfn.AGGREGATE(16,6,FIND({0,1,2,3,4,5,6,7,8,9},A355,ROW(INDIRECT("1:"&amp;LEN(A355)))),1))," ",REPT(" ",LEN(A355))),LEN(A355))))))), 1)) * ROW(INDIRECT("1:"&amp;LEN((--TRIM(RIGHT(SUBSTITUTE(LEFT(A355,_xlfn.AGGREGATE(16,6,FIND({0,1,2,3,4,5,6,7,8,9},A355,ROW(INDIRECT("1:"&amp;LEN(A355)))),1))," ",REPT(" ",LEN(A355))),LEN(A355))))))), 0), ROW(INDIRECT("1:"&amp;LEN((--TRIM(RIGHT(SUBSTITUTE(LEFT(A355,_xlfn.AGGREGATE(16,6,FIND({0,1,2,3,4,5,6,7,8,9},A355,ROW(INDIRECT("1:"&amp;LEN(A355)))),1))," ",REPT(" ",LEN(A355))),LEN(A355))))))))+1, 1) * 10^ROW(INDIRECT("1:"&amp;LEN((--TRIM(RIGHT(SUBSTITUTE(LEFT(A355,_xlfn.AGGREGATE(16,6,FIND({0,1,2,3,4,5,6,7,8,9},A355,ROW(INDIRECT("1:"&amp;LEN(A355)))),1))," ",REPT(" ",LEN(A355))),LEN(A355)))))))/10))*1+1</f>
        <v>103 &amp; 303</v>
      </c>
      <c r="B356" s="115"/>
      <c r="C356" s="42" t="s">
        <v>169</v>
      </c>
      <c r="D356" s="42">
        <f>(30.08+2.5)*10.764</f>
        <v>350.69111999999996</v>
      </c>
      <c r="E356" s="42">
        <f>5.859*10.764</f>
        <v>63.066275999999995</v>
      </c>
      <c r="F356" s="42">
        <v>670</v>
      </c>
      <c r="G356" s="114" t="str">
        <f t="shared" si="28"/>
        <v>1st &amp; 3rd Floor for Residential</v>
      </c>
      <c r="H356" s="115"/>
      <c r="I356" s="36"/>
      <c r="J356" s="57">
        <f t="shared" si="26"/>
        <v>1.7306789062694261</v>
      </c>
    </row>
    <row r="357" spans="1:10" s="37" customFormat="1" x14ac:dyDescent="0.25">
      <c r="A357" s="114" t="str">
        <f ca="1">(SUMPRODUCT(MID(0&amp;(LEFT(A356,SUM(LEN(A356)-LEN(SUBSTITUTE(A356,{"0","1","2"},""))))), LARGE(INDEX(ISNUMBER(--MID((LEFT(A356,SUM(LEN(A356)-LEN(SUBSTITUTE(A356,{"0","1","2"},""))))), ROW(INDIRECT("1:"&amp;LEN((LEFT(A356,SUM(LEN(A356)-LEN(SUBSTITUTE(A356,{"0","1","2"},"")))))))), 1)) * ROW(INDIRECT("1:"&amp;LEN((LEFT(A356,SUM(LEN(A356)-LEN(SUBSTITUTE(A356,{"0","1","2"},"")))))))), 0), ROW(INDIRECT("1:"&amp;LEN((LEFT(A356,SUM(LEN(A356)-LEN(SUBSTITUTE(A356,{"0","1","2"},"")))))))))+1, 1) * 10^ROW(INDIRECT("1:"&amp;LEN((LEFT(A356,SUM(LEN(A356)-LEN(SUBSTITUTE(A356,{"0","1","2"},""))))))))/10))*1+1&amp;""&amp;" &amp; "&amp;""&amp;(SUMPRODUCT(MID(0&amp;(--TRIM(RIGHT(SUBSTITUTE(LEFT(A356,_xlfn.AGGREGATE(16,6,FIND({0,1,2,3,4,5,6,7,8,9},A356,ROW(INDIRECT("1:"&amp;LEN(A356)))),1))," ",REPT(" ",LEN(A356))),LEN(A356)))), LARGE(INDEX(ISNUMBER(--MID((--TRIM(RIGHT(SUBSTITUTE(LEFT(A356,_xlfn.AGGREGATE(16,6,FIND({0,1,2,3,4,5,6,7,8,9},A356,ROW(INDIRECT("1:"&amp;LEN(A356)))),1))," ",REPT(" ",LEN(A356))),LEN(A356)))), ROW(INDIRECT("1:"&amp;LEN((--TRIM(RIGHT(SUBSTITUTE(LEFT(A356,_xlfn.AGGREGATE(16,6,FIND({0,1,2,3,4,5,6,7,8,9},A356,ROW(INDIRECT("1:"&amp;LEN(A356)))),1))," ",REPT(" ",LEN(A356))),LEN(A356))))))), 1)) * ROW(INDIRECT("1:"&amp;LEN((--TRIM(RIGHT(SUBSTITUTE(LEFT(A356,_xlfn.AGGREGATE(16,6,FIND({0,1,2,3,4,5,6,7,8,9},A356,ROW(INDIRECT("1:"&amp;LEN(A356)))),1))," ",REPT(" ",LEN(A356))),LEN(A356))))))), 0), ROW(INDIRECT("1:"&amp;LEN((--TRIM(RIGHT(SUBSTITUTE(LEFT(A356,_xlfn.AGGREGATE(16,6,FIND({0,1,2,3,4,5,6,7,8,9},A356,ROW(INDIRECT("1:"&amp;LEN(A356)))),1))," ",REPT(" ",LEN(A356))),LEN(A356))))))))+1, 1) * 10^ROW(INDIRECT("1:"&amp;LEN((--TRIM(RIGHT(SUBSTITUTE(LEFT(A356,_xlfn.AGGREGATE(16,6,FIND({0,1,2,3,4,5,6,7,8,9},A356,ROW(INDIRECT("1:"&amp;LEN(A356)))),1))," ",REPT(" ",LEN(A356))),LEN(A356)))))))/10))*1+1</f>
        <v>104 &amp; 304</v>
      </c>
      <c r="B357" s="115"/>
      <c r="C357" s="42" t="s">
        <v>169</v>
      </c>
      <c r="D357" s="42">
        <f>(30.08+2.5)*10.764</f>
        <v>350.69111999999996</v>
      </c>
      <c r="E357" s="42">
        <f>5.859*10.764</f>
        <v>63.066275999999995</v>
      </c>
      <c r="F357" s="42">
        <v>670</v>
      </c>
      <c r="G357" s="114" t="str">
        <f t="shared" si="28"/>
        <v>1st &amp; 3rd Floor for Residential</v>
      </c>
      <c r="H357" s="115"/>
      <c r="I357" s="36"/>
      <c r="J357" s="57">
        <f t="shared" si="26"/>
        <v>1.7306789062694261</v>
      </c>
    </row>
    <row r="358" spans="1:10" s="37" customFormat="1" x14ac:dyDescent="0.25">
      <c r="A358" s="114" t="str">
        <f ca="1">(SUMPRODUCT(MID(0&amp;(LEFT(A357,SUM(LEN(A357)-LEN(SUBSTITUTE(A357,{"0","1","2"},""))))), LARGE(INDEX(ISNUMBER(--MID((LEFT(A357,SUM(LEN(A357)-LEN(SUBSTITUTE(A357,{"0","1","2"},""))))), ROW(INDIRECT("1:"&amp;LEN((LEFT(A357,SUM(LEN(A357)-LEN(SUBSTITUTE(A357,{"0","1","2"},"")))))))), 1)) * ROW(INDIRECT("1:"&amp;LEN((LEFT(A357,SUM(LEN(A357)-LEN(SUBSTITUTE(A357,{"0","1","2"},"")))))))), 0), ROW(INDIRECT("1:"&amp;LEN((LEFT(A357,SUM(LEN(A357)-LEN(SUBSTITUTE(A357,{"0","1","2"},"")))))))))+1, 1) * 10^ROW(INDIRECT("1:"&amp;LEN((LEFT(A357,SUM(LEN(A357)-LEN(SUBSTITUTE(A357,{"0","1","2"},""))))))))/10))*1+1&amp;""&amp;" &amp; "&amp;""&amp;(SUMPRODUCT(MID(0&amp;(--TRIM(RIGHT(SUBSTITUTE(LEFT(A357,_xlfn.AGGREGATE(16,6,FIND({0,1,2,3,4,5,6,7,8,9},A357,ROW(INDIRECT("1:"&amp;LEN(A357)))),1))," ",REPT(" ",LEN(A357))),LEN(A357)))), LARGE(INDEX(ISNUMBER(--MID((--TRIM(RIGHT(SUBSTITUTE(LEFT(A357,_xlfn.AGGREGATE(16,6,FIND({0,1,2,3,4,5,6,7,8,9},A357,ROW(INDIRECT("1:"&amp;LEN(A357)))),1))," ",REPT(" ",LEN(A357))),LEN(A357)))), ROW(INDIRECT("1:"&amp;LEN((--TRIM(RIGHT(SUBSTITUTE(LEFT(A357,_xlfn.AGGREGATE(16,6,FIND({0,1,2,3,4,5,6,7,8,9},A357,ROW(INDIRECT("1:"&amp;LEN(A357)))),1))," ",REPT(" ",LEN(A357))),LEN(A357))))))), 1)) * ROW(INDIRECT("1:"&amp;LEN((--TRIM(RIGHT(SUBSTITUTE(LEFT(A357,_xlfn.AGGREGATE(16,6,FIND({0,1,2,3,4,5,6,7,8,9},A357,ROW(INDIRECT("1:"&amp;LEN(A357)))),1))," ",REPT(" ",LEN(A357))),LEN(A357))))))), 0), ROW(INDIRECT("1:"&amp;LEN((--TRIM(RIGHT(SUBSTITUTE(LEFT(A357,_xlfn.AGGREGATE(16,6,FIND({0,1,2,3,4,5,6,7,8,9},A357,ROW(INDIRECT("1:"&amp;LEN(A357)))),1))," ",REPT(" ",LEN(A357))),LEN(A357))))))))+1, 1) * 10^ROW(INDIRECT("1:"&amp;LEN((--TRIM(RIGHT(SUBSTITUTE(LEFT(A357,_xlfn.AGGREGATE(16,6,FIND({0,1,2,3,4,5,6,7,8,9},A357,ROW(INDIRECT("1:"&amp;LEN(A357)))),1))," ",REPT(" ",LEN(A357))),LEN(A357)))))))/10))*1+1</f>
        <v>105 &amp; 305</v>
      </c>
      <c r="B358" s="115"/>
      <c r="C358" s="42" t="s">
        <v>169</v>
      </c>
      <c r="D358" s="42">
        <f>(30.014+3.05+3.65)*10.764</f>
        <v>395.18949599999996</v>
      </c>
      <c r="E358" s="42">
        <f>4.448*10.764</f>
        <v>47.878272000000003</v>
      </c>
      <c r="F358" s="42">
        <v>700</v>
      </c>
      <c r="G358" s="114" t="str">
        <f t="shared" si="28"/>
        <v>1st &amp; 3rd Floor for Residential</v>
      </c>
      <c r="H358" s="115"/>
      <c r="I358" s="36"/>
      <c r="J358" s="57">
        <f t="shared" si="26"/>
        <v>1.6501494462798172</v>
      </c>
    </row>
    <row r="359" spans="1:10" s="37" customFormat="1" x14ac:dyDescent="0.25">
      <c r="A359" s="114" t="str">
        <f ca="1">(SUMPRODUCT(MID(0&amp;(LEFT(A358,SUM(LEN(A358)-LEN(SUBSTITUTE(A358,{"0","1","2"},""))))), LARGE(INDEX(ISNUMBER(--MID((LEFT(A358,SUM(LEN(A358)-LEN(SUBSTITUTE(A358,{"0","1","2"},""))))), ROW(INDIRECT("1:"&amp;LEN((LEFT(A358,SUM(LEN(A358)-LEN(SUBSTITUTE(A358,{"0","1","2"},"")))))))), 1)) * ROW(INDIRECT("1:"&amp;LEN((LEFT(A358,SUM(LEN(A358)-LEN(SUBSTITUTE(A358,{"0","1","2"},"")))))))), 0), ROW(INDIRECT("1:"&amp;LEN((LEFT(A358,SUM(LEN(A358)-LEN(SUBSTITUTE(A358,{"0","1","2"},"")))))))))+1, 1) * 10^ROW(INDIRECT("1:"&amp;LEN((LEFT(A358,SUM(LEN(A358)-LEN(SUBSTITUTE(A358,{"0","1","2"},""))))))))/10))*1+1&amp;""&amp;" &amp; "&amp;""&amp;(SUMPRODUCT(MID(0&amp;(--TRIM(RIGHT(SUBSTITUTE(LEFT(A358,_xlfn.AGGREGATE(16,6,FIND({0,1,2,3,4,5,6,7,8,9},A358,ROW(INDIRECT("1:"&amp;LEN(A358)))),1))," ",REPT(" ",LEN(A358))),LEN(A358)))), LARGE(INDEX(ISNUMBER(--MID((--TRIM(RIGHT(SUBSTITUTE(LEFT(A358,_xlfn.AGGREGATE(16,6,FIND({0,1,2,3,4,5,6,7,8,9},A358,ROW(INDIRECT("1:"&amp;LEN(A358)))),1))," ",REPT(" ",LEN(A358))),LEN(A358)))), ROW(INDIRECT("1:"&amp;LEN((--TRIM(RIGHT(SUBSTITUTE(LEFT(A358,_xlfn.AGGREGATE(16,6,FIND({0,1,2,3,4,5,6,7,8,9},A358,ROW(INDIRECT("1:"&amp;LEN(A358)))),1))," ",REPT(" ",LEN(A358))),LEN(A358))))))), 1)) * ROW(INDIRECT("1:"&amp;LEN((--TRIM(RIGHT(SUBSTITUTE(LEFT(A358,_xlfn.AGGREGATE(16,6,FIND({0,1,2,3,4,5,6,7,8,9},A358,ROW(INDIRECT("1:"&amp;LEN(A358)))),1))," ",REPT(" ",LEN(A358))),LEN(A358))))))), 0), ROW(INDIRECT("1:"&amp;LEN((--TRIM(RIGHT(SUBSTITUTE(LEFT(A358,_xlfn.AGGREGATE(16,6,FIND({0,1,2,3,4,5,6,7,8,9},A358,ROW(INDIRECT("1:"&amp;LEN(A358)))),1))," ",REPT(" ",LEN(A358))),LEN(A358))))))))+1, 1) * 10^ROW(INDIRECT("1:"&amp;LEN((--TRIM(RIGHT(SUBSTITUTE(LEFT(A358,_xlfn.AGGREGATE(16,6,FIND({0,1,2,3,4,5,6,7,8,9},A358,ROW(INDIRECT("1:"&amp;LEN(A358)))),1))," ",REPT(" ",LEN(A358))),LEN(A358)))))))/10))*1+1</f>
        <v>106 &amp; 306</v>
      </c>
      <c r="B359" s="115"/>
      <c r="C359" s="42" t="s">
        <v>169</v>
      </c>
      <c r="D359" s="42">
        <f>(28.912+2.975)*10.764</f>
        <v>343.23166799999996</v>
      </c>
      <c r="E359" s="42">
        <f>4.448*10.764</f>
        <v>47.878272000000003</v>
      </c>
      <c r="F359" s="42">
        <v>635</v>
      </c>
      <c r="G359" s="114" t="str">
        <f t="shared" si="28"/>
        <v>1st &amp; 3rd Floor for Residential</v>
      </c>
      <c r="H359" s="115"/>
      <c r="I359" s="36"/>
      <c r="J359" s="57">
        <f t="shared" si="26"/>
        <v>1.7105698067463868</v>
      </c>
    </row>
    <row r="360" spans="1:10" s="37" customFormat="1" x14ac:dyDescent="0.25">
      <c r="A360" s="119" t="s">
        <v>170</v>
      </c>
      <c r="B360" s="120"/>
      <c r="C360" s="120"/>
      <c r="D360" s="120"/>
      <c r="E360" s="120"/>
      <c r="F360" s="120"/>
      <c r="G360" s="120"/>
      <c r="H360" s="121"/>
      <c r="I360" s="36"/>
      <c r="J360" s="57" t="e">
        <f t="shared" si="26"/>
        <v>#DIV/0!</v>
      </c>
    </row>
    <row r="361" spans="1:10" s="37" customFormat="1" x14ac:dyDescent="0.25">
      <c r="A361" s="114" t="str">
        <f ca="1">(SUMPRODUCT(MID(0&amp;(LEFT(A360,SUM(LEN(A360)-LEN(SUBSTITUTE(A360,{"0","1","2"},""))))), LARGE(INDEX(ISNUMBER(--MID((LEFT(A360,SUM(LEN(A360)-LEN(SUBSTITUTE(A360,{"0","1","2"},""))))), ROW(INDIRECT("1:"&amp;LEN((LEFT(A360,SUM(LEN(A360)-LEN(SUBSTITUTE(A360,{"0","1","2"},"")))))))), 1)) * ROW(INDIRECT("1:"&amp;LEN((LEFT(A360,SUM(LEN(A360)-LEN(SUBSTITUTE(A360,{"0","1","2"},"")))))))), 0), ROW(INDIRECT("1:"&amp;LEN((LEFT(A360,SUM(LEN(A360)-LEN(SUBSTITUTE(A360,{"0","1","2"},"")))))))))+1, 1) * 10^ROW(INDIRECT("1:"&amp;LEN((LEFT(A360,SUM(LEN(A360)-LEN(SUBSTITUTE(A360,{"0","1","2"},""))))))))/10))*100+1&amp;""&amp;" &amp; "&amp;""&amp;(SUMPRODUCT(MID(0&amp;(--TRIM(RIGHT(SUBSTITUTE(LEFT(A360,_xlfn.AGGREGATE(16,6,FIND({0,1,2,3,4,5,6,7,8,9},A360,ROW(INDIRECT("1:"&amp;LEN(A360)))),1))," ",REPT(" ",LEN(A360))),LEN(A360)))), LARGE(INDEX(ISNUMBER(--MID((--TRIM(RIGHT(SUBSTITUTE(LEFT(A360,_xlfn.AGGREGATE(16,6,FIND({0,1,2,3,4,5,6,7,8,9},A360,ROW(INDIRECT("1:"&amp;LEN(A360)))),1))," ",REPT(" ",LEN(A360))),LEN(A360)))), ROW(INDIRECT("1:"&amp;LEN((--TRIM(RIGHT(SUBSTITUTE(LEFT(A360,_xlfn.AGGREGATE(16,6,FIND({0,1,2,3,4,5,6,7,8,9},A360,ROW(INDIRECT("1:"&amp;LEN(A360)))),1))," ",REPT(" ",LEN(A360))),LEN(A360))))))), 1)) * ROW(INDIRECT("1:"&amp;LEN((--TRIM(RIGHT(SUBSTITUTE(LEFT(A360,_xlfn.AGGREGATE(16,6,FIND({0,1,2,3,4,5,6,7,8,9},A360,ROW(INDIRECT("1:"&amp;LEN(A360)))),1))," ",REPT(" ",LEN(A360))),LEN(A360))))))), 0), ROW(INDIRECT("1:"&amp;LEN((--TRIM(RIGHT(SUBSTITUTE(LEFT(A360,_xlfn.AGGREGATE(16,6,FIND({0,1,2,3,4,5,6,7,8,9},A360,ROW(INDIRECT("1:"&amp;LEN(A360)))),1))," ",REPT(" ",LEN(A360))),LEN(A360))))))))+1, 1) * 10^ROW(INDIRECT("1:"&amp;LEN((--TRIM(RIGHT(SUBSTITUTE(LEFT(A360,_xlfn.AGGREGATE(16,6,FIND({0,1,2,3,4,5,6,7,8,9},A360,ROW(INDIRECT("1:"&amp;LEN(A360)))),1))," ",REPT(" ",LEN(A360))),LEN(A360)))))))/10))*100+1</f>
        <v>201 &amp; 401</v>
      </c>
      <c r="B361" s="115"/>
      <c r="C361" s="42" t="s">
        <v>169</v>
      </c>
      <c r="D361" s="42">
        <f>(28.642+2.975)*10.764</f>
        <v>340.32538799999998</v>
      </c>
      <c r="E361" s="42">
        <f>6.654*10.764</f>
        <v>71.623655999999997</v>
      </c>
      <c r="F361" s="42">
        <v>665</v>
      </c>
      <c r="G361" s="114" t="str">
        <f>A360</f>
        <v>2nd &amp; 4th Floor</v>
      </c>
      <c r="H361" s="115"/>
      <c r="I361" s="36"/>
      <c r="J361" s="57">
        <f t="shared" si="26"/>
        <v>1.7435559171389237</v>
      </c>
    </row>
    <row r="362" spans="1:10" s="37" customFormat="1" x14ac:dyDescent="0.25">
      <c r="A362" s="114" t="str">
        <f ca="1">(SUMPRODUCT(MID(0&amp;(LEFT(A361,SUM(LEN(A361)-LEN(SUBSTITUTE(A361,{"0","1","2"},""))))), LARGE(INDEX(ISNUMBER(--MID((LEFT(A361,SUM(LEN(A361)-LEN(SUBSTITUTE(A361,{"0","1","2"},""))))), ROW(INDIRECT("1:"&amp;LEN((LEFT(A361,SUM(LEN(A361)-LEN(SUBSTITUTE(A361,{"0","1","2"},"")))))))), 1)) * ROW(INDIRECT("1:"&amp;LEN((LEFT(A361,SUM(LEN(A361)-LEN(SUBSTITUTE(A361,{"0","1","2"},"")))))))), 0), ROW(INDIRECT("1:"&amp;LEN((LEFT(A361,SUM(LEN(A361)-LEN(SUBSTITUTE(A361,{"0","1","2"},"")))))))))+1, 1) * 10^ROW(INDIRECT("1:"&amp;LEN((LEFT(A361,SUM(LEN(A361)-LEN(SUBSTITUTE(A361,{"0","1","2"},""))))))))/10))*1+1&amp;""&amp;" &amp; "&amp;""&amp;(SUMPRODUCT(MID(0&amp;(--TRIM(RIGHT(SUBSTITUTE(LEFT(A361,_xlfn.AGGREGATE(16,6,FIND({0,1,2,3,4,5,6,7,8,9},A361,ROW(INDIRECT("1:"&amp;LEN(A361)))),1))," ",REPT(" ",LEN(A361))),LEN(A361)))), LARGE(INDEX(ISNUMBER(--MID((--TRIM(RIGHT(SUBSTITUTE(LEFT(A361,_xlfn.AGGREGATE(16,6,FIND({0,1,2,3,4,5,6,7,8,9},A361,ROW(INDIRECT("1:"&amp;LEN(A361)))),1))," ",REPT(" ",LEN(A361))),LEN(A361)))), ROW(INDIRECT("1:"&amp;LEN((--TRIM(RIGHT(SUBSTITUTE(LEFT(A361,_xlfn.AGGREGATE(16,6,FIND({0,1,2,3,4,5,6,7,8,9},A361,ROW(INDIRECT("1:"&amp;LEN(A361)))),1))," ",REPT(" ",LEN(A361))),LEN(A361))))))), 1)) * ROW(INDIRECT("1:"&amp;LEN((--TRIM(RIGHT(SUBSTITUTE(LEFT(A361,_xlfn.AGGREGATE(16,6,FIND({0,1,2,3,4,5,6,7,8,9},A361,ROW(INDIRECT("1:"&amp;LEN(A361)))),1))," ",REPT(" ",LEN(A361))),LEN(A361))))))), 0), ROW(INDIRECT("1:"&amp;LEN((--TRIM(RIGHT(SUBSTITUTE(LEFT(A361,_xlfn.AGGREGATE(16,6,FIND({0,1,2,3,4,5,6,7,8,9},A361,ROW(INDIRECT("1:"&amp;LEN(A361)))),1))," ",REPT(" ",LEN(A361))),LEN(A361))))))))+1, 1) * 10^ROW(INDIRECT("1:"&amp;LEN((--TRIM(RIGHT(SUBSTITUTE(LEFT(A361,_xlfn.AGGREGATE(16,6,FIND({0,1,2,3,4,5,6,7,8,9},A361,ROW(INDIRECT("1:"&amp;LEN(A361)))),1))," ",REPT(" ",LEN(A361))),LEN(A361)))))))/10))*1+1</f>
        <v>202 &amp; 402</v>
      </c>
      <c r="B362" s="115"/>
      <c r="C362" s="42" t="s">
        <v>169</v>
      </c>
      <c r="D362" s="42">
        <f>(30.03+3.05+3.65)*10.764</f>
        <v>395.36171999999993</v>
      </c>
      <c r="E362" s="42">
        <f>4.37*10.764</f>
        <v>47.038679999999999</v>
      </c>
      <c r="F362" s="42">
        <v>700</v>
      </c>
      <c r="G362" s="114" t="str">
        <f t="shared" ref="G362:G366" si="29">G361</f>
        <v>2nd &amp; 4th Floor</v>
      </c>
      <c r="H362" s="115"/>
      <c r="I362" s="36"/>
      <c r="J362" s="57">
        <f t="shared" si="26"/>
        <v>1.6515542273541306</v>
      </c>
    </row>
    <row r="363" spans="1:10" s="37" customFormat="1" x14ac:dyDescent="0.25">
      <c r="A363" s="114" t="str">
        <f ca="1">(SUMPRODUCT(MID(0&amp;(LEFT(A362,SUM(LEN(A362)-LEN(SUBSTITUTE(A362,{"0","1","2"},""))))), LARGE(INDEX(ISNUMBER(--MID((LEFT(A362,SUM(LEN(A362)-LEN(SUBSTITUTE(A362,{"0","1","2"},""))))), ROW(INDIRECT("1:"&amp;LEN((LEFT(A362,SUM(LEN(A362)-LEN(SUBSTITUTE(A362,{"0","1","2"},"")))))))), 1)) * ROW(INDIRECT("1:"&amp;LEN((LEFT(A362,SUM(LEN(A362)-LEN(SUBSTITUTE(A362,{"0","1","2"},"")))))))), 0), ROW(INDIRECT("1:"&amp;LEN((LEFT(A362,SUM(LEN(A362)-LEN(SUBSTITUTE(A362,{"0","1","2"},"")))))))))+1, 1) * 10^ROW(INDIRECT("1:"&amp;LEN((LEFT(A362,SUM(LEN(A362)-LEN(SUBSTITUTE(A362,{"0","1","2"},""))))))))/10))*1+1&amp;""&amp;" &amp; "&amp;""&amp;(SUMPRODUCT(MID(0&amp;(--TRIM(RIGHT(SUBSTITUTE(LEFT(A362,_xlfn.AGGREGATE(16,6,FIND({0,1,2,3,4,5,6,7,8,9},A362,ROW(INDIRECT("1:"&amp;LEN(A362)))),1))," ",REPT(" ",LEN(A362))),LEN(A362)))), LARGE(INDEX(ISNUMBER(--MID((--TRIM(RIGHT(SUBSTITUTE(LEFT(A362,_xlfn.AGGREGATE(16,6,FIND({0,1,2,3,4,5,6,7,8,9},A362,ROW(INDIRECT("1:"&amp;LEN(A362)))),1))," ",REPT(" ",LEN(A362))),LEN(A362)))), ROW(INDIRECT("1:"&amp;LEN((--TRIM(RIGHT(SUBSTITUTE(LEFT(A362,_xlfn.AGGREGATE(16,6,FIND({0,1,2,3,4,5,6,7,8,9},A362,ROW(INDIRECT("1:"&amp;LEN(A362)))),1))," ",REPT(" ",LEN(A362))),LEN(A362))))))), 1)) * ROW(INDIRECT("1:"&amp;LEN((--TRIM(RIGHT(SUBSTITUTE(LEFT(A362,_xlfn.AGGREGATE(16,6,FIND({0,1,2,3,4,5,6,7,8,9},A362,ROW(INDIRECT("1:"&amp;LEN(A362)))),1))," ",REPT(" ",LEN(A362))),LEN(A362))))))), 0), ROW(INDIRECT("1:"&amp;LEN((--TRIM(RIGHT(SUBSTITUTE(LEFT(A362,_xlfn.AGGREGATE(16,6,FIND({0,1,2,3,4,5,6,7,8,9},A362,ROW(INDIRECT("1:"&amp;LEN(A362)))),1))," ",REPT(" ",LEN(A362))),LEN(A362))))))))+1, 1) * 10^ROW(INDIRECT("1:"&amp;LEN((--TRIM(RIGHT(SUBSTITUTE(LEFT(A362,_xlfn.AGGREGATE(16,6,FIND({0,1,2,3,4,5,6,7,8,9},A362,ROW(INDIRECT("1:"&amp;LEN(A362)))),1))," ",REPT(" ",LEN(A362))),LEN(A362)))))))/10))*1+1</f>
        <v>203 &amp; 403</v>
      </c>
      <c r="B363" s="115"/>
      <c r="C363" s="42" t="s">
        <v>169</v>
      </c>
      <c r="D363" s="42">
        <f>(30.08+2.5)*10.764</f>
        <v>350.69111999999996</v>
      </c>
      <c r="E363" s="42">
        <f>5.65*10.764</f>
        <v>60.816600000000001</v>
      </c>
      <c r="F363" s="42">
        <v>670</v>
      </c>
      <c r="G363" s="114" t="str">
        <f t="shared" si="29"/>
        <v>2nd &amp; 4th Floor</v>
      </c>
      <c r="H363" s="115"/>
      <c r="I363" s="36"/>
      <c r="J363" s="57">
        <f t="shared" si="26"/>
        <v>1.7370938847838522</v>
      </c>
    </row>
    <row r="364" spans="1:10" s="37" customFormat="1" x14ac:dyDescent="0.25">
      <c r="A364" s="114" t="str">
        <f ca="1">(SUMPRODUCT(MID(0&amp;(LEFT(A363,SUM(LEN(A363)-LEN(SUBSTITUTE(A363,{"0","1","2"},""))))), LARGE(INDEX(ISNUMBER(--MID((LEFT(A363,SUM(LEN(A363)-LEN(SUBSTITUTE(A363,{"0","1","2"},""))))), ROW(INDIRECT("1:"&amp;LEN((LEFT(A363,SUM(LEN(A363)-LEN(SUBSTITUTE(A363,{"0","1","2"},"")))))))), 1)) * ROW(INDIRECT("1:"&amp;LEN((LEFT(A363,SUM(LEN(A363)-LEN(SUBSTITUTE(A363,{"0","1","2"},"")))))))), 0), ROW(INDIRECT("1:"&amp;LEN((LEFT(A363,SUM(LEN(A363)-LEN(SUBSTITUTE(A363,{"0","1","2"},"")))))))))+1, 1) * 10^ROW(INDIRECT("1:"&amp;LEN((LEFT(A363,SUM(LEN(A363)-LEN(SUBSTITUTE(A363,{"0","1","2"},""))))))))/10))*1+1&amp;""&amp;" &amp; "&amp;""&amp;(SUMPRODUCT(MID(0&amp;(--TRIM(RIGHT(SUBSTITUTE(LEFT(A363,_xlfn.AGGREGATE(16,6,FIND({0,1,2,3,4,5,6,7,8,9},A363,ROW(INDIRECT("1:"&amp;LEN(A363)))),1))," ",REPT(" ",LEN(A363))),LEN(A363)))), LARGE(INDEX(ISNUMBER(--MID((--TRIM(RIGHT(SUBSTITUTE(LEFT(A363,_xlfn.AGGREGATE(16,6,FIND({0,1,2,3,4,5,6,7,8,9},A363,ROW(INDIRECT("1:"&amp;LEN(A363)))),1))," ",REPT(" ",LEN(A363))),LEN(A363)))), ROW(INDIRECT("1:"&amp;LEN((--TRIM(RIGHT(SUBSTITUTE(LEFT(A363,_xlfn.AGGREGATE(16,6,FIND({0,1,2,3,4,5,6,7,8,9},A363,ROW(INDIRECT("1:"&amp;LEN(A363)))),1))," ",REPT(" ",LEN(A363))),LEN(A363))))))), 1)) * ROW(INDIRECT("1:"&amp;LEN((--TRIM(RIGHT(SUBSTITUTE(LEFT(A363,_xlfn.AGGREGATE(16,6,FIND({0,1,2,3,4,5,6,7,8,9},A363,ROW(INDIRECT("1:"&amp;LEN(A363)))),1))," ",REPT(" ",LEN(A363))),LEN(A363))))))), 0), ROW(INDIRECT("1:"&amp;LEN((--TRIM(RIGHT(SUBSTITUTE(LEFT(A363,_xlfn.AGGREGATE(16,6,FIND({0,1,2,3,4,5,6,7,8,9},A363,ROW(INDIRECT("1:"&amp;LEN(A363)))),1))," ",REPT(" ",LEN(A363))),LEN(A363))))))))+1, 1) * 10^ROW(INDIRECT("1:"&amp;LEN((--TRIM(RIGHT(SUBSTITUTE(LEFT(A363,_xlfn.AGGREGATE(16,6,FIND({0,1,2,3,4,5,6,7,8,9},A363,ROW(INDIRECT("1:"&amp;LEN(A363)))),1))," ",REPT(" ",LEN(A363))),LEN(A363)))))))/10))*1+1</f>
        <v>204 &amp; 404</v>
      </c>
      <c r="B364" s="115"/>
      <c r="C364" s="42" t="s">
        <v>169</v>
      </c>
      <c r="D364" s="42">
        <f>(30.08+2.5)*10.764</f>
        <v>350.69111999999996</v>
      </c>
      <c r="E364" s="42">
        <f>5.65*10.764</f>
        <v>60.816600000000001</v>
      </c>
      <c r="F364" s="42">
        <v>670</v>
      </c>
      <c r="G364" s="114" t="str">
        <f t="shared" si="29"/>
        <v>2nd &amp; 4th Floor</v>
      </c>
      <c r="H364" s="115"/>
      <c r="I364" s="36"/>
      <c r="J364" s="57">
        <f t="shared" si="26"/>
        <v>1.7370938847838522</v>
      </c>
    </row>
    <row r="365" spans="1:10" s="37" customFormat="1" x14ac:dyDescent="0.25">
      <c r="A365" s="114" t="str">
        <f ca="1">(SUMPRODUCT(MID(0&amp;(LEFT(A364,SUM(LEN(A364)-LEN(SUBSTITUTE(A364,{"0","1","2"},""))))), LARGE(INDEX(ISNUMBER(--MID((LEFT(A364,SUM(LEN(A364)-LEN(SUBSTITUTE(A364,{"0","1","2"},""))))), ROW(INDIRECT("1:"&amp;LEN((LEFT(A364,SUM(LEN(A364)-LEN(SUBSTITUTE(A364,{"0","1","2"},"")))))))), 1)) * ROW(INDIRECT("1:"&amp;LEN((LEFT(A364,SUM(LEN(A364)-LEN(SUBSTITUTE(A364,{"0","1","2"},"")))))))), 0), ROW(INDIRECT("1:"&amp;LEN((LEFT(A364,SUM(LEN(A364)-LEN(SUBSTITUTE(A364,{"0","1","2"},"")))))))))+1, 1) * 10^ROW(INDIRECT("1:"&amp;LEN((LEFT(A364,SUM(LEN(A364)-LEN(SUBSTITUTE(A364,{"0","1","2"},""))))))))/10))*1+1&amp;""&amp;" &amp; "&amp;""&amp;(SUMPRODUCT(MID(0&amp;(--TRIM(RIGHT(SUBSTITUTE(LEFT(A364,_xlfn.AGGREGATE(16,6,FIND({0,1,2,3,4,5,6,7,8,9},A364,ROW(INDIRECT("1:"&amp;LEN(A364)))),1))," ",REPT(" ",LEN(A364))),LEN(A364)))), LARGE(INDEX(ISNUMBER(--MID((--TRIM(RIGHT(SUBSTITUTE(LEFT(A364,_xlfn.AGGREGATE(16,6,FIND({0,1,2,3,4,5,6,7,8,9},A364,ROW(INDIRECT("1:"&amp;LEN(A364)))),1))," ",REPT(" ",LEN(A364))),LEN(A364)))), ROW(INDIRECT("1:"&amp;LEN((--TRIM(RIGHT(SUBSTITUTE(LEFT(A364,_xlfn.AGGREGATE(16,6,FIND({0,1,2,3,4,5,6,7,8,9},A364,ROW(INDIRECT("1:"&amp;LEN(A364)))),1))," ",REPT(" ",LEN(A364))),LEN(A364))))))), 1)) * ROW(INDIRECT("1:"&amp;LEN((--TRIM(RIGHT(SUBSTITUTE(LEFT(A364,_xlfn.AGGREGATE(16,6,FIND({0,1,2,3,4,5,6,7,8,9},A364,ROW(INDIRECT("1:"&amp;LEN(A364)))),1))," ",REPT(" ",LEN(A364))),LEN(A364))))))), 0), ROW(INDIRECT("1:"&amp;LEN((--TRIM(RIGHT(SUBSTITUTE(LEFT(A364,_xlfn.AGGREGATE(16,6,FIND({0,1,2,3,4,5,6,7,8,9},A364,ROW(INDIRECT("1:"&amp;LEN(A364)))),1))," ",REPT(" ",LEN(A364))),LEN(A364))))))))+1, 1) * 10^ROW(INDIRECT("1:"&amp;LEN((--TRIM(RIGHT(SUBSTITUTE(LEFT(A364,_xlfn.AGGREGATE(16,6,FIND({0,1,2,3,4,5,6,7,8,9},A364,ROW(INDIRECT("1:"&amp;LEN(A364)))),1))," ",REPT(" ",LEN(A364))),LEN(A364)))))))/10))*1+1</f>
        <v>205 &amp; 405</v>
      </c>
      <c r="B365" s="115"/>
      <c r="C365" s="42" t="s">
        <v>169</v>
      </c>
      <c r="D365" s="42">
        <f>(30.03+3.05+3.65)*10.764</f>
        <v>395.36171999999993</v>
      </c>
      <c r="E365" s="42">
        <f>4.37*10.764</f>
        <v>47.038679999999999</v>
      </c>
      <c r="F365" s="42">
        <v>700</v>
      </c>
      <c r="G365" s="114" t="str">
        <f t="shared" si="29"/>
        <v>2nd &amp; 4th Floor</v>
      </c>
      <c r="H365" s="115"/>
      <c r="I365" s="36"/>
      <c r="J365" s="57">
        <f t="shared" si="26"/>
        <v>1.6515542273541306</v>
      </c>
    </row>
    <row r="366" spans="1:10" s="37" customFormat="1" x14ac:dyDescent="0.25">
      <c r="A366" s="114" t="str">
        <f ca="1">(SUMPRODUCT(MID(0&amp;(LEFT(A365,SUM(LEN(A365)-LEN(SUBSTITUTE(A365,{"0","1","2"},""))))), LARGE(INDEX(ISNUMBER(--MID((LEFT(A365,SUM(LEN(A365)-LEN(SUBSTITUTE(A365,{"0","1","2"},""))))), ROW(INDIRECT("1:"&amp;LEN((LEFT(A365,SUM(LEN(A365)-LEN(SUBSTITUTE(A365,{"0","1","2"},"")))))))), 1)) * ROW(INDIRECT("1:"&amp;LEN((LEFT(A365,SUM(LEN(A365)-LEN(SUBSTITUTE(A365,{"0","1","2"},"")))))))), 0), ROW(INDIRECT("1:"&amp;LEN((LEFT(A365,SUM(LEN(A365)-LEN(SUBSTITUTE(A365,{"0","1","2"},"")))))))))+1, 1) * 10^ROW(INDIRECT("1:"&amp;LEN((LEFT(A365,SUM(LEN(A365)-LEN(SUBSTITUTE(A365,{"0","1","2"},""))))))))/10))*1+1&amp;""&amp;" &amp; "&amp;""&amp;(SUMPRODUCT(MID(0&amp;(--TRIM(RIGHT(SUBSTITUTE(LEFT(A365,_xlfn.AGGREGATE(16,6,FIND({0,1,2,3,4,5,6,7,8,9},A365,ROW(INDIRECT("1:"&amp;LEN(A365)))),1))," ",REPT(" ",LEN(A365))),LEN(A365)))), LARGE(INDEX(ISNUMBER(--MID((--TRIM(RIGHT(SUBSTITUTE(LEFT(A365,_xlfn.AGGREGATE(16,6,FIND({0,1,2,3,4,5,6,7,8,9},A365,ROW(INDIRECT("1:"&amp;LEN(A365)))),1))," ",REPT(" ",LEN(A365))),LEN(A365)))), ROW(INDIRECT("1:"&amp;LEN((--TRIM(RIGHT(SUBSTITUTE(LEFT(A365,_xlfn.AGGREGATE(16,6,FIND({0,1,2,3,4,5,6,7,8,9},A365,ROW(INDIRECT("1:"&amp;LEN(A365)))),1))," ",REPT(" ",LEN(A365))),LEN(A365))))))), 1)) * ROW(INDIRECT("1:"&amp;LEN((--TRIM(RIGHT(SUBSTITUTE(LEFT(A365,_xlfn.AGGREGATE(16,6,FIND({0,1,2,3,4,5,6,7,8,9},A365,ROW(INDIRECT("1:"&amp;LEN(A365)))),1))," ",REPT(" ",LEN(A365))),LEN(A365))))))), 0), ROW(INDIRECT("1:"&amp;LEN((--TRIM(RIGHT(SUBSTITUTE(LEFT(A365,_xlfn.AGGREGATE(16,6,FIND({0,1,2,3,4,5,6,7,8,9},A365,ROW(INDIRECT("1:"&amp;LEN(A365)))),1))," ",REPT(" ",LEN(A365))),LEN(A365))))))))+1, 1) * 10^ROW(INDIRECT("1:"&amp;LEN((--TRIM(RIGHT(SUBSTITUTE(LEFT(A365,_xlfn.AGGREGATE(16,6,FIND({0,1,2,3,4,5,6,7,8,9},A365,ROW(INDIRECT("1:"&amp;LEN(A365)))),1))," ",REPT(" ",LEN(A365))),LEN(A365)))))))/10))*1+1</f>
        <v>206 &amp; 406</v>
      </c>
      <c r="B366" s="115"/>
      <c r="C366" s="42" t="s">
        <v>169</v>
      </c>
      <c r="D366" s="42">
        <f>(28.642+2.975)*10.764</f>
        <v>340.32538799999998</v>
      </c>
      <c r="E366" s="42">
        <f>5.493*10.764</f>
        <v>59.126652</v>
      </c>
      <c r="F366" s="42">
        <v>665</v>
      </c>
      <c r="G366" s="114" t="str">
        <f t="shared" si="29"/>
        <v>2nd &amp; 4th Floor</v>
      </c>
      <c r="H366" s="115"/>
      <c r="I366" s="36"/>
      <c r="J366" s="57">
        <f t="shared" si="26"/>
        <v>1.7802766686333726</v>
      </c>
    </row>
    <row r="367" spans="1:10" s="34" customFormat="1" x14ac:dyDescent="0.25">
      <c r="A367" s="122" t="s">
        <v>176</v>
      </c>
      <c r="B367" s="122"/>
      <c r="C367" s="122"/>
      <c r="D367" s="122"/>
      <c r="E367" s="122"/>
      <c r="F367" s="122"/>
      <c r="G367" s="122"/>
      <c r="H367" s="122"/>
      <c r="J367" s="57" t="e">
        <f t="shared" si="26"/>
        <v>#DIV/0!</v>
      </c>
    </row>
    <row r="368" spans="1:10" s="37" customFormat="1" x14ac:dyDescent="0.25">
      <c r="A368" s="119" t="s">
        <v>167</v>
      </c>
      <c r="B368" s="120"/>
      <c r="C368" s="120"/>
      <c r="D368" s="120"/>
      <c r="E368" s="120"/>
      <c r="F368" s="120"/>
      <c r="G368" s="120"/>
      <c r="H368" s="121"/>
      <c r="I368" s="36"/>
      <c r="J368" s="57" t="e">
        <f t="shared" si="26"/>
        <v>#DIV/0!</v>
      </c>
    </row>
    <row r="369" spans="1:10" s="37" customFormat="1" x14ac:dyDescent="0.25">
      <c r="A369" s="114" t="str">
        <f ca="1">(SUMPRODUCT(MID(0&amp;(LEFT(A368,SUM(LEN(A368)-LEN(SUBSTITUTE(A368,{"0","1","2"},""))))), LARGE(INDEX(ISNUMBER(--MID((LEFT(A368,SUM(LEN(A368)-LEN(SUBSTITUTE(A368,{"0","1","2"},""))))), ROW(INDIRECT("1:"&amp;LEN((LEFT(A368,SUM(LEN(A368)-LEN(SUBSTITUTE(A368,{"0","1","2"},"")))))))), 1)) * ROW(INDIRECT("1:"&amp;LEN((LEFT(A368,SUM(LEN(A368)-LEN(SUBSTITUTE(A368,{"0","1","2"},"")))))))), 0), ROW(INDIRECT("1:"&amp;LEN((LEFT(A368,SUM(LEN(A368)-LEN(SUBSTITUTE(A368,{"0","1","2"},"")))))))))+1, 1) * 10^ROW(INDIRECT("1:"&amp;LEN((LEFT(A368,SUM(LEN(A368)-LEN(SUBSTITUTE(A368,{"0","1","2"},""))))))))/10))*100+1&amp;""&amp;" &amp; "&amp;""&amp;(SUMPRODUCT(MID(0&amp;(--TRIM(RIGHT(SUBSTITUTE(LEFT(A368,_xlfn.AGGREGATE(16,6,FIND({0,1,2,3,4,5,6,7,8,9},A368,ROW(INDIRECT("1:"&amp;LEN(A368)))),1))," ",REPT(" ",LEN(A368))),LEN(A368)))), LARGE(INDEX(ISNUMBER(--MID((--TRIM(RIGHT(SUBSTITUTE(LEFT(A368,_xlfn.AGGREGATE(16,6,FIND({0,1,2,3,4,5,6,7,8,9},A368,ROW(INDIRECT("1:"&amp;LEN(A368)))),1))," ",REPT(" ",LEN(A368))),LEN(A368)))), ROW(INDIRECT("1:"&amp;LEN((--TRIM(RIGHT(SUBSTITUTE(LEFT(A368,_xlfn.AGGREGATE(16,6,FIND({0,1,2,3,4,5,6,7,8,9},A368,ROW(INDIRECT("1:"&amp;LEN(A368)))),1))," ",REPT(" ",LEN(A368))),LEN(A368))))))), 1)) * ROW(INDIRECT("1:"&amp;LEN((--TRIM(RIGHT(SUBSTITUTE(LEFT(A368,_xlfn.AGGREGATE(16,6,FIND({0,1,2,3,4,5,6,7,8,9},A368,ROW(INDIRECT("1:"&amp;LEN(A368)))),1))," ",REPT(" ",LEN(A368))),LEN(A368))))))), 0), ROW(INDIRECT("1:"&amp;LEN((--TRIM(RIGHT(SUBSTITUTE(LEFT(A368,_xlfn.AGGREGATE(16,6,FIND({0,1,2,3,4,5,6,7,8,9},A368,ROW(INDIRECT("1:"&amp;LEN(A368)))),1))," ",REPT(" ",LEN(A368))),LEN(A368))))))))+1, 1) * 10^ROW(INDIRECT("1:"&amp;LEN((--TRIM(RIGHT(SUBSTITUTE(LEFT(A368,_xlfn.AGGREGATE(16,6,FIND({0,1,2,3,4,5,6,7,8,9},A368,ROW(INDIRECT("1:"&amp;LEN(A368)))),1))," ",REPT(" ",LEN(A368))),LEN(A368)))))))/10))*100+1</f>
        <v>101 &amp; 301</v>
      </c>
      <c r="B369" s="115"/>
      <c r="C369" s="42" t="s">
        <v>169</v>
      </c>
      <c r="D369" s="42">
        <f>(28.912+2.975)*10.764</f>
        <v>343.23166799999996</v>
      </c>
      <c r="E369" s="42">
        <f>4.448*10.764</f>
        <v>47.878272000000003</v>
      </c>
      <c r="F369" s="42">
        <v>635</v>
      </c>
      <c r="G369" s="114" t="str">
        <f>A368</f>
        <v>1st &amp; 3rd Floor for Residential</v>
      </c>
      <c r="H369" s="115"/>
      <c r="I369" s="36"/>
      <c r="J369" s="57">
        <f t="shared" si="26"/>
        <v>1.7105698067463868</v>
      </c>
    </row>
    <row r="370" spans="1:10" s="37" customFormat="1" x14ac:dyDescent="0.25">
      <c r="A370" s="114" t="str">
        <f ca="1">(SUMPRODUCT(MID(0&amp;(LEFT(A369,SUM(LEN(A369)-LEN(SUBSTITUTE(A369,{"0","1","2"},""))))), LARGE(INDEX(ISNUMBER(--MID((LEFT(A369,SUM(LEN(A369)-LEN(SUBSTITUTE(A369,{"0","1","2"},""))))), ROW(INDIRECT("1:"&amp;LEN((LEFT(A369,SUM(LEN(A369)-LEN(SUBSTITUTE(A369,{"0","1","2"},"")))))))), 1)) * ROW(INDIRECT("1:"&amp;LEN((LEFT(A369,SUM(LEN(A369)-LEN(SUBSTITUTE(A369,{"0","1","2"},"")))))))), 0), ROW(INDIRECT("1:"&amp;LEN((LEFT(A369,SUM(LEN(A369)-LEN(SUBSTITUTE(A369,{"0","1","2"},"")))))))))+1, 1) * 10^ROW(INDIRECT("1:"&amp;LEN((LEFT(A369,SUM(LEN(A369)-LEN(SUBSTITUTE(A369,{"0","1","2"},""))))))))/10))*1+1&amp;""&amp;" &amp; "&amp;""&amp;(SUMPRODUCT(MID(0&amp;(--TRIM(RIGHT(SUBSTITUTE(LEFT(A369,_xlfn.AGGREGATE(16,6,FIND({0,1,2,3,4,5,6,7,8,9},A369,ROW(INDIRECT("1:"&amp;LEN(A369)))),1))," ",REPT(" ",LEN(A369))),LEN(A369)))), LARGE(INDEX(ISNUMBER(--MID((--TRIM(RIGHT(SUBSTITUTE(LEFT(A369,_xlfn.AGGREGATE(16,6,FIND({0,1,2,3,4,5,6,7,8,9},A369,ROW(INDIRECT("1:"&amp;LEN(A369)))),1))," ",REPT(" ",LEN(A369))),LEN(A369)))), ROW(INDIRECT("1:"&amp;LEN((--TRIM(RIGHT(SUBSTITUTE(LEFT(A369,_xlfn.AGGREGATE(16,6,FIND({0,1,2,3,4,5,6,7,8,9},A369,ROW(INDIRECT("1:"&amp;LEN(A369)))),1))," ",REPT(" ",LEN(A369))),LEN(A369))))))), 1)) * ROW(INDIRECT("1:"&amp;LEN((--TRIM(RIGHT(SUBSTITUTE(LEFT(A369,_xlfn.AGGREGATE(16,6,FIND({0,1,2,3,4,5,6,7,8,9},A369,ROW(INDIRECT("1:"&amp;LEN(A369)))),1))," ",REPT(" ",LEN(A369))),LEN(A369))))))), 0), ROW(INDIRECT("1:"&amp;LEN((--TRIM(RIGHT(SUBSTITUTE(LEFT(A369,_xlfn.AGGREGATE(16,6,FIND({0,1,2,3,4,5,6,7,8,9},A369,ROW(INDIRECT("1:"&amp;LEN(A369)))),1))," ",REPT(" ",LEN(A369))),LEN(A369))))))))+1, 1) * 10^ROW(INDIRECT("1:"&amp;LEN((--TRIM(RIGHT(SUBSTITUTE(LEFT(A369,_xlfn.AGGREGATE(16,6,FIND({0,1,2,3,4,5,6,7,8,9},A369,ROW(INDIRECT("1:"&amp;LEN(A369)))),1))," ",REPT(" ",LEN(A369))),LEN(A369)))))))/10))*1+1</f>
        <v>102 &amp; 302</v>
      </c>
      <c r="B370" s="115"/>
      <c r="C370" s="42" t="s">
        <v>169</v>
      </c>
      <c r="D370" s="42">
        <f>(30.014+3.05+3.65)*10.764</f>
        <v>395.18949599999996</v>
      </c>
      <c r="E370" s="42">
        <f>4.448*10.764</f>
        <v>47.878272000000003</v>
      </c>
      <c r="F370" s="42">
        <v>700</v>
      </c>
      <c r="G370" s="114" t="str">
        <f t="shared" ref="G370:G374" si="30">G369</f>
        <v>1st &amp; 3rd Floor for Residential</v>
      </c>
      <c r="H370" s="115"/>
      <c r="I370" s="36"/>
      <c r="J370" s="57">
        <f t="shared" si="26"/>
        <v>1.6501494462798172</v>
      </c>
    </row>
    <row r="371" spans="1:10" s="37" customFormat="1" x14ac:dyDescent="0.25">
      <c r="A371" s="114" t="str">
        <f ca="1">(SUMPRODUCT(MID(0&amp;(LEFT(A370,SUM(LEN(A370)-LEN(SUBSTITUTE(A370,{"0","1","2"},""))))), LARGE(INDEX(ISNUMBER(--MID((LEFT(A370,SUM(LEN(A370)-LEN(SUBSTITUTE(A370,{"0","1","2"},""))))), ROW(INDIRECT("1:"&amp;LEN((LEFT(A370,SUM(LEN(A370)-LEN(SUBSTITUTE(A370,{"0","1","2"},"")))))))), 1)) * ROW(INDIRECT("1:"&amp;LEN((LEFT(A370,SUM(LEN(A370)-LEN(SUBSTITUTE(A370,{"0","1","2"},"")))))))), 0), ROW(INDIRECT("1:"&amp;LEN((LEFT(A370,SUM(LEN(A370)-LEN(SUBSTITUTE(A370,{"0","1","2"},"")))))))))+1, 1) * 10^ROW(INDIRECT("1:"&amp;LEN((LEFT(A370,SUM(LEN(A370)-LEN(SUBSTITUTE(A370,{"0","1","2"},""))))))))/10))*1+1&amp;""&amp;" &amp; "&amp;""&amp;(SUMPRODUCT(MID(0&amp;(--TRIM(RIGHT(SUBSTITUTE(LEFT(A370,_xlfn.AGGREGATE(16,6,FIND({0,1,2,3,4,5,6,7,8,9},A370,ROW(INDIRECT("1:"&amp;LEN(A370)))),1))," ",REPT(" ",LEN(A370))),LEN(A370)))), LARGE(INDEX(ISNUMBER(--MID((--TRIM(RIGHT(SUBSTITUTE(LEFT(A370,_xlfn.AGGREGATE(16,6,FIND({0,1,2,3,4,5,6,7,8,9},A370,ROW(INDIRECT("1:"&amp;LEN(A370)))),1))," ",REPT(" ",LEN(A370))),LEN(A370)))), ROW(INDIRECT("1:"&amp;LEN((--TRIM(RIGHT(SUBSTITUTE(LEFT(A370,_xlfn.AGGREGATE(16,6,FIND({0,1,2,3,4,5,6,7,8,9},A370,ROW(INDIRECT("1:"&amp;LEN(A370)))),1))," ",REPT(" ",LEN(A370))),LEN(A370))))))), 1)) * ROW(INDIRECT("1:"&amp;LEN((--TRIM(RIGHT(SUBSTITUTE(LEFT(A370,_xlfn.AGGREGATE(16,6,FIND({0,1,2,3,4,5,6,7,8,9},A370,ROW(INDIRECT("1:"&amp;LEN(A370)))),1))," ",REPT(" ",LEN(A370))),LEN(A370))))))), 0), ROW(INDIRECT("1:"&amp;LEN((--TRIM(RIGHT(SUBSTITUTE(LEFT(A370,_xlfn.AGGREGATE(16,6,FIND({0,1,2,3,4,5,6,7,8,9},A370,ROW(INDIRECT("1:"&amp;LEN(A370)))),1))," ",REPT(" ",LEN(A370))),LEN(A370))))))))+1, 1) * 10^ROW(INDIRECT("1:"&amp;LEN((--TRIM(RIGHT(SUBSTITUTE(LEFT(A370,_xlfn.AGGREGATE(16,6,FIND({0,1,2,3,4,5,6,7,8,9},A370,ROW(INDIRECT("1:"&amp;LEN(A370)))),1))," ",REPT(" ",LEN(A370))),LEN(A370)))))))/10))*1+1</f>
        <v>103 &amp; 303</v>
      </c>
      <c r="B371" s="115"/>
      <c r="C371" s="42" t="s">
        <v>169</v>
      </c>
      <c r="D371" s="42">
        <f>(30.08+2.5)*10.764</f>
        <v>350.69111999999996</v>
      </c>
      <c r="E371" s="42">
        <f>5.859*10.764</f>
        <v>63.066275999999995</v>
      </c>
      <c r="F371" s="42">
        <v>670</v>
      </c>
      <c r="G371" s="114" t="str">
        <f t="shared" si="30"/>
        <v>1st &amp; 3rd Floor for Residential</v>
      </c>
      <c r="H371" s="115"/>
      <c r="I371" s="36"/>
      <c r="J371" s="57">
        <f t="shared" si="26"/>
        <v>1.7306789062694261</v>
      </c>
    </row>
    <row r="372" spans="1:10" s="37" customFormat="1" x14ac:dyDescent="0.25">
      <c r="A372" s="114" t="str">
        <f ca="1">(SUMPRODUCT(MID(0&amp;(LEFT(A371,SUM(LEN(A371)-LEN(SUBSTITUTE(A371,{"0","1","2"},""))))), LARGE(INDEX(ISNUMBER(--MID((LEFT(A371,SUM(LEN(A371)-LEN(SUBSTITUTE(A371,{"0","1","2"},""))))), ROW(INDIRECT("1:"&amp;LEN((LEFT(A371,SUM(LEN(A371)-LEN(SUBSTITUTE(A371,{"0","1","2"},"")))))))), 1)) * ROW(INDIRECT("1:"&amp;LEN((LEFT(A371,SUM(LEN(A371)-LEN(SUBSTITUTE(A371,{"0","1","2"},"")))))))), 0), ROW(INDIRECT("1:"&amp;LEN((LEFT(A371,SUM(LEN(A371)-LEN(SUBSTITUTE(A371,{"0","1","2"},"")))))))))+1, 1) * 10^ROW(INDIRECT("1:"&amp;LEN((LEFT(A371,SUM(LEN(A371)-LEN(SUBSTITUTE(A371,{"0","1","2"},""))))))))/10))*1+1&amp;""&amp;" &amp; "&amp;""&amp;(SUMPRODUCT(MID(0&amp;(--TRIM(RIGHT(SUBSTITUTE(LEFT(A371,_xlfn.AGGREGATE(16,6,FIND({0,1,2,3,4,5,6,7,8,9},A371,ROW(INDIRECT("1:"&amp;LEN(A371)))),1))," ",REPT(" ",LEN(A371))),LEN(A371)))), LARGE(INDEX(ISNUMBER(--MID((--TRIM(RIGHT(SUBSTITUTE(LEFT(A371,_xlfn.AGGREGATE(16,6,FIND({0,1,2,3,4,5,6,7,8,9},A371,ROW(INDIRECT("1:"&amp;LEN(A371)))),1))," ",REPT(" ",LEN(A371))),LEN(A371)))), ROW(INDIRECT("1:"&amp;LEN((--TRIM(RIGHT(SUBSTITUTE(LEFT(A371,_xlfn.AGGREGATE(16,6,FIND({0,1,2,3,4,5,6,7,8,9},A371,ROW(INDIRECT("1:"&amp;LEN(A371)))),1))," ",REPT(" ",LEN(A371))),LEN(A371))))))), 1)) * ROW(INDIRECT("1:"&amp;LEN((--TRIM(RIGHT(SUBSTITUTE(LEFT(A371,_xlfn.AGGREGATE(16,6,FIND({0,1,2,3,4,5,6,7,8,9},A371,ROW(INDIRECT("1:"&amp;LEN(A371)))),1))," ",REPT(" ",LEN(A371))),LEN(A371))))))), 0), ROW(INDIRECT("1:"&amp;LEN((--TRIM(RIGHT(SUBSTITUTE(LEFT(A371,_xlfn.AGGREGATE(16,6,FIND({0,1,2,3,4,5,6,7,8,9},A371,ROW(INDIRECT("1:"&amp;LEN(A371)))),1))," ",REPT(" ",LEN(A371))),LEN(A371))))))))+1, 1) * 10^ROW(INDIRECT("1:"&amp;LEN((--TRIM(RIGHT(SUBSTITUTE(LEFT(A371,_xlfn.AGGREGATE(16,6,FIND({0,1,2,3,4,5,6,7,8,9},A371,ROW(INDIRECT("1:"&amp;LEN(A371)))),1))," ",REPT(" ",LEN(A371))),LEN(A371)))))))/10))*1+1</f>
        <v>104 &amp; 304</v>
      </c>
      <c r="B372" s="115"/>
      <c r="C372" s="42" t="s">
        <v>169</v>
      </c>
      <c r="D372" s="42">
        <f>(30.08+2.5)*10.764</f>
        <v>350.69111999999996</v>
      </c>
      <c r="E372" s="42">
        <f>5.859*10.764</f>
        <v>63.066275999999995</v>
      </c>
      <c r="F372" s="42">
        <v>670</v>
      </c>
      <c r="G372" s="114" t="str">
        <f t="shared" si="30"/>
        <v>1st &amp; 3rd Floor for Residential</v>
      </c>
      <c r="H372" s="115"/>
      <c r="I372" s="36"/>
      <c r="J372" s="57">
        <f t="shared" si="26"/>
        <v>1.7306789062694261</v>
      </c>
    </row>
    <row r="373" spans="1:10" s="37" customFormat="1" x14ac:dyDescent="0.25">
      <c r="A373" s="114" t="str">
        <f ca="1">(SUMPRODUCT(MID(0&amp;(LEFT(A372,SUM(LEN(A372)-LEN(SUBSTITUTE(A372,{"0","1","2"},""))))), LARGE(INDEX(ISNUMBER(--MID((LEFT(A372,SUM(LEN(A372)-LEN(SUBSTITUTE(A372,{"0","1","2"},""))))), ROW(INDIRECT("1:"&amp;LEN((LEFT(A372,SUM(LEN(A372)-LEN(SUBSTITUTE(A372,{"0","1","2"},"")))))))), 1)) * ROW(INDIRECT("1:"&amp;LEN((LEFT(A372,SUM(LEN(A372)-LEN(SUBSTITUTE(A372,{"0","1","2"},"")))))))), 0), ROW(INDIRECT("1:"&amp;LEN((LEFT(A372,SUM(LEN(A372)-LEN(SUBSTITUTE(A372,{"0","1","2"},"")))))))))+1, 1) * 10^ROW(INDIRECT("1:"&amp;LEN((LEFT(A372,SUM(LEN(A372)-LEN(SUBSTITUTE(A372,{"0","1","2"},""))))))))/10))*1+1&amp;""&amp;" &amp; "&amp;""&amp;(SUMPRODUCT(MID(0&amp;(--TRIM(RIGHT(SUBSTITUTE(LEFT(A372,_xlfn.AGGREGATE(16,6,FIND({0,1,2,3,4,5,6,7,8,9},A372,ROW(INDIRECT("1:"&amp;LEN(A372)))),1))," ",REPT(" ",LEN(A372))),LEN(A372)))), LARGE(INDEX(ISNUMBER(--MID((--TRIM(RIGHT(SUBSTITUTE(LEFT(A372,_xlfn.AGGREGATE(16,6,FIND({0,1,2,3,4,5,6,7,8,9},A372,ROW(INDIRECT("1:"&amp;LEN(A372)))),1))," ",REPT(" ",LEN(A372))),LEN(A372)))), ROW(INDIRECT("1:"&amp;LEN((--TRIM(RIGHT(SUBSTITUTE(LEFT(A372,_xlfn.AGGREGATE(16,6,FIND({0,1,2,3,4,5,6,7,8,9},A372,ROW(INDIRECT("1:"&amp;LEN(A372)))),1))," ",REPT(" ",LEN(A372))),LEN(A372))))))), 1)) * ROW(INDIRECT("1:"&amp;LEN((--TRIM(RIGHT(SUBSTITUTE(LEFT(A372,_xlfn.AGGREGATE(16,6,FIND({0,1,2,3,4,5,6,7,8,9},A372,ROW(INDIRECT("1:"&amp;LEN(A372)))),1))," ",REPT(" ",LEN(A372))),LEN(A372))))))), 0), ROW(INDIRECT("1:"&amp;LEN((--TRIM(RIGHT(SUBSTITUTE(LEFT(A372,_xlfn.AGGREGATE(16,6,FIND({0,1,2,3,4,5,6,7,8,9},A372,ROW(INDIRECT("1:"&amp;LEN(A372)))),1))," ",REPT(" ",LEN(A372))),LEN(A372))))))))+1, 1) * 10^ROW(INDIRECT("1:"&amp;LEN((--TRIM(RIGHT(SUBSTITUTE(LEFT(A372,_xlfn.AGGREGATE(16,6,FIND({0,1,2,3,4,5,6,7,8,9},A372,ROW(INDIRECT("1:"&amp;LEN(A372)))),1))," ",REPT(" ",LEN(A372))),LEN(A372)))))))/10))*1+1</f>
        <v>105 &amp; 305</v>
      </c>
      <c r="B373" s="115"/>
      <c r="C373" s="42" t="s">
        <v>169</v>
      </c>
      <c r="D373" s="42">
        <f>(30.014+3.06+3.65)*10.764</f>
        <v>395.29713599999997</v>
      </c>
      <c r="E373" s="42">
        <f>4.448*10.764</f>
        <v>47.878272000000003</v>
      </c>
      <c r="F373" s="42">
        <v>700</v>
      </c>
      <c r="G373" s="114" t="str">
        <f t="shared" si="30"/>
        <v>1st &amp; 3rd Floor for Residential</v>
      </c>
      <c r="H373" s="115"/>
      <c r="I373" s="36"/>
      <c r="J373" s="57">
        <f t="shared" si="26"/>
        <v>1.6497001081232221</v>
      </c>
    </row>
    <row r="374" spans="1:10" s="37" customFormat="1" x14ac:dyDescent="0.25">
      <c r="A374" s="114" t="str">
        <f ca="1">(SUMPRODUCT(MID(0&amp;(LEFT(A373,SUM(LEN(A373)-LEN(SUBSTITUTE(A373,{"0","1","2"},""))))), LARGE(INDEX(ISNUMBER(--MID((LEFT(A373,SUM(LEN(A373)-LEN(SUBSTITUTE(A373,{"0","1","2"},""))))), ROW(INDIRECT("1:"&amp;LEN((LEFT(A373,SUM(LEN(A373)-LEN(SUBSTITUTE(A373,{"0","1","2"},"")))))))), 1)) * ROW(INDIRECT("1:"&amp;LEN((LEFT(A373,SUM(LEN(A373)-LEN(SUBSTITUTE(A373,{"0","1","2"},"")))))))), 0), ROW(INDIRECT("1:"&amp;LEN((LEFT(A373,SUM(LEN(A373)-LEN(SUBSTITUTE(A373,{"0","1","2"},"")))))))))+1, 1) * 10^ROW(INDIRECT("1:"&amp;LEN((LEFT(A373,SUM(LEN(A373)-LEN(SUBSTITUTE(A373,{"0","1","2"},""))))))))/10))*1+1&amp;""&amp;" &amp; "&amp;""&amp;(SUMPRODUCT(MID(0&amp;(--TRIM(RIGHT(SUBSTITUTE(LEFT(A373,_xlfn.AGGREGATE(16,6,FIND({0,1,2,3,4,5,6,7,8,9},A373,ROW(INDIRECT("1:"&amp;LEN(A373)))),1))," ",REPT(" ",LEN(A373))),LEN(A373)))), LARGE(INDEX(ISNUMBER(--MID((--TRIM(RIGHT(SUBSTITUTE(LEFT(A373,_xlfn.AGGREGATE(16,6,FIND({0,1,2,3,4,5,6,7,8,9},A373,ROW(INDIRECT("1:"&amp;LEN(A373)))),1))," ",REPT(" ",LEN(A373))),LEN(A373)))), ROW(INDIRECT("1:"&amp;LEN((--TRIM(RIGHT(SUBSTITUTE(LEFT(A373,_xlfn.AGGREGATE(16,6,FIND({0,1,2,3,4,5,6,7,8,9},A373,ROW(INDIRECT("1:"&amp;LEN(A373)))),1))," ",REPT(" ",LEN(A373))),LEN(A373))))))), 1)) * ROW(INDIRECT("1:"&amp;LEN((--TRIM(RIGHT(SUBSTITUTE(LEFT(A373,_xlfn.AGGREGATE(16,6,FIND({0,1,2,3,4,5,6,7,8,9},A373,ROW(INDIRECT("1:"&amp;LEN(A373)))),1))," ",REPT(" ",LEN(A373))),LEN(A373))))))), 0), ROW(INDIRECT("1:"&amp;LEN((--TRIM(RIGHT(SUBSTITUTE(LEFT(A373,_xlfn.AGGREGATE(16,6,FIND({0,1,2,3,4,5,6,7,8,9},A373,ROW(INDIRECT("1:"&amp;LEN(A373)))),1))," ",REPT(" ",LEN(A373))),LEN(A373))))))))+1, 1) * 10^ROW(INDIRECT("1:"&amp;LEN((--TRIM(RIGHT(SUBSTITUTE(LEFT(A373,_xlfn.AGGREGATE(16,6,FIND({0,1,2,3,4,5,6,7,8,9},A373,ROW(INDIRECT("1:"&amp;LEN(A373)))),1))," ",REPT(" ",LEN(A373))),LEN(A373)))))))/10))*1+1</f>
        <v>106 &amp; 306</v>
      </c>
      <c r="B374" s="115"/>
      <c r="C374" s="42" t="s">
        <v>169</v>
      </c>
      <c r="D374" s="42">
        <f>(28.642+2.975)*10.764</f>
        <v>340.32538799999998</v>
      </c>
      <c r="E374" s="42">
        <f>4.448*10.764</f>
        <v>47.878272000000003</v>
      </c>
      <c r="F374" s="42">
        <v>635</v>
      </c>
      <c r="G374" s="114" t="str">
        <f t="shared" si="30"/>
        <v>1st &amp; 3rd Floor for Residential</v>
      </c>
      <c r="H374" s="115"/>
      <c r="I374" s="36"/>
      <c r="J374" s="57">
        <f t="shared" si="26"/>
        <v>1.7251775762318384</v>
      </c>
    </row>
    <row r="375" spans="1:10" s="37" customFormat="1" x14ac:dyDescent="0.25">
      <c r="A375" s="119" t="s">
        <v>170</v>
      </c>
      <c r="B375" s="120"/>
      <c r="C375" s="120"/>
      <c r="D375" s="120"/>
      <c r="E375" s="120"/>
      <c r="F375" s="120"/>
      <c r="G375" s="120"/>
      <c r="H375" s="121"/>
      <c r="I375" s="36"/>
      <c r="J375" s="57" t="e">
        <f t="shared" si="26"/>
        <v>#DIV/0!</v>
      </c>
    </row>
    <row r="376" spans="1:10" s="37" customFormat="1" x14ac:dyDescent="0.25">
      <c r="A376" s="114" t="str">
        <f ca="1">(SUMPRODUCT(MID(0&amp;(LEFT(A375,SUM(LEN(A375)-LEN(SUBSTITUTE(A375,{"0","1","2"},""))))), LARGE(INDEX(ISNUMBER(--MID((LEFT(A375,SUM(LEN(A375)-LEN(SUBSTITUTE(A375,{"0","1","2"},""))))), ROW(INDIRECT("1:"&amp;LEN((LEFT(A375,SUM(LEN(A375)-LEN(SUBSTITUTE(A375,{"0","1","2"},"")))))))), 1)) * ROW(INDIRECT("1:"&amp;LEN((LEFT(A375,SUM(LEN(A375)-LEN(SUBSTITUTE(A375,{"0","1","2"},"")))))))), 0), ROW(INDIRECT("1:"&amp;LEN((LEFT(A375,SUM(LEN(A375)-LEN(SUBSTITUTE(A375,{"0","1","2"},"")))))))))+1, 1) * 10^ROW(INDIRECT("1:"&amp;LEN((LEFT(A375,SUM(LEN(A375)-LEN(SUBSTITUTE(A375,{"0","1","2"},""))))))))/10))*100+1&amp;""&amp;" &amp; "&amp;""&amp;(SUMPRODUCT(MID(0&amp;(--TRIM(RIGHT(SUBSTITUTE(LEFT(A375,_xlfn.AGGREGATE(16,6,FIND({0,1,2,3,4,5,6,7,8,9},A375,ROW(INDIRECT("1:"&amp;LEN(A375)))),1))," ",REPT(" ",LEN(A375))),LEN(A375)))), LARGE(INDEX(ISNUMBER(--MID((--TRIM(RIGHT(SUBSTITUTE(LEFT(A375,_xlfn.AGGREGATE(16,6,FIND({0,1,2,3,4,5,6,7,8,9},A375,ROW(INDIRECT("1:"&amp;LEN(A375)))),1))," ",REPT(" ",LEN(A375))),LEN(A375)))), ROW(INDIRECT("1:"&amp;LEN((--TRIM(RIGHT(SUBSTITUTE(LEFT(A375,_xlfn.AGGREGATE(16,6,FIND({0,1,2,3,4,5,6,7,8,9},A375,ROW(INDIRECT("1:"&amp;LEN(A375)))),1))," ",REPT(" ",LEN(A375))),LEN(A375))))))), 1)) * ROW(INDIRECT("1:"&amp;LEN((--TRIM(RIGHT(SUBSTITUTE(LEFT(A375,_xlfn.AGGREGATE(16,6,FIND({0,1,2,3,4,5,6,7,8,9},A375,ROW(INDIRECT("1:"&amp;LEN(A375)))),1))," ",REPT(" ",LEN(A375))),LEN(A375))))))), 0), ROW(INDIRECT("1:"&amp;LEN((--TRIM(RIGHT(SUBSTITUTE(LEFT(A375,_xlfn.AGGREGATE(16,6,FIND({0,1,2,3,4,5,6,7,8,9},A375,ROW(INDIRECT("1:"&amp;LEN(A375)))),1))," ",REPT(" ",LEN(A375))),LEN(A375))))))))+1, 1) * 10^ROW(INDIRECT("1:"&amp;LEN((--TRIM(RIGHT(SUBSTITUTE(LEFT(A375,_xlfn.AGGREGATE(16,6,FIND({0,1,2,3,4,5,6,7,8,9},A375,ROW(INDIRECT("1:"&amp;LEN(A375)))),1))," ",REPT(" ",LEN(A375))),LEN(A375)))))))/10))*100+1</f>
        <v>201 &amp; 401</v>
      </c>
      <c r="B376" s="115"/>
      <c r="C376" s="42" t="s">
        <v>169</v>
      </c>
      <c r="D376" s="42">
        <f>(28.642+2.975)*10.764</f>
        <v>340.32538799999998</v>
      </c>
      <c r="E376" s="42">
        <f>6.654*10.764</f>
        <v>71.623655999999997</v>
      </c>
      <c r="F376" s="42">
        <v>665</v>
      </c>
      <c r="G376" s="114" t="str">
        <f>A375</f>
        <v>2nd &amp; 4th Floor</v>
      </c>
      <c r="H376" s="115"/>
      <c r="I376" s="36"/>
      <c r="J376" s="57">
        <f t="shared" si="26"/>
        <v>1.7435559171389237</v>
      </c>
    </row>
    <row r="377" spans="1:10" s="37" customFormat="1" x14ac:dyDescent="0.25">
      <c r="A377" s="114" t="str">
        <f ca="1">(SUMPRODUCT(MID(0&amp;(LEFT(A376,SUM(LEN(A376)-LEN(SUBSTITUTE(A376,{"0","1","2"},""))))), LARGE(INDEX(ISNUMBER(--MID((LEFT(A376,SUM(LEN(A376)-LEN(SUBSTITUTE(A376,{"0","1","2"},""))))), ROW(INDIRECT("1:"&amp;LEN((LEFT(A376,SUM(LEN(A376)-LEN(SUBSTITUTE(A376,{"0","1","2"},"")))))))), 1)) * ROW(INDIRECT("1:"&amp;LEN((LEFT(A376,SUM(LEN(A376)-LEN(SUBSTITUTE(A376,{"0","1","2"},"")))))))), 0), ROW(INDIRECT("1:"&amp;LEN((LEFT(A376,SUM(LEN(A376)-LEN(SUBSTITUTE(A376,{"0","1","2"},"")))))))))+1, 1) * 10^ROW(INDIRECT("1:"&amp;LEN((LEFT(A376,SUM(LEN(A376)-LEN(SUBSTITUTE(A376,{"0","1","2"},""))))))))/10))*1+1&amp;""&amp;" &amp; "&amp;""&amp;(SUMPRODUCT(MID(0&amp;(--TRIM(RIGHT(SUBSTITUTE(LEFT(A376,_xlfn.AGGREGATE(16,6,FIND({0,1,2,3,4,5,6,7,8,9},A376,ROW(INDIRECT("1:"&amp;LEN(A376)))),1))," ",REPT(" ",LEN(A376))),LEN(A376)))), LARGE(INDEX(ISNUMBER(--MID((--TRIM(RIGHT(SUBSTITUTE(LEFT(A376,_xlfn.AGGREGATE(16,6,FIND({0,1,2,3,4,5,6,7,8,9},A376,ROW(INDIRECT("1:"&amp;LEN(A376)))),1))," ",REPT(" ",LEN(A376))),LEN(A376)))), ROW(INDIRECT("1:"&amp;LEN((--TRIM(RIGHT(SUBSTITUTE(LEFT(A376,_xlfn.AGGREGATE(16,6,FIND({0,1,2,3,4,5,6,7,8,9},A376,ROW(INDIRECT("1:"&amp;LEN(A376)))),1))," ",REPT(" ",LEN(A376))),LEN(A376))))))), 1)) * ROW(INDIRECT("1:"&amp;LEN((--TRIM(RIGHT(SUBSTITUTE(LEFT(A376,_xlfn.AGGREGATE(16,6,FIND({0,1,2,3,4,5,6,7,8,9},A376,ROW(INDIRECT("1:"&amp;LEN(A376)))),1))," ",REPT(" ",LEN(A376))),LEN(A376))))))), 0), ROW(INDIRECT("1:"&amp;LEN((--TRIM(RIGHT(SUBSTITUTE(LEFT(A376,_xlfn.AGGREGATE(16,6,FIND({0,1,2,3,4,5,6,7,8,9},A376,ROW(INDIRECT("1:"&amp;LEN(A376)))),1))," ",REPT(" ",LEN(A376))),LEN(A376))))))))+1, 1) * 10^ROW(INDIRECT("1:"&amp;LEN((--TRIM(RIGHT(SUBSTITUTE(LEFT(A376,_xlfn.AGGREGATE(16,6,FIND({0,1,2,3,4,5,6,7,8,9},A376,ROW(INDIRECT("1:"&amp;LEN(A376)))),1))," ",REPT(" ",LEN(A376))),LEN(A376)))))))/10))*1+1</f>
        <v>202 &amp; 402</v>
      </c>
      <c r="B377" s="115"/>
      <c r="C377" s="42" t="s">
        <v>169</v>
      </c>
      <c r="D377" s="42">
        <f>(30.03+3.05+3.65)*10.764</f>
        <v>395.36171999999993</v>
      </c>
      <c r="E377" s="42">
        <f>4.37*10.764</f>
        <v>47.038679999999999</v>
      </c>
      <c r="F377" s="42">
        <v>700</v>
      </c>
      <c r="G377" s="114" t="str">
        <f t="shared" ref="G377:G381" si="31">G376</f>
        <v>2nd &amp; 4th Floor</v>
      </c>
      <c r="H377" s="115"/>
      <c r="I377" s="36"/>
      <c r="J377" s="57">
        <f t="shared" si="26"/>
        <v>1.6515542273541306</v>
      </c>
    </row>
    <row r="378" spans="1:10" s="37" customFormat="1" x14ac:dyDescent="0.25">
      <c r="A378" s="114" t="str">
        <f ca="1">(SUMPRODUCT(MID(0&amp;(LEFT(A377,SUM(LEN(A377)-LEN(SUBSTITUTE(A377,{"0","1","2"},""))))), LARGE(INDEX(ISNUMBER(--MID((LEFT(A377,SUM(LEN(A377)-LEN(SUBSTITUTE(A377,{"0","1","2"},""))))), ROW(INDIRECT("1:"&amp;LEN((LEFT(A377,SUM(LEN(A377)-LEN(SUBSTITUTE(A377,{"0","1","2"},"")))))))), 1)) * ROW(INDIRECT("1:"&amp;LEN((LEFT(A377,SUM(LEN(A377)-LEN(SUBSTITUTE(A377,{"0","1","2"},"")))))))), 0), ROW(INDIRECT("1:"&amp;LEN((LEFT(A377,SUM(LEN(A377)-LEN(SUBSTITUTE(A377,{"0","1","2"},"")))))))))+1, 1) * 10^ROW(INDIRECT("1:"&amp;LEN((LEFT(A377,SUM(LEN(A377)-LEN(SUBSTITUTE(A377,{"0","1","2"},""))))))))/10))*1+1&amp;""&amp;" &amp; "&amp;""&amp;(SUMPRODUCT(MID(0&amp;(--TRIM(RIGHT(SUBSTITUTE(LEFT(A377,_xlfn.AGGREGATE(16,6,FIND({0,1,2,3,4,5,6,7,8,9},A377,ROW(INDIRECT("1:"&amp;LEN(A377)))),1))," ",REPT(" ",LEN(A377))),LEN(A377)))), LARGE(INDEX(ISNUMBER(--MID((--TRIM(RIGHT(SUBSTITUTE(LEFT(A377,_xlfn.AGGREGATE(16,6,FIND({0,1,2,3,4,5,6,7,8,9},A377,ROW(INDIRECT("1:"&amp;LEN(A377)))),1))," ",REPT(" ",LEN(A377))),LEN(A377)))), ROW(INDIRECT("1:"&amp;LEN((--TRIM(RIGHT(SUBSTITUTE(LEFT(A377,_xlfn.AGGREGATE(16,6,FIND({0,1,2,3,4,5,6,7,8,9},A377,ROW(INDIRECT("1:"&amp;LEN(A377)))),1))," ",REPT(" ",LEN(A377))),LEN(A377))))))), 1)) * ROW(INDIRECT("1:"&amp;LEN((--TRIM(RIGHT(SUBSTITUTE(LEFT(A377,_xlfn.AGGREGATE(16,6,FIND({0,1,2,3,4,5,6,7,8,9},A377,ROW(INDIRECT("1:"&amp;LEN(A377)))),1))," ",REPT(" ",LEN(A377))),LEN(A377))))))), 0), ROW(INDIRECT("1:"&amp;LEN((--TRIM(RIGHT(SUBSTITUTE(LEFT(A377,_xlfn.AGGREGATE(16,6,FIND({0,1,2,3,4,5,6,7,8,9},A377,ROW(INDIRECT("1:"&amp;LEN(A377)))),1))," ",REPT(" ",LEN(A377))),LEN(A377))))))))+1, 1) * 10^ROW(INDIRECT("1:"&amp;LEN((--TRIM(RIGHT(SUBSTITUTE(LEFT(A377,_xlfn.AGGREGATE(16,6,FIND({0,1,2,3,4,5,6,7,8,9},A377,ROW(INDIRECT("1:"&amp;LEN(A377)))),1))," ",REPT(" ",LEN(A377))),LEN(A377)))))))/10))*1+1</f>
        <v>203 &amp; 403</v>
      </c>
      <c r="B378" s="115"/>
      <c r="C378" s="42" t="s">
        <v>169</v>
      </c>
      <c r="D378" s="42">
        <f>(30.08+2.5)*10.764</f>
        <v>350.69111999999996</v>
      </c>
      <c r="E378" s="42">
        <f>5.65*10.764</f>
        <v>60.816600000000001</v>
      </c>
      <c r="F378" s="42">
        <v>670</v>
      </c>
      <c r="G378" s="114" t="str">
        <f t="shared" si="31"/>
        <v>2nd &amp; 4th Floor</v>
      </c>
      <c r="H378" s="115"/>
      <c r="I378" s="36"/>
      <c r="J378" s="57">
        <f t="shared" si="26"/>
        <v>1.7370938847838522</v>
      </c>
    </row>
    <row r="379" spans="1:10" s="37" customFormat="1" x14ac:dyDescent="0.25">
      <c r="A379" s="114" t="str">
        <f ca="1">(SUMPRODUCT(MID(0&amp;(LEFT(A378,SUM(LEN(A378)-LEN(SUBSTITUTE(A378,{"0","1","2"},""))))), LARGE(INDEX(ISNUMBER(--MID((LEFT(A378,SUM(LEN(A378)-LEN(SUBSTITUTE(A378,{"0","1","2"},""))))), ROW(INDIRECT("1:"&amp;LEN((LEFT(A378,SUM(LEN(A378)-LEN(SUBSTITUTE(A378,{"0","1","2"},"")))))))), 1)) * ROW(INDIRECT("1:"&amp;LEN((LEFT(A378,SUM(LEN(A378)-LEN(SUBSTITUTE(A378,{"0","1","2"},"")))))))), 0), ROW(INDIRECT("1:"&amp;LEN((LEFT(A378,SUM(LEN(A378)-LEN(SUBSTITUTE(A378,{"0","1","2"},"")))))))))+1, 1) * 10^ROW(INDIRECT("1:"&amp;LEN((LEFT(A378,SUM(LEN(A378)-LEN(SUBSTITUTE(A378,{"0","1","2"},""))))))))/10))*1+1&amp;""&amp;" &amp; "&amp;""&amp;(SUMPRODUCT(MID(0&amp;(--TRIM(RIGHT(SUBSTITUTE(LEFT(A378,_xlfn.AGGREGATE(16,6,FIND({0,1,2,3,4,5,6,7,8,9},A378,ROW(INDIRECT("1:"&amp;LEN(A378)))),1))," ",REPT(" ",LEN(A378))),LEN(A378)))), LARGE(INDEX(ISNUMBER(--MID((--TRIM(RIGHT(SUBSTITUTE(LEFT(A378,_xlfn.AGGREGATE(16,6,FIND({0,1,2,3,4,5,6,7,8,9},A378,ROW(INDIRECT("1:"&amp;LEN(A378)))),1))," ",REPT(" ",LEN(A378))),LEN(A378)))), ROW(INDIRECT("1:"&amp;LEN((--TRIM(RIGHT(SUBSTITUTE(LEFT(A378,_xlfn.AGGREGATE(16,6,FIND({0,1,2,3,4,5,6,7,8,9},A378,ROW(INDIRECT("1:"&amp;LEN(A378)))),1))," ",REPT(" ",LEN(A378))),LEN(A378))))))), 1)) * ROW(INDIRECT("1:"&amp;LEN((--TRIM(RIGHT(SUBSTITUTE(LEFT(A378,_xlfn.AGGREGATE(16,6,FIND({0,1,2,3,4,5,6,7,8,9},A378,ROW(INDIRECT("1:"&amp;LEN(A378)))),1))," ",REPT(" ",LEN(A378))),LEN(A378))))))), 0), ROW(INDIRECT("1:"&amp;LEN((--TRIM(RIGHT(SUBSTITUTE(LEFT(A378,_xlfn.AGGREGATE(16,6,FIND({0,1,2,3,4,5,6,7,8,9},A378,ROW(INDIRECT("1:"&amp;LEN(A378)))),1))," ",REPT(" ",LEN(A378))),LEN(A378))))))))+1, 1) * 10^ROW(INDIRECT("1:"&amp;LEN((--TRIM(RIGHT(SUBSTITUTE(LEFT(A378,_xlfn.AGGREGATE(16,6,FIND({0,1,2,3,4,5,6,7,8,9},A378,ROW(INDIRECT("1:"&amp;LEN(A378)))),1))," ",REPT(" ",LEN(A378))),LEN(A378)))))))/10))*1+1</f>
        <v>204 &amp; 404</v>
      </c>
      <c r="B379" s="115"/>
      <c r="C379" s="42" t="s">
        <v>169</v>
      </c>
      <c r="D379" s="42">
        <f>(30.08+2.5)*10.764</f>
        <v>350.69111999999996</v>
      </c>
      <c r="E379" s="42">
        <f>5.65*10.764</f>
        <v>60.816600000000001</v>
      </c>
      <c r="F379" s="42">
        <v>670</v>
      </c>
      <c r="G379" s="114" t="str">
        <f t="shared" si="31"/>
        <v>2nd &amp; 4th Floor</v>
      </c>
      <c r="H379" s="115"/>
      <c r="I379" s="36"/>
      <c r="J379" s="57">
        <f t="shared" si="26"/>
        <v>1.7370938847838522</v>
      </c>
    </row>
    <row r="380" spans="1:10" s="37" customFormat="1" x14ac:dyDescent="0.25">
      <c r="A380" s="114" t="str">
        <f ca="1">(SUMPRODUCT(MID(0&amp;(LEFT(A379,SUM(LEN(A379)-LEN(SUBSTITUTE(A379,{"0","1","2"},""))))), LARGE(INDEX(ISNUMBER(--MID((LEFT(A379,SUM(LEN(A379)-LEN(SUBSTITUTE(A379,{"0","1","2"},""))))), ROW(INDIRECT("1:"&amp;LEN((LEFT(A379,SUM(LEN(A379)-LEN(SUBSTITUTE(A379,{"0","1","2"},"")))))))), 1)) * ROW(INDIRECT("1:"&amp;LEN((LEFT(A379,SUM(LEN(A379)-LEN(SUBSTITUTE(A379,{"0","1","2"},"")))))))), 0), ROW(INDIRECT("1:"&amp;LEN((LEFT(A379,SUM(LEN(A379)-LEN(SUBSTITUTE(A379,{"0","1","2"},"")))))))))+1, 1) * 10^ROW(INDIRECT("1:"&amp;LEN((LEFT(A379,SUM(LEN(A379)-LEN(SUBSTITUTE(A379,{"0","1","2"},""))))))))/10))*1+1&amp;""&amp;" &amp; "&amp;""&amp;(SUMPRODUCT(MID(0&amp;(--TRIM(RIGHT(SUBSTITUTE(LEFT(A379,_xlfn.AGGREGATE(16,6,FIND({0,1,2,3,4,5,6,7,8,9},A379,ROW(INDIRECT("1:"&amp;LEN(A379)))),1))," ",REPT(" ",LEN(A379))),LEN(A379)))), LARGE(INDEX(ISNUMBER(--MID((--TRIM(RIGHT(SUBSTITUTE(LEFT(A379,_xlfn.AGGREGATE(16,6,FIND({0,1,2,3,4,5,6,7,8,9},A379,ROW(INDIRECT("1:"&amp;LEN(A379)))),1))," ",REPT(" ",LEN(A379))),LEN(A379)))), ROW(INDIRECT("1:"&amp;LEN((--TRIM(RIGHT(SUBSTITUTE(LEFT(A379,_xlfn.AGGREGATE(16,6,FIND({0,1,2,3,4,5,6,7,8,9},A379,ROW(INDIRECT("1:"&amp;LEN(A379)))),1))," ",REPT(" ",LEN(A379))),LEN(A379))))))), 1)) * ROW(INDIRECT("1:"&amp;LEN((--TRIM(RIGHT(SUBSTITUTE(LEFT(A379,_xlfn.AGGREGATE(16,6,FIND({0,1,2,3,4,5,6,7,8,9},A379,ROW(INDIRECT("1:"&amp;LEN(A379)))),1))," ",REPT(" ",LEN(A379))),LEN(A379))))))), 0), ROW(INDIRECT("1:"&amp;LEN((--TRIM(RIGHT(SUBSTITUTE(LEFT(A379,_xlfn.AGGREGATE(16,6,FIND({0,1,2,3,4,5,6,7,8,9},A379,ROW(INDIRECT("1:"&amp;LEN(A379)))),1))," ",REPT(" ",LEN(A379))),LEN(A379))))))))+1, 1) * 10^ROW(INDIRECT("1:"&amp;LEN((--TRIM(RIGHT(SUBSTITUTE(LEFT(A379,_xlfn.AGGREGATE(16,6,FIND({0,1,2,3,4,5,6,7,8,9},A379,ROW(INDIRECT("1:"&amp;LEN(A379)))),1))," ",REPT(" ",LEN(A379))),LEN(A379)))))))/10))*1+1</f>
        <v>205 &amp; 405</v>
      </c>
      <c r="B380" s="115"/>
      <c r="C380" s="42" t="s">
        <v>169</v>
      </c>
      <c r="D380" s="42">
        <f>(30.08+3.05+3.65)*10.764</f>
        <v>395.8999199999999</v>
      </c>
      <c r="E380" s="42">
        <f>4.37*10.764</f>
        <v>47.038679999999999</v>
      </c>
      <c r="F380" s="42">
        <v>700</v>
      </c>
      <c r="G380" s="114" t="str">
        <f t="shared" si="31"/>
        <v>2nd &amp; 4th Floor</v>
      </c>
      <c r="H380" s="115"/>
      <c r="I380" s="36"/>
      <c r="J380" s="57">
        <f t="shared" si="26"/>
        <v>1.649309047599707</v>
      </c>
    </row>
    <row r="381" spans="1:10" s="37" customFormat="1" x14ac:dyDescent="0.25">
      <c r="A381" s="114" t="str">
        <f ca="1">(SUMPRODUCT(MID(0&amp;(LEFT(A380,SUM(LEN(A380)-LEN(SUBSTITUTE(A380,{"0","1","2"},""))))), LARGE(INDEX(ISNUMBER(--MID((LEFT(A380,SUM(LEN(A380)-LEN(SUBSTITUTE(A380,{"0","1","2"},""))))), ROW(INDIRECT("1:"&amp;LEN((LEFT(A380,SUM(LEN(A380)-LEN(SUBSTITUTE(A380,{"0","1","2"},"")))))))), 1)) * ROW(INDIRECT("1:"&amp;LEN((LEFT(A380,SUM(LEN(A380)-LEN(SUBSTITUTE(A380,{"0","1","2"},"")))))))), 0), ROW(INDIRECT("1:"&amp;LEN((LEFT(A380,SUM(LEN(A380)-LEN(SUBSTITUTE(A380,{"0","1","2"},"")))))))))+1, 1) * 10^ROW(INDIRECT("1:"&amp;LEN((LEFT(A380,SUM(LEN(A380)-LEN(SUBSTITUTE(A380,{"0","1","2"},""))))))))/10))*1+1&amp;""&amp;" &amp; "&amp;""&amp;(SUMPRODUCT(MID(0&amp;(--TRIM(RIGHT(SUBSTITUTE(LEFT(A380,_xlfn.AGGREGATE(16,6,FIND({0,1,2,3,4,5,6,7,8,9},A380,ROW(INDIRECT("1:"&amp;LEN(A380)))),1))," ",REPT(" ",LEN(A380))),LEN(A380)))), LARGE(INDEX(ISNUMBER(--MID((--TRIM(RIGHT(SUBSTITUTE(LEFT(A380,_xlfn.AGGREGATE(16,6,FIND({0,1,2,3,4,5,6,7,8,9},A380,ROW(INDIRECT("1:"&amp;LEN(A380)))),1))," ",REPT(" ",LEN(A380))),LEN(A380)))), ROW(INDIRECT("1:"&amp;LEN((--TRIM(RIGHT(SUBSTITUTE(LEFT(A380,_xlfn.AGGREGATE(16,6,FIND({0,1,2,3,4,5,6,7,8,9},A380,ROW(INDIRECT("1:"&amp;LEN(A380)))),1))," ",REPT(" ",LEN(A380))),LEN(A380))))))), 1)) * ROW(INDIRECT("1:"&amp;LEN((--TRIM(RIGHT(SUBSTITUTE(LEFT(A380,_xlfn.AGGREGATE(16,6,FIND({0,1,2,3,4,5,6,7,8,9},A380,ROW(INDIRECT("1:"&amp;LEN(A380)))),1))," ",REPT(" ",LEN(A380))),LEN(A380))))))), 0), ROW(INDIRECT("1:"&amp;LEN((--TRIM(RIGHT(SUBSTITUTE(LEFT(A380,_xlfn.AGGREGATE(16,6,FIND({0,1,2,3,4,5,6,7,8,9},A380,ROW(INDIRECT("1:"&amp;LEN(A380)))),1))," ",REPT(" ",LEN(A380))),LEN(A380))))))))+1, 1) * 10^ROW(INDIRECT("1:"&amp;LEN((--TRIM(RIGHT(SUBSTITUTE(LEFT(A380,_xlfn.AGGREGATE(16,6,FIND({0,1,2,3,4,5,6,7,8,9},A380,ROW(INDIRECT("1:"&amp;LEN(A380)))),1))," ",REPT(" ",LEN(A380))),LEN(A380)))))))/10))*1+1</f>
        <v>206 &amp; 406</v>
      </c>
      <c r="B381" s="115"/>
      <c r="C381" s="42" t="s">
        <v>169</v>
      </c>
      <c r="D381" s="42">
        <f>(28.642+2.975)*10.764</f>
        <v>340.32538799999998</v>
      </c>
      <c r="E381" s="42">
        <f>6.493*10.764</f>
        <v>69.890652000000003</v>
      </c>
      <c r="F381" s="42">
        <v>665</v>
      </c>
      <c r="G381" s="114" t="str">
        <f t="shared" si="31"/>
        <v>2nd &amp; 4th Floor</v>
      </c>
      <c r="H381" s="115"/>
      <c r="I381" s="36"/>
      <c r="J381" s="57">
        <f t="shared" si="26"/>
        <v>1.7486481143745878</v>
      </c>
    </row>
    <row r="382" spans="1:10" s="34" customFormat="1" x14ac:dyDescent="0.25">
      <c r="A382" s="122" t="s">
        <v>249</v>
      </c>
      <c r="B382" s="122"/>
      <c r="C382" s="122"/>
      <c r="D382" s="122"/>
      <c r="E382" s="122"/>
      <c r="F382" s="122"/>
      <c r="G382" s="122"/>
      <c r="H382" s="122"/>
      <c r="J382" s="57" t="e">
        <f t="shared" si="26"/>
        <v>#DIV/0!</v>
      </c>
    </row>
    <row r="383" spans="1:10" s="34" customFormat="1" x14ac:dyDescent="0.25">
      <c r="A383" s="122" t="s">
        <v>175</v>
      </c>
      <c r="B383" s="122"/>
      <c r="C383" s="122"/>
      <c r="D383" s="122"/>
      <c r="E383" s="122"/>
      <c r="F383" s="122"/>
      <c r="G383" s="122"/>
      <c r="H383" s="122"/>
      <c r="J383" s="57" t="e">
        <f t="shared" si="26"/>
        <v>#DIV/0!</v>
      </c>
    </row>
    <row r="384" spans="1:10" s="34" customFormat="1" x14ac:dyDescent="0.25">
      <c r="A384" s="122" t="s">
        <v>166</v>
      </c>
      <c r="B384" s="122"/>
      <c r="C384" s="122"/>
      <c r="D384" s="122"/>
      <c r="E384" s="122"/>
      <c r="F384" s="122"/>
      <c r="G384" s="122"/>
      <c r="H384" s="122"/>
      <c r="J384" s="57" t="e">
        <f t="shared" si="26"/>
        <v>#DIV/0!</v>
      </c>
    </row>
    <row r="385" spans="1:10" s="37" customFormat="1" x14ac:dyDescent="0.25">
      <c r="A385" s="119" t="s">
        <v>167</v>
      </c>
      <c r="B385" s="120"/>
      <c r="C385" s="120"/>
      <c r="D385" s="120"/>
      <c r="E385" s="120"/>
      <c r="F385" s="120"/>
      <c r="G385" s="120"/>
      <c r="H385" s="121"/>
      <c r="I385" s="36"/>
      <c r="J385" s="57" t="e">
        <f t="shared" si="26"/>
        <v>#DIV/0!</v>
      </c>
    </row>
    <row r="386" spans="1:10" s="37" customFormat="1" x14ac:dyDescent="0.25">
      <c r="A386" s="114" t="str">
        <f ca="1">(SUMPRODUCT(MID(0&amp;(LEFT(A385,SUM(LEN(A385)-LEN(SUBSTITUTE(A385,{"0","1","2"},""))))), LARGE(INDEX(ISNUMBER(--MID((LEFT(A385,SUM(LEN(A385)-LEN(SUBSTITUTE(A385,{"0","1","2"},""))))), ROW(INDIRECT("1:"&amp;LEN((LEFT(A385,SUM(LEN(A385)-LEN(SUBSTITUTE(A385,{"0","1","2"},"")))))))), 1)) * ROW(INDIRECT("1:"&amp;LEN((LEFT(A385,SUM(LEN(A385)-LEN(SUBSTITUTE(A385,{"0","1","2"},"")))))))), 0), ROW(INDIRECT("1:"&amp;LEN((LEFT(A385,SUM(LEN(A385)-LEN(SUBSTITUTE(A385,{"0","1","2"},"")))))))))+1, 1) * 10^ROW(INDIRECT("1:"&amp;LEN((LEFT(A385,SUM(LEN(A385)-LEN(SUBSTITUTE(A385,{"0","1","2"},""))))))))/10))*100+1&amp;""&amp;" &amp; "&amp;""&amp;(SUMPRODUCT(MID(0&amp;(--TRIM(RIGHT(SUBSTITUTE(LEFT(A385,_xlfn.AGGREGATE(16,6,FIND({0,1,2,3,4,5,6,7,8,9},A385,ROW(INDIRECT("1:"&amp;LEN(A385)))),1))," ",REPT(" ",LEN(A385))),LEN(A385)))), LARGE(INDEX(ISNUMBER(--MID((--TRIM(RIGHT(SUBSTITUTE(LEFT(A385,_xlfn.AGGREGATE(16,6,FIND({0,1,2,3,4,5,6,7,8,9},A385,ROW(INDIRECT("1:"&amp;LEN(A385)))),1))," ",REPT(" ",LEN(A385))),LEN(A385)))), ROW(INDIRECT("1:"&amp;LEN((--TRIM(RIGHT(SUBSTITUTE(LEFT(A385,_xlfn.AGGREGATE(16,6,FIND({0,1,2,3,4,5,6,7,8,9},A385,ROW(INDIRECT("1:"&amp;LEN(A385)))),1))," ",REPT(" ",LEN(A385))),LEN(A385))))))), 1)) * ROW(INDIRECT("1:"&amp;LEN((--TRIM(RIGHT(SUBSTITUTE(LEFT(A385,_xlfn.AGGREGATE(16,6,FIND({0,1,2,3,4,5,6,7,8,9},A385,ROW(INDIRECT("1:"&amp;LEN(A385)))),1))," ",REPT(" ",LEN(A385))),LEN(A385))))))), 0), ROW(INDIRECT("1:"&amp;LEN((--TRIM(RIGHT(SUBSTITUTE(LEFT(A385,_xlfn.AGGREGATE(16,6,FIND({0,1,2,3,4,5,6,7,8,9},A385,ROW(INDIRECT("1:"&amp;LEN(A385)))),1))," ",REPT(" ",LEN(A385))),LEN(A385))))))))+1, 1) * 10^ROW(INDIRECT("1:"&amp;LEN((--TRIM(RIGHT(SUBSTITUTE(LEFT(A385,_xlfn.AGGREGATE(16,6,FIND({0,1,2,3,4,5,6,7,8,9},A385,ROW(INDIRECT("1:"&amp;LEN(A385)))),1))," ",REPT(" ",LEN(A385))),LEN(A385)))))))/10))*100+1</f>
        <v>101 &amp; 301</v>
      </c>
      <c r="B386" s="115"/>
      <c r="C386" s="42" t="s">
        <v>177</v>
      </c>
      <c r="D386" s="42">
        <f>(19.94+2.425)*10.764</f>
        <v>240.73686000000001</v>
      </c>
      <c r="E386" s="42">
        <f>2.922*10.764</f>
        <v>31.452407999999998</v>
      </c>
      <c r="F386" s="42">
        <v>455</v>
      </c>
      <c r="G386" s="114" t="str">
        <f>A385</f>
        <v>1st &amp; 3rd Floor for Residential</v>
      </c>
      <c r="H386" s="115"/>
      <c r="I386" s="36"/>
      <c r="J386" s="57">
        <f t="shared" si="26"/>
        <v>1.7593798972039429</v>
      </c>
    </row>
    <row r="387" spans="1:10" s="37" customFormat="1" x14ac:dyDescent="0.25">
      <c r="A387" s="114" t="str">
        <f ca="1">(SUMPRODUCT(MID(0&amp;(LEFT(A386,SUM(LEN(A386)-LEN(SUBSTITUTE(A386,{"0","1","2"},""))))), LARGE(INDEX(ISNUMBER(--MID((LEFT(A386,SUM(LEN(A386)-LEN(SUBSTITUTE(A386,{"0","1","2"},""))))), ROW(INDIRECT("1:"&amp;LEN((LEFT(A386,SUM(LEN(A386)-LEN(SUBSTITUTE(A386,{"0","1","2"},"")))))))), 1)) * ROW(INDIRECT("1:"&amp;LEN((LEFT(A386,SUM(LEN(A386)-LEN(SUBSTITUTE(A386,{"0","1","2"},"")))))))), 0), ROW(INDIRECT("1:"&amp;LEN((LEFT(A386,SUM(LEN(A386)-LEN(SUBSTITUTE(A386,{"0","1","2"},"")))))))))+1, 1) * 10^ROW(INDIRECT("1:"&amp;LEN((LEFT(A386,SUM(LEN(A386)-LEN(SUBSTITUTE(A386,{"0","1","2"},""))))))))/10))*1+1&amp;""&amp;" &amp; "&amp;""&amp;(SUMPRODUCT(MID(0&amp;(--TRIM(RIGHT(SUBSTITUTE(LEFT(A386,_xlfn.AGGREGATE(16,6,FIND({0,1,2,3,4,5,6,7,8,9},A386,ROW(INDIRECT("1:"&amp;LEN(A386)))),1))," ",REPT(" ",LEN(A386))),LEN(A386)))), LARGE(INDEX(ISNUMBER(--MID((--TRIM(RIGHT(SUBSTITUTE(LEFT(A386,_xlfn.AGGREGATE(16,6,FIND({0,1,2,3,4,5,6,7,8,9},A386,ROW(INDIRECT("1:"&amp;LEN(A386)))),1))," ",REPT(" ",LEN(A386))),LEN(A386)))), ROW(INDIRECT("1:"&amp;LEN((--TRIM(RIGHT(SUBSTITUTE(LEFT(A386,_xlfn.AGGREGATE(16,6,FIND({0,1,2,3,4,5,6,7,8,9},A386,ROW(INDIRECT("1:"&amp;LEN(A386)))),1))," ",REPT(" ",LEN(A386))),LEN(A386))))))), 1)) * ROW(INDIRECT("1:"&amp;LEN((--TRIM(RIGHT(SUBSTITUTE(LEFT(A386,_xlfn.AGGREGATE(16,6,FIND({0,1,2,3,4,5,6,7,8,9},A386,ROW(INDIRECT("1:"&amp;LEN(A386)))),1))," ",REPT(" ",LEN(A386))),LEN(A386))))))), 0), ROW(INDIRECT("1:"&amp;LEN((--TRIM(RIGHT(SUBSTITUTE(LEFT(A386,_xlfn.AGGREGATE(16,6,FIND({0,1,2,3,4,5,6,7,8,9},A386,ROW(INDIRECT("1:"&amp;LEN(A386)))),1))," ",REPT(" ",LEN(A386))),LEN(A386))))))))+1, 1) * 10^ROW(INDIRECT("1:"&amp;LEN((--TRIM(RIGHT(SUBSTITUTE(LEFT(A386,_xlfn.AGGREGATE(16,6,FIND({0,1,2,3,4,5,6,7,8,9},A386,ROW(INDIRECT("1:"&amp;LEN(A386)))),1))," ",REPT(" ",LEN(A386))),LEN(A386)))))))/10))*1+1</f>
        <v>102 &amp; 302</v>
      </c>
      <c r="B387" s="115"/>
      <c r="C387" s="42" t="s">
        <v>177</v>
      </c>
      <c r="D387" s="42">
        <f>(20.399+2.425)*10.764</f>
        <v>245.677536</v>
      </c>
      <c r="E387" s="42">
        <f>5.632*10.764</f>
        <v>60.622847999999991</v>
      </c>
      <c r="F387" s="42">
        <v>510</v>
      </c>
      <c r="G387" s="114" t="str">
        <f t="shared" ref="G387:G393" si="32">G386</f>
        <v>1st &amp; 3rd Floor for Residential</v>
      </c>
      <c r="H387" s="115"/>
      <c r="I387" s="36"/>
      <c r="J387" s="57">
        <f t="shared" si="26"/>
        <v>1.829134072722058</v>
      </c>
    </row>
    <row r="388" spans="1:10" s="37" customFormat="1" x14ac:dyDescent="0.25">
      <c r="A388" s="114" t="str">
        <f ca="1">(SUMPRODUCT(MID(0&amp;(LEFT(A387,SUM(LEN(A387)-LEN(SUBSTITUTE(A387,{"0","1","2"},""))))), LARGE(INDEX(ISNUMBER(--MID((LEFT(A387,SUM(LEN(A387)-LEN(SUBSTITUTE(A387,{"0","1","2"},""))))), ROW(INDIRECT("1:"&amp;LEN((LEFT(A387,SUM(LEN(A387)-LEN(SUBSTITUTE(A387,{"0","1","2"},"")))))))), 1)) * ROW(INDIRECT("1:"&amp;LEN((LEFT(A387,SUM(LEN(A387)-LEN(SUBSTITUTE(A387,{"0","1","2"},"")))))))), 0), ROW(INDIRECT("1:"&amp;LEN((LEFT(A387,SUM(LEN(A387)-LEN(SUBSTITUTE(A387,{"0","1","2"},"")))))))))+1, 1) * 10^ROW(INDIRECT("1:"&amp;LEN((LEFT(A387,SUM(LEN(A387)-LEN(SUBSTITUTE(A387,{"0","1","2"},""))))))))/10))*1+1&amp;""&amp;" &amp; "&amp;""&amp;(SUMPRODUCT(MID(0&amp;(--TRIM(RIGHT(SUBSTITUTE(LEFT(A387,_xlfn.AGGREGATE(16,6,FIND({0,1,2,3,4,5,6,7,8,9},A387,ROW(INDIRECT("1:"&amp;LEN(A387)))),1))," ",REPT(" ",LEN(A387))),LEN(A387)))), LARGE(INDEX(ISNUMBER(--MID((--TRIM(RIGHT(SUBSTITUTE(LEFT(A387,_xlfn.AGGREGATE(16,6,FIND({0,1,2,3,4,5,6,7,8,9},A387,ROW(INDIRECT("1:"&amp;LEN(A387)))),1))," ",REPT(" ",LEN(A387))),LEN(A387)))), ROW(INDIRECT("1:"&amp;LEN((--TRIM(RIGHT(SUBSTITUTE(LEFT(A387,_xlfn.AGGREGATE(16,6,FIND({0,1,2,3,4,5,6,7,8,9},A387,ROW(INDIRECT("1:"&amp;LEN(A387)))),1))," ",REPT(" ",LEN(A387))),LEN(A387))))))), 1)) * ROW(INDIRECT("1:"&amp;LEN((--TRIM(RIGHT(SUBSTITUTE(LEFT(A387,_xlfn.AGGREGATE(16,6,FIND({0,1,2,3,4,5,6,7,8,9},A387,ROW(INDIRECT("1:"&amp;LEN(A387)))),1))," ",REPT(" ",LEN(A387))),LEN(A387))))))), 0), ROW(INDIRECT("1:"&amp;LEN((--TRIM(RIGHT(SUBSTITUTE(LEFT(A387,_xlfn.AGGREGATE(16,6,FIND({0,1,2,3,4,5,6,7,8,9},A387,ROW(INDIRECT("1:"&amp;LEN(A387)))),1))," ",REPT(" ",LEN(A387))),LEN(A387))))))))+1, 1) * 10^ROW(INDIRECT("1:"&amp;LEN((--TRIM(RIGHT(SUBSTITUTE(LEFT(A387,_xlfn.AGGREGATE(16,6,FIND({0,1,2,3,4,5,6,7,8,9},A387,ROW(INDIRECT("1:"&amp;LEN(A387)))),1))," ",REPT(" ",LEN(A387))),LEN(A387)))))))/10))*1+1</f>
        <v>103 &amp; 303</v>
      </c>
      <c r="B388" s="115"/>
      <c r="C388" s="42" t="s">
        <v>177</v>
      </c>
      <c r="D388" s="42">
        <f>(19.994+2.425)*10.764</f>
        <v>241.318116</v>
      </c>
      <c r="E388" s="42">
        <f>6.002*10.764</f>
        <v>64.605527999999993</v>
      </c>
      <c r="F388" s="42">
        <v>500</v>
      </c>
      <c r="G388" s="114" t="str">
        <f t="shared" si="32"/>
        <v>1st &amp; 3rd Floor for Residential</v>
      </c>
      <c r="H388" s="115"/>
      <c r="I388" s="36"/>
      <c r="J388" s="57">
        <f t="shared" si="26"/>
        <v>1.8042345067868837</v>
      </c>
    </row>
    <row r="389" spans="1:10" s="37" customFormat="1" x14ac:dyDescent="0.25">
      <c r="A389" s="114" t="str">
        <f ca="1">(SUMPRODUCT(MID(0&amp;(LEFT(A388,SUM(LEN(A388)-LEN(SUBSTITUTE(A388,{"0","1","2"},""))))), LARGE(INDEX(ISNUMBER(--MID((LEFT(A388,SUM(LEN(A388)-LEN(SUBSTITUTE(A388,{"0","1","2"},""))))), ROW(INDIRECT("1:"&amp;LEN((LEFT(A388,SUM(LEN(A388)-LEN(SUBSTITUTE(A388,{"0","1","2"},"")))))))), 1)) * ROW(INDIRECT("1:"&amp;LEN((LEFT(A388,SUM(LEN(A388)-LEN(SUBSTITUTE(A388,{"0","1","2"},"")))))))), 0), ROW(INDIRECT("1:"&amp;LEN((LEFT(A388,SUM(LEN(A388)-LEN(SUBSTITUTE(A388,{"0","1","2"},"")))))))))+1, 1) * 10^ROW(INDIRECT("1:"&amp;LEN((LEFT(A388,SUM(LEN(A388)-LEN(SUBSTITUTE(A388,{"0","1","2"},""))))))))/10))*1+1&amp;""&amp;" &amp; "&amp;""&amp;(SUMPRODUCT(MID(0&amp;(--TRIM(RIGHT(SUBSTITUTE(LEFT(A388,_xlfn.AGGREGATE(16,6,FIND({0,1,2,3,4,5,6,7,8,9},A388,ROW(INDIRECT("1:"&amp;LEN(A388)))),1))," ",REPT(" ",LEN(A388))),LEN(A388)))), LARGE(INDEX(ISNUMBER(--MID((--TRIM(RIGHT(SUBSTITUTE(LEFT(A388,_xlfn.AGGREGATE(16,6,FIND({0,1,2,3,4,5,6,7,8,9},A388,ROW(INDIRECT("1:"&amp;LEN(A388)))),1))," ",REPT(" ",LEN(A388))),LEN(A388)))), ROW(INDIRECT("1:"&amp;LEN((--TRIM(RIGHT(SUBSTITUTE(LEFT(A388,_xlfn.AGGREGATE(16,6,FIND({0,1,2,3,4,5,6,7,8,9},A388,ROW(INDIRECT("1:"&amp;LEN(A388)))),1))," ",REPT(" ",LEN(A388))),LEN(A388))))))), 1)) * ROW(INDIRECT("1:"&amp;LEN((--TRIM(RIGHT(SUBSTITUTE(LEFT(A388,_xlfn.AGGREGATE(16,6,FIND({0,1,2,3,4,5,6,7,8,9},A388,ROW(INDIRECT("1:"&amp;LEN(A388)))),1))," ",REPT(" ",LEN(A388))),LEN(A388))))))), 0), ROW(INDIRECT("1:"&amp;LEN((--TRIM(RIGHT(SUBSTITUTE(LEFT(A388,_xlfn.AGGREGATE(16,6,FIND({0,1,2,3,4,5,6,7,8,9},A388,ROW(INDIRECT("1:"&amp;LEN(A388)))),1))," ",REPT(" ",LEN(A388))),LEN(A388))))))))+1, 1) * 10^ROW(INDIRECT("1:"&amp;LEN((--TRIM(RIGHT(SUBSTITUTE(LEFT(A388,_xlfn.AGGREGATE(16,6,FIND({0,1,2,3,4,5,6,7,8,9},A388,ROW(INDIRECT("1:"&amp;LEN(A388)))),1))," ",REPT(" ",LEN(A388))),LEN(A388)))))))/10))*1+1</f>
        <v>104 &amp; 304</v>
      </c>
      <c r="B389" s="115"/>
      <c r="C389" s="42" t="s">
        <v>177</v>
      </c>
      <c r="D389" s="42">
        <f>(19.994+2.425)*10.764</f>
        <v>241.318116</v>
      </c>
      <c r="E389" s="42">
        <f>5.841*10.764</f>
        <v>62.872523999999999</v>
      </c>
      <c r="F389" s="42">
        <v>500</v>
      </c>
      <c r="G389" s="114" t="str">
        <f t="shared" si="32"/>
        <v>1st &amp; 3rd Floor for Residential</v>
      </c>
      <c r="H389" s="115"/>
      <c r="I389" s="36"/>
      <c r="J389" s="57">
        <f t="shared" si="26"/>
        <v>1.811415915413495</v>
      </c>
    </row>
    <row r="390" spans="1:10" s="37" customFormat="1" x14ac:dyDescent="0.25">
      <c r="A390" s="114" t="str">
        <f ca="1">(SUMPRODUCT(MID(0&amp;(LEFT(A389,SUM(LEN(A389)-LEN(SUBSTITUTE(A389,{"0","1","2"},""))))), LARGE(INDEX(ISNUMBER(--MID((LEFT(A389,SUM(LEN(A389)-LEN(SUBSTITUTE(A389,{"0","1","2"},""))))), ROW(INDIRECT("1:"&amp;LEN((LEFT(A389,SUM(LEN(A389)-LEN(SUBSTITUTE(A389,{"0","1","2"},"")))))))), 1)) * ROW(INDIRECT("1:"&amp;LEN((LEFT(A389,SUM(LEN(A389)-LEN(SUBSTITUTE(A389,{"0","1","2"},"")))))))), 0), ROW(INDIRECT("1:"&amp;LEN((LEFT(A389,SUM(LEN(A389)-LEN(SUBSTITUTE(A389,{"0","1","2"},"")))))))))+1, 1) * 10^ROW(INDIRECT("1:"&amp;LEN((LEFT(A389,SUM(LEN(A389)-LEN(SUBSTITUTE(A389,{"0","1","2"},""))))))))/10))*1+1&amp;""&amp;" &amp; "&amp;""&amp;(SUMPRODUCT(MID(0&amp;(--TRIM(RIGHT(SUBSTITUTE(LEFT(A389,_xlfn.AGGREGATE(16,6,FIND({0,1,2,3,4,5,6,7,8,9},A389,ROW(INDIRECT("1:"&amp;LEN(A389)))),1))," ",REPT(" ",LEN(A389))),LEN(A389)))), LARGE(INDEX(ISNUMBER(--MID((--TRIM(RIGHT(SUBSTITUTE(LEFT(A389,_xlfn.AGGREGATE(16,6,FIND({0,1,2,3,4,5,6,7,8,9},A389,ROW(INDIRECT("1:"&amp;LEN(A389)))),1))," ",REPT(" ",LEN(A389))),LEN(A389)))), ROW(INDIRECT("1:"&amp;LEN((--TRIM(RIGHT(SUBSTITUTE(LEFT(A389,_xlfn.AGGREGATE(16,6,FIND({0,1,2,3,4,5,6,7,8,9},A389,ROW(INDIRECT("1:"&amp;LEN(A389)))),1))," ",REPT(" ",LEN(A389))),LEN(A389))))))), 1)) * ROW(INDIRECT("1:"&amp;LEN((--TRIM(RIGHT(SUBSTITUTE(LEFT(A389,_xlfn.AGGREGATE(16,6,FIND({0,1,2,3,4,5,6,7,8,9},A389,ROW(INDIRECT("1:"&amp;LEN(A389)))),1))," ",REPT(" ",LEN(A389))),LEN(A389))))))), 0), ROW(INDIRECT("1:"&amp;LEN((--TRIM(RIGHT(SUBSTITUTE(LEFT(A389,_xlfn.AGGREGATE(16,6,FIND({0,1,2,3,4,5,6,7,8,9},A389,ROW(INDIRECT("1:"&amp;LEN(A389)))),1))," ",REPT(" ",LEN(A389))),LEN(A389))))))))+1, 1) * 10^ROW(INDIRECT("1:"&amp;LEN((--TRIM(RIGHT(SUBSTITUTE(LEFT(A389,_xlfn.AGGREGATE(16,6,FIND({0,1,2,3,4,5,6,7,8,9},A389,ROW(INDIRECT("1:"&amp;LEN(A389)))),1))," ",REPT(" ",LEN(A389))),LEN(A389)))))))/10))*1+1</f>
        <v>105 &amp; 305</v>
      </c>
      <c r="B390" s="115"/>
      <c r="C390" s="42" t="s">
        <v>169</v>
      </c>
      <c r="D390" s="42">
        <f>(29.617+5.44)*10.764</f>
        <v>377.35354799999999</v>
      </c>
      <c r="E390" s="42">
        <f>5.811*10.764</f>
        <v>62.549603999999995</v>
      </c>
      <c r="F390" s="42">
        <v>700</v>
      </c>
      <c r="G390" s="114" t="str">
        <f t="shared" si="32"/>
        <v>1st &amp; 3rd Floor for Residential</v>
      </c>
      <c r="H390" s="115"/>
      <c r="I390" s="36"/>
      <c r="J390" s="57">
        <f t="shared" si="26"/>
        <v>1.6892656750639587</v>
      </c>
    </row>
    <row r="391" spans="1:10" s="37" customFormat="1" x14ac:dyDescent="0.25">
      <c r="A391" s="114" t="str">
        <f ca="1">(SUMPRODUCT(MID(0&amp;(LEFT(A390,SUM(LEN(A390)-LEN(SUBSTITUTE(A390,{"0","1","2"},""))))), LARGE(INDEX(ISNUMBER(--MID((LEFT(A390,SUM(LEN(A390)-LEN(SUBSTITUTE(A390,{"0","1","2"},""))))), ROW(INDIRECT("1:"&amp;LEN((LEFT(A390,SUM(LEN(A390)-LEN(SUBSTITUTE(A390,{"0","1","2"},"")))))))), 1)) * ROW(INDIRECT("1:"&amp;LEN((LEFT(A390,SUM(LEN(A390)-LEN(SUBSTITUTE(A390,{"0","1","2"},"")))))))), 0), ROW(INDIRECT("1:"&amp;LEN((LEFT(A390,SUM(LEN(A390)-LEN(SUBSTITUTE(A390,{"0","1","2"},"")))))))))+1, 1) * 10^ROW(INDIRECT("1:"&amp;LEN((LEFT(A390,SUM(LEN(A390)-LEN(SUBSTITUTE(A390,{"0","1","2"},""))))))))/10))*1+1&amp;""&amp;" &amp; "&amp;""&amp;(SUMPRODUCT(MID(0&amp;(--TRIM(RIGHT(SUBSTITUTE(LEFT(A390,_xlfn.AGGREGATE(16,6,FIND({0,1,2,3,4,5,6,7,8,9},A390,ROW(INDIRECT("1:"&amp;LEN(A390)))),1))," ",REPT(" ",LEN(A390))),LEN(A390)))), LARGE(INDEX(ISNUMBER(--MID((--TRIM(RIGHT(SUBSTITUTE(LEFT(A390,_xlfn.AGGREGATE(16,6,FIND({0,1,2,3,4,5,6,7,8,9},A390,ROW(INDIRECT("1:"&amp;LEN(A390)))),1))," ",REPT(" ",LEN(A390))),LEN(A390)))), ROW(INDIRECT("1:"&amp;LEN((--TRIM(RIGHT(SUBSTITUTE(LEFT(A390,_xlfn.AGGREGATE(16,6,FIND({0,1,2,3,4,5,6,7,8,9},A390,ROW(INDIRECT("1:"&amp;LEN(A390)))),1))," ",REPT(" ",LEN(A390))),LEN(A390))))))), 1)) * ROW(INDIRECT("1:"&amp;LEN((--TRIM(RIGHT(SUBSTITUTE(LEFT(A390,_xlfn.AGGREGATE(16,6,FIND({0,1,2,3,4,5,6,7,8,9},A390,ROW(INDIRECT("1:"&amp;LEN(A390)))),1))," ",REPT(" ",LEN(A390))),LEN(A390))))))), 0), ROW(INDIRECT("1:"&amp;LEN((--TRIM(RIGHT(SUBSTITUTE(LEFT(A390,_xlfn.AGGREGATE(16,6,FIND({0,1,2,3,4,5,6,7,8,9},A390,ROW(INDIRECT("1:"&amp;LEN(A390)))),1))," ",REPT(" ",LEN(A390))),LEN(A390))))))))+1, 1) * 10^ROW(INDIRECT("1:"&amp;LEN((--TRIM(RIGHT(SUBSTITUTE(LEFT(A390,_xlfn.AGGREGATE(16,6,FIND({0,1,2,3,4,5,6,7,8,9},A390,ROW(INDIRECT("1:"&amp;LEN(A390)))),1))," ",REPT(" ",LEN(A390))),LEN(A390)))))))/10))*1+1</f>
        <v>106 &amp; 306</v>
      </c>
      <c r="B391" s="115"/>
      <c r="C391" s="42" t="s">
        <v>169</v>
      </c>
      <c r="D391" s="42">
        <f>(29.75+5.3)*10.764</f>
        <v>377.27819999999997</v>
      </c>
      <c r="E391" s="42">
        <f>6.002*10.764</f>
        <v>64.605527999999993</v>
      </c>
      <c r="F391" s="42">
        <v>700</v>
      </c>
      <c r="G391" s="114" t="str">
        <f t="shared" si="32"/>
        <v>1st &amp; 3rd Floor for Residential</v>
      </c>
      <c r="H391" s="115"/>
      <c r="I391" s="36"/>
      <c r="J391" s="57">
        <f t="shared" si="26"/>
        <v>1.6841536881802341</v>
      </c>
    </row>
    <row r="392" spans="1:10" s="37" customFormat="1" x14ac:dyDescent="0.25">
      <c r="A392" s="114" t="str">
        <f ca="1">(SUMPRODUCT(MID(0&amp;(LEFT(A391,SUM(LEN(A391)-LEN(SUBSTITUTE(A391,{"0","1","2"},""))))), LARGE(INDEX(ISNUMBER(--MID((LEFT(A391,SUM(LEN(A391)-LEN(SUBSTITUTE(A391,{"0","1","2"},""))))), ROW(INDIRECT("1:"&amp;LEN((LEFT(A391,SUM(LEN(A391)-LEN(SUBSTITUTE(A391,{"0","1","2"},"")))))))), 1)) * ROW(INDIRECT("1:"&amp;LEN((LEFT(A391,SUM(LEN(A391)-LEN(SUBSTITUTE(A391,{"0","1","2"},"")))))))), 0), ROW(INDIRECT("1:"&amp;LEN((LEFT(A391,SUM(LEN(A391)-LEN(SUBSTITUTE(A391,{"0","1","2"},"")))))))))+1, 1) * 10^ROW(INDIRECT("1:"&amp;LEN((LEFT(A391,SUM(LEN(A391)-LEN(SUBSTITUTE(A391,{"0","1","2"},""))))))))/10))*1+1&amp;""&amp;" &amp; "&amp;""&amp;(SUMPRODUCT(MID(0&amp;(--TRIM(RIGHT(SUBSTITUTE(LEFT(A391,_xlfn.AGGREGATE(16,6,FIND({0,1,2,3,4,5,6,7,8,9},A391,ROW(INDIRECT("1:"&amp;LEN(A391)))),1))," ",REPT(" ",LEN(A391))),LEN(A391)))), LARGE(INDEX(ISNUMBER(--MID((--TRIM(RIGHT(SUBSTITUTE(LEFT(A391,_xlfn.AGGREGATE(16,6,FIND({0,1,2,3,4,5,6,7,8,9},A391,ROW(INDIRECT("1:"&amp;LEN(A391)))),1))," ",REPT(" ",LEN(A391))),LEN(A391)))), ROW(INDIRECT("1:"&amp;LEN((--TRIM(RIGHT(SUBSTITUTE(LEFT(A391,_xlfn.AGGREGATE(16,6,FIND({0,1,2,3,4,5,6,7,8,9},A391,ROW(INDIRECT("1:"&amp;LEN(A391)))),1))," ",REPT(" ",LEN(A391))),LEN(A391))))))), 1)) * ROW(INDIRECT("1:"&amp;LEN((--TRIM(RIGHT(SUBSTITUTE(LEFT(A391,_xlfn.AGGREGATE(16,6,FIND({0,1,2,3,4,5,6,7,8,9},A391,ROW(INDIRECT("1:"&amp;LEN(A391)))),1))," ",REPT(" ",LEN(A391))),LEN(A391))))))), 0), ROW(INDIRECT("1:"&amp;LEN((--TRIM(RIGHT(SUBSTITUTE(LEFT(A391,_xlfn.AGGREGATE(16,6,FIND({0,1,2,3,4,5,6,7,8,9},A391,ROW(INDIRECT("1:"&amp;LEN(A391)))),1))," ",REPT(" ",LEN(A391))),LEN(A391))))))))+1, 1) * 10^ROW(INDIRECT("1:"&amp;LEN((--TRIM(RIGHT(SUBSTITUTE(LEFT(A391,_xlfn.AGGREGATE(16,6,FIND({0,1,2,3,4,5,6,7,8,9},A391,ROW(INDIRECT("1:"&amp;LEN(A391)))),1))," ",REPT(" ",LEN(A391))),LEN(A391)))))))/10))*1+1</f>
        <v>107 &amp; 307</v>
      </c>
      <c r="B392" s="115"/>
      <c r="C392" s="42" t="s">
        <v>169</v>
      </c>
      <c r="D392" s="42">
        <f t="shared" ref="D392:D393" si="33">(29.75+5.3)*10.764</f>
        <v>377.27819999999997</v>
      </c>
      <c r="E392" s="42">
        <f>5.698*10.764</f>
        <v>61.333272000000001</v>
      </c>
      <c r="F392" s="42">
        <v>700</v>
      </c>
      <c r="G392" s="114" t="str">
        <f t="shared" si="32"/>
        <v>1st &amp; 3rd Floor for Residential</v>
      </c>
      <c r="H392" s="115"/>
      <c r="I392" s="36"/>
      <c r="J392" s="57">
        <f t="shared" si="26"/>
        <v>1.6928270120033442</v>
      </c>
    </row>
    <row r="393" spans="1:10" s="37" customFormat="1" x14ac:dyDescent="0.25">
      <c r="A393" s="114" t="str">
        <f ca="1">(SUMPRODUCT(MID(0&amp;(LEFT(A392,SUM(LEN(A392)-LEN(SUBSTITUTE(A392,{"0","1","2"},""))))), LARGE(INDEX(ISNUMBER(--MID((LEFT(A392,SUM(LEN(A392)-LEN(SUBSTITUTE(A392,{"0","1","2"},""))))), ROW(INDIRECT("1:"&amp;LEN((LEFT(A392,SUM(LEN(A392)-LEN(SUBSTITUTE(A392,{"0","1","2"},"")))))))), 1)) * ROW(INDIRECT("1:"&amp;LEN((LEFT(A392,SUM(LEN(A392)-LEN(SUBSTITUTE(A392,{"0","1","2"},"")))))))), 0), ROW(INDIRECT("1:"&amp;LEN((LEFT(A392,SUM(LEN(A392)-LEN(SUBSTITUTE(A392,{"0","1","2"},"")))))))))+1, 1) * 10^ROW(INDIRECT("1:"&amp;LEN((LEFT(A392,SUM(LEN(A392)-LEN(SUBSTITUTE(A392,{"0","1","2"},""))))))))/10))*1+1&amp;""&amp;" &amp; "&amp;""&amp;(SUMPRODUCT(MID(0&amp;(--TRIM(RIGHT(SUBSTITUTE(LEFT(A392,_xlfn.AGGREGATE(16,6,FIND({0,1,2,3,4,5,6,7,8,9},A392,ROW(INDIRECT("1:"&amp;LEN(A392)))),1))," ",REPT(" ",LEN(A392))),LEN(A392)))), LARGE(INDEX(ISNUMBER(--MID((--TRIM(RIGHT(SUBSTITUTE(LEFT(A392,_xlfn.AGGREGATE(16,6,FIND({0,1,2,3,4,5,6,7,8,9},A392,ROW(INDIRECT("1:"&amp;LEN(A392)))),1))," ",REPT(" ",LEN(A392))),LEN(A392)))), ROW(INDIRECT("1:"&amp;LEN((--TRIM(RIGHT(SUBSTITUTE(LEFT(A392,_xlfn.AGGREGATE(16,6,FIND({0,1,2,3,4,5,6,7,8,9},A392,ROW(INDIRECT("1:"&amp;LEN(A392)))),1))," ",REPT(" ",LEN(A392))),LEN(A392))))))), 1)) * ROW(INDIRECT("1:"&amp;LEN((--TRIM(RIGHT(SUBSTITUTE(LEFT(A392,_xlfn.AGGREGATE(16,6,FIND({0,1,2,3,4,5,6,7,8,9},A392,ROW(INDIRECT("1:"&amp;LEN(A392)))),1))," ",REPT(" ",LEN(A392))),LEN(A392))))))), 0), ROW(INDIRECT("1:"&amp;LEN((--TRIM(RIGHT(SUBSTITUTE(LEFT(A392,_xlfn.AGGREGATE(16,6,FIND({0,1,2,3,4,5,6,7,8,9},A392,ROW(INDIRECT("1:"&amp;LEN(A392)))),1))," ",REPT(" ",LEN(A392))),LEN(A392))))))))+1, 1) * 10^ROW(INDIRECT("1:"&amp;LEN((--TRIM(RIGHT(SUBSTITUTE(LEFT(A392,_xlfn.AGGREGATE(16,6,FIND({0,1,2,3,4,5,6,7,8,9},A392,ROW(INDIRECT("1:"&amp;LEN(A392)))),1))," ",REPT(" ",LEN(A392))),LEN(A392)))))))/10))*1+1</f>
        <v>108 &amp; 308</v>
      </c>
      <c r="B393" s="115"/>
      <c r="C393" s="42" t="s">
        <v>169</v>
      </c>
      <c r="D393" s="42">
        <f t="shared" si="33"/>
        <v>377.27819999999997</v>
      </c>
      <c r="E393" s="42">
        <f>5.698*10.764</f>
        <v>61.333272000000001</v>
      </c>
      <c r="F393" s="42">
        <v>700</v>
      </c>
      <c r="G393" s="114" t="str">
        <f t="shared" si="32"/>
        <v>1st &amp; 3rd Floor for Residential</v>
      </c>
      <c r="H393" s="115"/>
      <c r="I393" s="36"/>
      <c r="J393" s="57">
        <f t="shared" si="26"/>
        <v>1.6928270120033442</v>
      </c>
    </row>
    <row r="394" spans="1:10" s="37" customFormat="1" x14ac:dyDescent="0.25">
      <c r="A394" s="119" t="s">
        <v>170</v>
      </c>
      <c r="B394" s="120"/>
      <c r="C394" s="120"/>
      <c r="D394" s="120"/>
      <c r="E394" s="120"/>
      <c r="F394" s="120"/>
      <c r="G394" s="120"/>
      <c r="H394" s="121"/>
      <c r="I394" s="36"/>
      <c r="J394" s="57" t="e">
        <f t="shared" si="26"/>
        <v>#DIV/0!</v>
      </c>
    </row>
    <row r="395" spans="1:10" s="37" customFormat="1" x14ac:dyDescent="0.25">
      <c r="A395" s="114" t="str">
        <f ca="1">(SUMPRODUCT(MID(0&amp;(LEFT(A394,SUM(LEN(A394)-LEN(SUBSTITUTE(A394,{"0","1","2"},""))))), LARGE(INDEX(ISNUMBER(--MID((LEFT(A394,SUM(LEN(A394)-LEN(SUBSTITUTE(A394,{"0","1","2"},""))))), ROW(INDIRECT("1:"&amp;LEN((LEFT(A394,SUM(LEN(A394)-LEN(SUBSTITUTE(A394,{"0","1","2"},"")))))))), 1)) * ROW(INDIRECT("1:"&amp;LEN((LEFT(A394,SUM(LEN(A394)-LEN(SUBSTITUTE(A394,{"0","1","2"},"")))))))), 0), ROW(INDIRECT("1:"&amp;LEN((LEFT(A394,SUM(LEN(A394)-LEN(SUBSTITUTE(A394,{"0","1","2"},"")))))))))+1, 1) * 10^ROW(INDIRECT("1:"&amp;LEN((LEFT(A394,SUM(LEN(A394)-LEN(SUBSTITUTE(A394,{"0","1","2"},""))))))))/10))*100+1&amp;""&amp;" &amp; "&amp;""&amp;(SUMPRODUCT(MID(0&amp;(--TRIM(RIGHT(SUBSTITUTE(LEFT(A394,_xlfn.AGGREGATE(16,6,FIND({0,1,2,3,4,5,6,7,8,9},A394,ROW(INDIRECT("1:"&amp;LEN(A394)))),1))," ",REPT(" ",LEN(A394))),LEN(A394)))), LARGE(INDEX(ISNUMBER(--MID((--TRIM(RIGHT(SUBSTITUTE(LEFT(A394,_xlfn.AGGREGATE(16,6,FIND({0,1,2,3,4,5,6,7,8,9},A394,ROW(INDIRECT("1:"&amp;LEN(A394)))),1))," ",REPT(" ",LEN(A394))),LEN(A394)))), ROW(INDIRECT("1:"&amp;LEN((--TRIM(RIGHT(SUBSTITUTE(LEFT(A394,_xlfn.AGGREGATE(16,6,FIND({0,1,2,3,4,5,6,7,8,9},A394,ROW(INDIRECT("1:"&amp;LEN(A394)))),1))," ",REPT(" ",LEN(A394))),LEN(A394))))))), 1)) * ROW(INDIRECT("1:"&amp;LEN((--TRIM(RIGHT(SUBSTITUTE(LEFT(A394,_xlfn.AGGREGATE(16,6,FIND({0,1,2,3,4,5,6,7,8,9},A394,ROW(INDIRECT("1:"&amp;LEN(A394)))),1))," ",REPT(" ",LEN(A394))),LEN(A394))))))), 0), ROW(INDIRECT("1:"&amp;LEN((--TRIM(RIGHT(SUBSTITUTE(LEFT(A394,_xlfn.AGGREGATE(16,6,FIND({0,1,2,3,4,5,6,7,8,9},A394,ROW(INDIRECT("1:"&amp;LEN(A394)))),1))," ",REPT(" ",LEN(A394))),LEN(A394))))))))+1, 1) * 10^ROW(INDIRECT("1:"&amp;LEN((--TRIM(RIGHT(SUBSTITUTE(LEFT(A394,_xlfn.AGGREGATE(16,6,FIND({0,1,2,3,4,5,6,7,8,9},A394,ROW(INDIRECT("1:"&amp;LEN(A394)))),1))," ",REPT(" ",LEN(A394))),LEN(A394)))))))/10))*100+1</f>
        <v>201 &amp; 401</v>
      </c>
      <c r="B395" s="115"/>
      <c r="C395" s="42" t="s">
        <v>177</v>
      </c>
      <c r="D395" s="42">
        <f>(20.322+2.425)*10.764</f>
        <v>244.84870799999999</v>
      </c>
      <c r="E395" s="42">
        <f>7.394*10.764</f>
        <v>79.589016000000001</v>
      </c>
      <c r="F395" s="42">
        <v>520</v>
      </c>
      <c r="G395" s="114" t="str">
        <f>A394</f>
        <v>2nd &amp; 4th Floor</v>
      </c>
      <c r="H395" s="115"/>
      <c r="I395" s="36"/>
      <c r="J395" s="57">
        <f t="shared" si="26"/>
        <v>1.7987065874164221</v>
      </c>
    </row>
    <row r="396" spans="1:10" s="37" customFormat="1" x14ac:dyDescent="0.25">
      <c r="A396" s="114" t="str">
        <f ca="1">(SUMPRODUCT(MID(0&amp;(LEFT(A395,SUM(LEN(A395)-LEN(SUBSTITUTE(A395,{"0","1","2"},""))))), LARGE(INDEX(ISNUMBER(--MID((LEFT(A395,SUM(LEN(A395)-LEN(SUBSTITUTE(A395,{"0","1","2"},""))))), ROW(INDIRECT("1:"&amp;LEN((LEFT(A395,SUM(LEN(A395)-LEN(SUBSTITUTE(A395,{"0","1","2"},"")))))))), 1)) * ROW(INDIRECT("1:"&amp;LEN((LEFT(A395,SUM(LEN(A395)-LEN(SUBSTITUTE(A395,{"0","1","2"},"")))))))), 0), ROW(INDIRECT("1:"&amp;LEN((LEFT(A395,SUM(LEN(A395)-LEN(SUBSTITUTE(A395,{"0","1","2"},"")))))))))+1, 1) * 10^ROW(INDIRECT("1:"&amp;LEN((LEFT(A395,SUM(LEN(A395)-LEN(SUBSTITUTE(A395,{"0","1","2"},""))))))))/10))*1+1&amp;""&amp;" &amp; "&amp;""&amp;(SUMPRODUCT(MID(0&amp;(--TRIM(RIGHT(SUBSTITUTE(LEFT(A395,_xlfn.AGGREGATE(16,6,FIND({0,1,2,3,4,5,6,7,8,9},A395,ROW(INDIRECT("1:"&amp;LEN(A395)))),1))," ",REPT(" ",LEN(A395))),LEN(A395)))), LARGE(INDEX(ISNUMBER(--MID((--TRIM(RIGHT(SUBSTITUTE(LEFT(A395,_xlfn.AGGREGATE(16,6,FIND({0,1,2,3,4,5,6,7,8,9},A395,ROW(INDIRECT("1:"&amp;LEN(A395)))),1))," ",REPT(" ",LEN(A395))),LEN(A395)))), ROW(INDIRECT("1:"&amp;LEN((--TRIM(RIGHT(SUBSTITUTE(LEFT(A395,_xlfn.AGGREGATE(16,6,FIND({0,1,2,3,4,5,6,7,8,9},A395,ROW(INDIRECT("1:"&amp;LEN(A395)))),1))," ",REPT(" ",LEN(A395))),LEN(A395))))))), 1)) * ROW(INDIRECT("1:"&amp;LEN((--TRIM(RIGHT(SUBSTITUTE(LEFT(A395,_xlfn.AGGREGATE(16,6,FIND({0,1,2,3,4,5,6,7,8,9},A395,ROW(INDIRECT("1:"&amp;LEN(A395)))),1))," ",REPT(" ",LEN(A395))),LEN(A395))))))), 0), ROW(INDIRECT("1:"&amp;LEN((--TRIM(RIGHT(SUBSTITUTE(LEFT(A395,_xlfn.AGGREGATE(16,6,FIND({0,1,2,3,4,5,6,7,8,9},A395,ROW(INDIRECT("1:"&amp;LEN(A395)))),1))," ",REPT(" ",LEN(A395))),LEN(A395))))))))+1, 1) * 10^ROW(INDIRECT("1:"&amp;LEN((--TRIM(RIGHT(SUBSTITUTE(LEFT(A395,_xlfn.AGGREGATE(16,6,FIND({0,1,2,3,4,5,6,7,8,9},A395,ROW(INDIRECT("1:"&amp;LEN(A395)))),1))," ",REPT(" ",LEN(A395))),LEN(A395)))))))/10))*1+1</f>
        <v>202 &amp; 402</v>
      </c>
      <c r="B396" s="115"/>
      <c r="C396" s="42" t="s">
        <v>177</v>
      </c>
      <c r="D396" s="42">
        <f>(19.679+2.425)*10.764</f>
        <v>237.92745599999998</v>
      </c>
      <c r="E396" s="42">
        <v>0</v>
      </c>
      <c r="F396" s="42">
        <v>410</v>
      </c>
      <c r="G396" s="114" t="str">
        <f t="shared" ref="G396:G402" si="34">G395</f>
        <v>2nd &amp; 4th Floor</v>
      </c>
      <c r="H396" s="115"/>
      <c r="I396" s="36"/>
      <c r="J396" s="57">
        <f t="shared" si="26"/>
        <v>1.7232143229405186</v>
      </c>
    </row>
    <row r="397" spans="1:10" s="37" customFormat="1" x14ac:dyDescent="0.25">
      <c r="A397" s="114" t="str">
        <f ca="1">(SUMPRODUCT(MID(0&amp;(LEFT(A396,SUM(LEN(A396)-LEN(SUBSTITUTE(A396,{"0","1","2"},""))))), LARGE(INDEX(ISNUMBER(--MID((LEFT(A396,SUM(LEN(A396)-LEN(SUBSTITUTE(A396,{"0","1","2"},""))))), ROW(INDIRECT("1:"&amp;LEN((LEFT(A396,SUM(LEN(A396)-LEN(SUBSTITUTE(A396,{"0","1","2"},"")))))))), 1)) * ROW(INDIRECT("1:"&amp;LEN((LEFT(A396,SUM(LEN(A396)-LEN(SUBSTITUTE(A396,{"0","1","2"},"")))))))), 0), ROW(INDIRECT("1:"&amp;LEN((LEFT(A396,SUM(LEN(A396)-LEN(SUBSTITUTE(A396,{"0","1","2"},"")))))))))+1, 1) * 10^ROW(INDIRECT("1:"&amp;LEN((LEFT(A396,SUM(LEN(A396)-LEN(SUBSTITUTE(A396,{"0","1","2"},""))))))))/10))*1+1&amp;""&amp;" &amp; "&amp;""&amp;(SUMPRODUCT(MID(0&amp;(--TRIM(RIGHT(SUBSTITUTE(LEFT(A396,_xlfn.AGGREGATE(16,6,FIND({0,1,2,3,4,5,6,7,8,9},A396,ROW(INDIRECT("1:"&amp;LEN(A396)))),1))," ",REPT(" ",LEN(A396))),LEN(A396)))), LARGE(INDEX(ISNUMBER(--MID((--TRIM(RIGHT(SUBSTITUTE(LEFT(A396,_xlfn.AGGREGATE(16,6,FIND({0,1,2,3,4,5,6,7,8,9},A396,ROW(INDIRECT("1:"&amp;LEN(A396)))),1))," ",REPT(" ",LEN(A396))),LEN(A396)))), ROW(INDIRECT("1:"&amp;LEN((--TRIM(RIGHT(SUBSTITUTE(LEFT(A396,_xlfn.AGGREGATE(16,6,FIND({0,1,2,3,4,5,6,7,8,9},A396,ROW(INDIRECT("1:"&amp;LEN(A396)))),1))," ",REPT(" ",LEN(A396))),LEN(A396))))))), 1)) * ROW(INDIRECT("1:"&amp;LEN((--TRIM(RIGHT(SUBSTITUTE(LEFT(A396,_xlfn.AGGREGATE(16,6,FIND({0,1,2,3,4,5,6,7,8,9},A396,ROW(INDIRECT("1:"&amp;LEN(A396)))),1))," ",REPT(" ",LEN(A396))),LEN(A396))))))), 0), ROW(INDIRECT("1:"&amp;LEN((--TRIM(RIGHT(SUBSTITUTE(LEFT(A396,_xlfn.AGGREGATE(16,6,FIND({0,1,2,3,4,5,6,7,8,9},A396,ROW(INDIRECT("1:"&amp;LEN(A396)))),1))," ",REPT(" ",LEN(A396))),LEN(A396))))))))+1, 1) * 10^ROW(INDIRECT("1:"&amp;LEN((--TRIM(RIGHT(SUBSTITUTE(LEFT(A396,_xlfn.AGGREGATE(16,6,FIND({0,1,2,3,4,5,6,7,8,9},A396,ROW(INDIRECT("1:"&amp;LEN(A396)))),1))," ",REPT(" ",LEN(A396))),LEN(A396)))))))/10))*1+1</f>
        <v>203 &amp; 403</v>
      </c>
      <c r="B397" s="115"/>
      <c r="C397" s="42" t="s">
        <v>177</v>
      </c>
      <c r="D397" s="42">
        <f>(19.274+2.425)*10.764</f>
        <v>233.56803600000001</v>
      </c>
      <c r="E397" s="42">
        <v>0</v>
      </c>
      <c r="F397" s="42">
        <v>400</v>
      </c>
      <c r="G397" s="114" t="str">
        <f t="shared" si="34"/>
        <v>2nd &amp; 4th Floor</v>
      </c>
      <c r="H397" s="115"/>
      <c r="I397" s="36"/>
      <c r="J397" s="57">
        <f t="shared" si="26"/>
        <v>1.7125631008859448</v>
      </c>
    </row>
    <row r="398" spans="1:10" s="37" customFormat="1" x14ac:dyDescent="0.25">
      <c r="A398" s="114" t="str">
        <f ca="1">(SUMPRODUCT(MID(0&amp;(LEFT(A397,SUM(LEN(A397)-LEN(SUBSTITUTE(A397,{"0","1","2"},""))))), LARGE(INDEX(ISNUMBER(--MID((LEFT(A397,SUM(LEN(A397)-LEN(SUBSTITUTE(A397,{"0","1","2"},""))))), ROW(INDIRECT("1:"&amp;LEN((LEFT(A397,SUM(LEN(A397)-LEN(SUBSTITUTE(A397,{"0","1","2"},"")))))))), 1)) * ROW(INDIRECT("1:"&amp;LEN((LEFT(A397,SUM(LEN(A397)-LEN(SUBSTITUTE(A397,{"0","1","2"},"")))))))), 0), ROW(INDIRECT("1:"&amp;LEN((LEFT(A397,SUM(LEN(A397)-LEN(SUBSTITUTE(A397,{"0","1","2"},"")))))))))+1, 1) * 10^ROW(INDIRECT("1:"&amp;LEN((LEFT(A397,SUM(LEN(A397)-LEN(SUBSTITUTE(A397,{"0","1","2"},""))))))))/10))*1+1&amp;""&amp;" &amp; "&amp;""&amp;(SUMPRODUCT(MID(0&amp;(--TRIM(RIGHT(SUBSTITUTE(LEFT(A397,_xlfn.AGGREGATE(16,6,FIND({0,1,2,3,4,5,6,7,8,9},A397,ROW(INDIRECT("1:"&amp;LEN(A397)))),1))," ",REPT(" ",LEN(A397))),LEN(A397)))), LARGE(INDEX(ISNUMBER(--MID((--TRIM(RIGHT(SUBSTITUTE(LEFT(A397,_xlfn.AGGREGATE(16,6,FIND({0,1,2,3,4,5,6,7,8,9},A397,ROW(INDIRECT("1:"&amp;LEN(A397)))),1))," ",REPT(" ",LEN(A397))),LEN(A397)))), ROW(INDIRECT("1:"&amp;LEN((--TRIM(RIGHT(SUBSTITUTE(LEFT(A397,_xlfn.AGGREGATE(16,6,FIND({0,1,2,3,4,5,6,7,8,9},A397,ROW(INDIRECT("1:"&amp;LEN(A397)))),1))," ",REPT(" ",LEN(A397))),LEN(A397))))))), 1)) * ROW(INDIRECT("1:"&amp;LEN((--TRIM(RIGHT(SUBSTITUTE(LEFT(A397,_xlfn.AGGREGATE(16,6,FIND({0,1,2,3,4,5,6,7,8,9},A397,ROW(INDIRECT("1:"&amp;LEN(A397)))),1))," ",REPT(" ",LEN(A397))),LEN(A397))))))), 0), ROW(INDIRECT("1:"&amp;LEN((--TRIM(RIGHT(SUBSTITUTE(LEFT(A397,_xlfn.AGGREGATE(16,6,FIND({0,1,2,3,4,5,6,7,8,9},A397,ROW(INDIRECT("1:"&amp;LEN(A397)))),1))," ",REPT(" ",LEN(A397))),LEN(A397))))))))+1, 1) * 10^ROW(INDIRECT("1:"&amp;LEN((--TRIM(RIGHT(SUBSTITUTE(LEFT(A397,_xlfn.AGGREGATE(16,6,FIND({0,1,2,3,4,5,6,7,8,9},A397,ROW(INDIRECT("1:"&amp;LEN(A397)))),1))," ",REPT(" ",LEN(A397))),LEN(A397)))))))/10))*1+1</f>
        <v>204 &amp; 404</v>
      </c>
      <c r="B398" s="115"/>
      <c r="C398" s="42" t="s">
        <v>177</v>
      </c>
      <c r="D398" s="42">
        <f>(19.274+2.425)*10.764</f>
        <v>233.56803600000001</v>
      </c>
      <c r="E398" s="42">
        <v>0</v>
      </c>
      <c r="F398" s="42">
        <v>400</v>
      </c>
      <c r="G398" s="114" t="str">
        <f t="shared" si="34"/>
        <v>2nd &amp; 4th Floor</v>
      </c>
      <c r="H398" s="115"/>
      <c r="I398" s="36"/>
      <c r="J398" s="57">
        <f t="shared" si="26"/>
        <v>1.7125631008859448</v>
      </c>
    </row>
    <row r="399" spans="1:10" s="37" customFormat="1" x14ac:dyDescent="0.25">
      <c r="A399" s="114" t="str">
        <f ca="1">(SUMPRODUCT(MID(0&amp;(LEFT(A398,SUM(LEN(A398)-LEN(SUBSTITUTE(A398,{"0","1","2"},""))))), LARGE(INDEX(ISNUMBER(--MID((LEFT(A398,SUM(LEN(A398)-LEN(SUBSTITUTE(A398,{"0","1","2"},""))))), ROW(INDIRECT("1:"&amp;LEN((LEFT(A398,SUM(LEN(A398)-LEN(SUBSTITUTE(A398,{"0","1","2"},"")))))))), 1)) * ROW(INDIRECT("1:"&amp;LEN((LEFT(A398,SUM(LEN(A398)-LEN(SUBSTITUTE(A398,{"0","1","2"},"")))))))), 0), ROW(INDIRECT("1:"&amp;LEN((LEFT(A398,SUM(LEN(A398)-LEN(SUBSTITUTE(A398,{"0","1","2"},"")))))))))+1, 1) * 10^ROW(INDIRECT("1:"&amp;LEN((LEFT(A398,SUM(LEN(A398)-LEN(SUBSTITUTE(A398,{"0","1","2"},""))))))))/10))*1+1&amp;""&amp;" &amp; "&amp;""&amp;(SUMPRODUCT(MID(0&amp;(--TRIM(RIGHT(SUBSTITUTE(LEFT(A398,_xlfn.AGGREGATE(16,6,FIND({0,1,2,3,4,5,6,7,8,9},A398,ROW(INDIRECT("1:"&amp;LEN(A398)))),1))," ",REPT(" ",LEN(A398))),LEN(A398)))), LARGE(INDEX(ISNUMBER(--MID((--TRIM(RIGHT(SUBSTITUTE(LEFT(A398,_xlfn.AGGREGATE(16,6,FIND({0,1,2,3,4,5,6,7,8,9},A398,ROW(INDIRECT("1:"&amp;LEN(A398)))),1))," ",REPT(" ",LEN(A398))),LEN(A398)))), ROW(INDIRECT("1:"&amp;LEN((--TRIM(RIGHT(SUBSTITUTE(LEFT(A398,_xlfn.AGGREGATE(16,6,FIND({0,1,2,3,4,5,6,7,8,9},A398,ROW(INDIRECT("1:"&amp;LEN(A398)))),1))," ",REPT(" ",LEN(A398))),LEN(A398))))))), 1)) * ROW(INDIRECT("1:"&amp;LEN((--TRIM(RIGHT(SUBSTITUTE(LEFT(A398,_xlfn.AGGREGATE(16,6,FIND({0,1,2,3,4,5,6,7,8,9},A398,ROW(INDIRECT("1:"&amp;LEN(A398)))),1))," ",REPT(" ",LEN(A398))),LEN(A398))))))), 0), ROW(INDIRECT("1:"&amp;LEN((--TRIM(RIGHT(SUBSTITUTE(LEFT(A398,_xlfn.AGGREGATE(16,6,FIND({0,1,2,3,4,5,6,7,8,9},A398,ROW(INDIRECT("1:"&amp;LEN(A398)))),1))," ",REPT(" ",LEN(A398))),LEN(A398))))))))+1, 1) * 10^ROW(INDIRECT("1:"&amp;LEN((--TRIM(RIGHT(SUBSTITUTE(LEFT(A398,_xlfn.AGGREGATE(16,6,FIND({0,1,2,3,4,5,6,7,8,9},A398,ROW(INDIRECT("1:"&amp;LEN(A398)))),1))," ",REPT(" ",LEN(A398))),LEN(A398)))))))/10))*1+1</f>
        <v>205 &amp; 405</v>
      </c>
      <c r="B399" s="115"/>
      <c r="C399" s="42" t="s">
        <v>169</v>
      </c>
      <c r="D399" s="42">
        <f>(29.257+5.44)*10.764</f>
        <v>373.47850800000003</v>
      </c>
      <c r="E399" s="42">
        <f>3.315*10.764</f>
        <v>35.682659999999998</v>
      </c>
      <c r="F399" s="42">
        <v>655</v>
      </c>
      <c r="G399" s="114" t="str">
        <f t="shared" si="34"/>
        <v>2nd &amp; 4th Floor</v>
      </c>
      <c r="H399" s="115"/>
      <c r="I399" s="36"/>
      <c r="J399" s="57">
        <f t="shared" si="26"/>
        <v>1.6582409073991482</v>
      </c>
    </row>
    <row r="400" spans="1:10" s="37" customFormat="1" x14ac:dyDescent="0.25">
      <c r="A400" s="114" t="str">
        <f ca="1">(SUMPRODUCT(MID(0&amp;(LEFT(A399,SUM(LEN(A399)-LEN(SUBSTITUTE(A399,{"0","1","2"},""))))), LARGE(INDEX(ISNUMBER(--MID((LEFT(A399,SUM(LEN(A399)-LEN(SUBSTITUTE(A399,{"0","1","2"},""))))), ROW(INDIRECT("1:"&amp;LEN((LEFT(A399,SUM(LEN(A399)-LEN(SUBSTITUTE(A399,{"0","1","2"},"")))))))), 1)) * ROW(INDIRECT("1:"&amp;LEN((LEFT(A399,SUM(LEN(A399)-LEN(SUBSTITUTE(A399,{"0","1","2"},"")))))))), 0), ROW(INDIRECT("1:"&amp;LEN((LEFT(A399,SUM(LEN(A399)-LEN(SUBSTITUTE(A399,{"0","1","2"},"")))))))))+1, 1) * 10^ROW(INDIRECT("1:"&amp;LEN((LEFT(A399,SUM(LEN(A399)-LEN(SUBSTITUTE(A399,{"0","1","2"},""))))))))/10))*1+1&amp;""&amp;" &amp; "&amp;""&amp;(SUMPRODUCT(MID(0&amp;(--TRIM(RIGHT(SUBSTITUTE(LEFT(A399,_xlfn.AGGREGATE(16,6,FIND({0,1,2,3,4,5,6,7,8,9},A399,ROW(INDIRECT("1:"&amp;LEN(A399)))),1))," ",REPT(" ",LEN(A399))),LEN(A399)))), LARGE(INDEX(ISNUMBER(--MID((--TRIM(RIGHT(SUBSTITUTE(LEFT(A399,_xlfn.AGGREGATE(16,6,FIND({0,1,2,3,4,5,6,7,8,9},A399,ROW(INDIRECT("1:"&amp;LEN(A399)))),1))," ",REPT(" ",LEN(A399))),LEN(A399)))), ROW(INDIRECT("1:"&amp;LEN((--TRIM(RIGHT(SUBSTITUTE(LEFT(A399,_xlfn.AGGREGATE(16,6,FIND({0,1,2,3,4,5,6,7,8,9},A399,ROW(INDIRECT("1:"&amp;LEN(A399)))),1))," ",REPT(" ",LEN(A399))),LEN(A399))))))), 1)) * ROW(INDIRECT("1:"&amp;LEN((--TRIM(RIGHT(SUBSTITUTE(LEFT(A399,_xlfn.AGGREGATE(16,6,FIND({0,1,2,3,4,5,6,7,8,9},A399,ROW(INDIRECT("1:"&amp;LEN(A399)))),1))," ",REPT(" ",LEN(A399))),LEN(A399))))))), 0), ROW(INDIRECT("1:"&amp;LEN((--TRIM(RIGHT(SUBSTITUTE(LEFT(A399,_xlfn.AGGREGATE(16,6,FIND({0,1,2,3,4,5,6,7,8,9},A399,ROW(INDIRECT("1:"&amp;LEN(A399)))),1))," ",REPT(" ",LEN(A399))),LEN(A399))))))))+1, 1) * 10^ROW(INDIRECT("1:"&amp;LEN((--TRIM(RIGHT(SUBSTITUTE(LEFT(A399,_xlfn.AGGREGATE(16,6,FIND({0,1,2,3,4,5,6,7,8,9},A399,ROW(INDIRECT("1:"&amp;LEN(A399)))),1))," ",REPT(" ",LEN(A399))),LEN(A399)))))))/10))*1+1</f>
        <v>206 &amp; 406</v>
      </c>
      <c r="B400" s="115"/>
      <c r="C400" s="42" t="s">
        <v>169</v>
      </c>
      <c r="D400" s="42">
        <f>(29.08+5.3)*10.764</f>
        <v>370.06631999999991</v>
      </c>
      <c r="E400" s="42">
        <f>0</f>
        <v>0</v>
      </c>
      <c r="F400" s="42">
        <v>600</v>
      </c>
      <c r="G400" s="114" t="str">
        <f t="shared" si="34"/>
        <v>2nd &amp; 4th Floor</v>
      </c>
      <c r="H400" s="115"/>
      <c r="I400" s="36"/>
      <c r="J400" s="57">
        <f t="shared" si="26"/>
        <v>1.6213310089931992</v>
      </c>
    </row>
    <row r="401" spans="1:10" s="37" customFormat="1" x14ac:dyDescent="0.25">
      <c r="A401" s="114" t="str">
        <f ca="1">(SUMPRODUCT(MID(0&amp;(LEFT(A400,SUM(LEN(A400)-LEN(SUBSTITUTE(A400,{"0","1","2"},""))))), LARGE(INDEX(ISNUMBER(--MID((LEFT(A400,SUM(LEN(A400)-LEN(SUBSTITUTE(A400,{"0","1","2"},""))))), ROW(INDIRECT("1:"&amp;LEN((LEFT(A400,SUM(LEN(A400)-LEN(SUBSTITUTE(A400,{"0","1","2"},"")))))))), 1)) * ROW(INDIRECT("1:"&amp;LEN((LEFT(A400,SUM(LEN(A400)-LEN(SUBSTITUTE(A400,{"0","1","2"},"")))))))), 0), ROW(INDIRECT("1:"&amp;LEN((LEFT(A400,SUM(LEN(A400)-LEN(SUBSTITUTE(A400,{"0","1","2"},"")))))))))+1, 1) * 10^ROW(INDIRECT("1:"&amp;LEN((LEFT(A400,SUM(LEN(A400)-LEN(SUBSTITUTE(A400,{"0","1","2"},""))))))))/10))*1+1&amp;""&amp;" &amp; "&amp;""&amp;(SUMPRODUCT(MID(0&amp;(--TRIM(RIGHT(SUBSTITUTE(LEFT(A400,_xlfn.AGGREGATE(16,6,FIND({0,1,2,3,4,5,6,7,8,9},A400,ROW(INDIRECT("1:"&amp;LEN(A400)))),1))," ",REPT(" ",LEN(A400))),LEN(A400)))), LARGE(INDEX(ISNUMBER(--MID((--TRIM(RIGHT(SUBSTITUTE(LEFT(A400,_xlfn.AGGREGATE(16,6,FIND({0,1,2,3,4,5,6,7,8,9},A400,ROW(INDIRECT("1:"&amp;LEN(A400)))),1))," ",REPT(" ",LEN(A400))),LEN(A400)))), ROW(INDIRECT("1:"&amp;LEN((--TRIM(RIGHT(SUBSTITUTE(LEFT(A400,_xlfn.AGGREGATE(16,6,FIND({0,1,2,3,4,5,6,7,8,9},A400,ROW(INDIRECT("1:"&amp;LEN(A400)))),1))," ",REPT(" ",LEN(A400))),LEN(A400))))))), 1)) * ROW(INDIRECT("1:"&amp;LEN((--TRIM(RIGHT(SUBSTITUTE(LEFT(A400,_xlfn.AGGREGATE(16,6,FIND({0,1,2,3,4,5,6,7,8,9},A400,ROW(INDIRECT("1:"&amp;LEN(A400)))),1))," ",REPT(" ",LEN(A400))),LEN(A400))))))), 0), ROW(INDIRECT("1:"&amp;LEN((--TRIM(RIGHT(SUBSTITUTE(LEFT(A400,_xlfn.AGGREGATE(16,6,FIND({0,1,2,3,4,5,6,7,8,9},A400,ROW(INDIRECT("1:"&amp;LEN(A400)))),1))," ",REPT(" ",LEN(A400))),LEN(A400))))))))+1, 1) * 10^ROW(INDIRECT("1:"&amp;LEN((--TRIM(RIGHT(SUBSTITUTE(LEFT(A400,_xlfn.AGGREGATE(16,6,FIND({0,1,2,3,4,5,6,7,8,9},A400,ROW(INDIRECT("1:"&amp;LEN(A400)))),1))," ",REPT(" ",LEN(A400))),LEN(A400)))))))/10))*1+1</f>
        <v>207 &amp; 407</v>
      </c>
      <c r="B401" s="115"/>
      <c r="C401" s="42" t="s">
        <v>169</v>
      </c>
      <c r="D401" s="42">
        <f>(29.705+5.3)*10.764</f>
        <v>376.79381999999993</v>
      </c>
      <c r="E401" s="42">
        <f>7.393*10.764</f>
        <v>79.578251999999992</v>
      </c>
      <c r="F401" s="42">
        <v>725</v>
      </c>
      <c r="G401" s="114" t="str">
        <f t="shared" si="34"/>
        <v>2nd &amp; 4th Floor</v>
      </c>
      <c r="H401" s="115"/>
      <c r="I401" s="36"/>
      <c r="J401" s="57">
        <f t="shared" si="26"/>
        <v>1.7129308224853586</v>
      </c>
    </row>
    <row r="402" spans="1:10" s="37" customFormat="1" x14ac:dyDescent="0.25">
      <c r="A402" s="114" t="str">
        <f ca="1">(SUMPRODUCT(MID(0&amp;(LEFT(A401,SUM(LEN(A401)-LEN(SUBSTITUTE(A401,{"0","1","2"},""))))), LARGE(INDEX(ISNUMBER(--MID((LEFT(A401,SUM(LEN(A401)-LEN(SUBSTITUTE(A401,{"0","1","2"},""))))), ROW(INDIRECT("1:"&amp;LEN((LEFT(A401,SUM(LEN(A401)-LEN(SUBSTITUTE(A401,{"0","1","2"},"")))))))), 1)) * ROW(INDIRECT("1:"&amp;LEN((LEFT(A401,SUM(LEN(A401)-LEN(SUBSTITUTE(A401,{"0","1","2"},"")))))))), 0), ROW(INDIRECT("1:"&amp;LEN((LEFT(A401,SUM(LEN(A401)-LEN(SUBSTITUTE(A401,{"0","1","2"},"")))))))))+1, 1) * 10^ROW(INDIRECT("1:"&amp;LEN((LEFT(A401,SUM(LEN(A401)-LEN(SUBSTITUTE(A401,{"0","1","2"},""))))))))/10))*1+1&amp;""&amp;" &amp; "&amp;""&amp;(SUMPRODUCT(MID(0&amp;(--TRIM(RIGHT(SUBSTITUTE(LEFT(A401,_xlfn.AGGREGATE(16,6,FIND({0,1,2,3,4,5,6,7,8,9},A401,ROW(INDIRECT("1:"&amp;LEN(A401)))),1))," ",REPT(" ",LEN(A401))),LEN(A401)))), LARGE(INDEX(ISNUMBER(--MID((--TRIM(RIGHT(SUBSTITUTE(LEFT(A401,_xlfn.AGGREGATE(16,6,FIND({0,1,2,3,4,5,6,7,8,9},A401,ROW(INDIRECT("1:"&amp;LEN(A401)))),1))," ",REPT(" ",LEN(A401))),LEN(A401)))), ROW(INDIRECT("1:"&amp;LEN((--TRIM(RIGHT(SUBSTITUTE(LEFT(A401,_xlfn.AGGREGATE(16,6,FIND({0,1,2,3,4,5,6,7,8,9},A401,ROW(INDIRECT("1:"&amp;LEN(A401)))),1))," ",REPT(" ",LEN(A401))),LEN(A401))))))), 1)) * ROW(INDIRECT("1:"&amp;LEN((--TRIM(RIGHT(SUBSTITUTE(LEFT(A401,_xlfn.AGGREGATE(16,6,FIND({0,1,2,3,4,5,6,7,8,9},A401,ROW(INDIRECT("1:"&amp;LEN(A401)))),1))," ",REPT(" ",LEN(A401))),LEN(A401))))))), 0), ROW(INDIRECT("1:"&amp;LEN((--TRIM(RIGHT(SUBSTITUTE(LEFT(A401,_xlfn.AGGREGATE(16,6,FIND({0,1,2,3,4,5,6,7,8,9},A401,ROW(INDIRECT("1:"&amp;LEN(A401)))),1))," ",REPT(" ",LEN(A401))),LEN(A401))))))))+1, 1) * 10^ROW(INDIRECT("1:"&amp;LEN((--TRIM(RIGHT(SUBSTITUTE(LEFT(A401,_xlfn.AGGREGATE(16,6,FIND({0,1,2,3,4,5,6,7,8,9},A401,ROW(INDIRECT("1:"&amp;LEN(A401)))),1))," ",REPT(" ",LEN(A401))),LEN(A401)))))))/10))*1+1</f>
        <v>208 &amp; 408</v>
      </c>
      <c r="B402" s="115"/>
      <c r="C402" s="42" t="s">
        <v>169</v>
      </c>
      <c r="D402" s="42">
        <f>(29.705+5.3)*10.764</f>
        <v>376.79381999999993</v>
      </c>
      <c r="E402" s="42">
        <f>7.393*10.764</f>
        <v>79.578251999999992</v>
      </c>
      <c r="F402" s="42">
        <v>725</v>
      </c>
      <c r="G402" s="114" t="str">
        <f t="shared" si="34"/>
        <v>2nd &amp; 4th Floor</v>
      </c>
      <c r="H402" s="115"/>
      <c r="I402" s="36"/>
      <c r="J402" s="57">
        <f t="shared" si="26"/>
        <v>1.7129308224853586</v>
      </c>
    </row>
    <row r="403" spans="1:10" s="34" customFormat="1" x14ac:dyDescent="0.25">
      <c r="A403" s="122" t="s">
        <v>176</v>
      </c>
      <c r="B403" s="122"/>
      <c r="C403" s="122"/>
      <c r="D403" s="122"/>
      <c r="E403" s="122"/>
      <c r="F403" s="122"/>
      <c r="G403" s="122"/>
      <c r="H403" s="122"/>
      <c r="J403" s="57" t="e">
        <f t="shared" si="26"/>
        <v>#DIV/0!</v>
      </c>
    </row>
    <row r="404" spans="1:10" s="34" customFormat="1" x14ac:dyDescent="0.25">
      <c r="A404" s="122" t="s">
        <v>166</v>
      </c>
      <c r="B404" s="122"/>
      <c r="C404" s="122"/>
      <c r="D404" s="122"/>
      <c r="E404" s="122"/>
      <c r="F404" s="122"/>
      <c r="G404" s="122"/>
      <c r="H404" s="122"/>
      <c r="J404" s="57" t="e">
        <f t="shared" ref="J404:J467" si="35">(F404-E404)/D404</f>
        <v>#DIV/0!</v>
      </c>
    </row>
    <row r="405" spans="1:10" s="37" customFormat="1" x14ac:dyDescent="0.25">
      <c r="A405" s="119" t="s">
        <v>167</v>
      </c>
      <c r="B405" s="120"/>
      <c r="C405" s="120"/>
      <c r="D405" s="120"/>
      <c r="E405" s="120"/>
      <c r="F405" s="120"/>
      <c r="G405" s="120"/>
      <c r="H405" s="121"/>
      <c r="I405" s="36"/>
      <c r="J405" s="57" t="e">
        <f t="shared" si="35"/>
        <v>#DIV/0!</v>
      </c>
    </row>
    <row r="406" spans="1:10" s="37" customFormat="1" x14ac:dyDescent="0.25">
      <c r="A406" s="114" t="str">
        <f ca="1">(SUMPRODUCT(MID(0&amp;(LEFT(A405,SUM(LEN(A405)-LEN(SUBSTITUTE(A405,{"0","1","2"},""))))), LARGE(INDEX(ISNUMBER(--MID((LEFT(A405,SUM(LEN(A405)-LEN(SUBSTITUTE(A405,{"0","1","2"},""))))), ROW(INDIRECT("1:"&amp;LEN((LEFT(A405,SUM(LEN(A405)-LEN(SUBSTITUTE(A405,{"0","1","2"},"")))))))), 1)) * ROW(INDIRECT("1:"&amp;LEN((LEFT(A405,SUM(LEN(A405)-LEN(SUBSTITUTE(A405,{"0","1","2"},"")))))))), 0), ROW(INDIRECT("1:"&amp;LEN((LEFT(A405,SUM(LEN(A405)-LEN(SUBSTITUTE(A405,{"0","1","2"},"")))))))))+1, 1) * 10^ROW(INDIRECT("1:"&amp;LEN((LEFT(A405,SUM(LEN(A405)-LEN(SUBSTITUTE(A405,{"0","1","2"},""))))))))/10))*100+1&amp;""&amp;" &amp; "&amp;""&amp;(SUMPRODUCT(MID(0&amp;(--TRIM(RIGHT(SUBSTITUTE(LEFT(A405,_xlfn.AGGREGATE(16,6,FIND({0,1,2,3,4,5,6,7,8,9},A405,ROW(INDIRECT("1:"&amp;LEN(A405)))),1))," ",REPT(" ",LEN(A405))),LEN(A405)))), LARGE(INDEX(ISNUMBER(--MID((--TRIM(RIGHT(SUBSTITUTE(LEFT(A405,_xlfn.AGGREGATE(16,6,FIND({0,1,2,3,4,5,6,7,8,9},A405,ROW(INDIRECT("1:"&amp;LEN(A405)))),1))," ",REPT(" ",LEN(A405))),LEN(A405)))), ROW(INDIRECT("1:"&amp;LEN((--TRIM(RIGHT(SUBSTITUTE(LEFT(A405,_xlfn.AGGREGATE(16,6,FIND({0,1,2,3,4,5,6,7,8,9},A405,ROW(INDIRECT("1:"&amp;LEN(A405)))),1))," ",REPT(" ",LEN(A405))),LEN(A405))))))), 1)) * ROW(INDIRECT("1:"&amp;LEN((--TRIM(RIGHT(SUBSTITUTE(LEFT(A405,_xlfn.AGGREGATE(16,6,FIND({0,1,2,3,4,5,6,7,8,9},A405,ROW(INDIRECT("1:"&amp;LEN(A405)))),1))," ",REPT(" ",LEN(A405))),LEN(A405))))))), 0), ROW(INDIRECT("1:"&amp;LEN((--TRIM(RIGHT(SUBSTITUTE(LEFT(A405,_xlfn.AGGREGATE(16,6,FIND({0,1,2,3,4,5,6,7,8,9},A405,ROW(INDIRECT("1:"&amp;LEN(A405)))),1))," ",REPT(" ",LEN(A405))),LEN(A405))))))))+1, 1) * 10^ROW(INDIRECT("1:"&amp;LEN((--TRIM(RIGHT(SUBSTITUTE(LEFT(A405,_xlfn.AGGREGATE(16,6,FIND({0,1,2,3,4,5,6,7,8,9},A405,ROW(INDIRECT("1:"&amp;LEN(A405)))),1))," ",REPT(" ",LEN(A405))),LEN(A405)))))))/10))*100+1</f>
        <v>101 &amp; 301</v>
      </c>
      <c r="B406" s="115"/>
      <c r="C406" s="42" t="s">
        <v>169</v>
      </c>
      <c r="D406" s="42">
        <f>(29.75+5.3)*10.764</f>
        <v>377.27819999999997</v>
      </c>
      <c r="E406" s="42">
        <f>5.698*10.764</f>
        <v>61.333272000000001</v>
      </c>
      <c r="F406" s="42">
        <v>700</v>
      </c>
      <c r="G406" s="114" t="str">
        <f>A405</f>
        <v>1st &amp; 3rd Floor for Residential</v>
      </c>
      <c r="H406" s="115"/>
      <c r="I406" s="36"/>
      <c r="J406" s="57">
        <f t="shared" si="35"/>
        <v>1.6928270120033442</v>
      </c>
    </row>
    <row r="407" spans="1:10" s="37" customFormat="1" x14ac:dyDescent="0.25">
      <c r="A407" s="114" t="str">
        <f ca="1">(SUMPRODUCT(MID(0&amp;(LEFT(A406,SUM(LEN(A406)-LEN(SUBSTITUTE(A406,{"0","1","2"},""))))), LARGE(INDEX(ISNUMBER(--MID((LEFT(A406,SUM(LEN(A406)-LEN(SUBSTITUTE(A406,{"0","1","2"},""))))), ROW(INDIRECT("1:"&amp;LEN((LEFT(A406,SUM(LEN(A406)-LEN(SUBSTITUTE(A406,{"0","1","2"},"")))))))), 1)) * ROW(INDIRECT("1:"&amp;LEN((LEFT(A406,SUM(LEN(A406)-LEN(SUBSTITUTE(A406,{"0","1","2"},"")))))))), 0), ROW(INDIRECT("1:"&amp;LEN((LEFT(A406,SUM(LEN(A406)-LEN(SUBSTITUTE(A406,{"0","1","2"},"")))))))))+1, 1) * 10^ROW(INDIRECT("1:"&amp;LEN((LEFT(A406,SUM(LEN(A406)-LEN(SUBSTITUTE(A406,{"0","1","2"},""))))))))/10))*1+1&amp;""&amp;" &amp; "&amp;""&amp;(SUMPRODUCT(MID(0&amp;(--TRIM(RIGHT(SUBSTITUTE(LEFT(A406,_xlfn.AGGREGATE(16,6,FIND({0,1,2,3,4,5,6,7,8,9},A406,ROW(INDIRECT("1:"&amp;LEN(A406)))),1))," ",REPT(" ",LEN(A406))),LEN(A406)))), LARGE(INDEX(ISNUMBER(--MID((--TRIM(RIGHT(SUBSTITUTE(LEFT(A406,_xlfn.AGGREGATE(16,6,FIND({0,1,2,3,4,5,6,7,8,9},A406,ROW(INDIRECT("1:"&amp;LEN(A406)))),1))," ",REPT(" ",LEN(A406))),LEN(A406)))), ROW(INDIRECT("1:"&amp;LEN((--TRIM(RIGHT(SUBSTITUTE(LEFT(A406,_xlfn.AGGREGATE(16,6,FIND({0,1,2,3,4,5,6,7,8,9},A406,ROW(INDIRECT("1:"&amp;LEN(A406)))),1))," ",REPT(" ",LEN(A406))),LEN(A406))))))), 1)) * ROW(INDIRECT("1:"&amp;LEN((--TRIM(RIGHT(SUBSTITUTE(LEFT(A406,_xlfn.AGGREGATE(16,6,FIND({0,1,2,3,4,5,6,7,8,9},A406,ROW(INDIRECT("1:"&amp;LEN(A406)))),1))," ",REPT(" ",LEN(A406))),LEN(A406))))))), 0), ROW(INDIRECT("1:"&amp;LEN((--TRIM(RIGHT(SUBSTITUTE(LEFT(A406,_xlfn.AGGREGATE(16,6,FIND({0,1,2,3,4,5,6,7,8,9},A406,ROW(INDIRECT("1:"&amp;LEN(A406)))),1))," ",REPT(" ",LEN(A406))),LEN(A406))))))))+1, 1) * 10^ROW(INDIRECT("1:"&amp;LEN((--TRIM(RIGHT(SUBSTITUTE(LEFT(A406,_xlfn.AGGREGATE(16,6,FIND({0,1,2,3,4,5,6,7,8,9},A406,ROW(INDIRECT("1:"&amp;LEN(A406)))),1))," ",REPT(" ",LEN(A406))),LEN(A406)))))))/10))*1+1</f>
        <v>102 &amp; 302</v>
      </c>
      <c r="B407" s="115"/>
      <c r="C407" s="42" t="s">
        <v>169</v>
      </c>
      <c r="D407" s="42">
        <f>(29.75+5.3)*10.764</f>
        <v>377.27819999999997</v>
      </c>
      <c r="E407" s="42">
        <f>5.698*10.764</f>
        <v>61.333272000000001</v>
      </c>
      <c r="F407" s="42">
        <v>700</v>
      </c>
      <c r="G407" s="114" t="str">
        <f t="shared" ref="G407:G412" si="36">G406</f>
        <v>1st &amp; 3rd Floor for Residential</v>
      </c>
      <c r="H407" s="115"/>
      <c r="I407" s="36"/>
      <c r="J407" s="57">
        <f t="shared" si="35"/>
        <v>1.6928270120033442</v>
      </c>
    </row>
    <row r="408" spans="1:10" s="37" customFormat="1" x14ac:dyDescent="0.25">
      <c r="A408" s="114" t="str">
        <f ca="1">(SUMPRODUCT(MID(0&amp;(LEFT(A407,SUM(LEN(A407)-LEN(SUBSTITUTE(A407,{"0","1","2"},""))))), LARGE(INDEX(ISNUMBER(--MID((LEFT(A407,SUM(LEN(A407)-LEN(SUBSTITUTE(A407,{"0","1","2"},""))))), ROW(INDIRECT("1:"&amp;LEN((LEFT(A407,SUM(LEN(A407)-LEN(SUBSTITUTE(A407,{"0","1","2"},"")))))))), 1)) * ROW(INDIRECT("1:"&amp;LEN((LEFT(A407,SUM(LEN(A407)-LEN(SUBSTITUTE(A407,{"0","1","2"},"")))))))), 0), ROW(INDIRECT("1:"&amp;LEN((LEFT(A407,SUM(LEN(A407)-LEN(SUBSTITUTE(A407,{"0","1","2"},"")))))))))+1, 1) * 10^ROW(INDIRECT("1:"&amp;LEN((LEFT(A407,SUM(LEN(A407)-LEN(SUBSTITUTE(A407,{"0","1","2"},""))))))))/10))*1+1&amp;""&amp;" &amp; "&amp;""&amp;(SUMPRODUCT(MID(0&amp;(--TRIM(RIGHT(SUBSTITUTE(LEFT(A407,_xlfn.AGGREGATE(16,6,FIND({0,1,2,3,4,5,6,7,8,9},A407,ROW(INDIRECT("1:"&amp;LEN(A407)))),1))," ",REPT(" ",LEN(A407))),LEN(A407)))), LARGE(INDEX(ISNUMBER(--MID((--TRIM(RIGHT(SUBSTITUTE(LEFT(A407,_xlfn.AGGREGATE(16,6,FIND({0,1,2,3,4,5,6,7,8,9},A407,ROW(INDIRECT("1:"&amp;LEN(A407)))),1))," ",REPT(" ",LEN(A407))),LEN(A407)))), ROW(INDIRECT("1:"&amp;LEN((--TRIM(RIGHT(SUBSTITUTE(LEFT(A407,_xlfn.AGGREGATE(16,6,FIND({0,1,2,3,4,5,6,7,8,9},A407,ROW(INDIRECT("1:"&amp;LEN(A407)))),1))," ",REPT(" ",LEN(A407))),LEN(A407))))))), 1)) * ROW(INDIRECT("1:"&amp;LEN((--TRIM(RIGHT(SUBSTITUTE(LEFT(A407,_xlfn.AGGREGATE(16,6,FIND({0,1,2,3,4,5,6,7,8,9},A407,ROW(INDIRECT("1:"&amp;LEN(A407)))),1))," ",REPT(" ",LEN(A407))),LEN(A407))))))), 0), ROW(INDIRECT("1:"&amp;LEN((--TRIM(RIGHT(SUBSTITUTE(LEFT(A407,_xlfn.AGGREGATE(16,6,FIND({0,1,2,3,4,5,6,7,8,9},A407,ROW(INDIRECT("1:"&amp;LEN(A407)))),1))," ",REPT(" ",LEN(A407))),LEN(A407))))))))+1, 1) * 10^ROW(INDIRECT("1:"&amp;LEN((--TRIM(RIGHT(SUBSTITUTE(LEFT(A407,_xlfn.AGGREGATE(16,6,FIND({0,1,2,3,4,5,6,7,8,9},A407,ROW(INDIRECT("1:"&amp;LEN(A407)))),1))," ",REPT(" ",LEN(A407))),LEN(A407)))))))/10))*1+1</f>
        <v>103 &amp; 303</v>
      </c>
      <c r="B408" s="115"/>
      <c r="C408" s="42" t="s">
        <v>169</v>
      </c>
      <c r="D408" s="42">
        <f>(29.75+5.3)*10.764</f>
        <v>377.27819999999997</v>
      </c>
      <c r="E408" s="42">
        <f>6.002*10.764</f>
        <v>64.605527999999993</v>
      </c>
      <c r="F408" s="42">
        <v>700</v>
      </c>
      <c r="G408" s="114" t="str">
        <f t="shared" si="36"/>
        <v>1st &amp; 3rd Floor for Residential</v>
      </c>
      <c r="H408" s="115"/>
      <c r="I408" s="36"/>
      <c r="J408" s="57">
        <f t="shared" si="35"/>
        <v>1.6841536881802341</v>
      </c>
    </row>
    <row r="409" spans="1:10" s="37" customFormat="1" x14ac:dyDescent="0.25">
      <c r="A409" s="114" t="str">
        <f ca="1">(SUMPRODUCT(MID(0&amp;(LEFT(A408,SUM(LEN(A408)-LEN(SUBSTITUTE(A408,{"0","1","2"},""))))), LARGE(INDEX(ISNUMBER(--MID((LEFT(A408,SUM(LEN(A408)-LEN(SUBSTITUTE(A408,{"0","1","2"},""))))), ROW(INDIRECT("1:"&amp;LEN((LEFT(A408,SUM(LEN(A408)-LEN(SUBSTITUTE(A408,{"0","1","2"},"")))))))), 1)) * ROW(INDIRECT("1:"&amp;LEN((LEFT(A408,SUM(LEN(A408)-LEN(SUBSTITUTE(A408,{"0","1","2"},"")))))))), 0), ROW(INDIRECT("1:"&amp;LEN((LEFT(A408,SUM(LEN(A408)-LEN(SUBSTITUTE(A408,{"0","1","2"},"")))))))))+1, 1) * 10^ROW(INDIRECT("1:"&amp;LEN((LEFT(A408,SUM(LEN(A408)-LEN(SUBSTITUTE(A408,{"0","1","2"},""))))))))/10))*1+1&amp;""&amp;" &amp; "&amp;""&amp;(SUMPRODUCT(MID(0&amp;(--TRIM(RIGHT(SUBSTITUTE(LEFT(A408,_xlfn.AGGREGATE(16,6,FIND({0,1,2,3,4,5,6,7,8,9},A408,ROW(INDIRECT("1:"&amp;LEN(A408)))),1))," ",REPT(" ",LEN(A408))),LEN(A408)))), LARGE(INDEX(ISNUMBER(--MID((--TRIM(RIGHT(SUBSTITUTE(LEFT(A408,_xlfn.AGGREGATE(16,6,FIND({0,1,2,3,4,5,6,7,8,9},A408,ROW(INDIRECT("1:"&amp;LEN(A408)))),1))," ",REPT(" ",LEN(A408))),LEN(A408)))), ROW(INDIRECT("1:"&amp;LEN((--TRIM(RIGHT(SUBSTITUTE(LEFT(A408,_xlfn.AGGREGATE(16,6,FIND({0,1,2,3,4,5,6,7,8,9},A408,ROW(INDIRECT("1:"&amp;LEN(A408)))),1))," ",REPT(" ",LEN(A408))),LEN(A408))))))), 1)) * ROW(INDIRECT("1:"&amp;LEN((--TRIM(RIGHT(SUBSTITUTE(LEFT(A408,_xlfn.AGGREGATE(16,6,FIND({0,1,2,3,4,5,6,7,8,9},A408,ROW(INDIRECT("1:"&amp;LEN(A408)))),1))," ",REPT(" ",LEN(A408))),LEN(A408))))))), 0), ROW(INDIRECT("1:"&amp;LEN((--TRIM(RIGHT(SUBSTITUTE(LEFT(A408,_xlfn.AGGREGATE(16,6,FIND({0,1,2,3,4,5,6,7,8,9},A408,ROW(INDIRECT("1:"&amp;LEN(A408)))),1))," ",REPT(" ",LEN(A408))),LEN(A408))))))))+1, 1) * 10^ROW(INDIRECT("1:"&amp;LEN((--TRIM(RIGHT(SUBSTITUTE(LEFT(A408,_xlfn.AGGREGATE(16,6,FIND({0,1,2,3,4,5,6,7,8,9},A408,ROW(INDIRECT("1:"&amp;LEN(A408)))),1))," ",REPT(" ",LEN(A408))),LEN(A408)))))))/10))*1+1</f>
        <v>104 &amp; 304</v>
      </c>
      <c r="B409" s="115"/>
      <c r="C409" s="42" t="s">
        <v>169</v>
      </c>
      <c r="D409" s="42">
        <f>(29.617+5.44)*10.764</f>
        <v>377.35354799999999</v>
      </c>
      <c r="E409" s="42">
        <f>5.811*10.764</f>
        <v>62.549603999999995</v>
      </c>
      <c r="F409" s="42">
        <v>700</v>
      </c>
      <c r="G409" s="114" t="str">
        <f t="shared" si="36"/>
        <v>1st &amp; 3rd Floor for Residential</v>
      </c>
      <c r="H409" s="115"/>
      <c r="I409" s="36"/>
      <c r="J409" s="57">
        <f t="shared" si="35"/>
        <v>1.6892656750639587</v>
      </c>
    </row>
    <row r="410" spans="1:10" s="37" customFormat="1" x14ac:dyDescent="0.25">
      <c r="A410" s="114" t="str">
        <f ca="1">(SUMPRODUCT(MID(0&amp;(LEFT(A409,SUM(LEN(A409)-LEN(SUBSTITUTE(A409,{"0","1","2"},""))))), LARGE(INDEX(ISNUMBER(--MID((LEFT(A409,SUM(LEN(A409)-LEN(SUBSTITUTE(A409,{"0","1","2"},""))))), ROW(INDIRECT("1:"&amp;LEN((LEFT(A409,SUM(LEN(A409)-LEN(SUBSTITUTE(A409,{"0","1","2"},"")))))))), 1)) * ROW(INDIRECT("1:"&amp;LEN((LEFT(A409,SUM(LEN(A409)-LEN(SUBSTITUTE(A409,{"0","1","2"},"")))))))), 0), ROW(INDIRECT("1:"&amp;LEN((LEFT(A409,SUM(LEN(A409)-LEN(SUBSTITUTE(A409,{"0","1","2"},"")))))))))+1, 1) * 10^ROW(INDIRECT("1:"&amp;LEN((LEFT(A409,SUM(LEN(A409)-LEN(SUBSTITUTE(A409,{"0","1","2"},""))))))))/10))*1+1&amp;""&amp;" &amp; "&amp;""&amp;(SUMPRODUCT(MID(0&amp;(--TRIM(RIGHT(SUBSTITUTE(LEFT(A409,_xlfn.AGGREGATE(16,6,FIND({0,1,2,3,4,5,6,7,8,9},A409,ROW(INDIRECT("1:"&amp;LEN(A409)))),1))," ",REPT(" ",LEN(A409))),LEN(A409)))), LARGE(INDEX(ISNUMBER(--MID((--TRIM(RIGHT(SUBSTITUTE(LEFT(A409,_xlfn.AGGREGATE(16,6,FIND({0,1,2,3,4,5,6,7,8,9},A409,ROW(INDIRECT("1:"&amp;LEN(A409)))),1))," ",REPT(" ",LEN(A409))),LEN(A409)))), ROW(INDIRECT("1:"&amp;LEN((--TRIM(RIGHT(SUBSTITUTE(LEFT(A409,_xlfn.AGGREGATE(16,6,FIND({0,1,2,3,4,5,6,7,8,9},A409,ROW(INDIRECT("1:"&amp;LEN(A409)))),1))," ",REPT(" ",LEN(A409))),LEN(A409))))))), 1)) * ROW(INDIRECT("1:"&amp;LEN((--TRIM(RIGHT(SUBSTITUTE(LEFT(A409,_xlfn.AGGREGATE(16,6,FIND({0,1,2,3,4,5,6,7,8,9},A409,ROW(INDIRECT("1:"&amp;LEN(A409)))),1))," ",REPT(" ",LEN(A409))),LEN(A409))))))), 0), ROW(INDIRECT("1:"&amp;LEN((--TRIM(RIGHT(SUBSTITUTE(LEFT(A409,_xlfn.AGGREGATE(16,6,FIND({0,1,2,3,4,5,6,7,8,9},A409,ROW(INDIRECT("1:"&amp;LEN(A409)))),1))," ",REPT(" ",LEN(A409))),LEN(A409))))))))+1, 1) * 10^ROW(INDIRECT("1:"&amp;LEN((--TRIM(RIGHT(SUBSTITUTE(LEFT(A409,_xlfn.AGGREGATE(16,6,FIND({0,1,2,3,4,5,6,7,8,9},A409,ROW(INDIRECT("1:"&amp;LEN(A409)))),1))," ",REPT(" ",LEN(A409))),LEN(A409)))))))/10))*1+1</f>
        <v>105 &amp; 305</v>
      </c>
      <c r="B410" s="115"/>
      <c r="C410" s="42" t="s">
        <v>169</v>
      </c>
      <c r="D410" s="42">
        <f>(30.08+2.5)*10.764</f>
        <v>350.69111999999996</v>
      </c>
      <c r="E410" s="42">
        <f>5.841*10.764</f>
        <v>62.872523999999999</v>
      </c>
      <c r="F410" s="42">
        <v>670</v>
      </c>
      <c r="G410" s="114" t="str">
        <f t="shared" si="36"/>
        <v>1st &amp; 3rd Floor for Residential</v>
      </c>
      <c r="H410" s="115"/>
      <c r="I410" s="36"/>
      <c r="J410" s="57">
        <f t="shared" si="35"/>
        <v>1.7312313924572715</v>
      </c>
    </row>
    <row r="411" spans="1:10" s="37" customFormat="1" x14ac:dyDescent="0.25">
      <c r="A411" s="114" t="str">
        <f ca="1">(SUMPRODUCT(MID(0&amp;(LEFT(A410,SUM(LEN(A410)-LEN(SUBSTITUTE(A410,{"0","1","2"},""))))), LARGE(INDEX(ISNUMBER(--MID((LEFT(A410,SUM(LEN(A410)-LEN(SUBSTITUTE(A410,{"0","1","2"},""))))), ROW(INDIRECT("1:"&amp;LEN((LEFT(A410,SUM(LEN(A410)-LEN(SUBSTITUTE(A410,{"0","1","2"},"")))))))), 1)) * ROW(INDIRECT("1:"&amp;LEN((LEFT(A410,SUM(LEN(A410)-LEN(SUBSTITUTE(A410,{"0","1","2"},"")))))))), 0), ROW(INDIRECT("1:"&amp;LEN((LEFT(A410,SUM(LEN(A410)-LEN(SUBSTITUTE(A410,{"0","1","2"},"")))))))))+1, 1) * 10^ROW(INDIRECT("1:"&amp;LEN((LEFT(A410,SUM(LEN(A410)-LEN(SUBSTITUTE(A410,{"0","1","2"},""))))))))/10))*1+1&amp;""&amp;" &amp; "&amp;""&amp;(SUMPRODUCT(MID(0&amp;(--TRIM(RIGHT(SUBSTITUTE(LEFT(A410,_xlfn.AGGREGATE(16,6,FIND({0,1,2,3,4,5,6,7,8,9},A410,ROW(INDIRECT("1:"&amp;LEN(A410)))),1))," ",REPT(" ",LEN(A410))),LEN(A410)))), LARGE(INDEX(ISNUMBER(--MID((--TRIM(RIGHT(SUBSTITUTE(LEFT(A410,_xlfn.AGGREGATE(16,6,FIND({0,1,2,3,4,5,6,7,8,9},A410,ROW(INDIRECT("1:"&amp;LEN(A410)))),1))," ",REPT(" ",LEN(A410))),LEN(A410)))), ROW(INDIRECT("1:"&amp;LEN((--TRIM(RIGHT(SUBSTITUTE(LEFT(A410,_xlfn.AGGREGATE(16,6,FIND({0,1,2,3,4,5,6,7,8,9},A410,ROW(INDIRECT("1:"&amp;LEN(A410)))),1))," ",REPT(" ",LEN(A410))),LEN(A410))))))), 1)) * ROW(INDIRECT("1:"&amp;LEN((--TRIM(RIGHT(SUBSTITUTE(LEFT(A410,_xlfn.AGGREGATE(16,6,FIND({0,1,2,3,4,5,6,7,8,9},A410,ROW(INDIRECT("1:"&amp;LEN(A410)))),1))," ",REPT(" ",LEN(A410))),LEN(A410))))))), 0), ROW(INDIRECT("1:"&amp;LEN((--TRIM(RIGHT(SUBSTITUTE(LEFT(A410,_xlfn.AGGREGATE(16,6,FIND({0,1,2,3,4,5,6,7,8,9},A410,ROW(INDIRECT("1:"&amp;LEN(A410)))),1))," ",REPT(" ",LEN(A410))),LEN(A410))))))))+1, 1) * 10^ROW(INDIRECT("1:"&amp;LEN((--TRIM(RIGHT(SUBSTITUTE(LEFT(A410,_xlfn.AGGREGATE(16,6,FIND({0,1,2,3,4,5,6,7,8,9},A410,ROW(INDIRECT("1:"&amp;LEN(A410)))),1))," ",REPT(" ",LEN(A410))),LEN(A410)))))))/10))*1+1</f>
        <v>106 &amp; 306</v>
      </c>
      <c r="B411" s="115"/>
      <c r="C411" s="42" t="s">
        <v>177</v>
      </c>
      <c r="D411" s="42">
        <f>(20.399+2.425)*10.764</f>
        <v>245.677536</v>
      </c>
      <c r="E411" s="42">
        <f>6.001*10.764</f>
        <v>64.594763999999998</v>
      </c>
      <c r="F411" s="42">
        <v>510</v>
      </c>
      <c r="G411" s="114" t="str">
        <f t="shared" si="36"/>
        <v>1st &amp; 3rd Floor for Residential</v>
      </c>
      <c r="H411" s="115"/>
      <c r="I411" s="36"/>
      <c r="J411" s="57">
        <f t="shared" si="35"/>
        <v>1.8129668802930359</v>
      </c>
    </row>
    <row r="412" spans="1:10" s="37" customFormat="1" x14ac:dyDescent="0.25">
      <c r="A412" s="114" t="str">
        <f ca="1">(SUMPRODUCT(MID(0&amp;(LEFT(A411,SUM(LEN(A411)-LEN(SUBSTITUTE(A411,{"0","1","2"},""))))), LARGE(INDEX(ISNUMBER(--MID((LEFT(A411,SUM(LEN(A411)-LEN(SUBSTITUTE(A411,{"0","1","2"},""))))), ROW(INDIRECT("1:"&amp;LEN((LEFT(A411,SUM(LEN(A411)-LEN(SUBSTITUTE(A411,{"0","1","2"},"")))))))), 1)) * ROW(INDIRECT("1:"&amp;LEN((LEFT(A411,SUM(LEN(A411)-LEN(SUBSTITUTE(A411,{"0","1","2"},"")))))))), 0), ROW(INDIRECT("1:"&amp;LEN((LEFT(A411,SUM(LEN(A411)-LEN(SUBSTITUTE(A411,{"0","1","2"},"")))))))))+1, 1) * 10^ROW(INDIRECT("1:"&amp;LEN((LEFT(A411,SUM(LEN(A411)-LEN(SUBSTITUTE(A411,{"0","1","2"},""))))))))/10))*1+1&amp;""&amp;" &amp; "&amp;""&amp;(SUMPRODUCT(MID(0&amp;(--TRIM(RIGHT(SUBSTITUTE(LEFT(A411,_xlfn.AGGREGATE(16,6,FIND({0,1,2,3,4,5,6,7,8,9},A411,ROW(INDIRECT("1:"&amp;LEN(A411)))),1))," ",REPT(" ",LEN(A411))),LEN(A411)))), LARGE(INDEX(ISNUMBER(--MID((--TRIM(RIGHT(SUBSTITUTE(LEFT(A411,_xlfn.AGGREGATE(16,6,FIND({0,1,2,3,4,5,6,7,8,9},A411,ROW(INDIRECT("1:"&amp;LEN(A411)))),1))," ",REPT(" ",LEN(A411))),LEN(A411)))), ROW(INDIRECT("1:"&amp;LEN((--TRIM(RIGHT(SUBSTITUTE(LEFT(A411,_xlfn.AGGREGATE(16,6,FIND({0,1,2,3,4,5,6,7,8,9},A411,ROW(INDIRECT("1:"&amp;LEN(A411)))),1))," ",REPT(" ",LEN(A411))),LEN(A411))))))), 1)) * ROW(INDIRECT("1:"&amp;LEN((--TRIM(RIGHT(SUBSTITUTE(LEFT(A411,_xlfn.AGGREGATE(16,6,FIND({0,1,2,3,4,5,6,7,8,9},A411,ROW(INDIRECT("1:"&amp;LEN(A411)))),1))," ",REPT(" ",LEN(A411))),LEN(A411))))))), 0), ROW(INDIRECT("1:"&amp;LEN((--TRIM(RIGHT(SUBSTITUTE(LEFT(A411,_xlfn.AGGREGATE(16,6,FIND({0,1,2,3,4,5,6,7,8,9},A411,ROW(INDIRECT("1:"&amp;LEN(A411)))),1))," ",REPT(" ",LEN(A411))),LEN(A411))))))))+1, 1) * 10^ROW(INDIRECT("1:"&amp;LEN((--TRIM(RIGHT(SUBSTITUTE(LEFT(A411,_xlfn.AGGREGATE(16,6,FIND({0,1,2,3,4,5,6,7,8,9},A411,ROW(INDIRECT("1:"&amp;LEN(A411)))),1))," ",REPT(" ",LEN(A411))),LEN(A411)))))))/10))*1+1</f>
        <v>107 &amp; 307</v>
      </c>
      <c r="B412" s="115"/>
      <c r="C412" s="42" t="s">
        <v>177</v>
      </c>
      <c r="D412" s="42">
        <f>(19.94+2.425)*10.764</f>
        <v>240.73686000000001</v>
      </c>
      <c r="E412" s="42">
        <f>2.922*10.764</f>
        <v>31.452407999999998</v>
      </c>
      <c r="F412" s="42">
        <v>455</v>
      </c>
      <c r="G412" s="114" t="str">
        <f t="shared" si="36"/>
        <v>1st &amp; 3rd Floor for Residential</v>
      </c>
      <c r="H412" s="115"/>
      <c r="I412" s="36"/>
      <c r="J412" s="57">
        <f t="shared" si="35"/>
        <v>1.7593798972039429</v>
      </c>
    </row>
    <row r="413" spans="1:10" s="37" customFormat="1" x14ac:dyDescent="0.25">
      <c r="A413" s="119" t="s">
        <v>170</v>
      </c>
      <c r="B413" s="120"/>
      <c r="C413" s="120"/>
      <c r="D413" s="120"/>
      <c r="E413" s="120"/>
      <c r="F413" s="120"/>
      <c r="G413" s="120"/>
      <c r="H413" s="121"/>
      <c r="I413" s="36"/>
      <c r="J413" s="57" t="e">
        <f t="shared" si="35"/>
        <v>#DIV/0!</v>
      </c>
    </row>
    <row r="414" spans="1:10" s="37" customFormat="1" x14ac:dyDescent="0.25">
      <c r="A414" s="114" t="str">
        <f ca="1">(SUMPRODUCT(MID(0&amp;(LEFT(A413,SUM(LEN(A413)-LEN(SUBSTITUTE(A413,{"0","1","2"},""))))), LARGE(INDEX(ISNUMBER(--MID((LEFT(A413,SUM(LEN(A413)-LEN(SUBSTITUTE(A413,{"0","1","2"},""))))), ROW(INDIRECT("1:"&amp;LEN((LEFT(A413,SUM(LEN(A413)-LEN(SUBSTITUTE(A413,{"0","1","2"},"")))))))), 1)) * ROW(INDIRECT("1:"&amp;LEN((LEFT(A413,SUM(LEN(A413)-LEN(SUBSTITUTE(A413,{"0","1","2"},"")))))))), 0), ROW(INDIRECT("1:"&amp;LEN((LEFT(A413,SUM(LEN(A413)-LEN(SUBSTITUTE(A413,{"0","1","2"},"")))))))))+1, 1) * 10^ROW(INDIRECT("1:"&amp;LEN((LEFT(A413,SUM(LEN(A413)-LEN(SUBSTITUTE(A413,{"0","1","2"},""))))))))/10))*100+1&amp;""&amp;" &amp; "&amp;""&amp;(SUMPRODUCT(MID(0&amp;(--TRIM(RIGHT(SUBSTITUTE(LEFT(A413,_xlfn.AGGREGATE(16,6,FIND({0,1,2,3,4,5,6,7,8,9},A413,ROW(INDIRECT("1:"&amp;LEN(A413)))),1))," ",REPT(" ",LEN(A413))),LEN(A413)))), LARGE(INDEX(ISNUMBER(--MID((--TRIM(RIGHT(SUBSTITUTE(LEFT(A413,_xlfn.AGGREGATE(16,6,FIND({0,1,2,3,4,5,6,7,8,9},A413,ROW(INDIRECT("1:"&amp;LEN(A413)))),1))," ",REPT(" ",LEN(A413))),LEN(A413)))), ROW(INDIRECT("1:"&amp;LEN((--TRIM(RIGHT(SUBSTITUTE(LEFT(A413,_xlfn.AGGREGATE(16,6,FIND({0,1,2,3,4,5,6,7,8,9},A413,ROW(INDIRECT("1:"&amp;LEN(A413)))),1))," ",REPT(" ",LEN(A413))),LEN(A413))))))), 1)) * ROW(INDIRECT("1:"&amp;LEN((--TRIM(RIGHT(SUBSTITUTE(LEFT(A413,_xlfn.AGGREGATE(16,6,FIND({0,1,2,3,4,5,6,7,8,9},A413,ROW(INDIRECT("1:"&amp;LEN(A413)))),1))," ",REPT(" ",LEN(A413))),LEN(A413))))))), 0), ROW(INDIRECT("1:"&amp;LEN((--TRIM(RIGHT(SUBSTITUTE(LEFT(A413,_xlfn.AGGREGATE(16,6,FIND({0,1,2,3,4,5,6,7,8,9},A413,ROW(INDIRECT("1:"&amp;LEN(A413)))),1))," ",REPT(" ",LEN(A413))),LEN(A413))))))))+1, 1) * 10^ROW(INDIRECT("1:"&amp;LEN((--TRIM(RIGHT(SUBSTITUTE(LEFT(A413,_xlfn.AGGREGATE(16,6,FIND({0,1,2,3,4,5,6,7,8,9},A413,ROW(INDIRECT("1:"&amp;LEN(A413)))),1))," ",REPT(" ",LEN(A413))),LEN(A413)))))))/10))*100+1</f>
        <v>201 &amp; 401</v>
      </c>
      <c r="B414" s="115"/>
      <c r="C414" s="42" t="s">
        <v>169</v>
      </c>
      <c r="D414" s="42">
        <f>(29.705+5.3)*10.764</f>
        <v>376.79381999999993</v>
      </c>
      <c r="E414" s="42">
        <f>7.395*10.764</f>
        <v>79.599779999999996</v>
      </c>
      <c r="F414" s="42">
        <v>725</v>
      </c>
      <c r="G414" s="114" t="str">
        <f>A413</f>
        <v>2nd &amp; 4th Floor</v>
      </c>
      <c r="H414" s="115"/>
      <c r="I414" s="36"/>
      <c r="J414" s="57">
        <f t="shared" si="35"/>
        <v>1.712873687790315</v>
      </c>
    </row>
    <row r="415" spans="1:10" s="37" customFormat="1" x14ac:dyDescent="0.25">
      <c r="A415" s="114" t="str">
        <f ca="1">(SUMPRODUCT(MID(0&amp;(LEFT(A414,SUM(LEN(A414)-LEN(SUBSTITUTE(A414,{"0","1","2"},""))))), LARGE(INDEX(ISNUMBER(--MID((LEFT(A414,SUM(LEN(A414)-LEN(SUBSTITUTE(A414,{"0","1","2"},""))))), ROW(INDIRECT("1:"&amp;LEN((LEFT(A414,SUM(LEN(A414)-LEN(SUBSTITUTE(A414,{"0","1","2"},"")))))))), 1)) * ROW(INDIRECT("1:"&amp;LEN((LEFT(A414,SUM(LEN(A414)-LEN(SUBSTITUTE(A414,{"0","1","2"},"")))))))), 0), ROW(INDIRECT("1:"&amp;LEN((LEFT(A414,SUM(LEN(A414)-LEN(SUBSTITUTE(A414,{"0","1","2"},"")))))))))+1, 1) * 10^ROW(INDIRECT("1:"&amp;LEN((LEFT(A414,SUM(LEN(A414)-LEN(SUBSTITUTE(A414,{"0","1","2"},""))))))))/10))*1+1&amp;""&amp;" &amp; "&amp;""&amp;(SUMPRODUCT(MID(0&amp;(--TRIM(RIGHT(SUBSTITUTE(LEFT(A414,_xlfn.AGGREGATE(16,6,FIND({0,1,2,3,4,5,6,7,8,9},A414,ROW(INDIRECT("1:"&amp;LEN(A414)))),1))," ",REPT(" ",LEN(A414))),LEN(A414)))), LARGE(INDEX(ISNUMBER(--MID((--TRIM(RIGHT(SUBSTITUTE(LEFT(A414,_xlfn.AGGREGATE(16,6,FIND({0,1,2,3,4,5,6,7,8,9},A414,ROW(INDIRECT("1:"&amp;LEN(A414)))),1))," ",REPT(" ",LEN(A414))),LEN(A414)))), ROW(INDIRECT("1:"&amp;LEN((--TRIM(RIGHT(SUBSTITUTE(LEFT(A414,_xlfn.AGGREGATE(16,6,FIND({0,1,2,3,4,5,6,7,8,9},A414,ROW(INDIRECT("1:"&amp;LEN(A414)))),1))," ",REPT(" ",LEN(A414))),LEN(A414))))))), 1)) * ROW(INDIRECT("1:"&amp;LEN((--TRIM(RIGHT(SUBSTITUTE(LEFT(A414,_xlfn.AGGREGATE(16,6,FIND({0,1,2,3,4,5,6,7,8,9},A414,ROW(INDIRECT("1:"&amp;LEN(A414)))),1))," ",REPT(" ",LEN(A414))),LEN(A414))))))), 0), ROW(INDIRECT("1:"&amp;LEN((--TRIM(RIGHT(SUBSTITUTE(LEFT(A414,_xlfn.AGGREGATE(16,6,FIND({0,1,2,3,4,5,6,7,8,9},A414,ROW(INDIRECT("1:"&amp;LEN(A414)))),1))," ",REPT(" ",LEN(A414))),LEN(A414))))))))+1, 1) * 10^ROW(INDIRECT("1:"&amp;LEN((--TRIM(RIGHT(SUBSTITUTE(LEFT(A414,_xlfn.AGGREGATE(16,6,FIND({0,1,2,3,4,5,6,7,8,9},A414,ROW(INDIRECT("1:"&amp;LEN(A414)))),1))," ",REPT(" ",LEN(A414))),LEN(A414)))))))/10))*1+1</f>
        <v>202 &amp; 402</v>
      </c>
      <c r="B415" s="115"/>
      <c r="C415" s="42" t="s">
        <v>169</v>
      </c>
      <c r="D415" s="42">
        <f>(29.705+5.3)*10.764</f>
        <v>376.79381999999993</v>
      </c>
      <c r="E415" s="42">
        <f>7.395*10.764</f>
        <v>79.599779999999996</v>
      </c>
      <c r="F415" s="42">
        <v>725</v>
      </c>
      <c r="G415" s="114" t="str">
        <f t="shared" ref="G415:G420" si="37">G414</f>
        <v>2nd &amp; 4th Floor</v>
      </c>
      <c r="H415" s="115"/>
      <c r="I415" s="36"/>
      <c r="J415" s="57">
        <f t="shared" si="35"/>
        <v>1.712873687790315</v>
      </c>
    </row>
    <row r="416" spans="1:10" s="37" customFormat="1" x14ac:dyDescent="0.25">
      <c r="A416" s="114" t="str">
        <f ca="1">(SUMPRODUCT(MID(0&amp;(LEFT(A415,SUM(LEN(A415)-LEN(SUBSTITUTE(A415,{"0","1","2"},""))))), LARGE(INDEX(ISNUMBER(--MID((LEFT(A415,SUM(LEN(A415)-LEN(SUBSTITUTE(A415,{"0","1","2"},""))))), ROW(INDIRECT("1:"&amp;LEN((LEFT(A415,SUM(LEN(A415)-LEN(SUBSTITUTE(A415,{"0","1","2"},"")))))))), 1)) * ROW(INDIRECT("1:"&amp;LEN((LEFT(A415,SUM(LEN(A415)-LEN(SUBSTITUTE(A415,{"0","1","2"},"")))))))), 0), ROW(INDIRECT("1:"&amp;LEN((LEFT(A415,SUM(LEN(A415)-LEN(SUBSTITUTE(A415,{"0","1","2"},"")))))))))+1, 1) * 10^ROW(INDIRECT("1:"&amp;LEN((LEFT(A415,SUM(LEN(A415)-LEN(SUBSTITUTE(A415,{"0","1","2"},""))))))))/10))*1+1&amp;""&amp;" &amp; "&amp;""&amp;(SUMPRODUCT(MID(0&amp;(--TRIM(RIGHT(SUBSTITUTE(LEFT(A415,_xlfn.AGGREGATE(16,6,FIND({0,1,2,3,4,5,6,7,8,9},A415,ROW(INDIRECT("1:"&amp;LEN(A415)))),1))," ",REPT(" ",LEN(A415))),LEN(A415)))), LARGE(INDEX(ISNUMBER(--MID((--TRIM(RIGHT(SUBSTITUTE(LEFT(A415,_xlfn.AGGREGATE(16,6,FIND({0,1,2,3,4,5,6,7,8,9},A415,ROW(INDIRECT("1:"&amp;LEN(A415)))),1))," ",REPT(" ",LEN(A415))),LEN(A415)))), ROW(INDIRECT("1:"&amp;LEN((--TRIM(RIGHT(SUBSTITUTE(LEFT(A415,_xlfn.AGGREGATE(16,6,FIND({0,1,2,3,4,5,6,7,8,9},A415,ROW(INDIRECT("1:"&amp;LEN(A415)))),1))," ",REPT(" ",LEN(A415))),LEN(A415))))))), 1)) * ROW(INDIRECT("1:"&amp;LEN((--TRIM(RIGHT(SUBSTITUTE(LEFT(A415,_xlfn.AGGREGATE(16,6,FIND({0,1,2,3,4,5,6,7,8,9},A415,ROW(INDIRECT("1:"&amp;LEN(A415)))),1))," ",REPT(" ",LEN(A415))),LEN(A415))))))), 0), ROW(INDIRECT("1:"&amp;LEN((--TRIM(RIGHT(SUBSTITUTE(LEFT(A415,_xlfn.AGGREGATE(16,6,FIND({0,1,2,3,4,5,6,7,8,9},A415,ROW(INDIRECT("1:"&amp;LEN(A415)))),1))," ",REPT(" ",LEN(A415))),LEN(A415))))))))+1, 1) * 10^ROW(INDIRECT("1:"&amp;LEN((--TRIM(RIGHT(SUBSTITUTE(LEFT(A415,_xlfn.AGGREGATE(16,6,FIND({0,1,2,3,4,5,6,7,8,9},A415,ROW(INDIRECT("1:"&amp;LEN(A415)))),1))," ",REPT(" ",LEN(A415))),LEN(A415)))))))/10))*1+1</f>
        <v>203 &amp; 403</v>
      </c>
      <c r="B416" s="115"/>
      <c r="C416" s="42" t="s">
        <v>169</v>
      </c>
      <c r="D416" s="42">
        <f>(29.03+5.3)*10.764</f>
        <v>369.52811999999994</v>
      </c>
      <c r="E416" s="42">
        <f>0</f>
        <v>0</v>
      </c>
      <c r="F416" s="42">
        <v>600</v>
      </c>
      <c r="G416" s="114" t="str">
        <f t="shared" si="37"/>
        <v>2nd &amp; 4th Floor</v>
      </c>
      <c r="H416" s="115"/>
      <c r="I416" s="36"/>
      <c r="J416" s="57">
        <f t="shared" si="35"/>
        <v>1.6236923999180362</v>
      </c>
    </row>
    <row r="417" spans="1:10" s="37" customFormat="1" x14ac:dyDescent="0.25">
      <c r="A417" s="114" t="str">
        <f ca="1">(SUMPRODUCT(MID(0&amp;(LEFT(A416,SUM(LEN(A416)-LEN(SUBSTITUTE(A416,{"0","1","2"},""))))), LARGE(INDEX(ISNUMBER(--MID((LEFT(A416,SUM(LEN(A416)-LEN(SUBSTITUTE(A416,{"0","1","2"},""))))), ROW(INDIRECT("1:"&amp;LEN((LEFT(A416,SUM(LEN(A416)-LEN(SUBSTITUTE(A416,{"0","1","2"},"")))))))), 1)) * ROW(INDIRECT("1:"&amp;LEN((LEFT(A416,SUM(LEN(A416)-LEN(SUBSTITUTE(A416,{"0","1","2"},"")))))))), 0), ROW(INDIRECT("1:"&amp;LEN((LEFT(A416,SUM(LEN(A416)-LEN(SUBSTITUTE(A416,{"0","1","2"},"")))))))))+1, 1) * 10^ROW(INDIRECT("1:"&amp;LEN((LEFT(A416,SUM(LEN(A416)-LEN(SUBSTITUTE(A416,{"0","1","2"},""))))))))/10))*1+1&amp;""&amp;" &amp; "&amp;""&amp;(SUMPRODUCT(MID(0&amp;(--TRIM(RIGHT(SUBSTITUTE(LEFT(A416,_xlfn.AGGREGATE(16,6,FIND({0,1,2,3,4,5,6,7,8,9},A416,ROW(INDIRECT("1:"&amp;LEN(A416)))),1))," ",REPT(" ",LEN(A416))),LEN(A416)))), LARGE(INDEX(ISNUMBER(--MID((--TRIM(RIGHT(SUBSTITUTE(LEFT(A416,_xlfn.AGGREGATE(16,6,FIND({0,1,2,3,4,5,6,7,8,9},A416,ROW(INDIRECT("1:"&amp;LEN(A416)))),1))," ",REPT(" ",LEN(A416))),LEN(A416)))), ROW(INDIRECT("1:"&amp;LEN((--TRIM(RIGHT(SUBSTITUTE(LEFT(A416,_xlfn.AGGREGATE(16,6,FIND({0,1,2,3,4,5,6,7,8,9},A416,ROW(INDIRECT("1:"&amp;LEN(A416)))),1))," ",REPT(" ",LEN(A416))),LEN(A416))))))), 1)) * ROW(INDIRECT("1:"&amp;LEN((--TRIM(RIGHT(SUBSTITUTE(LEFT(A416,_xlfn.AGGREGATE(16,6,FIND({0,1,2,3,4,5,6,7,8,9},A416,ROW(INDIRECT("1:"&amp;LEN(A416)))),1))," ",REPT(" ",LEN(A416))),LEN(A416))))))), 0), ROW(INDIRECT("1:"&amp;LEN((--TRIM(RIGHT(SUBSTITUTE(LEFT(A416,_xlfn.AGGREGATE(16,6,FIND({0,1,2,3,4,5,6,7,8,9},A416,ROW(INDIRECT("1:"&amp;LEN(A416)))),1))," ",REPT(" ",LEN(A416))),LEN(A416))))))))+1, 1) * 10^ROW(INDIRECT("1:"&amp;LEN((--TRIM(RIGHT(SUBSTITUTE(LEFT(A416,_xlfn.AGGREGATE(16,6,FIND({0,1,2,3,4,5,6,7,8,9},A416,ROW(INDIRECT("1:"&amp;LEN(A416)))),1))," ",REPT(" ",LEN(A416))),LEN(A416)))))))/10))*1+1</f>
        <v>204 &amp; 404</v>
      </c>
      <c r="B417" s="115"/>
      <c r="C417" s="42" t="s">
        <v>169</v>
      </c>
      <c r="D417" s="42">
        <f>(29.257+5.44)*10.764</f>
        <v>373.47850800000003</v>
      </c>
      <c r="E417" s="42">
        <f>3.315*10.764</f>
        <v>35.682659999999998</v>
      </c>
      <c r="F417" s="42">
        <v>655</v>
      </c>
      <c r="G417" s="114" t="str">
        <f t="shared" si="37"/>
        <v>2nd &amp; 4th Floor</v>
      </c>
      <c r="H417" s="115"/>
      <c r="I417" s="36"/>
      <c r="J417" s="57">
        <f t="shared" si="35"/>
        <v>1.6582409073991482</v>
      </c>
    </row>
    <row r="418" spans="1:10" s="37" customFormat="1" x14ac:dyDescent="0.25">
      <c r="A418" s="114" t="str">
        <f ca="1">(SUMPRODUCT(MID(0&amp;(LEFT(A417,SUM(LEN(A417)-LEN(SUBSTITUTE(A417,{"0","1","2"},""))))), LARGE(INDEX(ISNUMBER(--MID((LEFT(A417,SUM(LEN(A417)-LEN(SUBSTITUTE(A417,{"0","1","2"},""))))), ROW(INDIRECT("1:"&amp;LEN((LEFT(A417,SUM(LEN(A417)-LEN(SUBSTITUTE(A417,{"0","1","2"},"")))))))), 1)) * ROW(INDIRECT("1:"&amp;LEN((LEFT(A417,SUM(LEN(A417)-LEN(SUBSTITUTE(A417,{"0","1","2"},"")))))))), 0), ROW(INDIRECT("1:"&amp;LEN((LEFT(A417,SUM(LEN(A417)-LEN(SUBSTITUTE(A417,{"0","1","2"},"")))))))))+1, 1) * 10^ROW(INDIRECT("1:"&amp;LEN((LEFT(A417,SUM(LEN(A417)-LEN(SUBSTITUTE(A417,{"0","1","2"},""))))))))/10))*1+1&amp;""&amp;" &amp; "&amp;""&amp;(SUMPRODUCT(MID(0&amp;(--TRIM(RIGHT(SUBSTITUTE(LEFT(A417,_xlfn.AGGREGATE(16,6,FIND({0,1,2,3,4,5,6,7,8,9},A417,ROW(INDIRECT("1:"&amp;LEN(A417)))),1))," ",REPT(" ",LEN(A417))),LEN(A417)))), LARGE(INDEX(ISNUMBER(--MID((--TRIM(RIGHT(SUBSTITUTE(LEFT(A417,_xlfn.AGGREGATE(16,6,FIND({0,1,2,3,4,5,6,7,8,9},A417,ROW(INDIRECT("1:"&amp;LEN(A417)))),1))," ",REPT(" ",LEN(A417))),LEN(A417)))), ROW(INDIRECT("1:"&amp;LEN((--TRIM(RIGHT(SUBSTITUTE(LEFT(A417,_xlfn.AGGREGATE(16,6,FIND({0,1,2,3,4,5,6,7,8,9},A417,ROW(INDIRECT("1:"&amp;LEN(A417)))),1))," ",REPT(" ",LEN(A417))),LEN(A417))))))), 1)) * ROW(INDIRECT("1:"&amp;LEN((--TRIM(RIGHT(SUBSTITUTE(LEFT(A417,_xlfn.AGGREGATE(16,6,FIND({0,1,2,3,4,5,6,7,8,9},A417,ROW(INDIRECT("1:"&amp;LEN(A417)))),1))," ",REPT(" ",LEN(A417))),LEN(A417))))))), 0), ROW(INDIRECT("1:"&amp;LEN((--TRIM(RIGHT(SUBSTITUTE(LEFT(A417,_xlfn.AGGREGATE(16,6,FIND({0,1,2,3,4,5,6,7,8,9},A417,ROW(INDIRECT("1:"&amp;LEN(A417)))),1))," ",REPT(" ",LEN(A417))),LEN(A417))))))))+1, 1) * 10^ROW(INDIRECT("1:"&amp;LEN((--TRIM(RIGHT(SUBSTITUTE(LEFT(A417,_xlfn.AGGREGATE(16,6,FIND({0,1,2,3,4,5,6,7,8,9},A417,ROW(INDIRECT("1:"&amp;LEN(A417)))),1))," ",REPT(" ",LEN(A417))),LEN(A417)))))))/10))*1+1</f>
        <v>205 &amp; 405</v>
      </c>
      <c r="B418" s="115"/>
      <c r="C418" s="42" t="s">
        <v>169</v>
      </c>
      <c r="D418" s="42">
        <f>(30.079+2.5)*10.764</f>
        <v>350.68035599999996</v>
      </c>
      <c r="E418" s="42">
        <f>6.02*10.764</f>
        <v>64.799279999999996</v>
      </c>
      <c r="F418" s="42">
        <v>670</v>
      </c>
      <c r="G418" s="114" t="str">
        <f t="shared" si="37"/>
        <v>2nd &amp; 4th Floor</v>
      </c>
      <c r="H418" s="115"/>
      <c r="I418" s="36"/>
      <c r="J418" s="57">
        <f t="shared" si="35"/>
        <v>1.7257901951029162</v>
      </c>
    </row>
    <row r="419" spans="1:10" s="37" customFormat="1" x14ac:dyDescent="0.25">
      <c r="A419" s="114" t="str">
        <f ca="1">(SUMPRODUCT(MID(0&amp;(LEFT(A418,SUM(LEN(A418)-LEN(SUBSTITUTE(A418,{"0","1","2"},""))))), LARGE(INDEX(ISNUMBER(--MID((LEFT(A418,SUM(LEN(A418)-LEN(SUBSTITUTE(A418,{"0","1","2"},""))))), ROW(INDIRECT("1:"&amp;LEN((LEFT(A418,SUM(LEN(A418)-LEN(SUBSTITUTE(A418,{"0","1","2"},"")))))))), 1)) * ROW(INDIRECT("1:"&amp;LEN((LEFT(A418,SUM(LEN(A418)-LEN(SUBSTITUTE(A418,{"0","1","2"},"")))))))), 0), ROW(INDIRECT("1:"&amp;LEN((LEFT(A418,SUM(LEN(A418)-LEN(SUBSTITUTE(A418,{"0","1","2"},"")))))))))+1, 1) * 10^ROW(INDIRECT("1:"&amp;LEN((LEFT(A418,SUM(LEN(A418)-LEN(SUBSTITUTE(A418,{"0","1","2"},""))))))))/10))*1+1&amp;""&amp;" &amp; "&amp;""&amp;(SUMPRODUCT(MID(0&amp;(--TRIM(RIGHT(SUBSTITUTE(LEFT(A418,_xlfn.AGGREGATE(16,6,FIND({0,1,2,3,4,5,6,7,8,9},A418,ROW(INDIRECT("1:"&amp;LEN(A418)))),1))," ",REPT(" ",LEN(A418))),LEN(A418)))), LARGE(INDEX(ISNUMBER(--MID((--TRIM(RIGHT(SUBSTITUTE(LEFT(A418,_xlfn.AGGREGATE(16,6,FIND({0,1,2,3,4,5,6,7,8,9},A418,ROW(INDIRECT("1:"&amp;LEN(A418)))),1))," ",REPT(" ",LEN(A418))),LEN(A418)))), ROW(INDIRECT("1:"&amp;LEN((--TRIM(RIGHT(SUBSTITUTE(LEFT(A418,_xlfn.AGGREGATE(16,6,FIND({0,1,2,3,4,5,6,7,8,9},A418,ROW(INDIRECT("1:"&amp;LEN(A418)))),1))," ",REPT(" ",LEN(A418))),LEN(A418))))))), 1)) * ROW(INDIRECT("1:"&amp;LEN((--TRIM(RIGHT(SUBSTITUTE(LEFT(A418,_xlfn.AGGREGATE(16,6,FIND({0,1,2,3,4,5,6,7,8,9},A418,ROW(INDIRECT("1:"&amp;LEN(A418)))),1))," ",REPT(" ",LEN(A418))),LEN(A418))))))), 0), ROW(INDIRECT("1:"&amp;LEN((--TRIM(RIGHT(SUBSTITUTE(LEFT(A418,_xlfn.AGGREGATE(16,6,FIND({0,1,2,3,4,5,6,7,8,9},A418,ROW(INDIRECT("1:"&amp;LEN(A418)))),1))," ",REPT(" ",LEN(A418))),LEN(A418))))))))+1, 1) * 10^ROW(INDIRECT("1:"&amp;LEN((--TRIM(RIGHT(SUBSTITUTE(LEFT(A418,_xlfn.AGGREGATE(16,6,FIND({0,1,2,3,4,5,6,7,8,9},A418,ROW(INDIRECT("1:"&amp;LEN(A418)))),1))," ",REPT(" ",LEN(A418))),LEN(A418)))))))/10))*1+1</f>
        <v>206 &amp; 406</v>
      </c>
      <c r="B419" s="115"/>
      <c r="C419" s="42" t="s">
        <v>177</v>
      </c>
      <c r="D419" s="42">
        <f>(19.678+2.425)*10.764</f>
        <v>237.91669200000001</v>
      </c>
      <c r="E419" s="42">
        <f>0</f>
        <v>0</v>
      </c>
      <c r="F419" s="42">
        <v>410</v>
      </c>
      <c r="G419" s="114" t="str">
        <f t="shared" si="37"/>
        <v>2nd &amp; 4th Floor</v>
      </c>
      <c r="H419" s="115"/>
      <c r="I419" s="36"/>
      <c r="J419" s="57">
        <f t="shared" si="35"/>
        <v>1.7232922858560928</v>
      </c>
    </row>
    <row r="420" spans="1:10" s="37" customFormat="1" x14ac:dyDescent="0.25">
      <c r="A420" s="114" t="str">
        <f ca="1">(SUMPRODUCT(MID(0&amp;(LEFT(A419,SUM(LEN(A419)-LEN(SUBSTITUTE(A419,{"0","1","2"},""))))), LARGE(INDEX(ISNUMBER(--MID((LEFT(A419,SUM(LEN(A419)-LEN(SUBSTITUTE(A419,{"0","1","2"},""))))), ROW(INDIRECT("1:"&amp;LEN((LEFT(A419,SUM(LEN(A419)-LEN(SUBSTITUTE(A419,{"0","1","2"},"")))))))), 1)) * ROW(INDIRECT("1:"&amp;LEN((LEFT(A419,SUM(LEN(A419)-LEN(SUBSTITUTE(A419,{"0","1","2"},"")))))))), 0), ROW(INDIRECT("1:"&amp;LEN((LEFT(A419,SUM(LEN(A419)-LEN(SUBSTITUTE(A419,{"0","1","2"},"")))))))))+1, 1) * 10^ROW(INDIRECT("1:"&amp;LEN((LEFT(A419,SUM(LEN(A419)-LEN(SUBSTITUTE(A419,{"0","1","2"},""))))))))/10))*1+1&amp;""&amp;" &amp; "&amp;""&amp;(SUMPRODUCT(MID(0&amp;(--TRIM(RIGHT(SUBSTITUTE(LEFT(A419,_xlfn.AGGREGATE(16,6,FIND({0,1,2,3,4,5,6,7,8,9},A419,ROW(INDIRECT("1:"&amp;LEN(A419)))),1))," ",REPT(" ",LEN(A419))),LEN(A419)))), LARGE(INDEX(ISNUMBER(--MID((--TRIM(RIGHT(SUBSTITUTE(LEFT(A419,_xlfn.AGGREGATE(16,6,FIND({0,1,2,3,4,5,6,7,8,9},A419,ROW(INDIRECT("1:"&amp;LEN(A419)))),1))," ",REPT(" ",LEN(A419))),LEN(A419)))), ROW(INDIRECT("1:"&amp;LEN((--TRIM(RIGHT(SUBSTITUTE(LEFT(A419,_xlfn.AGGREGATE(16,6,FIND({0,1,2,3,4,5,6,7,8,9},A419,ROW(INDIRECT("1:"&amp;LEN(A419)))),1))," ",REPT(" ",LEN(A419))),LEN(A419))))))), 1)) * ROW(INDIRECT("1:"&amp;LEN((--TRIM(RIGHT(SUBSTITUTE(LEFT(A419,_xlfn.AGGREGATE(16,6,FIND({0,1,2,3,4,5,6,7,8,9},A419,ROW(INDIRECT("1:"&amp;LEN(A419)))),1))," ",REPT(" ",LEN(A419))),LEN(A419))))))), 0), ROW(INDIRECT("1:"&amp;LEN((--TRIM(RIGHT(SUBSTITUTE(LEFT(A419,_xlfn.AGGREGATE(16,6,FIND({0,1,2,3,4,5,6,7,8,9},A419,ROW(INDIRECT("1:"&amp;LEN(A419)))),1))," ",REPT(" ",LEN(A419))),LEN(A419))))))))+1, 1) * 10^ROW(INDIRECT("1:"&amp;LEN((--TRIM(RIGHT(SUBSTITUTE(LEFT(A419,_xlfn.AGGREGATE(16,6,FIND({0,1,2,3,4,5,6,7,8,9},A419,ROW(INDIRECT("1:"&amp;LEN(A419)))),1))," ",REPT(" ",LEN(A419))),LEN(A419)))))))/10))*1+1</f>
        <v>207 &amp; 407</v>
      </c>
      <c r="B420" s="115"/>
      <c r="C420" s="42" t="s">
        <v>177</v>
      </c>
      <c r="D420" s="42">
        <f>(19.94+2.425)*10.764</f>
        <v>240.73686000000001</v>
      </c>
      <c r="E420" s="42">
        <f>7.445*10.764</f>
        <v>80.137979999999999</v>
      </c>
      <c r="F420" s="42">
        <v>520</v>
      </c>
      <c r="G420" s="114" t="str">
        <f t="shared" si="37"/>
        <v>2nd &amp; 4th Floor</v>
      </c>
      <c r="H420" s="115"/>
      <c r="I420" s="36"/>
      <c r="J420" s="57">
        <f t="shared" si="35"/>
        <v>1.8271486136356518</v>
      </c>
    </row>
    <row r="421" spans="1:10" s="34" customFormat="1" x14ac:dyDescent="0.25">
      <c r="A421" s="122" t="s">
        <v>234</v>
      </c>
      <c r="B421" s="122"/>
      <c r="C421" s="122"/>
      <c r="D421" s="122"/>
      <c r="E421" s="122"/>
      <c r="F421" s="122"/>
      <c r="G421" s="122"/>
      <c r="H421" s="122"/>
      <c r="J421" s="57" t="e">
        <f t="shared" si="35"/>
        <v>#DIV/0!</v>
      </c>
    </row>
    <row r="422" spans="1:10" s="37" customFormat="1" x14ac:dyDescent="0.25">
      <c r="A422" s="119" t="s">
        <v>167</v>
      </c>
      <c r="B422" s="120"/>
      <c r="C422" s="120"/>
      <c r="D422" s="120"/>
      <c r="E422" s="120"/>
      <c r="F422" s="120"/>
      <c r="G422" s="120"/>
      <c r="H422" s="121"/>
      <c r="I422" s="36"/>
      <c r="J422" s="57" t="e">
        <f t="shared" si="35"/>
        <v>#DIV/0!</v>
      </c>
    </row>
    <row r="423" spans="1:10" s="37" customFormat="1" x14ac:dyDescent="0.25">
      <c r="A423" s="114" t="str">
        <f ca="1">(SUMPRODUCT(MID(0&amp;(LEFT(A422,SUM(LEN(A422)-LEN(SUBSTITUTE(A422,{"0","1","2"},""))))), LARGE(INDEX(ISNUMBER(--MID((LEFT(A422,SUM(LEN(A422)-LEN(SUBSTITUTE(A422,{"0","1","2"},""))))), ROW(INDIRECT("1:"&amp;LEN((LEFT(A422,SUM(LEN(A422)-LEN(SUBSTITUTE(A422,{"0","1","2"},"")))))))), 1)) * ROW(INDIRECT("1:"&amp;LEN((LEFT(A422,SUM(LEN(A422)-LEN(SUBSTITUTE(A422,{"0","1","2"},"")))))))), 0), ROW(INDIRECT("1:"&amp;LEN((LEFT(A422,SUM(LEN(A422)-LEN(SUBSTITUTE(A422,{"0","1","2"},"")))))))))+1, 1) * 10^ROW(INDIRECT("1:"&amp;LEN((LEFT(A422,SUM(LEN(A422)-LEN(SUBSTITUTE(A422,{"0","1","2"},""))))))))/10))*100+1&amp;""&amp;" &amp; "&amp;""&amp;(SUMPRODUCT(MID(0&amp;(--TRIM(RIGHT(SUBSTITUTE(LEFT(A422,_xlfn.AGGREGATE(16,6,FIND({0,1,2,3,4,5,6,7,8,9},A422,ROW(INDIRECT("1:"&amp;LEN(A422)))),1))," ",REPT(" ",LEN(A422))),LEN(A422)))), LARGE(INDEX(ISNUMBER(--MID((--TRIM(RIGHT(SUBSTITUTE(LEFT(A422,_xlfn.AGGREGATE(16,6,FIND({0,1,2,3,4,5,6,7,8,9},A422,ROW(INDIRECT("1:"&amp;LEN(A422)))),1))," ",REPT(" ",LEN(A422))),LEN(A422)))), ROW(INDIRECT("1:"&amp;LEN((--TRIM(RIGHT(SUBSTITUTE(LEFT(A422,_xlfn.AGGREGATE(16,6,FIND({0,1,2,3,4,5,6,7,8,9},A422,ROW(INDIRECT("1:"&amp;LEN(A422)))),1))," ",REPT(" ",LEN(A422))),LEN(A422))))))), 1)) * ROW(INDIRECT("1:"&amp;LEN((--TRIM(RIGHT(SUBSTITUTE(LEFT(A422,_xlfn.AGGREGATE(16,6,FIND({0,1,2,3,4,5,6,7,8,9},A422,ROW(INDIRECT("1:"&amp;LEN(A422)))),1))," ",REPT(" ",LEN(A422))),LEN(A422))))))), 0), ROW(INDIRECT("1:"&amp;LEN((--TRIM(RIGHT(SUBSTITUTE(LEFT(A422,_xlfn.AGGREGATE(16,6,FIND({0,1,2,3,4,5,6,7,8,9},A422,ROW(INDIRECT("1:"&amp;LEN(A422)))),1))," ",REPT(" ",LEN(A422))),LEN(A422))))))))+1, 1) * 10^ROW(INDIRECT("1:"&amp;LEN((--TRIM(RIGHT(SUBSTITUTE(LEFT(A422,_xlfn.AGGREGATE(16,6,FIND({0,1,2,3,4,5,6,7,8,9},A422,ROW(INDIRECT("1:"&amp;LEN(A422)))),1))," ",REPT(" ",LEN(A422))),LEN(A422)))))))/10))*100+1</f>
        <v>101 &amp; 301</v>
      </c>
      <c r="B423" s="115"/>
      <c r="C423" s="42" t="s">
        <v>169</v>
      </c>
      <c r="D423" s="42">
        <f>(30.532+5.24)*10.764</f>
        <v>385.04980799999998</v>
      </c>
      <c r="E423" s="42">
        <f>6.404*10.764</f>
        <v>68.932655999999994</v>
      </c>
      <c r="F423" s="42">
        <v>720</v>
      </c>
      <c r="G423" s="114" t="str">
        <f>A422</f>
        <v>1st &amp; 3rd Floor for Residential</v>
      </c>
      <c r="H423" s="115"/>
      <c r="I423" s="36"/>
      <c r="J423" s="57">
        <f t="shared" si="35"/>
        <v>1.6908652607353074</v>
      </c>
    </row>
    <row r="424" spans="1:10" s="37" customFormat="1" x14ac:dyDescent="0.25">
      <c r="A424" s="114" t="str">
        <f ca="1">(SUMPRODUCT(MID(0&amp;(LEFT(A423,SUM(LEN(A423)-LEN(SUBSTITUTE(A423,{"0","1","2"},""))))), LARGE(INDEX(ISNUMBER(--MID((LEFT(A423,SUM(LEN(A423)-LEN(SUBSTITUTE(A423,{"0","1","2"},""))))), ROW(INDIRECT("1:"&amp;LEN((LEFT(A423,SUM(LEN(A423)-LEN(SUBSTITUTE(A423,{"0","1","2"},"")))))))), 1)) * ROW(INDIRECT("1:"&amp;LEN((LEFT(A423,SUM(LEN(A423)-LEN(SUBSTITUTE(A423,{"0","1","2"},"")))))))), 0), ROW(INDIRECT("1:"&amp;LEN((LEFT(A423,SUM(LEN(A423)-LEN(SUBSTITUTE(A423,{"0","1","2"},"")))))))))+1, 1) * 10^ROW(INDIRECT("1:"&amp;LEN((LEFT(A423,SUM(LEN(A423)-LEN(SUBSTITUTE(A423,{"0","1","2"},""))))))))/10))*1+1&amp;""&amp;" &amp; "&amp;""&amp;(SUMPRODUCT(MID(0&amp;(--TRIM(RIGHT(SUBSTITUTE(LEFT(A423,_xlfn.AGGREGATE(16,6,FIND({0,1,2,3,4,5,6,7,8,9},A423,ROW(INDIRECT("1:"&amp;LEN(A423)))),1))," ",REPT(" ",LEN(A423))),LEN(A423)))), LARGE(INDEX(ISNUMBER(--MID((--TRIM(RIGHT(SUBSTITUTE(LEFT(A423,_xlfn.AGGREGATE(16,6,FIND({0,1,2,3,4,5,6,7,8,9},A423,ROW(INDIRECT("1:"&amp;LEN(A423)))),1))," ",REPT(" ",LEN(A423))),LEN(A423)))), ROW(INDIRECT("1:"&amp;LEN((--TRIM(RIGHT(SUBSTITUTE(LEFT(A423,_xlfn.AGGREGATE(16,6,FIND({0,1,2,3,4,5,6,7,8,9},A423,ROW(INDIRECT("1:"&amp;LEN(A423)))),1))," ",REPT(" ",LEN(A423))),LEN(A423))))))), 1)) * ROW(INDIRECT("1:"&amp;LEN((--TRIM(RIGHT(SUBSTITUTE(LEFT(A423,_xlfn.AGGREGATE(16,6,FIND({0,1,2,3,4,5,6,7,8,9},A423,ROW(INDIRECT("1:"&amp;LEN(A423)))),1))," ",REPT(" ",LEN(A423))),LEN(A423))))))), 0), ROW(INDIRECT("1:"&amp;LEN((--TRIM(RIGHT(SUBSTITUTE(LEFT(A423,_xlfn.AGGREGATE(16,6,FIND({0,1,2,3,4,5,6,7,8,9},A423,ROW(INDIRECT("1:"&amp;LEN(A423)))),1))," ",REPT(" ",LEN(A423))),LEN(A423))))))))+1, 1) * 10^ROW(INDIRECT("1:"&amp;LEN((--TRIM(RIGHT(SUBSTITUTE(LEFT(A423,_xlfn.AGGREGATE(16,6,FIND({0,1,2,3,4,5,6,7,8,9},A423,ROW(INDIRECT("1:"&amp;LEN(A423)))),1))," ",REPT(" ",LEN(A423))),LEN(A423)))))))/10))*1+1</f>
        <v>102 &amp; 302</v>
      </c>
      <c r="B424" s="115"/>
      <c r="C424" s="42" t="s">
        <v>169</v>
      </c>
      <c r="D424" s="42">
        <f>(29.615+5.24)*10.764</f>
        <v>375.17921999999993</v>
      </c>
      <c r="E424" s="42">
        <f>6.404*10.764</f>
        <v>68.932655999999994</v>
      </c>
      <c r="F424" s="42">
        <v>710</v>
      </c>
      <c r="G424" s="114" t="str">
        <f t="shared" ref="G424:G428" si="38">G423</f>
        <v>1st &amp; 3rd Floor for Residential</v>
      </c>
      <c r="H424" s="115"/>
      <c r="I424" s="36"/>
      <c r="J424" s="57">
        <f t="shared" si="35"/>
        <v>1.7086962971989765</v>
      </c>
    </row>
    <row r="425" spans="1:10" s="37" customFormat="1" x14ac:dyDescent="0.25">
      <c r="A425" s="114" t="str">
        <f ca="1">(SUMPRODUCT(MID(0&amp;(LEFT(A424,SUM(LEN(A424)-LEN(SUBSTITUTE(A424,{"0","1","2"},""))))), LARGE(INDEX(ISNUMBER(--MID((LEFT(A424,SUM(LEN(A424)-LEN(SUBSTITUTE(A424,{"0","1","2"},""))))), ROW(INDIRECT("1:"&amp;LEN((LEFT(A424,SUM(LEN(A424)-LEN(SUBSTITUTE(A424,{"0","1","2"},"")))))))), 1)) * ROW(INDIRECT("1:"&amp;LEN((LEFT(A424,SUM(LEN(A424)-LEN(SUBSTITUTE(A424,{"0","1","2"},"")))))))), 0), ROW(INDIRECT("1:"&amp;LEN((LEFT(A424,SUM(LEN(A424)-LEN(SUBSTITUTE(A424,{"0","1","2"},"")))))))))+1, 1) * 10^ROW(INDIRECT("1:"&amp;LEN((LEFT(A424,SUM(LEN(A424)-LEN(SUBSTITUTE(A424,{"0","1","2"},""))))))))/10))*1+1&amp;""&amp;" &amp; "&amp;""&amp;(SUMPRODUCT(MID(0&amp;(--TRIM(RIGHT(SUBSTITUTE(LEFT(A424,_xlfn.AGGREGATE(16,6,FIND({0,1,2,3,4,5,6,7,8,9},A424,ROW(INDIRECT("1:"&amp;LEN(A424)))),1))," ",REPT(" ",LEN(A424))),LEN(A424)))), LARGE(INDEX(ISNUMBER(--MID((--TRIM(RIGHT(SUBSTITUTE(LEFT(A424,_xlfn.AGGREGATE(16,6,FIND({0,1,2,3,4,5,6,7,8,9},A424,ROW(INDIRECT("1:"&amp;LEN(A424)))),1))," ",REPT(" ",LEN(A424))),LEN(A424)))), ROW(INDIRECT("1:"&amp;LEN((--TRIM(RIGHT(SUBSTITUTE(LEFT(A424,_xlfn.AGGREGATE(16,6,FIND({0,1,2,3,4,5,6,7,8,9},A424,ROW(INDIRECT("1:"&amp;LEN(A424)))),1))," ",REPT(" ",LEN(A424))),LEN(A424))))))), 1)) * ROW(INDIRECT("1:"&amp;LEN((--TRIM(RIGHT(SUBSTITUTE(LEFT(A424,_xlfn.AGGREGATE(16,6,FIND({0,1,2,3,4,5,6,7,8,9},A424,ROW(INDIRECT("1:"&amp;LEN(A424)))),1))," ",REPT(" ",LEN(A424))),LEN(A424))))))), 0), ROW(INDIRECT("1:"&amp;LEN((--TRIM(RIGHT(SUBSTITUTE(LEFT(A424,_xlfn.AGGREGATE(16,6,FIND({0,1,2,3,4,5,6,7,8,9},A424,ROW(INDIRECT("1:"&amp;LEN(A424)))),1))," ",REPT(" ",LEN(A424))),LEN(A424))))))))+1, 1) * 10^ROW(INDIRECT("1:"&amp;LEN((--TRIM(RIGHT(SUBSTITUTE(LEFT(A424,_xlfn.AGGREGATE(16,6,FIND({0,1,2,3,4,5,6,7,8,9},A424,ROW(INDIRECT("1:"&amp;LEN(A424)))),1))," ",REPT(" ",LEN(A424))),LEN(A424)))))))/10))*1+1</f>
        <v>103 &amp; 303</v>
      </c>
      <c r="B425" s="115"/>
      <c r="C425" s="42" t="s">
        <v>168</v>
      </c>
      <c r="D425" s="42">
        <f>(43.382+6.3)*10.764</f>
        <v>534.77704799999992</v>
      </c>
      <c r="E425" s="42">
        <f>6.885*10.764</f>
        <v>74.110139999999987</v>
      </c>
      <c r="F425" s="42">
        <v>965</v>
      </c>
      <c r="G425" s="114" t="str">
        <f t="shared" si="38"/>
        <v>1st &amp; 3rd Floor for Residential</v>
      </c>
      <c r="H425" s="115"/>
      <c r="I425" s="36"/>
      <c r="J425" s="57">
        <f t="shared" si="35"/>
        <v>1.6659089303324031</v>
      </c>
    </row>
    <row r="426" spans="1:10" s="37" customFormat="1" x14ac:dyDescent="0.25">
      <c r="A426" s="114" t="str">
        <f ca="1">(SUMPRODUCT(MID(0&amp;(LEFT(A425,SUM(LEN(A425)-LEN(SUBSTITUTE(A425,{"0","1","2"},""))))), LARGE(INDEX(ISNUMBER(--MID((LEFT(A425,SUM(LEN(A425)-LEN(SUBSTITUTE(A425,{"0","1","2"},""))))), ROW(INDIRECT("1:"&amp;LEN((LEFT(A425,SUM(LEN(A425)-LEN(SUBSTITUTE(A425,{"0","1","2"},"")))))))), 1)) * ROW(INDIRECT("1:"&amp;LEN((LEFT(A425,SUM(LEN(A425)-LEN(SUBSTITUTE(A425,{"0","1","2"},"")))))))), 0), ROW(INDIRECT("1:"&amp;LEN((LEFT(A425,SUM(LEN(A425)-LEN(SUBSTITUTE(A425,{"0","1","2"},"")))))))))+1, 1) * 10^ROW(INDIRECT("1:"&amp;LEN((LEFT(A425,SUM(LEN(A425)-LEN(SUBSTITUTE(A425,{"0","1","2"},""))))))))/10))*1+1&amp;""&amp;" &amp; "&amp;""&amp;(SUMPRODUCT(MID(0&amp;(--TRIM(RIGHT(SUBSTITUTE(LEFT(A425,_xlfn.AGGREGATE(16,6,FIND({0,1,2,3,4,5,6,7,8,9},A425,ROW(INDIRECT("1:"&amp;LEN(A425)))),1))," ",REPT(" ",LEN(A425))),LEN(A425)))), LARGE(INDEX(ISNUMBER(--MID((--TRIM(RIGHT(SUBSTITUTE(LEFT(A425,_xlfn.AGGREGATE(16,6,FIND({0,1,2,3,4,5,6,7,8,9},A425,ROW(INDIRECT("1:"&amp;LEN(A425)))),1))," ",REPT(" ",LEN(A425))),LEN(A425)))), ROW(INDIRECT("1:"&amp;LEN((--TRIM(RIGHT(SUBSTITUTE(LEFT(A425,_xlfn.AGGREGATE(16,6,FIND({0,1,2,3,4,5,6,7,8,9},A425,ROW(INDIRECT("1:"&amp;LEN(A425)))),1))," ",REPT(" ",LEN(A425))),LEN(A425))))))), 1)) * ROW(INDIRECT("1:"&amp;LEN((--TRIM(RIGHT(SUBSTITUTE(LEFT(A425,_xlfn.AGGREGATE(16,6,FIND({0,1,2,3,4,5,6,7,8,9},A425,ROW(INDIRECT("1:"&amp;LEN(A425)))),1))," ",REPT(" ",LEN(A425))),LEN(A425))))))), 0), ROW(INDIRECT("1:"&amp;LEN((--TRIM(RIGHT(SUBSTITUTE(LEFT(A425,_xlfn.AGGREGATE(16,6,FIND({0,1,2,3,4,5,6,7,8,9},A425,ROW(INDIRECT("1:"&amp;LEN(A425)))),1))," ",REPT(" ",LEN(A425))),LEN(A425))))))))+1, 1) * 10^ROW(INDIRECT("1:"&amp;LEN((--TRIM(RIGHT(SUBSTITUTE(LEFT(A425,_xlfn.AGGREGATE(16,6,FIND({0,1,2,3,4,5,6,7,8,9},A425,ROW(INDIRECT("1:"&amp;LEN(A425)))),1))," ",REPT(" ",LEN(A425))),LEN(A425)))))))/10))*1+1</f>
        <v>104 &amp; 304</v>
      </c>
      <c r="B426" s="115"/>
      <c r="C426" s="42" t="s">
        <v>168</v>
      </c>
      <c r="D426" s="42">
        <f>(46.037+3.045)*10.764</f>
        <v>528.31864799999994</v>
      </c>
      <c r="E426" s="42">
        <f>6.885*10.764</f>
        <v>74.110139999999987</v>
      </c>
      <c r="F426" s="42">
        <v>965</v>
      </c>
      <c r="G426" s="114" t="str">
        <f t="shared" si="38"/>
        <v>1st &amp; 3rd Floor for Residential</v>
      </c>
      <c r="H426" s="115"/>
      <c r="I426" s="36"/>
      <c r="J426" s="58">
        <f t="shared" si="35"/>
        <v>1.6862737353158885</v>
      </c>
    </row>
    <row r="427" spans="1:10" s="37" customFormat="1" x14ac:dyDescent="0.25">
      <c r="A427" s="114" t="str">
        <f ca="1">(SUMPRODUCT(MID(0&amp;(LEFT(A426,SUM(LEN(A426)-LEN(SUBSTITUTE(A426,{"0","1","2"},""))))), LARGE(INDEX(ISNUMBER(--MID((LEFT(A426,SUM(LEN(A426)-LEN(SUBSTITUTE(A426,{"0","1","2"},""))))), ROW(INDIRECT("1:"&amp;LEN((LEFT(A426,SUM(LEN(A426)-LEN(SUBSTITUTE(A426,{"0","1","2"},"")))))))), 1)) * ROW(INDIRECT("1:"&amp;LEN((LEFT(A426,SUM(LEN(A426)-LEN(SUBSTITUTE(A426,{"0","1","2"},"")))))))), 0), ROW(INDIRECT("1:"&amp;LEN((LEFT(A426,SUM(LEN(A426)-LEN(SUBSTITUTE(A426,{"0","1","2"},"")))))))))+1, 1) * 10^ROW(INDIRECT("1:"&amp;LEN((LEFT(A426,SUM(LEN(A426)-LEN(SUBSTITUTE(A426,{"0","1","2"},""))))))))/10))*1+1&amp;""&amp;" &amp; "&amp;""&amp;(SUMPRODUCT(MID(0&amp;(--TRIM(RIGHT(SUBSTITUTE(LEFT(A426,_xlfn.AGGREGATE(16,6,FIND({0,1,2,3,4,5,6,7,8,9},A426,ROW(INDIRECT("1:"&amp;LEN(A426)))),1))," ",REPT(" ",LEN(A426))),LEN(A426)))), LARGE(INDEX(ISNUMBER(--MID((--TRIM(RIGHT(SUBSTITUTE(LEFT(A426,_xlfn.AGGREGATE(16,6,FIND({0,1,2,3,4,5,6,7,8,9},A426,ROW(INDIRECT("1:"&amp;LEN(A426)))),1))," ",REPT(" ",LEN(A426))),LEN(A426)))), ROW(INDIRECT("1:"&amp;LEN((--TRIM(RIGHT(SUBSTITUTE(LEFT(A426,_xlfn.AGGREGATE(16,6,FIND({0,1,2,3,4,5,6,7,8,9},A426,ROW(INDIRECT("1:"&amp;LEN(A426)))),1))," ",REPT(" ",LEN(A426))),LEN(A426))))))), 1)) * ROW(INDIRECT("1:"&amp;LEN((--TRIM(RIGHT(SUBSTITUTE(LEFT(A426,_xlfn.AGGREGATE(16,6,FIND({0,1,2,3,4,5,6,7,8,9},A426,ROW(INDIRECT("1:"&amp;LEN(A426)))),1))," ",REPT(" ",LEN(A426))),LEN(A426))))))), 0), ROW(INDIRECT("1:"&amp;LEN((--TRIM(RIGHT(SUBSTITUTE(LEFT(A426,_xlfn.AGGREGATE(16,6,FIND({0,1,2,3,4,5,6,7,8,9},A426,ROW(INDIRECT("1:"&amp;LEN(A426)))),1))," ",REPT(" ",LEN(A426))),LEN(A426))))))))+1, 1) * 10^ROW(INDIRECT("1:"&amp;LEN((--TRIM(RIGHT(SUBSTITUTE(LEFT(A426,_xlfn.AGGREGATE(16,6,FIND({0,1,2,3,4,5,6,7,8,9},A426,ROW(INDIRECT("1:"&amp;LEN(A426)))),1))," ",REPT(" ",LEN(A426))),LEN(A426)))))))/10))*1+1</f>
        <v>105 &amp; 305</v>
      </c>
      <c r="B427" s="115"/>
      <c r="C427" s="42" t="s">
        <v>169</v>
      </c>
      <c r="D427" s="42">
        <f>(30.21+5.24)*10.764</f>
        <v>381.5838</v>
      </c>
      <c r="E427" s="42">
        <f>6.404*10.764</f>
        <v>68.932655999999994</v>
      </c>
      <c r="F427" s="42">
        <v>720</v>
      </c>
      <c r="G427" s="114" t="str">
        <f t="shared" si="38"/>
        <v>1st &amp; 3rd Floor for Residential</v>
      </c>
      <c r="H427" s="115"/>
      <c r="I427" s="36"/>
      <c r="J427" s="57">
        <f t="shared" si="35"/>
        <v>1.7062237547820427</v>
      </c>
    </row>
    <row r="428" spans="1:10" s="37" customFormat="1" x14ac:dyDescent="0.25">
      <c r="A428" s="114" t="str">
        <f ca="1">(SUMPRODUCT(MID(0&amp;(LEFT(A427,SUM(LEN(A427)-LEN(SUBSTITUTE(A427,{"0","1","2"},""))))), LARGE(INDEX(ISNUMBER(--MID((LEFT(A427,SUM(LEN(A427)-LEN(SUBSTITUTE(A427,{"0","1","2"},""))))), ROW(INDIRECT("1:"&amp;LEN((LEFT(A427,SUM(LEN(A427)-LEN(SUBSTITUTE(A427,{"0","1","2"},"")))))))), 1)) * ROW(INDIRECT("1:"&amp;LEN((LEFT(A427,SUM(LEN(A427)-LEN(SUBSTITUTE(A427,{"0","1","2"},"")))))))), 0), ROW(INDIRECT("1:"&amp;LEN((LEFT(A427,SUM(LEN(A427)-LEN(SUBSTITUTE(A427,{"0","1","2"},"")))))))))+1, 1) * 10^ROW(INDIRECT("1:"&amp;LEN((LEFT(A427,SUM(LEN(A427)-LEN(SUBSTITUTE(A427,{"0","1","2"},""))))))))/10))*1+1&amp;""&amp;" &amp; "&amp;""&amp;(SUMPRODUCT(MID(0&amp;(--TRIM(RIGHT(SUBSTITUTE(LEFT(A427,_xlfn.AGGREGATE(16,6,FIND({0,1,2,3,4,5,6,7,8,9},A427,ROW(INDIRECT("1:"&amp;LEN(A427)))),1))," ",REPT(" ",LEN(A427))),LEN(A427)))), LARGE(INDEX(ISNUMBER(--MID((--TRIM(RIGHT(SUBSTITUTE(LEFT(A427,_xlfn.AGGREGATE(16,6,FIND({0,1,2,3,4,5,6,7,8,9},A427,ROW(INDIRECT("1:"&amp;LEN(A427)))),1))," ",REPT(" ",LEN(A427))),LEN(A427)))), ROW(INDIRECT("1:"&amp;LEN((--TRIM(RIGHT(SUBSTITUTE(LEFT(A427,_xlfn.AGGREGATE(16,6,FIND({0,1,2,3,4,5,6,7,8,9},A427,ROW(INDIRECT("1:"&amp;LEN(A427)))),1))," ",REPT(" ",LEN(A427))),LEN(A427))))))), 1)) * ROW(INDIRECT("1:"&amp;LEN((--TRIM(RIGHT(SUBSTITUTE(LEFT(A427,_xlfn.AGGREGATE(16,6,FIND({0,1,2,3,4,5,6,7,8,9},A427,ROW(INDIRECT("1:"&amp;LEN(A427)))),1))," ",REPT(" ",LEN(A427))),LEN(A427))))))), 0), ROW(INDIRECT("1:"&amp;LEN((--TRIM(RIGHT(SUBSTITUTE(LEFT(A427,_xlfn.AGGREGATE(16,6,FIND({0,1,2,3,4,5,6,7,8,9},A427,ROW(INDIRECT("1:"&amp;LEN(A427)))),1))," ",REPT(" ",LEN(A427))),LEN(A427))))))))+1, 1) * 10^ROW(INDIRECT("1:"&amp;LEN((--TRIM(RIGHT(SUBSTITUTE(LEFT(A427,_xlfn.AGGREGATE(16,6,FIND({0,1,2,3,4,5,6,7,8,9},A427,ROW(INDIRECT("1:"&amp;LEN(A427)))),1))," ",REPT(" ",LEN(A427))),LEN(A427)))))))/10))*1+1</f>
        <v>106 &amp; 306</v>
      </c>
      <c r="B428" s="115"/>
      <c r="C428" s="42" t="s">
        <v>169</v>
      </c>
      <c r="D428" s="42">
        <f>(30.532+5.24)*10.764</f>
        <v>385.04980799999998</v>
      </c>
      <c r="E428" s="42">
        <f>6.404*10.764</f>
        <v>68.932655999999994</v>
      </c>
      <c r="F428" s="42">
        <v>665</v>
      </c>
      <c r="G428" s="114" t="str">
        <f t="shared" si="38"/>
        <v>1st &amp; 3rd Floor for Residential</v>
      </c>
      <c r="H428" s="115"/>
      <c r="I428" s="36"/>
      <c r="J428" s="57">
        <f t="shared" si="35"/>
        <v>1.5480265971201317</v>
      </c>
    </row>
    <row r="429" spans="1:10" s="37" customFormat="1" x14ac:dyDescent="0.25">
      <c r="A429" s="119" t="s">
        <v>185</v>
      </c>
      <c r="B429" s="120"/>
      <c r="C429" s="120"/>
      <c r="D429" s="120"/>
      <c r="E429" s="120"/>
      <c r="F429" s="120"/>
      <c r="G429" s="120"/>
      <c r="H429" s="121"/>
      <c r="I429" s="36"/>
      <c r="J429" s="57" t="e">
        <f t="shared" si="35"/>
        <v>#DIV/0!</v>
      </c>
    </row>
    <row r="430" spans="1:10" s="37" customFormat="1" x14ac:dyDescent="0.25">
      <c r="A430" s="114" t="str">
        <f ca="1">(SUMPRODUCT(MID(0&amp;(LEFT(A429,SUM(LEN(A429)-LEN(SUBSTITUTE(A429,{"0","1","2"},""))))), LARGE(INDEX(ISNUMBER(--MID((LEFT(A429,SUM(LEN(A429)-LEN(SUBSTITUTE(A429,{"0","1","2"},""))))), ROW(INDIRECT("1:"&amp;LEN((LEFT(A429,SUM(LEN(A429)-LEN(SUBSTITUTE(A429,{"0","1","2"},"")))))))), 1)) * ROW(INDIRECT("1:"&amp;LEN((LEFT(A429,SUM(LEN(A429)-LEN(SUBSTITUTE(A429,{"0","1","2"},"")))))))), 0), ROW(INDIRECT("1:"&amp;LEN((LEFT(A429,SUM(LEN(A429)-LEN(SUBSTITUTE(A429,{"0","1","2"},"")))))))))+1, 1) * 10^ROW(INDIRECT("1:"&amp;LEN((LEFT(A429,SUM(LEN(A429)-LEN(SUBSTITUTE(A429,{"0","1","2"},""))))))))/10))*100+1&amp;""&amp;" &amp; "&amp;""&amp;(SUMPRODUCT(MID(0&amp;(--TRIM(RIGHT(SUBSTITUTE(LEFT(A429,_xlfn.AGGREGATE(16,6,FIND({0,1,2,3,4,5,6,7,8,9},A429,ROW(INDIRECT("1:"&amp;LEN(A429)))),1))," ",REPT(" ",LEN(A429))),LEN(A429)))), LARGE(INDEX(ISNUMBER(--MID((--TRIM(RIGHT(SUBSTITUTE(LEFT(A429,_xlfn.AGGREGATE(16,6,FIND({0,1,2,3,4,5,6,7,8,9},A429,ROW(INDIRECT("1:"&amp;LEN(A429)))),1))," ",REPT(" ",LEN(A429))),LEN(A429)))), ROW(INDIRECT("1:"&amp;LEN((--TRIM(RIGHT(SUBSTITUTE(LEFT(A429,_xlfn.AGGREGATE(16,6,FIND({0,1,2,3,4,5,6,7,8,9},A429,ROW(INDIRECT("1:"&amp;LEN(A429)))),1))," ",REPT(" ",LEN(A429))),LEN(A429))))))), 1)) * ROW(INDIRECT("1:"&amp;LEN((--TRIM(RIGHT(SUBSTITUTE(LEFT(A429,_xlfn.AGGREGATE(16,6,FIND({0,1,2,3,4,5,6,7,8,9},A429,ROW(INDIRECT("1:"&amp;LEN(A429)))),1))," ",REPT(" ",LEN(A429))),LEN(A429))))))), 0), ROW(INDIRECT("1:"&amp;LEN((--TRIM(RIGHT(SUBSTITUTE(LEFT(A429,_xlfn.AGGREGATE(16,6,FIND({0,1,2,3,4,5,6,7,8,9},A429,ROW(INDIRECT("1:"&amp;LEN(A429)))),1))," ",REPT(" ",LEN(A429))),LEN(A429))))))))+1, 1) * 10^ROW(INDIRECT("1:"&amp;LEN((--TRIM(RIGHT(SUBSTITUTE(LEFT(A429,_xlfn.AGGREGATE(16,6,FIND({0,1,2,3,4,5,6,7,8,9},A429,ROW(INDIRECT("1:"&amp;LEN(A429)))),1))," ",REPT(" ",LEN(A429))),LEN(A429)))))))/10))*100+1</f>
        <v>201 &amp; 401</v>
      </c>
      <c r="B430" s="115"/>
      <c r="C430" s="42" t="s">
        <v>169</v>
      </c>
      <c r="D430" s="42">
        <f>(30.21+5.4)*10.764</f>
        <v>383.30604</v>
      </c>
      <c r="E430" s="42">
        <f>3.328*10.764</f>
        <v>35.822591999999993</v>
      </c>
      <c r="F430" s="42">
        <v>665</v>
      </c>
      <c r="G430" s="114" t="str">
        <f>A429</f>
        <v>2nd &amp; 4th Floor for Residential</v>
      </c>
      <c r="H430" s="115"/>
      <c r="I430" s="36"/>
      <c r="J430" s="57">
        <f t="shared" si="35"/>
        <v>1.6414492398815317</v>
      </c>
    </row>
    <row r="431" spans="1:10" s="37" customFormat="1" x14ac:dyDescent="0.25">
      <c r="A431" s="114" t="str">
        <f ca="1">(SUMPRODUCT(MID(0&amp;(LEFT(A430,SUM(LEN(A430)-LEN(SUBSTITUTE(A430,{"0","1","2"},""))))), LARGE(INDEX(ISNUMBER(--MID((LEFT(A430,SUM(LEN(A430)-LEN(SUBSTITUTE(A430,{"0","1","2"},""))))), ROW(INDIRECT("1:"&amp;LEN((LEFT(A430,SUM(LEN(A430)-LEN(SUBSTITUTE(A430,{"0","1","2"},"")))))))), 1)) * ROW(INDIRECT("1:"&amp;LEN((LEFT(A430,SUM(LEN(A430)-LEN(SUBSTITUTE(A430,{"0","1","2"},"")))))))), 0), ROW(INDIRECT("1:"&amp;LEN((LEFT(A430,SUM(LEN(A430)-LEN(SUBSTITUTE(A430,{"0","1","2"},"")))))))))+1, 1) * 10^ROW(INDIRECT("1:"&amp;LEN((LEFT(A430,SUM(LEN(A430)-LEN(SUBSTITUTE(A430,{"0","1","2"},""))))))))/10))*1+1&amp;""&amp;" &amp; "&amp;""&amp;(SUMPRODUCT(MID(0&amp;(--TRIM(RIGHT(SUBSTITUTE(LEFT(A430,_xlfn.AGGREGATE(16,6,FIND({0,1,2,3,4,5,6,7,8,9},A430,ROW(INDIRECT("1:"&amp;LEN(A430)))),1))," ",REPT(" ",LEN(A430))),LEN(A430)))), LARGE(INDEX(ISNUMBER(--MID((--TRIM(RIGHT(SUBSTITUTE(LEFT(A430,_xlfn.AGGREGATE(16,6,FIND({0,1,2,3,4,5,6,7,8,9},A430,ROW(INDIRECT("1:"&amp;LEN(A430)))),1))," ",REPT(" ",LEN(A430))),LEN(A430)))), ROW(INDIRECT("1:"&amp;LEN((--TRIM(RIGHT(SUBSTITUTE(LEFT(A430,_xlfn.AGGREGATE(16,6,FIND({0,1,2,3,4,5,6,7,8,9},A430,ROW(INDIRECT("1:"&amp;LEN(A430)))),1))," ",REPT(" ",LEN(A430))),LEN(A430))))))), 1)) * ROW(INDIRECT("1:"&amp;LEN((--TRIM(RIGHT(SUBSTITUTE(LEFT(A430,_xlfn.AGGREGATE(16,6,FIND({0,1,2,3,4,5,6,7,8,9},A430,ROW(INDIRECT("1:"&amp;LEN(A430)))),1))," ",REPT(" ",LEN(A430))),LEN(A430))))))), 0), ROW(INDIRECT("1:"&amp;LEN((--TRIM(RIGHT(SUBSTITUTE(LEFT(A430,_xlfn.AGGREGATE(16,6,FIND({0,1,2,3,4,5,6,7,8,9},A430,ROW(INDIRECT("1:"&amp;LEN(A430)))),1))," ",REPT(" ",LEN(A430))),LEN(A430))))))))+1, 1) * 10^ROW(INDIRECT("1:"&amp;LEN((--TRIM(RIGHT(SUBSTITUTE(LEFT(A430,_xlfn.AGGREGATE(16,6,FIND({0,1,2,3,4,5,6,7,8,9},A430,ROW(INDIRECT("1:"&amp;LEN(A430)))),1))," ",REPT(" ",LEN(A430))),LEN(A430)))))))/10))*1+1</f>
        <v>202 &amp; 402</v>
      </c>
      <c r="B431" s="115"/>
      <c r="C431" s="42" t="s">
        <v>169</v>
      </c>
      <c r="D431" s="42">
        <f>(29.187+5.24)*10.764</f>
        <v>370.572228</v>
      </c>
      <c r="E431" s="42">
        <f>0</f>
        <v>0</v>
      </c>
      <c r="F431" s="42">
        <v>605</v>
      </c>
      <c r="G431" s="114" t="str">
        <f t="shared" ref="G431:G435" si="39">G430</f>
        <v>2nd &amp; 4th Floor for Residential</v>
      </c>
      <c r="H431" s="115"/>
      <c r="I431" s="36"/>
      <c r="J431" s="57">
        <f t="shared" si="35"/>
        <v>1.6326102019712065</v>
      </c>
    </row>
    <row r="432" spans="1:10" s="37" customFormat="1" x14ac:dyDescent="0.25">
      <c r="A432" s="114" t="str">
        <f ca="1">(SUMPRODUCT(MID(0&amp;(LEFT(A431,SUM(LEN(A431)-LEN(SUBSTITUTE(A431,{"0","1","2"},""))))), LARGE(INDEX(ISNUMBER(--MID((LEFT(A431,SUM(LEN(A431)-LEN(SUBSTITUTE(A431,{"0","1","2"},""))))), ROW(INDIRECT("1:"&amp;LEN((LEFT(A431,SUM(LEN(A431)-LEN(SUBSTITUTE(A431,{"0","1","2"},"")))))))), 1)) * ROW(INDIRECT("1:"&amp;LEN((LEFT(A431,SUM(LEN(A431)-LEN(SUBSTITUTE(A431,{"0","1","2"},"")))))))), 0), ROW(INDIRECT("1:"&amp;LEN((LEFT(A431,SUM(LEN(A431)-LEN(SUBSTITUTE(A431,{"0","1","2"},"")))))))))+1, 1) * 10^ROW(INDIRECT("1:"&amp;LEN((LEFT(A431,SUM(LEN(A431)-LEN(SUBSTITUTE(A431,{"0","1","2"},""))))))))/10))*1+1&amp;""&amp;" &amp; "&amp;""&amp;(SUMPRODUCT(MID(0&amp;(--TRIM(RIGHT(SUBSTITUTE(LEFT(A431,_xlfn.AGGREGATE(16,6,FIND({0,1,2,3,4,5,6,7,8,9},A431,ROW(INDIRECT("1:"&amp;LEN(A431)))),1))," ",REPT(" ",LEN(A431))),LEN(A431)))), LARGE(INDEX(ISNUMBER(--MID((--TRIM(RIGHT(SUBSTITUTE(LEFT(A431,_xlfn.AGGREGATE(16,6,FIND({0,1,2,3,4,5,6,7,8,9},A431,ROW(INDIRECT("1:"&amp;LEN(A431)))),1))," ",REPT(" ",LEN(A431))),LEN(A431)))), ROW(INDIRECT("1:"&amp;LEN((--TRIM(RIGHT(SUBSTITUTE(LEFT(A431,_xlfn.AGGREGATE(16,6,FIND({0,1,2,3,4,5,6,7,8,9},A431,ROW(INDIRECT("1:"&amp;LEN(A431)))),1))," ",REPT(" ",LEN(A431))),LEN(A431))))))), 1)) * ROW(INDIRECT("1:"&amp;LEN((--TRIM(RIGHT(SUBSTITUTE(LEFT(A431,_xlfn.AGGREGATE(16,6,FIND({0,1,2,3,4,5,6,7,8,9},A431,ROW(INDIRECT("1:"&amp;LEN(A431)))),1))," ",REPT(" ",LEN(A431))),LEN(A431))))))), 0), ROW(INDIRECT("1:"&amp;LEN((--TRIM(RIGHT(SUBSTITUTE(LEFT(A431,_xlfn.AGGREGATE(16,6,FIND({0,1,2,3,4,5,6,7,8,9},A431,ROW(INDIRECT("1:"&amp;LEN(A431)))),1))," ",REPT(" ",LEN(A431))),LEN(A431))))))))+1, 1) * 10^ROW(INDIRECT("1:"&amp;LEN((--TRIM(RIGHT(SUBSTITUTE(LEFT(A431,_xlfn.AGGREGATE(16,6,FIND({0,1,2,3,4,5,6,7,8,9},A431,ROW(INDIRECT("1:"&amp;LEN(A431)))),1))," ",REPT(" ",LEN(A431))),LEN(A431)))))))/10))*1+1</f>
        <v>203 &amp; 403</v>
      </c>
      <c r="B432" s="115"/>
      <c r="C432" s="42" t="s">
        <v>168</v>
      </c>
      <c r="D432" s="42">
        <f>(43.15+6.3)*10.764</f>
        <v>532.27979999999991</v>
      </c>
      <c r="E432" s="42">
        <f>3.506*10.764</f>
        <v>37.738583999999996</v>
      </c>
      <c r="F432" s="42">
        <v>905</v>
      </c>
      <c r="G432" s="114" t="str">
        <f t="shared" si="39"/>
        <v>2nd &amp; 4th Floor for Residential</v>
      </c>
      <c r="H432" s="115"/>
      <c r="I432" s="36"/>
      <c r="J432" s="57">
        <f t="shared" si="35"/>
        <v>1.6293337000577519</v>
      </c>
    </row>
    <row r="433" spans="1:10" s="37" customFormat="1" x14ac:dyDescent="0.25">
      <c r="A433" s="114" t="str">
        <f ca="1">(SUMPRODUCT(MID(0&amp;(LEFT(A432,SUM(LEN(A432)-LEN(SUBSTITUTE(A432,{"0","1","2"},""))))), LARGE(INDEX(ISNUMBER(--MID((LEFT(A432,SUM(LEN(A432)-LEN(SUBSTITUTE(A432,{"0","1","2"},""))))), ROW(INDIRECT("1:"&amp;LEN((LEFT(A432,SUM(LEN(A432)-LEN(SUBSTITUTE(A432,{"0","1","2"},"")))))))), 1)) * ROW(INDIRECT("1:"&amp;LEN((LEFT(A432,SUM(LEN(A432)-LEN(SUBSTITUTE(A432,{"0","1","2"},"")))))))), 0), ROW(INDIRECT("1:"&amp;LEN((LEFT(A432,SUM(LEN(A432)-LEN(SUBSTITUTE(A432,{"0","1","2"},"")))))))))+1, 1) * 10^ROW(INDIRECT("1:"&amp;LEN((LEFT(A432,SUM(LEN(A432)-LEN(SUBSTITUTE(A432,{"0","1","2"},""))))))))/10))*1+1&amp;""&amp;" &amp; "&amp;""&amp;(SUMPRODUCT(MID(0&amp;(--TRIM(RIGHT(SUBSTITUTE(LEFT(A432,_xlfn.AGGREGATE(16,6,FIND({0,1,2,3,4,5,6,7,8,9},A432,ROW(INDIRECT("1:"&amp;LEN(A432)))),1))," ",REPT(" ",LEN(A432))),LEN(A432)))), LARGE(INDEX(ISNUMBER(--MID((--TRIM(RIGHT(SUBSTITUTE(LEFT(A432,_xlfn.AGGREGATE(16,6,FIND({0,1,2,3,4,5,6,7,8,9},A432,ROW(INDIRECT("1:"&amp;LEN(A432)))),1))," ",REPT(" ",LEN(A432))),LEN(A432)))), ROW(INDIRECT("1:"&amp;LEN((--TRIM(RIGHT(SUBSTITUTE(LEFT(A432,_xlfn.AGGREGATE(16,6,FIND({0,1,2,3,4,5,6,7,8,9},A432,ROW(INDIRECT("1:"&amp;LEN(A432)))),1))," ",REPT(" ",LEN(A432))),LEN(A432))))))), 1)) * ROW(INDIRECT("1:"&amp;LEN((--TRIM(RIGHT(SUBSTITUTE(LEFT(A432,_xlfn.AGGREGATE(16,6,FIND({0,1,2,3,4,5,6,7,8,9},A432,ROW(INDIRECT("1:"&amp;LEN(A432)))),1))," ",REPT(" ",LEN(A432))),LEN(A432))))))), 0), ROW(INDIRECT("1:"&amp;LEN((--TRIM(RIGHT(SUBSTITUTE(LEFT(A432,_xlfn.AGGREGATE(16,6,FIND({0,1,2,3,4,5,6,7,8,9},A432,ROW(INDIRECT("1:"&amp;LEN(A432)))),1))," ",REPT(" ",LEN(A432))),LEN(A432))))))))+1, 1) * 10^ROW(INDIRECT("1:"&amp;LEN((--TRIM(RIGHT(SUBSTITUTE(LEFT(A432,_xlfn.AGGREGATE(16,6,FIND({0,1,2,3,4,5,6,7,8,9},A432,ROW(INDIRECT("1:"&amp;LEN(A432)))),1))," ",REPT(" ",LEN(A432))),LEN(A432)))))))/10))*1+1</f>
        <v>204 &amp; 404</v>
      </c>
      <c r="B433" s="115"/>
      <c r="C433" s="42" t="s">
        <v>168</v>
      </c>
      <c r="D433" s="42">
        <f>(45.805+3.045)*10.764</f>
        <v>525.82140000000004</v>
      </c>
      <c r="E433" s="42">
        <f>3.506*10.764</f>
        <v>37.738583999999996</v>
      </c>
      <c r="F433" s="42">
        <v>905</v>
      </c>
      <c r="G433" s="114" t="str">
        <f t="shared" si="39"/>
        <v>2nd &amp; 4th Floor for Residential</v>
      </c>
      <c r="H433" s="115"/>
      <c r="I433" s="36"/>
      <c r="J433" s="57">
        <f t="shared" si="35"/>
        <v>1.6493459870594844</v>
      </c>
    </row>
    <row r="434" spans="1:10" s="37" customFormat="1" x14ac:dyDescent="0.25">
      <c r="A434" s="114" t="str">
        <f ca="1">(SUMPRODUCT(MID(0&amp;(LEFT(A433,SUM(LEN(A433)-LEN(SUBSTITUTE(A433,{"0","1","2"},""))))), LARGE(INDEX(ISNUMBER(--MID((LEFT(A433,SUM(LEN(A433)-LEN(SUBSTITUTE(A433,{"0","1","2"},""))))), ROW(INDIRECT("1:"&amp;LEN((LEFT(A433,SUM(LEN(A433)-LEN(SUBSTITUTE(A433,{"0","1","2"},"")))))))), 1)) * ROW(INDIRECT("1:"&amp;LEN((LEFT(A433,SUM(LEN(A433)-LEN(SUBSTITUTE(A433,{"0","1","2"},"")))))))), 0), ROW(INDIRECT("1:"&amp;LEN((LEFT(A433,SUM(LEN(A433)-LEN(SUBSTITUTE(A433,{"0","1","2"},"")))))))))+1, 1) * 10^ROW(INDIRECT("1:"&amp;LEN((LEFT(A433,SUM(LEN(A433)-LEN(SUBSTITUTE(A433,{"0","1","2"},""))))))))/10))*1+1&amp;""&amp;" &amp; "&amp;""&amp;(SUMPRODUCT(MID(0&amp;(--TRIM(RIGHT(SUBSTITUTE(LEFT(A433,_xlfn.AGGREGATE(16,6,FIND({0,1,2,3,4,5,6,7,8,9},A433,ROW(INDIRECT("1:"&amp;LEN(A433)))),1))," ",REPT(" ",LEN(A433))),LEN(A433)))), LARGE(INDEX(ISNUMBER(--MID((--TRIM(RIGHT(SUBSTITUTE(LEFT(A433,_xlfn.AGGREGATE(16,6,FIND({0,1,2,3,4,5,6,7,8,9},A433,ROW(INDIRECT("1:"&amp;LEN(A433)))),1))," ",REPT(" ",LEN(A433))),LEN(A433)))), ROW(INDIRECT("1:"&amp;LEN((--TRIM(RIGHT(SUBSTITUTE(LEFT(A433,_xlfn.AGGREGATE(16,6,FIND({0,1,2,3,4,5,6,7,8,9},A433,ROW(INDIRECT("1:"&amp;LEN(A433)))),1))," ",REPT(" ",LEN(A433))),LEN(A433))))))), 1)) * ROW(INDIRECT("1:"&amp;LEN((--TRIM(RIGHT(SUBSTITUTE(LEFT(A433,_xlfn.AGGREGATE(16,6,FIND({0,1,2,3,4,5,6,7,8,9},A433,ROW(INDIRECT("1:"&amp;LEN(A433)))),1))," ",REPT(" ",LEN(A433))),LEN(A433))))))), 0), ROW(INDIRECT("1:"&amp;LEN((--TRIM(RIGHT(SUBSTITUTE(LEFT(A433,_xlfn.AGGREGATE(16,6,FIND({0,1,2,3,4,5,6,7,8,9},A433,ROW(INDIRECT("1:"&amp;LEN(A433)))),1))," ",REPT(" ",LEN(A433))),LEN(A433))))))))+1, 1) * 10^ROW(INDIRECT("1:"&amp;LEN((--TRIM(RIGHT(SUBSTITUTE(LEFT(A433,_xlfn.AGGREGATE(16,6,FIND({0,1,2,3,4,5,6,7,8,9},A433,ROW(INDIRECT("1:"&amp;LEN(A433)))),1))," ",REPT(" ",LEN(A433))),LEN(A433)))))))/10))*1+1</f>
        <v>205 &amp; 405</v>
      </c>
      <c r="B434" s="115"/>
      <c r="C434" s="42" t="s">
        <v>169</v>
      </c>
      <c r="D434" s="42">
        <f>(29.282+5.24)*10.764</f>
        <v>371.59480799999994</v>
      </c>
      <c r="E434" s="42">
        <v>0</v>
      </c>
      <c r="F434" s="42">
        <v>615</v>
      </c>
      <c r="G434" s="114" t="str">
        <f t="shared" si="39"/>
        <v>2nd &amp; 4th Floor for Residential</v>
      </c>
      <c r="H434" s="115"/>
      <c r="I434" s="36"/>
      <c r="J434" s="57">
        <f t="shared" si="35"/>
        <v>1.6550285062109913</v>
      </c>
    </row>
    <row r="435" spans="1:10" s="37" customFormat="1" x14ac:dyDescent="0.25">
      <c r="A435" s="114" t="str">
        <f ca="1">(SUMPRODUCT(MID(0&amp;(LEFT(A434,SUM(LEN(A434)-LEN(SUBSTITUTE(A434,{"0","1","2"},""))))), LARGE(INDEX(ISNUMBER(--MID((LEFT(A434,SUM(LEN(A434)-LEN(SUBSTITUTE(A434,{"0","1","2"},""))))), ROW(INDIRECT("1:"&amp;LEN((LEFT(A434,SUM(LEN(A434)-LEN(SUBSTITUTE(A434,{"0","1","2"},"")))))))), 1)) * ROW(INDIRECT("1:"&amp;LEN((LEFT(A434,SUM(LEN(A434)-LEN(SUBSTITUTE(A434,{"0","1","2"},"")))))))), 0), ROW(INDIRECT("1:"&amp;LEN((LEFT(A434,SUM(LEN(A434)-LEN(SUBSTITUTE(A434,{"0","1","2"},"")))))))))+1, 1) * 10^ROW(INDIRECT("1:"&amp;LEN((LEFT(A434,SUM(LEN(A434)-LEN(SUBSTITUTE(A434,{"0","1","2"},""))))))))/10))*1+1&amp;""&amp;" &amp; "&amp;""&amp;(SUMPRODUCT(MID(0&amp;(--TRIM(RIGHT(SUBSTITUTE(LEFT(A434,_xlfn.AGGREGATE(16,6,FIND({0,1,2,3,4,5,6,7,8,9},A434,ROW(INDIRECT("1:"&amp;LEN(A434)))),1))," ",REPT(" ",LEN(A434))),LEN(A434)))), LARGE(INDEX(ISNUMBER(--MID((--TRIM(RIGHT(SUBSTITUTE(LEFT(A434,_xlfn.AGGREGATE(16,6,FIND({0,1,2,3,4,5,6,7,8,9},A434,ROW(INDIRECT("1:"&amp;LEN(A434)))),1))," ",REPT(" ",LEN(A434))),LEN(A434)))), ROW(INDIRECT("1:"&amp;LEN((--TRIM(RIGHT(SUBSTITUTE(LEFT(A434,_xlfn.AGGREGATE(16,6,FIND({0,1,2,3,4,5,6,7,8,9},A434,ROW(INDIRECT("1:"&amp;LEN(A434)))),1))," ",REPT(" ",LEN(A434))),LEN(A434))))))), 1)) * ROW(INDIRECT("1:"&amp;LEN((--TRIM(RIGHT(SUBSTITUTE(LEFT(A434,_xlfn.AGGREGATE(16,6,FIND({0,1,2,3,4,5,6,7,8,9},A434,ROW(INDIRECT("1:"&amp;LEN(A434)))),1))," ",REPT(" ",LEN(A434))),LEN(A434))))))), 0), ROW(INDIRECT("1:"&amp;LEN((--TRIM(RIGHT(SUBSTITUTE(LEFT(A434,_xlfn.AGGREGATE(16,6,FIND({0,1,2,3,4,5,6,7,8,9},A434,ROW(INDIRECT("1:"&amp;LEN(A434)))),1))," ",REPT(" ",LEN(A434))),LEN(A434))))))))+1, 1) * 10^ROW(INDIRECT("1:"&amp;LEN((--TRIM(RIGHT(SUBSTITUTE(LEFT(A434,_xlfn.AGGREGATE(16,6,FIND({0,1,2,3,4,5,6,7,8,9},A434,ROW(INDIRECT("1:"&amp;LEN(A434)))),1))," ",REPT(" ",LEN(A434))),LEN(A434)))))))/10))*1+1</f>
        <v>206 &amp; 406</v>
      </c>
      <c r="B435" s="115"/>
      <c r="C435" s="42" t="s">
        <v>169</v>
      </c>
      <c r="D435" s="42">
        <f>(30.23+5.24)*10.764</f>
        <v>381.79907999999995</v>
      </c>
      <c r="E435" s="42">
        <f>3.328*10.764</f>
        <v>35.822591999999993</v>
      </c>
      <c r="F435" s="42">
        <v>665</v>
      </c>
      <c r="G435" s="114" t="str">
        <f t="shared" si="39"/>
        <v>2nd &amp; 4th Floor for Residential</v>
      </c>
      <c r="H435" s="115"/>
      <c r="I435" s="36"/>
      <c r="J435" s="57">
        <f t="shared" si="35"/>
        <v>1.6479280358664041</v>
      </c>
    </row>
    <row r="436" spans="1:10" s="34" customFormat="1" x14ac:dyDescent="0.25">
      <c r="A436" s="122" t="s">
        <v>246</v>
      </c>
      <c r="B436" s="122"/>
      <c r="C436" s="122"/>
      <c r="D436" s="122"/>
      <c r="E436" s="122"/>
      <c r="F436" s="122"/>
      <c r="G436" s="122"/>
      <c r="H436" s="122"/>
      <c r="J436" s="57" t="e">
        <f t="shared" si="35"/>
        <v>#DIV/0!</v>
      </c>
    </row>
    <row r="437" spans="1:10" s="34" customFormat="1" x14ac:dyDescent="0.25">
      <c r="A437" s="122" t="s">
        <v>175</v>
      </c>
      <c r="B437" s="122"/>
      <c r="C437" s="122"/>
      <c r="D437" s="122"/>
      <c r="E437" s="122"/>
      <c r="F437" s="122"/>
      <c r="G437" s="122"/>
      <c r="H437" s="122"/>
      <c r="J437" s="57" t="e">
        <f t="shared" si="35"/>
        <v>#DIV/0!</v>
      </c>
    </row>
    <row r="438" spans="1:10" s="37" customFormat="1" x14ac:dyDescent="0.25">
      <c r="A438" s="119" t="s">
        <v>186</v>
      </c>
      <c r="B438" s="120"/>
      <c r="C438" s="120"/>
      <c r="D438" s="120"/>
      <c r="E438" s="120"/>
      <c r="F438" s="120"/>
      <c r="G438" s="120"/>
      <c r="H438" s="121"/>
      <c r="I438" s="36"/>
      <c r="J438" s="57" t="e">
        <f t="shared" si="35"/>
        <v>#DIV/0!</v>
      </c>
    </row>
    <row r="439" spans="1:10" s="37" customFormat="1" x14ac:dyDescent="0.25">
      <c r="A439" s="50" t="str">
        <f ca="1">(SUMPRODUCT(MID(0&amp;(LEFT(A438,SUM(LEN(A438)-LEN(SUBSTITUTE(A438,{"0","1","2"},""))))), LARGE(INDEX(ISNUMBER(--MID((LEFT(A438,SUM(LEN(A438)-LEN(SUBSTITUTE(A438,{"0","1","2"},""))))), ROW(INDIRECT("1:"&amp;LEN((LEFT(A438,SUM(LEN(A438)-LEN(SUBSTITUTE(A438,{"0","1","2"},"")))))))), 1)) * ROW(INDIRECT("1:"&amp;LEN((LEFT(A438,SUM(LEN(A438)-LEN(SUBSTITUTE(A438,{"0","1","2"},"")))))))), 0), ROW(INDIRECT("1:"&amp;LEN((LEFT(A438,SUM(LEN(A438)-LEN(SUBSTITUTE(A438,{"0","1","2"},"")))))))))+1, 1) * 10^ROW(INDIRECT("1:"&amp;LEN((LEFT(A438,SUM(LEN(A438)-LEN(SUBSTITUTE(A438,{"0","1","2"},""))))))))/10))*100+1&amp;""&amp;" &amp; "&amp;""&amp;(SUMPRODUCT(MID(0&amp;(--TRIM(RIGHT(SUBSTITUTE(LEFT(A438,_xlfn.AGGREGATE(16,6,FIND({0,1,2,3,4,5,6,7,8,9},A438,ROW(INDIRECT("1:"&amp;LEN(A438)))),1))," ",REPT(" ",LEN(A438))),LEN(A438)))), LARGE(INDEX(ISNUMBER(--MID((--TRIM(RIGHT(SUBSTITUTE(LEFT(A438,_xlfn.AGGREGATE(16,6,FIND({0,1,2,3,4,5,6,7,8,9},A438,ROW(INDIRECT("1:"&amp;LEN(A438)))),1))," ",REPT(" ",LEN(A438))),LEN(A438)))), ROW(INDIRECT("1:"&amp;LEN((--TRIM(RIGHT(SUBSTITUTE(LEFT(A438,_xlfn.AGGREGATE(16,6,FIND({0,1,2,3,4,5,6,7,8,9},A438,ROW(INDIRECT("1:"&amp;LEN(A438)))),1))," ",REPT(" ",LEN(A438))),LEN(A438))))))), 1)) * ROW(INDIRECT("1:"&amp;LEN((--TRIM(RIGHT(SUBSTITUTE(LEFT(A438,_xlfn.AGGREGATE(16,6,FIND({0,1,2,3,4,5,6,7,8,9},A438,ROW(INDIRECT("1:"&amp;LEN(A438)))),1))," ",REPT(" ",LEN(A438))),LEN(A438))))))), 0), ROW(INDIRECT("1:"&amp;LEN((--TRIM(RIGHT(SUBSTITUTE(LEFT(A438,_xlfn.AGGREGATE(16,6,FIND({0,1,2,3,4,5,6,7,8,9},A438,ROW(INDIRECT("1:"&amp;LEN(A438)))),1))," ",REPT(" ",LEN(A438))),LEN(A438))))))))+1, 1) * 10^ROW(INDIRECT("1:"&amp;LEN((--TRIM(RIGHT(SUBSTITUTE(LEFT(A438,_xlfn.AGGREGATE(16,6,FIND({0,1,2,3,4,5,6,7,8,9},A438,ROW(INDIRECT("1:"&amp;LEN(A438)))),1))," ",REPT(" ",LEN(A438))),LEN(A438)))))))/10))*100+1</f>
        <v>101 &amp; 301</v>
      </c>
      <c r="B439" s="42" t="s">
        <v>187</v>
      </c>
      <c r="C439" s="42" t="s">
        <v>169</v>
      </c>
      <c r="D439" s="42">
        <f>(30.282+5.3)*10.764</f>
        <v>383.00464799999997</v>
      </c>
      <c r="E439" s="42">
        <f>3.795*10.764</f>
        <v>40.849379999999996</v>
      </c>
      <c r="F439" s="42">
        <v>680</v>
      </c>
      <c r="G439" s="114" t="str">
        <f>A438</f>
        <v>1st &amp; 3rd Floor</v>
      </c>
      <c r="H439" s="115"/>
      <c r="I439" s="36"/>
      <c r="J439" s="57">
        <f t="shared" si="35"/>
        <v>1.6687803224779665</v>
      </c>
    </row>
    <row r="440" spans="1:10" s="37" customFormat="1" x14ac:dyDescent="0.25">
      <c r="A440" s="50" t="str">
        <f ca="1">(SUMPRODUCT(MID(0&amp;(LEFT(A439,SUM(LEN(A439)-LEN(SUBSTITUTE(A439,{"0","1","2"},""))))), LARGE(INDEX(ISNUMBER(--MID((LEFT(A439,SUM(LEN(A439)-LEN(SUBSTITUTE(A439,{"0","1","2"},""))))), ROW(INDIRECT("1:"&amp;LEN((LEFT(A439,SUM(LEN(A439)-LEN(SUBSTITUTE(A439,{"0","1","2"},"")))))))), 1)) * ROW(INDIRECT("1:"&amp;LEN((LEFT(A439,SUM(LEN(A439)-LEN(SUBSTITUTE(A439,{"0","1","2"},"")))))))), 0), ROW(INDIRECT("1:"&amp;LEN((LEFT(A439,SUM(LEN(A439)-LEN(SUBSTITUTE(A439,{"0","1","2"},"")))))))))+1, 1) * 10^ROW(INDIRECT("1:"&amp;LEN((LEFT(A439,SUM(LEN(A439)-LEN(SUBSTITUTE(A439,{"0","1","2"},""))))))))/10))*1+1&amp;""&amp;" &amp; "&amp;""&amp;(SUMPRODUCT(MID(0&amp;(--TRIM(RIGHT(SUBSTITUTE(LEFT(A439,_xlfn.AGGREGATE(16,6,FIND({0,1,2,3,4,5,6,7,8,9},A439,ROW(INDIRECT("1:"&amp;LEN(A439)))),1))," ",REPT(" ",LEN(A439))),LEN(A439)))), LARGE(INDEX(ISNUMBER(--MID((--TRIM(RIGHT(SUBSTITUTE(LEFT(A439,_xlfn.AGGREGATE(16,6,FIND({0,1,2,3,4,5,6,7,8,9},A439,ROW(INDIRECT("1:"&amp;LEN(A439)))),1))," ",REPT(" ",LEN(A439))),LEN(A439)))), ROW(INDIRECT("1:"&amp;LEN((--TRIM(RIGHT(SUBSTITUTE(LEFT(A439,_xlfn.AGGREGATE(16,6,FIND({0,1,2,3,4,5,6,7,8,9},A439,ROW(INDIRECT("1:"&amp;LEN(A439)))),1))," ",REPT(" ",LEN(A439))),LEN(A439))))))), 1)) * ROW(INDIRECT("1:"&amp;LEN((--TRIM(RIGHT(SUBSTITUTE(LEFT(A439,_xlfn.AGGREGATE(16,6,FIND({0,1,2,3,4,5,6,7,8,9},A439,ROW(INDIRECT("1:"&amp;LEN(A439)))),1))," ",REPT(" ",LEN(A439))),LEN(A439))))))), 0), ROW(INDIRECT("1:"&amp;LEN((--TRIM(RIGHT(SUBSTITUTE(LEFT(A439,_xlfn.AGGREGATE(16,6,FIND({0,1,2,3,4,5,6,7,8,9},A439,ROW(INDIRECT("1:"&amp;LEN(A439)))),1))," ",REPT(" ",LEN(A439))),LEN(A439))))))))+1, 1) * 10^ROW(INDIRECT("1:"&amp;LEN((--TRIM(RIGHT(SUBSTITUTE(LEFT(A439,_xlfn.AGGREGATE(16,6,FIND({0,1,2,3,4,5,6,7,8,9},A439,ROW(INDIRECT("1:"&amp;LEN(A439)))),1))," ",REPT(" ",LEN(A439))),LEN(A439)))))))/10))*1+1</f>
        <v>102 &amp; 302</v>
      </c>
      <c r="B440" s="42" t="s">
        <v>187</v>
      </c>
      <c r="C440" s="42" t="s">
        <v>168</v>
      </c>
      <c r="D440" s="42">
        <f>(38.047+5.3)*10.764</f>
        <v>466.58710799999989</v>
      </c>
      <c r="E440" s="42">
        <f>(3)*10.764</f>
        <v>32.292000000000002</v>
      </c>
      <c r="F440" s="42">
        <v>795</v>
      </c>
      <c r="G440" s="114" t="str">
        <f t="shared" ref="G440:G442" si="40">G439</f>
        <v>1st &amp; 3rd Floor</v>
      </c>
      <c r="H440" s="115"/>
      <c r="I440" s="36"/>
      <c r="J440" s="57">
        <f t="shared" si="35"/>
        <v>1.6346529660223705</v>
      </c>
    </row>
    <row r="441" spans="1:10" s="37" customFormat="1" x14ac:dyDescent="0.25">
      <c r="A441" s="50" t="str">
        <f ca="1">(SUMPRODUCT(MID(0&amp;(LEFT(A440,SUM(LEN(A440)-LEN(SUBSTITUTE(A440,{"0","1","2"},""))))), LARGE(INDEX(ISNUMBER(--MID((LEFT(A440,SUM(LEN(A440)-LEN(SUBSTITUTE(A440,{"0","1","2"},""))))), ROW(INDIRECT("1:"&amp;LEN((LEFT(A440,SUM(LEN(A440)-LEN(SUBSTITUTE(A440,{"0","1","2"},"")))))))), 1)) * ROW(INDIRECT("1:"&amp;LEN((LEFT(A440,SUM(LEN(A440)-LEN(SUBSTITUTE(A440,{"0","1","2"},"")))))))), 0), ROW(INDIRECT("1:"&amp;LEN((LEFT(A440,SUM(LEN(A440)-LEN(SUBSTITUTE(A440,{"0","1","2"},"")))))))))+1, 1) * 10^ROW(INDIRECT("1:"&amp;LEN((LEFT(A440,SUM(LEN(A440)-LEN(SUBSTITUTE(A440,{"0","1","2"},""))))))))/10))*1+1&amp;""&amp;" &amp; "&amp;""&amp;(SUMPRODUCT(MID(0&amp;(--TRIM(RIGHT(SUBSTITUTE(LEFT(A440,_xlfn.AGGREGATE(16,6,FIND({0,1,2,3,4,5,6,7,8,9},A440,ROW(INDIRECT("1:"&amp;LEN(A440)))),1))," ",REPT(" ",LEN(A440))),LEN(A440)))), LARGE(INDEX(ISNUMBER(--MID((--TRIM(RIGHT(SUBSTITUTE(LEFT(A440,_xlfn.AGGREGATE(16,6,FIND({0,1,2,3,4,5,6,7,8,9},A440,ROW(INDIRECT("1:"&amp;LEN(A440)))),1))," ",REPT(" ",LEN(A440))),LEN(A440)))), ROW(INDIRECT("1:"&amp;LEN((--TRIM(RIGHT(SUBSTITUTE(LEFT(A440,_xlfn.AGGREGATE(16,6,FIND({0,1,2,3,4,5,6,7,8,9},A440,ROW(INDIRECT("1:"&amp;LEN(A440)))),1))," ",REPT(" ",LEN(A440))),LEN(A440))))))), 1)) * ROW(INDIRECT("1:"&amp;LEN((--TRIM(RIGHT(SUBSTITUTE(LEFT(A440,_xlfn.AGGREGATE(16,6,FIND({0,1,2,3,4,5,6,7,8,9},A440,ROW(INDIRECT("1:"&amp;LEN(A440)))),1))," ",REPT(" ",LEN(A440))),LEN(A440))))))), 0), ROW(INDIRECT("1:"&amp;LEN((--TRIM(RIGHT(SUBSTITUTE(LEFT(A440,_xlfn.AGGREGATE(16,6,FIND({0,1,2,3,4,5,6,7,8,9},A440,ROW(INDIRECT("1:"&amp;LEN(A440)))),1))," ",REPT(" ",LEN(A440))),LEN(A440))))))))+1, 1) * 10^ROW(INDIRECT("1:"&amp;LEN((--TRIM(RIGHT(SUBSTITUTE(LEFT(A440,_xlfn.AGGREGATE(16,6,FIND({0,1,2,3,4,5,6,7,8,9},A440,ROW(INDIRECT("1:"&amp;LEN(A440)))),1))," ",REPT(" ",LEN(A440))),LEN(A440)))))))/10))*1+1</f>
        <v>103 &amp; 303</v>
      </c>
      <c r="B441" s="42" t="s">
        <v>187</v>
      </c>
      <c r="C441" s="42" t="s">
        <v>169</v>
      </c>
      <c r="D441" s="42">
        <f>(32.095+2.44)*10.764</f>
        <v>371.73473999999993</v>
      </c>
      <c r="E441" s="42">
        <f>3.795*10.764</f>
        <v>40.849379999999996</v>
      </c>
      <c r="F441" s="42">
        <v>670</v>
      </c>
      <c r="G441" s="114" t="str">
        <f t="shared" si="40"/>
        <v>1st &amp; 3rd Floor</v>
      </c>
      <c r="H441" s="115"/>
      <c r="I441" s="36"/>
      <c r="J441" s="57">
        <f t="shared" si="35"/>
        <v>1.6924719492184135</v>
      </c>
    </row>
    <row r="442" spans="1:10" s="37" customFormat="1" x14ac:dyDescent="0.25">
      <c r="A442" s="50" t="str">
        <f ca="1">(SUMPRODUCT(MID(0&amp;(LEFT(A441,SUM(LEN(A441)-LEN(SUBSTITUTE(A441,{"0","1","2"},""))))), LARGE(INDEX(ISNUMBER(--MID((LEFT(A441,SUM(LEN(A441)-LEN(SUBSTITUTE(A441,{"0","1","2"},""))))), ROW(INDIRECT("1:"&amp;LEN((LEFT(A441,SUM(LEN(A441)-LEN(SUBSTITUTE(A441,{"0","1","2"},"")))))))), 1)) * ROW(INDIRECT("1:"&amp;LEN((LEFT(A441,SUM(LEN(A441)-LEN(SUBSTITUTE(A441,{"0","1","2"},"")))))))), 0), ROW(INDIRECT("1:"&amp;LEN((LEFT(A441,SUM(LEN(A441)-LEN(SUBSTITUTE(A441,{"0","1","2"},"")))))))))+1, 1) * 10^ROW(INDIRECT("1:"&amp;LEN((LEFT(A441,SUM(LEN(A441)-LEN(SUBSTITUTE(A441,{"0","1","2"},""))))))))/10))*1+1&amp;""&amp;" &amp; "&amp;""&amp;(SUMPRODUCT(MID(0&amp;(--TRIM(RIGHT(SUBSTITUTE(LEFT(A441,_xlfn.AGGREGATE(16,6,FIND({0,1,2,3,4,5,6,7,8,9},A441,ROW(INDIRECT("1:"&amp;LEN(A441)))),1))," ",REPT(" ",LEN(A441))),LEN(A441)))), LARGE(INDEX(ISNUMBER(--MID((--TRIM(RIGHT(SUBSTITUTE(LEFT(A441,_xlfn.AGGREGATE(16,6,FIND({0,1,2,3,4,5,6,7,8,9},A441,ROW(INDIRECT("1:"&amp;LEN(A441)))),1))," ",REPT(" ",LEN(A441))),LEN(A441)))), ROW(INDIRECT("1:"&amp;LEN((--TRIM(RIGHT(SUBSTITUTE(LEFT(A441,_xlfn.AGGREGATE(16,6,FIND({0,1,2,3,4,5,6,7,8,9},A441,ROW(INDIRECT("1:"&amp;LEN(A441)))),1))," ",REPT(" ",LEN(A441))),LEN(A441))))))), 1)) * ROW(INDIRECT("1:"&amp;LEN((--TRIM(RIGHT(SUBSTITUTE(LEFT(A441,_xlfn.AGGREGATE(16,6,FIND({0,1,2,3,4,5,6,7,8,9},A441,ROW(INDIRECT("1:"&amp;LEN(A441)))),1))," ",REPT(" ",LEN(A441))),LEN(A441))))))), 0), ROW(INDIRECT("1:"&amp;LEN((--TRIM(RIGHT(SUBSTITUTE(LEFT(A441,_xlfn.AGGREGATE(16,6,FIND({0,1,2,3,4,5,6,7,8,9},A441,ROW(INDIRECT("1:"&amp;LEN(A441)))),1))," ",REPT(" ",LEN(A441))),LEN(A441))))))))+1, 1) * 10^ROW(INDIRECT("1:"&amp;LEN((--TRIM(RIGHT(SUBSTITUTE(LEFT(A441,_xlfn.AGGREGATE(16,6,FIND({0,1,2,3,4,5,6,7,8,9},A441,ROW(INDIRECT("1:"&amp;LEN(A441)))),1))," ",REPT(" ",LEN(A441))),LEN(A441)))))))/10))*1+1</f>
        <v>104 &amp; 304</v>
      </c>
      <c r="B442" s="42" t="s">
        <v>187</v>
      </c>
      <c r="C442" s="42" t="s">
        <v>169</v>
      </c>
      <c r="D442" s="42">
        <f>(32.095+2.44)*10.764</f>
        <v>371.73473999999993</v>
      </c>
      <c r="E442" s="42">
        <f>3.795*10.764</f>
        <v>40.849379999999996</v>
      </c>
      <c r="F442" s="42">
        <v>670</v>
      </c>
      <c r="G442" s="114" t="str">
        <f t="shared" si="40"/>
        <v>1st &amp; 3rd Floor</v>
      </c>
      <c r="H442" s="115"/>
      <c r="I442" s="36"/>
      <c r="J442" s="57">
        <f t="shared" si="35"/>
        <v>1.6924719492184135</v>
      </c>
    </row>
    <row r="443" spans="1:10" s="37" customFormat="1" ht="15.75" customHeight="1" x14ac:dyDescent="0.25">
      <c r="A443" s="119" t="s">
        <v>170</v>
      </c>
      <c r="B443" s="120"/>
      <c r="C443" s="120"/>
      <c r="D443" s="120"/>
      <c r="E443" s="120"/>
      <c r="F443" s="120"/>
      <c r="G443" s="120"/>
      <c r="H443" s="121"/>
      <c r="I443" s="36"/>
      <c r="J443" s="57" t="e">
        <f t="shared" si="35"/>
        <v>#DIV/0!</v>
      </c>
    </row>
    <row r="444" spans="1:10" s="37" customFormat="1" x14ac:dyDescent="0.25">
      <c r="A444" s="50" t="str">
        <f ca="1">(SUMPRODUCT(MID(0&amp;(LEFT(A443,SUM(LEN(A443)-LEN(SUBSTITUTE(A443,{"0","1","2"},""))))), LARGE(INDEX(ISNUMBER(--MID((LEFT(A443,SUM(LEN(A443)-LEN(SUBSTITUTE(A443,{"0","1","2"},""))))), ROW(INDIRECT("1:"&amp;LEN((LEFT(A443,SUM(LEN(A443)-LEN(SUBSTITUTE(A443,{"0","1","2"},"")))))))), 1)) * ROW(INDIRECT("1:"&amp;LEN((LEFT(A443,SUM(LEN(A443)-LEN(SUBSTITUTE(A443,{"0","1","2"},"")))))))), 0), ROW(INDIRECT("1:"&amp;LEN((LEFT(A443,SUM(LEN(A443)-LEN(SUBSTITUTE(A443,{"0","1","2"},"")))))))))+1, 1) * 10^ROW(INDIRECT("1:"&amp;LEN((LEFT(A443,SUM(LEN(A443)-LEN(SUBSTITUTE(A443,{"0","1","2"},""))))))))/10))*100+1&amp;""&amp;" &amp; "&amp;""&amp;(SUMPRODUCT(MID(0&amp;(--TRIM(RIGHT(SUBSTITUTE(LEFT(A443,_xlfn.AGGREGATE(16,6,FIND({0,1,2,3,4,5,6,7,8,9},A443,ROW(INDIRECT("1:"&amp;LEN(A443)))),1))," ",REPT(" ",LEN(A443))),LEN(A443)))), LARGE(INDEX(ISNUMBER(--MID((--TRIM(RIGHT(SUBSTITUTE(LEFT(A443,_xlfn.AGGREGATE(16,6,FIND({0,1,2,3,4,5,6,7,8,9},A443,ROW(INDIRECT("1:"&amp;LEN(A443)))),1))," ",REPT(" ",LEN(A443))),LEN(A443)))), ROW(INDIRECT("1:"&amp;LEN((--TRIM(RIGHT(SUBSTITUTE(LEFT(A443,_xlfn.AGGREGATE(16,6,FIND({0,1,2,3,4,5,6,7,8,9},A443,ROW(INDIRECT("1:"&amp;LEN(A443)))),1))," ",REPT(" ",LEN(A443))),LEN(A443))))))), 1)) * ROW(INDIRECT("1:"&amp;LEN((--TRIM(RIGHT(SUBSTITUTE(LEFT(A443,_xlfn.AGGREGATE(16,6,FIND({0,1,2,3,4,5,6,7,8,9},A443,ROW(INDIRECT("1:"&amp;LEN(A443)))),1))," ",REPT(" ",LEN(A443))),LEN(A443))))))), 0), ROW(INDIRECT("1:"&amp;LEN((--TRIM(RIGHT(SUBSTITUTE(LEFT(A443,_xlfn.AGGREGATE(16,6,FIND({0,1,2,3,4,5,6,7,8,9},A443,ROW(INDIRECT("1:"&amp;LEN(A443)))),1))," ",REPT(" ",LEN(A443))),LEN(A443))))))))+1, 1) * 10^ROW(INDIRECT("1:"&amp;LEN((--TRIM(RIGHT(SUBSTITUTE(LEFT(A443,_xlfn.AGGREGATE(16,6,FIND({0,1,2,3,4,5,6,7,8,9},A443,ROW(INDIRECT("1:"&amp;LEN(A443)))),1))," ",REPT(" ",LEN(A443))),LEN(A443)))))))/10))*100+1</f>
        <v>201 &amp; 401</v>
      </c>
      <c r="B444" s="42" t="s">
        <v>187</v>
      </c>
      <c r="C444" s="42" t="s">
        <v>169</v>
      </c>
      <c r="D444" s="42">
        <f>(30.11+5.3)*10.764</f>
        <v>381.15323999999993</v>
      </c>
      <c r="E444" s="42">
        <f>3.294*10.764</f>
        <v>35.456615999999997</v>
      </c>
      <c r="F444" s="42">
        <v>670</v>
      </c>
      <c r="G444" s="114" t="str">
        <f>A443</f>
        <v>2nd &amp; 4th Floor</v>
      </c>
      <c r="H444" s="115"/>
      <c r="I444" s="36"/>
      <c r="J444" s="57">
        <f t="shared" si="35"/>
        <v>1.664798609609091</v>
      </c>
    </row>
    <row r="445" spans="1:10" s="37" customFormat="1" x14ac:dyDescent="0.25">
      <c r="A445" s="50" t="str">
        <f ca="1">(SUMPRODUCT(MID(0&amp;(LEFT(A444,SUM(LEN(A444)-LEN(SUBSTITUTE(A444,{"0","1","2"},""))))), LARGE(INDEX(ISNUMBER(--MID((LEFT(A444,SUM(LEN(A444)-LEN(SUBSTITUTE(A444,{"0","1","2"},""))))), ROW(INDIRECT("1:"&amp;LEN((LEFT(A444,SUM(LEN(A444)-LEN(SUBSTITUTE(A444,{"0","1","2"},"")))))))), 1)) * ROW(INDIRECT("1:"&amp;LEN((LEFT(A444,SUM(LEN(A444)-LEN(SUBSTITUTE(A444,{"0","1","2"},"")))))))), 0), ROW(INDIRECT("1:"&amp;LEN((LEFT(A444,SUM(LEN(A444)-LEN(SUBSTITUTE(A444,{"0","1","2"},"")))))))))+1, 1) * 10^ROW(INDIRECT("1:"&amp;LEN((LEFT(A444,SUM(LEN(A444)-LEN(SUBSTITUTE(A444,{"0","1","2"},""))))))))/10))*1+1&amp;""&amp;" &amp; "&amp;""&amp;(SUMPRODUCT(MID(0&amp;(--TRIM(RIGHT(SUBSTITUTE(LEFT(A444,_xlfn.AGGREGATE(16,6,FIND({0,1,2,3,4,5,6,7,8,9},A444,ROW(INDIRECT("1:"&amp;LEN(A444)))),1))," ",REPT(" ",LEN(A444))),LEN(A444)))), LARGE(INDEX(ISNUMBER(--MID((--TRIM(RIGHT(SUBSTITUTE(LEFT(A444,_xlfn.AGGREGATE(16,6,FIND({0,1,2,3,4,5,6,7,8,9},A444,ROW(INDIRECT("1:"&amp;LEN(A444)))),1))," ",REPT(" ",LEN(A444))),LEN(A444)))), ROW(INDIRECT("1:"&amp;LEN((--TRIM(RIGHT(SUBSTITUTE(LEFT(A444,_xlfn.AGGREGATE(16,6,FIND({0,1,2,3,4,5,6,7,8,9},A444,ROW(INDIRECT("1:"&amp;LEN(A444)))),1))," ",REPT(" ",LEN(A444))),LEN(A444))))))), 1)) * ROW(INDIRECT("1:"&amp;LEN((--TRIM(RIGHT(SUBSTITUTE(LEFT(A444,_xlfn.AGGREGATE(16,6,FIND({0,1,2,3,4,5,6,7,8,9},A444,ROW(INDIRECT("1:"&amp;LEN(A444)))),1))," ",REPT(" ",LEN(A444))),LEN(A444))))))), 0), ROW(INDIRECT("1:"&amp;LEN((--TRIM(RIGHT(SUBSTITUTE(LEFT(A444,_xlfn.AGGREGATE(16,6,FIND({0,1,2,3,4,5,6,7,8,9},A444,ROW(INDIRECT("1:"&amp;LEN(A444)))),1))," ",REPT(" ",LEN(A444))),LEN(A444))))))))+1, 1) * 10^ROW(INDIRECT("1:"&amp;LEN((--TRIM(RIGHT(SUBSTITUTE(LEFT(A444,_xlfn.AGGREGATE(16,6,FIND({0,1,2,3,4,5,6,7,8,9},A444,ROW(INDIRECT("1:"&amp;LEN(A444)))),1))," ",REPT(" ",LEN(A444))),LEN(A444)))))))/10))*1+1</f>
        <v>202 &amp; 402</v>
      </c>
      <c r="B445" s="42" t="s">
        <v>187</v>
      </c>
      <c r="C445" s="42" t="s">
        <v>168</v>
      </c>
      <c r="D445" s="42">
        <f>(37.747+5.3)*10.764</f>
        <v>463.35790799999995</v>
      </c>
      <c r="E445" s="42">
        <f>3.294*10.764</f>
        <v>35.456615999999997</v>
      </c>
      <c r="F445" s="42">
        <v>795</v>
      </c>
      <c r="G445" s="114" t="str">
        <f t="shared" ref="G445:G447" si="41">G444</f>
        <v>2nd &amp; 4th Floor</v>
      </c>
      <c r="H445" s="115"/>
      <c r="I445" s="36"/>
      <c r="J445" s="57">
        <f t="shared" si="35"/>
        <v>1.6392153255319</v>
      </c>
    </row>
    <row r="446" spans="1:10" s="37" customFormat="1" x14ac:dyDescent="0.25">
      <c r="A446" s="50" t="str">
        <f ca="1">(SUMPRODUCT(MID(0&amp;(LEFT(A445,SUM(LEN(A445)-LEN(SUBSTITUTE(A445,{"0","1","2"},""))))), LARGE(INDEX(ISNUMBER(--MID((LEFT(A445,SUM(LEN(A445)-LEN(SUBSTITUTE(A445,{"0","1","2"},""))))), ROW(INDIRECT("1:"&amp;LEN((LEFT(A445,SUM(LEN(A445)-LEN(SUBSTITUTE(A445,{"0","1","2"},"")))))))), 1)) * ROW(INDIRECT("1:"&amp;LEN((LEFT(A445,SUM(LEN(A445)-LEN(SUBSTITUTE(A445,{"0","1","2"},"")))))))), 0), ROW(INDIRECT("1:"&amp;LEN((LEFT(A445,SUM(LEN(A445)-LEN(SUBSTITUTE(A445,{"0","1","2"},"")))))))))+1, 1) * 10^ROW(INDIRECT("1:"&amp;LEN((LEFT(A445,SUM(LEN(A445)-LEN(SUBSTITUTE(A445,{"0","1","2"},""))))))))/10))*1+1&amp;""&amp;" &amp; "&amp;""&amp;(SUMPRODUCT(MID(0&amp;(--TRIM(RIGHT(SUBSTITUTE(LEFT(A445,_xlfn.AGGREGATE(16,6,FIND({0,1,2,3,4,5,6,7,8,9},A445,ROW(INDIRECT("1:"&amp;LEN(A445)))),1))," ",REPT(" ",LEN(A445))),LEN(A445)))), LARGE(INDEX(ISNUMBER(--MID((--TRIM(RIGHT(SUBSTITUTE(LEFT(A445,_xlfn.AGGREGATE(16,6,FIND({0,1,2,3,4,5,6,7,8,9},A445,ROW(INDIRECT("1:"&amp;LEN(A445)))),1))," ",REPT(" ",LEN(A445))),LEN(A445)))), ROW(INDIRECT("1:"&amp;LEN((--TRIM(RIGHT(SUBSTITUTE(LEFT(A445,_xlfn.AGGREGATE(16,6,FIND({0,1,2,3,4,5,6,7,8,9},A445,ROW(INDIRECT("1:"&amp;LEN(A445)))),1))," ",REPT(" ",LEN(A445))),LEN(A445))))))), 1)) * ROW(INDIRECT("1:"&amp;LEN((--TRIM(RIGHT(SUBSTITUTE(LEFT(A445,_xlfn.AGGREGATE(16,6,FIND({0,1,2,3,4,5,6,7,8,9},A445,ROW(INDIRECT("1:"&amp;LEN(A445)))),1))," ",REPT(" ",LEN(A445))),LEN(A445))))))), 0), ROW(INDIRECT("1:"&amp;LEN((--TRIM(RIGHT(SUBSTITUTE(LEFT(A445,_xlfn.AGGREGATE(16,6,FIND({0,1,2,3,4,5,6,7,8,9},A445,ROW(INDIRECT("1:"&amp;LEN(A445)))),1))," ",REPT(" ",LEN(A445))),LEN(A445))))))))+1, 1) * 10^ROW(INDIRECT("1:"&amp;LEN((--TRIM(RIGHT(SUBSTITUTE(LEFT(A445,_xlfn.AGGREGATE(16,6,FIND({0,1,2,3,4,5,6,7,8,9},A445,ROW(INDIRECT("1:"&amp;LEN(A445)))),1))," ",REPT(" ",LEN(A445))),LEN(A445)))))))/10))*1+1</f>
        <v>203 &amp; 403</v>
      </c>
      <c r="B446" s="42" t="s">
        <v>187</v>
      </c>
      <c r="C446" s="42" t="s">
        <v>169</v>
      </c>
      <c r="D446" s="42">
        <f>(31.48+2.44)*10.764</f>
        <v>365.11487999999997</v>
      </c>
      <c r="E446" s="42">
        <v>0</v>
      </c>
      <c r="F446" s="42">
        <v>605</v>
      </c>
      <c r="G446" s="114" t="str">
        <f t="shared" si="41"/>
        <v>2nd &amp; 4th Floor</v>
      </c>
      <c r="H446" s="115"/>
      <c r="I446" s="36"/>
      <c r="J446" s="57">
        <f t="shared" si="35"/>
        <v>1.6570127188461889</v>
      </c>
    </row>
    <row r="447" spans="1:10" s="37" customFormat="1" x14ac:dyDescent="0.25">
      <c r="A447" s="50" t="str">
        <f ca="1">(SUMPRODUCT(MID(0&amp;(LEFT(A446,SUM(LEN(A446)-LEN(SUBSTITUTE(A446,{"0","1","2"},""))))), LARGE(INDEX(ISNUMBER(--MID((LEFT(A446,SUM(LEN(A446)-LEN(SUBSTITUTE(A446,{"0","1","2"},""))))), ROW(INDIRECT("1:"&amp;LEN((LEFT(A446,SUM(LEN(A446)-LEN(SUBSTITUTE(A446,{"0","1","2"},"")))))))), 1)) * ROW(INDIRECT("1:"&amp;LEN((LEFT(A446,SUM(LEN(A446)-LEN(SUBSTITUTE(A446,{"0","1","2"},"")))))))), 0), ROW(INDIRECT("1:"&amp;LEN((LEFT(A446,SUM(LEN(A446)-LEN(SUBSTITUTE(A446,{"0","1","2"},"")))))))))+1, 1) * 10^ROW(INDIRECT("1:"&amp;LEN((LEFT(A446,SUM(LEN(A446)-LEN(SUBSTITUTE(A446,{"0","1","2"},""))))))))/10))*1+1&amp;""&amp;" &amp; "&amp;""&amp;(SUMPRODUCT(MID(0&amp;(--TRIM(RIGHT(SUBSTITUTE(LEFT(A446,_xlfn.AGGREGATE(16,6,FIND({0,1,2,3,4,5,6,7,8,9},A446,ROW(INDIRECT("1:"&amp;LEN(A446)))),1))," ",REPT(" ",LEN(A446))),LEN(A446)))), LARGE(INDEX(ISNUMBER(--MID((--TRIM(RIGHT(SUBSTITUTE(LEFT(A446,_xlfn.AGGREGATE(16,6,FIND({0,1,2,3,4,5,6,7,8,9},A446,ROW(INDIRECT("1:"&amp;LEN(A446)))),1))," ",REPT(" ",LEN(A446))),LEN(A446)))), ROW(INDIRECT("1:"&amp;LEN((--TRIM(RIGHT(SUBSTITUTE(LEFT(A446,_xlfn.AGGREGATE(16,6,FIND({0,1,2,3,4,5,6,7,8,9},A446,ROW(INDIRECT("1:"&amp;LEN(A446)))),1))," ",REPT(" ",LEN(A446))),LEN(A446))))))), 1)) * ROW(INDIRECT("1:"&amp;LEN((--TRIM(RIGHT(SUBSTITUTE(LEFT(A446,_xlfn.AGGREGATE(16,6,FIND({0,1,2,3,4,5,6,7,8,9},A446,ROW(INDIRECT("1:"&amp;LEN(A446)))),1))," ",REPT(" ",LEN(A446))),LEN(A446))))))), 0), ROW(INDIRECT("1:"&amp;LEN((--TRIM(RIGHT(SUBSTITUTE(LEFT(A446,_xlfn.AGGREGATE(16,6,FIND({0,1,2,3,4,5,6,7,8,9},A446,ROW(INDIRECT("1:"&amp;LEN(A446)))),1))," ",REPT(" ",LEN(A446))),LEN(A446))))))))+1, 1) * 10^ROW(INDIRECT("1:"&amp;LEN((--TRIM(RIGHT(SUBSTITUTE(LEFT(A446,_xlfn.AGGREGATE(16,6,FIND({0,1,2,3,4,5,6,7,8,9},A446,ROW(INDIRECT("1:"&amp;LEN(A446)))),1))," ",REPT(" ",LEN(A446))),LEN(A446)))))))/10))*1+1</f>
        <v>204 &amp; 404</v>
      </c>
      <c r="B447" s="42" t="s">
        <v>187</v>
      </c>
      <c r="C447" s="42" t="s">
        <v>169</v>
      </c>
      <c r="D447" s="42">
        <f>(31.48+2.44)*10.764</f>
        <v>365.11487999999997</v>
      </c>
      <c r="E447" s="42">
        <f>0</f>
        <v>0</v>
      </c>
      <c r="F447" s="42">
        <v>605</v>
      </c>
      <c r="G447" s="114" t="str">
        <f t="shared" si="41"/>
        <v>2nd &amp; 4th Floor</v>
      </c>
      <c r="H447" s="115"/>
      <c r="I447" s="36"/>
      <c r="J447" s="57">
        <f t="shared" si="35"/>
        <v>1.6570127188461889</v>
      </c>
    </row>
    <row r="448" spans="1:10" s="34" customFormat="1" x14ac:dyDescent="0.25">
      <c r="A448" s="122" t="s">
        <v>176</v>
      </c>
      <c r="B448" s="122"/>
      <c r="C448" s="122"/>
      <c r="D448" s="122"/>
      <c r="E448" s="122"/>
      <c r="F448" s="122"/>
      <c r="G448" s="122"/>
      <c r="H448" s="122"/>
      <c r="J448" s="57" t="e">
        <f t="shared" si="35"/>
        <v>#DIV/0!</v>
      </c>
    </row>
    <row r="449" spans="1:14" s="37" customFormat="1" x14ac:dyDescent="0.25">
      <c r="A449" s="116" t="s">
        <v>189</v>
      </c>
      <c r="B449" s="117"/>
      <c r="C449" s="117"/>
      <c r="D449" s="117"/>
      <c r="E449" s="117"/>
      <c r="F449" s="117"/>
      <c r="G449" s="117"/>
      <c r="H449" s="118"/>
      <c r="J449" s="57" t="e">
        <f t="shared" si="35"/>
        <v>#DIV/0!</v>
      </c>
    </row>
    <row r="450" spans="1:14" s="37" customFormat="1" ht="15.75" customHeight="1" x14ac:dyDescent="0.25">
      <c r="A450" s="50">
        <v>1</v>
      </c>
      <c r="B450" s="42" t="s">
        <v>188</v>
      </c>
      <c r="C450" s="42" t="s">
        <v>168</v>
      </c>
      <c r="D450" s="42">
        <f>(43.372)*10.764</f>
        <v>466.85620799999998</v>
      </c>
      <c r="E450" s="42">
        <v>0</v>
      </c>
      <c r="F450" s="42">
        <v>770</v>
      </c>
      <c r="G450" s="114" t="str">
        <f>A449</f>
        <v xml:space="preserve">Ground Floor for Residential </v>
      </c>
      <c r="H450" s="115"/>
      <c r="I450" s="36"/>
      <c r="J450" s="57">
        <f t="shared" si="35"/>
        <v>1.6493301080833009</v>
      </c>
      <c r="L450" s="123"/>
      <c r="M450" s="123"/>
      <c r="N450" s="36"/>
    </row>
    <row r="451" spans="1:14" s="37" customFormat="1" ht="15.75" customHeight="1" x14ac:dyDescent="0.25">
      <c r="A451" s="50">
        <f t="shared" ref="A451" si="42">A450+1</f>
        <v>2</v>
      </c>
      <c r="B451" s="42" t="s">
        <v>188</v>
      </c>
      <c r="C451" s="42" t="s">
        <v>168</v>
      </c>
      <c r="D451" s="42">
        <f>(43.372)*10.764</f>
        <v>466.85620799999998</v>
      </c>
      <c r="E451" s="42">
        <v>0</v>
      </c>
      <c r="F451" s="42">
        <v>770</v>
      </c>
      <c r="G451" s="114" t="str">
        <f t="shared" ref="G451" si="43">G450</f>
        <v xml:space="preserve">Ground Floor for Residential </v>
      </c>
      <c r="H451" s="115"/>
      <c r="I451" s="36"/>
      <c r="J451" s="57">
        <f t="shared" si="35"/>
        <v>1.6493301080833009</v>
      </c>
      <c r="L451" s="123"/>
      <c r="M451" s="123"/>
      <c r="N451" s="36"/>
    </row>
    <row r="452" spans="1:14" s="37" customFormat="1" x14ac:dyDescent="0.25">
      <c r="A452" s="119" t="s">
        <v>186</v>
      </c>
      <c r="B452" s="120"/>
      <c r="C452" s="120"/>
      <c r="D452" s="120"/>
      <c r="E452" s="120"/>
      <c r="F452" s="120"/>
      <c r="G452" s="120"/>
      <c r="H452" s="121"/>
      <c r="I452" s="36"/>
      <c r="J452" s="57" t="e">
        <f t="shared" si="35"/>
        <v>#DIV/0!</v>
      </c>
    </row>
    <row r="453" spans="1:14" s="37" customFormat="1" x14ac:dyDescent="0.25">
      <c r="A453" s="50" t="str">
        <f ca="1">(SUMPRODUCT(MID(0&amp;(LEFT(A452,SUM(LEN(A452)-LEN(SUBSTITUTE(A452,{"0","1","2"},""))))), LARGE(INDEX(ISNUMBER(--MID((LEFT(A452,SUM(LEN(A452)-LEN(SUBSTITUTE(A452,{"0","1","2"},""))))), ROW(INDIRECT("1:"&amp;LEN((LEFT(A452,SUM(LEN(A452)-LEN(SUBSTITUTE(A452,{"0","1","2"},"")))))))), 1)) * ROW(INDIRECT("1:"&amp;LEN((LEFT(A452,SUM(LEN(A452)-LEN(SUBSTITUTE(A452,{"0","1","2"},"")))))))), 0), ROW(INDIRECT("1:"&amp;LEN((LEFT(A452,SUM(LEN(A452)-LEN(SUBSTITUTE(A452,{"0","1","2"},"")))))))))+1, 1) * 10^ROW(INDIRECT("1:"&amp;LEN((LEFT(A452,SUM(LEN(A452)-LEN(SUBSTITUTE(A452,{"0","1","2"},""))))))))/10))*100+1&amp;""&amp;" &amp; "&amp;""&amp;(SUMPRODUCT(MID(0&amp;(--TRIM(RIGHT(SUBSTITUTE(LEFT(A452,_xlfn.AGGREGATE(16,6,FIND({0,1,2,3,4,5,6,7,8,9},A452,ROW(INDIRECT("1:"&amp;LEN(A452)))),1))," ",REPT(" ",LEN(A452))),LEN(A452)))), LARGE(INDEX(ISNUMBER(--MID((--TRIM(RIGHT(SUBSTITUTE(LEFT(A452,_xlfn.AGGREGATE(16,6,FIND({0,1,2,3,4,5,6,7,8,9},A452,ROW(INDIRECT("1:"&amp;LEN(A452)))),1))," ",REPT(" ",LEN(A452))),LEN(A452)))), ROW(INDIRECT("1:"&amp;LEN((--TRIM(RIGHT(SUBSTITUTE(LEFT(A452,_xlfn.AGGREGATE(16,6,FIND({0,1,2,3,4,5,6,7,8,9},A452,ROW(INDIRECT("1:"&amp;LEN(A452)))),1))," ",REPT(" ",LEN(A452))),LEN(A452))))))), 1)) * ROW(INDIRECT("1:"&amp;LEN((--TRIM(RIGHT(SUBSTITUTE(LEFT(A452,_xlfn.AGGREGATE(16,6,FIND({0,1,2,3,4,5,6,7,8,9},A452,ROW(INDIRECT("1:"&amp;LEN(A452)))),1))," ",REPT(" ",LEN(A452))),LEN(A452))))))), 0), ROW(INDIRECT("1:"&amp;LEN((--TRIM(RIGHT(SUBSTITUTE(LEFT(A452,_xlfn.AGGREGATE(16,6,FIND({0,1,2,3,4,5,6,7,8,9},A452,ROW(INDIRECT("1:"&amp;LEN(A452)))),1))," ",REPT(" ",LEN(A452))),LEN(A452))))))))+1, 1) * 10^ROW(INDIRECT("1:"&amp;LEN((--TRIM(RIGHT(SUBSTITUTE(LEFT(A452,_xlfn.AGGREGATE(16,6,FIND({0,1,2,3,4,5,6,7,8,9},A452,ROW(INDIRECT("1:"&amp;LEN(A452)))),1))," ",REPT(" ",LEN(A452))),LEN(A452)))))))/10))*100+1</f>
        <v>101 &amp; 301</v>
      </c>
      <c r="B453" s="42" t="s">
        <v>187</v>
      </c>
      <c r="C453" s="42" t="s">
        <v>169</v>
      </c>
      <c r="D453" s="42">
        <f>(32.096+2.44)*10.764</f>
        <v>371.74550399999993</v>
      </c>
      <c r="E453" s="42">
        <f>3.795*10.764</f>
        <v>40.849379999999996</v>
      </c>
      <c r="F453" s="42">
        <v>670</v>
      </c>
      <c r="G453" s="114" t="str">
        <f>A452</f>
        <v>1st &amp; 3rd Floor</v>
      </c>
      <c r="H453" s="115"/>
      <c r="I453" s="36"/>
      <c r="J453" s="57">
        <f t="shared" si="35"/>
        <v>1.6924229431971829</v>
      </c>
    </row>
    <row r="454" spans="1:14" s="37" customFormat="1" x14ac:dyDescent="0.25">
      <c r="A454" s="50" t="str">
        <f ca="1">(SUMPRODUCT(MID(0&amp;(LEFT(A453,SUM(LEN(A453)-LEN(SUBSTITUTE(A453,{"0","1","2"},""))))), LARGE(INDEX(ISNUMBER(--MID((LEFT(A453,SUM(LEN(A453)-LEN(SUBSTITUTE(A453,{"0","1","2"},""))))), ROW(INDIRECT("1:"&amp;LEN((LEFT(A453,SUM(LEN(A453)-LEN(SUBSTITUTE(A453,{"0","1","2"},"")))))))), 1)) * ROW(INDIRECT("1:"&amp;LEN((LEFT(A453,SUM(LEN(A453)-LEN(SUBSTITUTE(A453,{"0","1","2"},"")))))))), 0), ROW(INDIRECT("1:"&amp;LEN((LEFT(A453,SUM(LEN(A453)-LEN(SUBSTITUTE(A453,{"0","1","2"},"")))))))))+1, 1) * 10^ROW(INDIRECT("1:"&amp;LEN((LEFT(A453,SUM(LEN(A453)-LEN(SUBSTITUTE(A453,{"0","1","2"},""))))))))/10))*1+1&amp;""&amp;" &amp; "&amp;""&amp;(SUMPRODUCT(MID(0&amp;(--TRIM(RIGHT(SUBSTITUTE(LEFT(A453,_xlfn.AGGREGATE(16,6,FIND({0,1,2,3,4,5,6,7,8,9},A453,ROW(INDIRECT("1:"&amp;LEN(A453)))),1))," ",REPT(" ",LEN(A453))),LEN(A453)))), LARGE(INDEX(ISNUMBER(--MID((--TRIM(RIGHT(SUBSTITUTE(LEFT(A453,_xlfn.AGGREGATE(16,6,FIND({0,1,2,3,4,5,6,7,8,9},A453,ROW(INDIRECT("1:"&amp;LEN(A453)))),1))," ",REPT(" ",LEN(A453))),LEN(A453)))), ROW(INDIRECT("1:"&amp;LEN((--TRIM(RIGHT(SUBSTITUTE(LEFT(A453,_xlfn.AGGREGATE(16,6,FIND({0,1,2,3,4,5,6,7,8,9},A453,ROW(INDIRECT("1:"&amp;LEN(A453)))),1))," ",REPT(" ",LEN(A453))),LEN(A453))))))), 1)) * ROW(INDIRECT("1:"&amp;LEN((--TRIM(RIGHT(SUBSTITUTE(LEFT(A453,_xlfn.AGGREGATE(16,6,FIND({0,1,2,3,4,5,6,7,8,9},A453,ROW(INDIRECT("1:"&amp;LEN(A453)))),1))," ",REPT(" ",LEN(A453))),LEN(A453))))))), 0), ROW(INDIRECT("1:"&amp;LEN((--TRIM(RIGHT(SUBSTITUTE(LEFT(A453,_xlfn.AGGREGATE(16,6,FIND({0,1,2,3,4,5,6,7,8,9},A453,ROW(INDIRECT("1:"&amp;LEN(A453)))),1))," ",REPT(" ",LEN(A453))),LEN(A453))))))))+1, 1) * 10^ROW(INDIRECT("1:"&amp;LEN((--TRIM(RIGHT(SUBSTITUTE(LEFT(A453,_xlfn.AGGREGATE(16,6,FIND({0,1,2,3,4,5,6,7,8,9},A453,ROW(INDIRECT("1:"&amp;LEN(A453)))),1))," ",REPT(" ",LEN(A453))),LEN(A453)))))))/10))*1+1</f>
        <v>102 &amp; 302</v>
      </c>
      <c r="B454" s="42" t="s">
        <v>188</v>
      </c>
      <c r="C454" s="42" t="s">
        <v>168</v>
      </c>
      <c r="D454" s="42">
        <f>(41.012)*10.764</f>
        <v>441.45316800000001</v>
      </c>
      <c r="E454" s="42">
        <v>0</v>
      </c>
      <c r="F454" s="42">
        <v>730</v>
      </c>
      <c r="G454" s="114" t="str">
        <f t="shared" ref="G454:G456" si="44">G453</f>
        <v>1st &amp; 3rd Floor</v>
      </c>
      <c r="H454" s="115"/>
      <c r="I454" s="36"/>
      <c r="J454" s="57">
        <f t="shared" si="35"/>
        <v>1.6536295419676317</v>
      </c>
    </row>
    <row r="455" spans="1:14" s="37" customFormat="1" x14ac:dyDescent="0.25">
      <c r="A455" s="50" t="str">
        <f ca="1">(SUMPRODUCT(MID(0&amp;(LEFT(A454,SUM(LEN(A454)-LEN(SUBSTITUTE(A454,{"0","1","2"},""))))), LARGE(INDEX(ISNUMBER(--MID((LEFT(A454,SUM(LEN(A454)-LEN(SUBSTITUTE(A454,{"0","1","2"},""))))), ROW(INDIRECT("1:"&amp;LEN((LEFT(A454,SUM(LEN(A454)-LEN(SUBSTITUTE(A454,{"0","1","2"},"")))))))), 1)) * ROW(INDIRECT("1:"&amp;LEN((LEFT(A454,SUM(LEN(A454)-LEN(SUBSTITUTE(A454,{"0","1","2"},"")))))))), 0), ROW(INDIRECT("1:"&amp;LEN((LEFT(A454,SUM(LEN(A454)-LEN(SUBSTITUTE(A454,{"0","1","2"},"")))))))))+1, 1) * 10^ROW(INDIRECT("1:"&amp;LEN((LEFT(A454,SUM(LEN(A454)-LEN(SUBSTITUTE(A454,{"0","1","2"},""))))))))/10))*1+1&amp;""&amp;" &amp; "&amp;""&amp;(SUMPRODUCT(MID(0&amp;(--TRIM(RIGHT(SUBSTITUTE(LEFT(A454,_xlfn.AGGREGATE(16,6,FIND({0,1,2,3,4,5,6,7,8,9},A454,ROW(INDIRECT("1:"&amp;LEN(A454)))),1))," ",REPT(" ",LEN(A454))),LEN(A454)))), LARGE(INDEX(ISNUMBER(--MID((--TRIM(RIGHT(SUBSTITUTE(LEFT(A454,_xlfn.AGGREGATE(16,6,FIND({0,1,2,3,4,5,6,7,8,9},A454,ROW(INDIRECT("1:"&amp;LEN(A454)))),1))," ",REPT(" ",LEN(A454))),LEN(A454)))), ROW(INDIRECT("1:"&amp;LEN((--TRIM(RIGHT(SUBSTITUTE(LEFT(A454,_xlfn.AGGREGATE(16,6,FIND({0,1,2,3,4,5,6,7,8,9},A454,ROW(INDIRECT("1:"&amp;LEN(A454)))),1))," ",REPT(" ",LEN(A454))),LEN(A454))))))), 1)) * ROW(INDIRECT("1:"&amp;LEN((--TRIM(RIGHT(SUBSTITUTE(LEFT(A454,_xlfn.AGGREGATE(16,6,FIND({0,1,2,3,4,5,6,7,8,9},A454,ROW(INDIRECT("1:"&amp;LEN(A454)))),1))," ",REPT(" ",LEN(A454))),LEN(A454))))))), 0), ROW(INDIRECT("1:"&amp;LEN((--TRIM(RIGHT(SUBSTITUTE(LEFT(A454,_xlfn.AGGREGATE(16,6,FIND({0,1,2,3,4,5,6,7,8,9},A454,ROW(INDIRECT("1:"&amp;LEN(A454)))),1))," ",REPT(" ",LEN(A454))),LEN(A454))))))))+1, 1) * 10^ROW(INDIRECT("1:"&amp;LEN((--TRIM(RIGHT(SUBSTITUTE(LEFT(A454,_xlfn.AGGREGATE(16,6,FIND({0,1,2,3,4,5,6,7,8,9},A454,ROW(INDIRECT("1:"&amp;LEN(A454)))),1))," ",REPT(" ",LEN(A454))),LEN(A454)))))))/10))*1+1</f>
        <v>103 &amp; 303</v>
      </c>
      <c r="B455" s="42" t="s">
        <v>188</v>
      </c>
      <c r="C455" s="42" t="s">
        <v>168</v>
      </c>
      <c r="D455" s="42">
        <f>(43.372)*10.764</f>
        <v>466.85620799999998</v>
      </c>
      <c r="E455" s="42">
        <v>0</v>
      </c>
      <c r="F455" s="42">
        <v>770</v>
      </c>
      <c r="G455" s="114" t="str">
        <f t="shared" si="44"/>
        <v>1st &amp; 3rd Floor</v>
      </c>
      <c r="H455" s="115"/>
      <c r="I455" s="36"/>
      <c r="J455" s="57">
        <f t="shared" si="35"/>
        <v>1.6493301080833009</v>
      </c>
    </row>
    <row r="456" spans="1:14" s="37" customFormat="1" x14ac:dyDescent="0.25">
      <c r="A456" s="50" t="str">
        <f ca="1">(SUMPRODUCT(MID(0&amp;(LEFT(A455,SUM(LEN(A455)-LEN(SUBSTITUTE(A455,{"0","1","2"},""))))), LARGE(INDEX(ISNUMBER(--MID((LEFT(A455,SUM(LEN(A455)-LEN(SUBSTITUTE(A455,{"0","1","2"},""))))), ROW(INDIRECT("1:"&amp;LEN((LEFT(A455,SUM(LEN(A455)-LEN(SUBSTITUTE(A455,{"0","1","2"},"")))))))), 1)) * ROW(INDIRECT("1:"&amp;LEN((LEFT(A455,SUM(LEN(A455)-LEN(SUBSTITUTE(A455,{"0","1","2"},"")))))))), 0), ROW(INDIRECT("1:"&amp;LEN((LEFT(A455,SUM(LEN(A455)-LEN(SUBSTITUTE(A455,{"0","1","2"},"")))))))))+1, 1) * 10^ROW(INDIRECT("1:"&amp;LEN((LEFT(A455,SUM(LEN(A455)-LEN(SUBSTITUTE(A455,{"0","1","2"},""))))))))/10))*1+1&amp;""&amp;" &amp; "&amp;""&amp;(SUMPRODUCT(MID(0&amp;(--TRIM(RIGHT(SUBSTITUTE(LEFT(A455,_xlfn.AGGREGATE(16,6,FIND({0,1,2,3,4,5,6,7,8,9},A455,ROW(INDIRECT("1:"&amp;LEN(A455)))),1))," ",REPT(" ",LEN(A455))),LEN(A455)))), LARGE(INDEX(ISNUMBER(--MID((--TRIM(RIGHT(SUBSTITUTE(LEFT(A455,_xlfn.AGGREGATE(16,6,FIND({0,1,2,3,4,5,6,7,8,9},A455,ROW(INDIRECT("1:"&amp;LEN(A455)))),1))," ",REPT(" ",LEN(A455))),LEN(A455)))), ROW(INDIRECT("1:"&amp;LEN((--TRIM(RIGHT(SUBSTITUTE(LEFT(A455,_xlfn.AGGREGATE(16,6,FIND({0,1,2,3,4,5,6,7,8,9},A455,ROW(INDIRECT("1:"&amp;LEN(A455)))),1))," ",REPT(" ",LEN(A455))),LEN(A455))))))), 1)) * ROW(INDIRECT("1:"&amp;LEN((--TRIM(RIGHT(SUBSTITUTE(LEFT(A455,_xlfn.AGGREGATE(16,6,FIND({0,1,2,3,4,5,6,7,8,9},A455,ROW(INDIRECT("1:"&amp;LEN(A455)))),1))," ",REPT(" ",LEN(A455))),LEN(A455))))))), 0), ROW(INDIRECT("1:"&amp;LEN((--TRIM(RIGHT(SUBSTITUTE(LEFT(A455,_xlfn.AGGREGATE(16,6,FIND({0,1,2,3,4,5,6,7,8,9},A455,ROW(INDIRECT("1:"&amp;LEN(A455)))),1))," ",REPT(" ",LEN(A455))),LEN(A455))))))))+1, 1) * 10^ROW(INDIRECT("1:"&amp;LEN((--TRIM(RIGHT(SUBSTITUTE(LEFT(A455,_xlfn.AGGREGATE(16,6,FIND({0,1,2,3,4,5,6,7,8,9},A455,ROW(INDIRECT("1:"&amp;LEN(A455)))),1))," ",REPT(" ",LEN(A455))),LEN(A455)))))))/10))*1+1</f>
        <v>104 &amp; 304</v>
      </c>
      <c r="B456" s="42" t="s">
        <v>188</v>
      </c>
      <c r="C456" s="42" t="s">
        <v>168</v>
      </c>
      <c r="D456" s="42">
        <f>(43.372)*10.764</f>
        <v>466.85620799999998</v>
      </c>
      <c r="E456" s="42">
        <v>0</v>
      </c>
      <c r="F456" s="42">
        <v>770</v>
      </c>
      <c r="G456" s="114" t="str">
        <f t="shared" si="44"/>
        <v>1st &amp; 3rd Floor</v>
      </c>
      <c r="H456" s="115"/>
      <c r="I456" s="36"/>
      <c r="J456" s="57">
        <f t="shared" si="35"/>
        <v>1.6493301080833009</v>
      </c>
    </row>
    <row r="457" spans="1:14" s="37" customFormat="1" ht="15.75" customHeight="1" x14ac:dyDescent="0.25">
      <c r="A457" s="119" t="s">
        <v>170</v>
      </c>
      <c r="B457" s="120"/>
      <c r="C457" s="120"/>
      <c r="D457" s="120"/>
      <c r="E457" s="120"/>
      <c r="F457" s="120"/>
      <c r="G457" s="120"/>
      <c r="H457" s="121"/>
      <c r="I457" s="36"/>
      <c r="J457" s="57" t="e">
        <f t="shared" si="35"/>
        <v>#DIV/0!</v>
      </c>
    </row>
    <row r="458" spans="1:14" s="37" customFormat="1" x14ac:dyDescent="0.25">
      <c r="A458" s="50" t="str">
        <f ca="1">(SUMPRODUCT(MID(0&amp;(LEFT(A457,SUM(LEN(A457)-LEN(SUBSTITUTE(A457,{"0","1","2"},""))))), LARGE(INDEX(ISNUMBER(--MID((LEFT(A457,SUM(LEN(A457)-LEN(SUBSTITUTE(A457,{"0","1","2"},""))))), ROW(INDIRECT("1:"&amp;LEN((LEFT(A457,SUM(LEN(A457)-LEN(SUBSTITUTE(A457,{"0","1","2"},"")))))))), 1)) * ROW(INDIRECT("1:"&amp;LEN((LEFT(A457,SUM(LEN(A457)-LEN(SUBSTITUTE(A457,{"0","1","2"},"")))))))), 0), ROW(INDIRECT("1:"&amp;LEN((LEFT(A457,SUM(LEN(A457)-LEN(SUBSTITUTE(A457,{"0","1","2"},"")))))))))+1, 1) * 10^ROW(INDIRECT("1:"&amp;LEN((LEFT(A457,SUM(LEN(A457)-LEN(SUBSTITUTE(A457,{"0","1","2"},""))))))))/10))*100+1&amp;""&amp;" &amp; "&amp;""&amp;(SUMPRODUCT(MID(0&amp;(--TRIM(RIGHT(SUBSTITUTE(LEFT(A457,_xlfn.AGGREGATE(16,6,FIND({0,1,2,3,4,5,6,7,8,9},A457,ROW(INDIRECT("1:"&amp;LEN(A457)))),1))," ",REPT(" ",LEN(A457))),LEN(A457)))), LARGE(INDEX(ISNUMBER(--MID((--TRIM(RIGHT(SUBSTITUTE(LEFT(A457,_xlfn.AGGREGATE(16,6,FIND({0,1,2,3,4,5,6,7,8,9},A457,ROW(INDIRECT("1:"&amp;LEN(A457)))),1))," ",REPT(" ",LEN(A457))),LEN(A457)))), ROW(INDIRECT("1:"&amp;LEN((--TRIM(RIGHT(SUBSTITUTE(LEFT(A457,_xlfn.AGGREGATE(16,6,FIND({0,1,2,3,4,5,6,7,8,9},A457,ROW(INDIRECT("1:"&amp;LEN(A457)))),1))," ",REPT(" ",LEN(A457))),LEN(A457))))))), 1)) * ROW(INDIRECT("1:"&amp;LEN((--TRIM(RIGHT(SUBSTITUTE(LEFT(A457,_xlfn.AGGREGATE(16,6,FIND({0,1,2,3,4,5,6,7,8,9},A457,ROW(INDIRECT("1:"&amp;LEN(A457)))),1))," ",REPT(" ",LEN(A457))),LEN(A457))))))), 0), ROW(INDIRECT("1:"&amp;LEN((--TRIM(RIGHT(SUBSTITUTE(LEFT(A457,_xlfn.AGGREGATE(16,6,FIND({0,1,2,3,4,5,6,7,8,9},A457,ROW(INDIRECT("1:"&amp;LEN(A457)))),1))," ",REPT(" ",LEN(A457))),LEN(A457))))))))+1, 1) * 10^ROW(INDIRECT("1:"&amp;LEN((--TRIM(RIGHT(SUBSTITUTE(LEFT(A457,_xlfn.AGGREGATE(16,6,FIND({0,1,2,3,4,5,6,7,8,9},A457,ROW(INDIRECT("1:"&amp;LEN(A457)))),1))," ",REPT(" ",LEN(A457))),LEN(A457)))))))/10))*100+1</f>
        <v>201 &amp; 401</v>
      </c>
      <c r="B458" s="42" t="s">
        <v>187</v>
      </c>
      <c r="C458" s="42" t="s">
        <v>169</v>
      </c>
      <c r="D458" s="42">
        <f>(31.48+2.44)*10.764</f>
        <v>365.11487999999997</v>
      </c>
      <c r="E458" s="42">
        <v>0</v>
      </c>
      <c r="F458" s="42">
        <v>605</v>
      </c>
      <c r="G458" s="114" t="str">
        <f>A457</f>
        <v>2nd &amp; 4th Floor</v>
      </c>
      <c r="H458" s="115"/>
      <c r="I458" s="36"/>
      <c r="J458" s="57">
        <f t="shared" si="35"/>
        <v>1.6570127188461889</v>
      </c>
    </row>
    <row r="459" spans="1:14" s="37" customFormat="1" x14ac:dyDescent="0.25">
      <c r="A459" s="50" t="str">
        <f ca="1">(SUMPRODUCT(MID(0&amp;(LEFT(A458,SUM(LEN(A458)-LEN(SUBSTITUTE(A458,{"0","1","2"},""))))), LARGE(INDEX(ISNUMBER(--MID((LEFT(A458,SUM(LEN(A458)-LEN(SUBSTITUTE(A458,{"0","1","2"},""))))), ROW(INDIRECT("1:"&amp;LEN((LEFT(A458,SUM(LEN(A458)-LEN(SUBSTITUTE(A458,{"0","1","2"},"")))))))), 1)) * ROW(INDIRECT("1:"&amp;LEN((LEFT(A458,SUM(LEN(A458)-LEN(SUBSTITUTE(A458,{"0","1","2"},"")))))))), 0), ROW(INDIRECT("1:"&amp;LEN((LEFT(A458,SUM(LEN(A458)-LEN(SUBSTITUTE(A458,{"0","1","2"},"")))))))))+1, 1) * 10^ROW(INDIRECT("1:"&amp;LEN((LEFT(A458,SUM(LEN(A458)-LEN(SUBSTITUTE(A458,{"0","1","2"},""))))))))/10))*1+1&amp;""&amp;" &amp; "&amp;""&amp;(SUMPRODUCT(MID(0&amp;(--TRIM(RIGHT(SUBSTITUTE(LEFT(A458,_xlfn.AGGREGATE(16,6,FIND({0,1,2,3,4,5,6,7,8,9},A458,ROW(INDIRECT("1:"&amp;LEN(A458)))),1))," ",REPT(" ",LEN(A458))),LEN(A458)))), LARGE(INDEX(ISNUMBER(--MID((--TRIM(RIGHT(SUBSTITUTE(LEFT(A458,_xlfn.AGGREGATE(16,6,FIND({0,1,2,3,4,5,6,7,8,9},A458,ROW(INDIRECT("1:"&amp;LEN(A458)))),1))," ",REPT(" ",LEN(A458))),LEN(A458)))), ROW(INDIRECT("1:"&amp;LEN((--TRIM(RIGHT(SUBSTITUTE(LEFT(A458,_xlfn.AGGREGATE(16,6,FIND({0,1,2,3,4,5,6,7,8,9},A458,ROW(INDIRECT("1:"&amp;LEN(A458)))),1))," ",REPT(" ",LEN(A458))),LEN(A458))))))), 1)) * ROW(INDIRECT("1:"&amp;LEN((--TRIM(RIGHT(SUBSTITUTE(LEFT(A458,_xlfn.AGGREGATE(16,6,FIND({0,1,2,3,4,5,6,7,8,9},A458,ROW(INDIRECT("1:"&amp;LEN(A458)))),1))," ",REPT(" ",LEN(A458))),LEN(A458))))))), 0), ROW(INDIRECT("1:"&amp;LEN((--TRIM(RIGHT(SUBSTITUTE(LEFT(A458,_xlfn.AGGREGATE(16,6,FIND({0,1,2,3,4,5,6,7,8,9},A458,ROW(INDIRECT("1:"&amp;LEN(A458)))),1))," ",REPT(" ",LEN(A458))),LEN(A458))))))))+1, 1) * 10^ROW(INDIRECT("1:"&amp;LEN((--TRIM(RIGHT(SUBSTITUTE(LEFT(A458,_xlfn.AGGREGATE(16,6,FIND({0,1,2,3,4,5,6,7,8,9},A458,ROW(INDIRECT("1:"&amp;LEN(A458)))),1))," ",REPT(" ",LEN(A458))),LEN(A458)))))))/10))*1+1</f>
        <v>202 &amp; 402</v>
      </c>
      <c r="B459" s="42" t="s">
        <v>188</v>
      </c>
      <c r="C459" s="42" t="s">
        <v>168</v>
      </c>
      <c r="D459" s="42">
        <f>41.012*10.764</f>
        <v>441.45316800000001</v>
      </c>
      <c r="E459" s="42">
        <v>0</v>
      </c>
      <c r="F459" s="42">
        <v>730</v>
      </c>
      <c r="G459" s="114" t="str">
        <f t="shared" ref="G459:G461" si="45">G458</f>
        <v>2nd &amp; 4th Floor</v>
      </c>
      <c r="H459" s="115"/>
      <c r="I459" s="36"/>
      <c r="J459" s="57">
        <f t="shared" si="35"/>
        <v>1.6536295419676317</v>
      </c>
    </row>
    <row r="460" spans="1:14" s="37" customFormat="1" x14ac:dyDescent="0.25">
      <c r="A460" s="50" t="str">
        <f ca="1">(SUMPRODUCT(MID(0&amp;(LEFT(A459,SUM(LEN(A459)-LEN(SUBSTITUTE(A459,{"0","1","2"},""))))), LARGE(INDEX(ISNUMBER(--MID((LEFT(A459,SUM(LEN(A459)-LEN(SUBSTITUTE(A459,{"0","1","2"},""))))), ROW(INDIRECT("1:"&amp;LEN((LEFT(A459,SUM(LEN(A459)-LEN(SUBSTITUTE(A459,{"0","1","2"},"")))))))), 1)) * ROW(INDIRECT("1:"&amp;LEN((LEFT(A459,SUM(LEN(A459)-LEN(SUBSTITUTE(A459,{"0","1","2"},"")))))))), 0), ROW(INDIRECT("1:"&amp;LEN((LEFT(A459,SUM(LEN(A459)-LEN(SUBSTITUTE(A459,{"0","1","2"},"")))))))))+1, 1) * 10^ROW(INDIRECT("1:"&amp;LEN((LEFT(A459,SUM(LEN(A459)-LEN(SUBSTITUTE(A459,{"0","1","2"},""))))))))/10))*1+1&amp;""&amp;" &amp; "&amp;""&amp;(SUMPRODUCT(MID(0&amp;(--TRIM(RIGHT(SUBSTITUTE(LEFT(A459,_xlfn.AGGREGATE(16,6,FIND({0,1,2,3,4,5,6,7,8,9},A459,ROW(INDIRECT("1:"&amp;LEN(A459)))),1))," ",REPT(" ",LEN(A459))),LEN(A459)))), LARGE(INDEX(ISNUMBER(--MID((--TRIM(RIGHT(SUBSTITUTE(LEFT(A459,_xlfn.AGGREGATE(16,6,FIND({0,1,2,3,4,5,6,7,8,9},A459,ROW(INDIRECT("1:"&amp;LEN(A459)))),1))," ",REPT(" ",LEN(A459))),LEN(A459)))), ROW(INDIRECT("1:"&amp;LEN((--TRIM(RIGHT(SUBSTITUTE(LEFT(A459,_xlfn.AGGREGATE(16,6,FIND({0,1,2,3,4,5,6,7,8,9},A459,ROW(INDIRECT("1:"&amp;LEN(A459)))),1))," ",REPT(" ",LEN(A459))),LEN(A459))))))), 1)) * ROW(INDIRECT("1:"&amp;LEN((--TRIM(RIGHT(SUBSTITUTE(LEFT(A459,_xlfn.AGGREGATE(16,6,FIND({0,1,2,3,4,5,6,7,8,9},A459,ROW(INDIRECT("1:"&amp;LEN(A459)))),1))," ",REPT(" ",LEN(A459))),LEN(A459))))))), 0), ROW(INDIRECT("1:"&amp;LEN((--TRIM(RIGHT(SUBSTITUTE(LEFT(A459,_xlfn.AGGREGATE(16,6,FIND({0,1,2,3,4,5,6,7,8,9},A459,ROW(INDIRECT("1:"&amp;LEN(A459)))),1))," ",REPT(" ",LEN(A459))),LEN(A459))))))))+1, 1) * 10^ROW(INDIRECT("1:"&amp;LEN((--TRIM(RIGHT(SUBSTITUTE(LEFT(A459,_xlfn.AGGREGATE(16,6,FIND({0,1,2,3,4,5,6,7,8,9},A459,ROW(INDIRECT("1:"&amp;LEN(A459)))),1))," ",REPT(" ",LEN(A459))),LEN(A459)))))))/10))*1+1</f>
        <v>203 &amp; 403</v>
      </c>
      <c r="B460" s="42" t="s">
        <v>188</v>
      </c>
      <c r="C460" s="42" t="s">
        <v>168</v>
      </c>
      <c r="D460" s="42">
        <f>43.372*10.764</f>
        <v>466.85620799999998</v>
      </c>
      <c r="E460" s="42">
        <v>0</v>
      </c>
      <c r="F460" s="42">
        <v>770</v>
      </c>
      <c r="G460" s="114" t="str">
        <f t="shared" si="45"/>
        <v>2nd &amp; 4th Floor</v>
      </c>
      <c r="H460" s="115"/>
      <c r="I460" s="36"/>
      <c r="J460" s="57">
        <f t="shared" si="35"/>
        <v>1.6493301080833009</v>
      </c>
    </row>
    <row r="461" spans="1:14" s="37" customFormat="1" x14ac:dyDescent="0.25">
      <c r="A461" s="50" t="str">
        <f ca="1">(SUMPRODUCT(MID(0&amp;(LEFT(A460,SUM(LEN(A460)-LEN(SUBSTITUTE(A460,{"0","1","2"},""))))), LARGE(INDEX(ISNUMBER(--MID((LEFT(A460,SUM(LEN(A460)-LEN(SUBSTITUTE(A460,{"0","1","2"},""))))), ROW(INDIRECT("1:"&amp;LEN((LEFT(A460,SUM(LEN(A460)-LEN(SUBSTITUTE(A460,{"0","1","2"},"")))))))), 1)) * ROW(INDIRECT("1:"&amp;LEN((LEFT(A460,SUM(LEN(A460)-LEN(SUBSTITUTE(A460,{"0","1","2"},"")))))))), 0), ROW(INDIRECT("1:"&amp;LEN((LEFT(A460,SUM(LEN(A460)-LEN(SUBSTITUTE(A460,{"0","1","2"},"")))))))))+1, 1) * 10^ROW(INDIRECT("1:"&amp;LEN((LEFT(A460,SUM(LEN(A460)-LEN(SUBSTITUTE(A460,{"0","1","2"},""))))))))/10))*1+1&amp;""&amp;" &amp; "&amp;""&amp;(SUMPRODUCT(MID(0&amp;(--TRIM(RIGHT(SUBSTITUTE(LEFT(A460,_xlfn.AGGREGATE(16,6,FIND({0,1,2,3,4,5,6,7,8,9},A460,ROW(INDIRECT("1:"&amp;LEN(A460)))),1))," ",REPT(" ",LEN(A460))),LEN(A460)))), LARGE(INDEX(ISNUMBER(--MID((--TRIM(RIGHT(SUBSTITUTE(LEFT(A460,_xlfn.AGGREGATE(16,6,FIND({0,1,2,3,4,5,6,7,8,9},A460,ROW(INDIRECT("1:"&amp;LEN(A460)))),1))," ",REPT(" ",LEN(A460))),LEN(A460)))), ROW(INDIRECT("1:"&amp;LEN((--TRIM(RIGHT(SUBSTITUTE(LEFT(A460,_xlfn.AGGREGATE(16,6,FIND({0,1,2,3,4,5,6,7,8,9},A460,ROW(INDIRECT("1:"&amp;LEN(A460)))),1))," ",REPT(" ",LEN(A460))),LEN(A460))))))), 1)) * ROW(INDIRECT("1:"&amp;LEN((--TRIM(RIGHT(SUBSTITUTE(LEFT(A460,_xlfn.AGGREGATE(16,6,FIND({0,1,2,3,4,5,6,7,8,9},A460,ROW(INDIRECT("1:"&amp;LEN(A460)))),1))," ",REPT(" ",LEN(A460))),LEN(A460))))))), 0), ROW(INDIRECT("1:"&amp;LEN((--TRIM(RIGHT(SUBSTITUTE(LEFT(A460,_xlfn.AGGREGATE(16,6,FIND({0,1,2,3,4,5,6,7,8,9},A460,ROW(INDIRECT("1:"&amp;LEN(A460)))),1))," ",REPT(" ",LEN(A460))),LEN(A460))))))))+1, 1) * 10^ROW(INDIRECT("1:"&amp;LEN((--TRIM(RIGHT(SUBSTITUTE(LEFT(A460,_xlfn.AGGREGATE(16,6,FIND({0,1,2,3,4,5,6,7,8,9},A460,ROW(INDIRECT("1:"&amp;LEN(A460)))),1))," ",REPT(" ",LEN(A460))),LEN(A460)))))))/10))*1+1</f>
        <v>204 &amp; 404</v>
      </c>
      <c r="B461" s="42" t="s">
        <v>188</v>
      </c>
      <c r="C461" s="42" t="s">
        <v>168</v>
      </c>
      <c r="D461" s="42">
        <f>43.372*10.764</f>
        <v>466.85620799999998</v>
      </c>
      <c r="E461" s="42">
        <v>0</v>
      </c>
      <c r="F461" s="42">
        <v>770</v>
      </c>
      <c r="G461" s="114" t="str">
        <f t="shared" si="45"/>
        <v>2nd &amp; 4th Floor</v>
      </c>
      <c r="H461" s="115"/>
      <c r="I461" s="36"/>
      <c r="J461" s="57">
        <f t="shared" si="35"/>
        <v>1.6493301080833009</v>
      </c>
    </row>
    <row r="462" spans="1:14" s="34" customFormat="1" x14ac:dyDescent="0.25">
      <c r="A462" s="122" t="s">
        <v>247</v>
      </c>
      <c r="B462" s="122"/>
      <c r="C462" s="122"/>
      <c r="D462" s="122"/>
      <c r="E462" s="122"/>
      <c r="F462" s="122"/>
      <c r="G462" s="122"/>
      <c r="H462" s="122"/>
      <c r="J462" s="57" t="e">
        <f t="shared" si="35"/>
        <v>#DIV/0!</v>
      </c>
    </row>
    <row r="463" spans="1:14" s="34" customFormat="1" x14ac:dyDescent="0.25">
      <c r="A463" s="122" t="s">
        <v>175</v>
      </c>
      <c r="B463" s="122"/>
      <c r="C463" s="122"/>
      <c r="D463" s="122"/>
      <c r="E463" s="122"/>
      <c r="F463" s="122"/>
      <c r="G463" s="122"/>
      <c r="H463" s="122"/>
      <c r="J463" s="57" t="e">
        <f t="shared" si="35"/>
        <v>#DIV/0!</v>
      </c>
    </row>
    <row r="464" spans="1:14" s="37" customFormat="1" x14ac:dyDescent="0.25">
      <c r="A464" s="119" t="s">
        <v>186</v>
      </c>
      <c r="B464" s="120"/>
      <c r="C464" s="120"/>
      <c r="D464" s="120"/>
      <c r="E464" s="120"/>
      <c r="F464" s="120"/>
      <c r="G464" s="120"/>
      <c r="H464" s="121"/>
      <c r="I464" s="36"/>
      <c r="J464" s="57" t="e">
        <f t="shared" si="35"/>
        <v>#DIV/0!</v>
      </c>
    </row>
    <row r="465" spans="1:14" s="37" customFormat="1" x14ac:dyDescent="0.25">
      <c r="A465" s="50" t="str">
        <f ca="1">(SUMPRODUCT(MID(0&amp;(LEFT(A464,SUM(LEN(A464)-LEN(SUBSTITUTE(A464,{"0","1","2"},""))))), LARGE(INDEX(ISNUMBER(--MID((LEFT(A464,SUM(LEN(A464)-LEN(SUBSTITUTE(A464,{"0","1","2"},""))))), ROW(INDIRECT("1:"&amp;LEN((LEFT(A464,SUM(LEN(A464)-LEN(SUBSTITUTE(A464,{"0","1","2"},"")))))))), 1)) * ROW(INDIRECT("1:"&amp;LEN((LEFT(A464,SUM(LEN(A464)-LEN(SUBSTITUTE(A464,{"0","1","2"},"")))))))), 0), ROW(INDIRECT("1:"&amp;LEN((LEFT(A464,SUM(LEN(A464)-LEN(SUBSTITUTE(A464,{"0","1","2"},"")))))))))+1, 1) * 10^ROW(INDIRECT("1:"&amp;LEN((LEFT(A464,SUM(LEN(A464)-LEN(SUBSTITUTE(A464,{"0","1","2"},""))))))))/10))*100+1&amp;""&amp;" &amp; "&amp;""&amp;(SUMPRODUCT(MID(0&amp;(--TRIM(RIGHT(SUBSTITUTE(LEFT(A464,_xlfn.AGGREGATE(16,6,FIND({0,1,2,3,4,5,6,7,8,9},A464,ROW(INDIRECT("1:"&amp;LEN(A464)))),1))," ",REPT(" ",LEN(A464))),LEN(A464)))), LARGE(INDEX(ISNUMBER(--MID((--TRIM(RIGHT(SUBSTITUTE(LEFT(A464,_xlfn.AGGREGATE(16,6,FIND({0,1,2,3,4,5,6,7,8,9},A464,ROW(INDIRECT("1:"&amp;LEN(A464)))),1))," ",REPT(" ",LEN(A464))),LEN(A464)))), ROW(INDIRECT("1:"&amp;LEN((--TRIM(RIGHT(SUBSTITUTE(LEFT(A464,_xlfn.AGGREGATE(16,6,FIND({0,1,2,3,4,5,6,7,8,9},A464,ROW(INDIRECT("1:"&amp;LEN(A464)))),1))," ",REPT(" ",LEN(A464))),LEN(A464))))))), 1)) * ROW(INDIRECT("1:"&amp;LEN((--TRIM(RIGHT(SUBSTITUTE(LEFT(A464,_xlfn.AGGREGATE(16,6,FIND({0,1,2,3,4,5,6,7,8,9},A464,ROW(INDIRECT("1:"&amp;LEN(A464)))),1))," ",REPT(" ",LEN(A464))),LEN(A464))))))), 0), ROW(INDIRECT("1:"&amp;LEN((--TRIM(RIGHT(SUBSTITUTE(LEFT(A464,_xlfn.AGGREGATE(16,6,FIND({0,1,2,3,4,5,6,7,8,9},A464,ROW(INDIRECT("1:"&amp;LEN(A464)))),1))," ",REPT(" ",LEN(A464))),LEN(A464))))))))+1, 1) * 10^ROW(INDIRECT("1:"&amp;LEN((--TRIM(RIGHT(SUBSTITUTE(LEFT(A464,_xlfn.AGGREGATE(16,6,FIND({0,1,2,3,4,5,6,7,8,9},A464,ROW(INDIRECT("1:"&amp;LEN(A464)))),1))," ",REPT(" ",LEN(A464))),LEN(A464)))))))/10))*100+1</f>
        <v>101 &amp; 301</v>
      </c>
      <c r="B465" s="42" t="s">
        <v>188</v>
      </c>
      <c r="C465" s="42" t="s">
        <v>169</v>
      </c>
      <c r="D465" s="42">
        <f>35.187*10.764</f>
        <v>378.75286799999998</v>
      </c>
      <c r="E465" s="42">
        <v>0</v>
      </c>
      <c r="F465" s="42">
        <v>635</v>
      </c>
      <c r="G465" s="114" t="str">
        <f>A464</f>
        <v>1st &amp; 3rd Floor</v>
      </c>
      <c r="H465" s="115"/>
      <c r="I465" s="36"/>
      <c r="J465" s="57">
        <f t="shared" si="35"/>
        <v>1.6765549614267212</v>
      </c>
    </row>
    <row r="466" spans="1:14" s="37" customFormat="1" x14ac:dyDescent="0.25">
      <c r="A466" s="50" t="str">
        <f ca="1">(SUMPRODUCT(MID(0&amp;(LEFT(A465,SUM(LEN(A465)-LEN(SUBSTITUTE(A465,{"0","1","2"},""))))), LARGE(INDEX(ISNUMBER(--MID((LEFT(A465,SUM(LEN(A465)-LEN(SUBSTITUTE(A465,{"0","1","2"},""))))), ROW(INDIRECT("1:"&amp;LEN((LEFT(A465,SUM(LEN(A465)-LEN(SUBSTITUTE(A465,{"0","1","2"},"")))))))), 1)) * ROW(INDIRECT("1:"&amp;LEN((LEFT(A465,SUM(LEN(A465)-LEN(SUBSTITUTE(A465,{"0","1","2"},"")))))))), 0), ROW(INDIRECT("1:"&amp;LEN((LEFT(A465,SUM(LEN(A465)-LEN(SUBSTITUTE(A465,{"0","1","2"},"")))))))))+1, 1) * 10^ROW(INDIRECT("1:"&amp;LEN((LEFT(A465,SUM(LEN(A465)-LEN(SUBSTITUTE(A465,{"0","1","2"},""))))))))/10))*1+1&amp;""&amp;" &amp; "&amp;""&amp;(SUMPRODUCT(MID(0&amp;(--TRIM(RIGHT(SUBSTITUTE(LEFT(A465,_xlfn.AGGREGATE(16,6,FIND({0,1,2,3,4,5,6,7,8,9},A465,ROW(INDIRECT("1:"&amp;LEN(A465)))),1))," ",REPT(" ",LEN(A465))),LEN(A465)))), LARGE(INDEX(ISNUMBER(--MID((--TRIM(RIGHT(SUBSTITUTE(LEFT(A465,_xlfn.AGGREGATE(16,6,FIND({0,1,2,3,4,5,6,7,8,9},A465,ROW(INDIRECT("1:"&amp;LEN(A465)))),1))," ",REPT(" ",LEN(A465))),LEN(A465)))), ROW(INDIRECT("1:"&amp;LEN((--TRIM(RIGHT(SUBSTITUTE(LEFT(A465,_xlfn.AGGREGATE(16,6,FIND({0,1,2,3,4,5,6,7,8,9},A465,ROW(INDIRECT("1:"&amp;LEN(A465)))),1))," ",REPT(" ",LEN(A465))),LEN(A465))))))), 1)) * ROW(INDIRECT("1:"&amp;LEN((--TRIM(RIGHT(SUBSTITUTE(LEFT(A465,_xlfn.AGGREGATE(16,6,FIND({0,1,2,3,4,5,6,7,8,9},A465,ROW(INDIRECT("1:"&amp;LEN(A465)))),1))," ",REPT(" ",LEN(A465))),LEN(A465))))))), 0), ROW(INDIRECT("1:"&amp;LEN((--TRIM(RIGHT(SUBSTITUTE(LEFT(A465,_xlfn.AGGREGATE(16,6,FIND({0,1,2,3,4,5,6,7,8,9},A465,ROW(INDIRECT("1:"&amp;LEN(A465)))),1))," ",REPT(" ",LEN(A465))),LEN(A465))))))))+1, 1) * 10^ROW(INDIRECT("1:"&amp;LEN((--TRIM(RIGHT(SUBSTITUTE(LEFT(A465,_xlfn.AGGREGATE(16,6,FIND({0,1,2,3,4,5,6,7,8,9},A465,ROW(INDIRECT("1:"&amp;LEN(A465)))),1))," ",REPT(" ",LEN(A465))),LEN(A465)))))))/10))*1+1</f>
        <v>102 &amp; 302</v>
      </c>
      <c r="B466" s="42" t="s">
        <v>188</v>
      </c>
      <c r="C466" s="42" t="s">
        <v>168</v>
      </c>
      <c r="D466" s="42">
        <f>42.395*10.764</f>
        <v>456.33978000000002</v>
      </c>
      <c r="E466" s="42">
        <v>0</v>
      </c>
      <c r="F466" s="42">
        <v>755</v>
      </c>
      <c r="G466" s="114" t="str">
        <f t="shared" ref="G466:G468" si="46">G465</f>
        <v>1st &amp; 3rd Floor</v>
      </c>
      <c r="H466" s="115"/>
      <c r="I466" s="36"/>
      <c r="J466" s="57">
        <f t="shared" si="35"/>
        <v>1.654468957319478</v>
      </c>
    </row>
    <row r="467" spans="1:14" s="37" customFormat="1" x14ac:dyDescent="0.25">
      <c r="A467" s="50" t="str">
        <f ca="1">(SUMPRODUCT(MID(0&amp;(LEFT(A466,SUM(LEN(A466)-LEN(SUBSTITUTE(A466,{"0","1","2"},""))))), LARGE(INDEX(ISNUMBER(--MID((LEFT(A466,SUM(LEN(A466)-LEN(SUBSTITUTE(A466,{"0","1","2"},""))))), ROW(INDIRECT("1:"&amp;LEN((LEFT(A466,SUM(LEN(A466)-LEN(SUBSTITUTE(A466,{"0","1","2"},"")))))))), 1)) * ROW(INDIRECT("1:"&amp;LEN((LEFT(A466,SUM(LEN(A466)-LEN(SUBSTITUTE(A466,{"0","1","2"},"")))))))), 0), ROW(INDIRECT("1:"&amp;LEN((LEFT(A466,SUM(LEN(A466)-LEN(SUBSTITUTE(A466,{"0","1","2"},"")))))))))+1, 1) * 10^ROW(INDIRECT("1:"&amp;LEN((LEFT(A466,SUM(LEN(A466)-LEN(SUBSTITUTE(A466,{"0","1","2"},""))))))))/10))*1+1&amp;""&amp;" &amp; "&amp;""&amp;(SUMPRODUCT(MID(0&amp;(--TRIM(RIGHT(SUBSTITUTE(LEFT(A466,_xlfn.AGGREGATE(16,6,FIND({0,1,2,3,4,5,6,7,8,9},A466,ROW(INDIRECT("1:"&amp;LEN(A466)))),1))," ",REPT(" ",LEN(A466))),LEN(A466)))), LARGE(INDEX(ISNUMBER(--MID((--TRIM(RIGHT(SUBSTITUTE(LEFT(A466,_xlfn.AGGREGATE(16,6,FIND({0,1,2,3,4,5,6,7,8,9},A466,ROW(INDIRECT("1:"&amp;LEN(A466)))),1))," ",REPT(" ",LEN(A466))),LEN(A466)))), ROW(INDIRECT("1:"&amp;LEN((--TRIM(RIGHT(SUBSTITUTE(LEFT(A466,_xlfn.AGGREGATE(16,6,FIND({0,1,2,3,4,5,6,7,8,9},A466,ROW(INDIRECT("1:"&amp;LEN(A466)))),1))," ",REPT(" ",LEN(A466))),LEN(A466))))))), 1)) * ROW(INDIRECT("1:"&amp;LEN((--TRIM(RIGHT(SUBSTITUTE(LEFT(A466,_xlfn.AGGREGATE(16,6,FIND({0,1,2,3,4,5,6,7,8,9},A466,ROW(INDIRECT("1:"&amp;LEN(A466)))),1))," ",REPT(" ",LEN(A466))),LEN(A466))))))), 0), ROW(INDIRECT("1:"&amp;LEN((--TRIM(RIGHT(SUBSTITUTE(LEFT(A466,_xlfn.AGGREGATE(16,6,FIND({0,1,2,3,4,5,6,7,8,9},A466,ROW(INDIRECT("1:"&amp;LEN(A466)))),1))," ",REPT(" ",LEN(A466))),LEN(A466))))))))+1, 1) * 10^ROW(INDIRECT("1:"&amp;LEN((--TRIM(RIGHT(SUBSTITUTE(LEFT(A466,_xlfn.AGGREGATE(16,6,FIND({0,1,2,3,4,5,6,7,8,9},A466,ROW(INDIRECT("1:"&amp;LEN(A466)))),1))," ",REPT(" ",LEN(A466))),LEN(A466)))))))/10))*1+1</f>
        <v>103 &amp; 303</v>
      </c>
      <c r="B467" s="42" t="s">
        <v>188</v>
      </c>
      <c r="C467" s="42" t="s">
        <v>168</v>
      </c>
      <c r="D467" s="42">
        <f>43.372*10.764</f>
        <v>466.85620799999998</v>
      </c>
      <c r="E467" s="42">
        <v>0</v>
      </c>
      <c r="F467" s="42">
        <v>770</v>
      </c>
      <c r="G467" s="114" t="str">
        <f t="shared" si="46"/>
        <v>1st &amp; 3rd Floor</v>
      </c>
      <c r="H467" s="115"/>
      <c r="I467" s="36"/>
      <c r="J467" s="57">
        <f t="shared" si="35"/>
        <v>1.6493301080833009</v>
      </c>
    </row>
    <row r="468" spans="1:14" s="37" customFormat="1" x14ac:dyDescent="0.25">
      <c r="A468" s="50" t="str">
        <f ca="1">(SUMPRODUCT(MID(0&amp;(LEFT(A467,SUM(LEN(A467)-LEN(SUBSTITUTE(A467,{"0","1","2"},""))))), LARGE(INDEX(ISNUMBER(--MID((LEFT(A467,SUM(LEN(A467)-LEN(SUBSTITUTE(A467,{"0","1","2"},""))))), ROW(INDIRECT("1:"&amp;LEN((LEFT(A467,SUM(LEN(A467)-LEN(SUBSTITUTE(A467,{"0","1","2"},"")))))))), 1)) * ROW(INDIRECT("1:"&amp;LEN((LEFT(A467,SUM(LEN(A467)-LEN(SUBSTITUTE(A467,{"0","1","2"},"")))))))), 0), ROW(INDIRECT("1:"&amp;LEN((LEFT(A467,SUM(LEN(A467)-LEN(SUBSTITUTE(A467,{"0","1","2"},"")))))))))+1, 1) * 10^ROW(INDIRECT("1:"&amp;LEN((LEFT(A467,SUM(LEN(A467)-LEN(SUBSTITUTE(A467,{"0","1","2"},""))))))))/10))*1+1&amp;""&amp;" &amp; "&amp;""&amp;(SUMPRODUCT(MID(0&amp;(--TRIM(RIGHT(SUBSTITUTE(LEFT(A467,_xlfn.AGGREGATE(16,6,FIND({0,1,2,3,4,5,6,7,8,9},A467,ROW(INDIRECT("1:"&amp;LEN(A467)))),1))," ",REPT(" ",LEN(A467))),LEN(A467)))), LARGE(INDEX(ISNUMBER(--MID((--TRIM(RIGHT(SUBSTITUTE(LEFT(A467,_xlfn.AGGREGATE(16,6,FIND({0,1,2,3,4,5,6,7,8,9},A467,ROW(INDIRECT("1:"&amp;LEN(A467)))),1))," ",REPT(" ",LEN(A467))),LEN(A467)))), ROW(INDIRECT("1:"&amp;LEN((--TRIM(RIGHT(SUBSTITUTE(LEFT(A467,_xlfn.AGGREGATE(16,6,FIND({0,1,2,3,4,5,6,7,8,9},A467,ROW(INDIRECT("1:"&amp;LEN(A467)))),1))," ",REPT(" ",LEN(A467))),LEN(A467))))))), 1)) * ROW(INDIRECT("1:"&amp;LEN((--TRIM(RIGHT(SUBSTITUTE(LEFT(A467,_xlfn.AGGREGATE(16,6,FIND({0,1,2,3,4,5,6,7,8,9},A467,ROW(INDIRECT("1:"&amp;LEN(A467)))),1))," ",REPT(" ",LEN(A467))),LEN(A467))))))), 0), ROW(INDIRECT("1:"&amp;LEN((--TRIM(RIGHT(SUBSTITUTE(LEFT(A467,_xlfn.AGGREGATE(16,6,FIND({0,1,2,3,4,5,6,7,8,9},A467,ROW(INDIRECT("1:"&amp;LEN(A467)))),1))," ",REPT(" ",LEN(A467))),LEN(A467))))))))+1, 1) * 10^ROW(INDIRECT("1:"&amp;LEN((--TRIM(RIGHT(SUBSTITUTE(LEFT(A467,_xlfn.AGGREGATE(16,6,FIND({0,1,2,3,4,5,6,7,8,9},A467,ROW(INDIRECT("1:"&amp;LEN(A467)))),1))," ",REPT(" ",LEN(A467))),LEN(A467)))))))/10))*1+1</f>
        <v>104 &amp; 304</v>
      </c>
      <c r="B468" s="42" t="s">
        <v>188</v>
      </c>
      <c r="C468" s="42" t="s">
        <v>168</v>
      </c>
      <c r="D468" s="42">
        <f>43.372*10.764</f>
        <v>466.85620799999998</v>
      </c>
      <c r="E468" s="42">
        <v>0</v>
      </c>
      <c r="F468" s="42">
        <v>770</v>
      </c>
      <c r="G468" s="114" t="str">
        <f t="shared" si="46"/>
        <v>1st &amp; 3rd Floor</v>
      </c>
      <c r="H468" s="115"/>
      <c r="I468" s="36"/>
      <c r="J468" s="57">
        <f t="shared" ref="J468:J485" si="47">(F468-E468)/D468</f>
        <v>1.6493301080833009</v>
      </c>
    </row>
    <row r="469" spans="1:14" s="37" customFormat="1" ht="15.75" customHeight="1" x14ac:dyDescent="0.25">
      <c r="A469" s="119" t="s">
        <v>170</v>
      </c>
      <c r="B469" s="120"/>
      <c r="C469" s="120"/>
      <c r="D469" s="120"/>
      <c r="E469" s="120"/>
      <c r="F469" s="120"/>
      <c r="G469" s="120"/>
      <c r="H469" s="121"/>
      <c r="I469" s="36"/>
      <c r="J469" s="57" t="e">
        <f t="shared" si="47"/>
        <v>#DIV/0!</v>
      </c>
    </row>
    <row r="470" spans="1:14" s="37" customFormat="1" x14ac:dyDescent="0.25">
      <c r="A470" s="50" t="str">
        <f ca="1">(SUMPRODUCT(MID(0&amp;(LEFT(A469,SUM(LEN(A469)-LEN(SUBSTITUTE(A469,{"0","1","2"},""))))), LARGE(INDEX(ISNUMBER(--MID((LEFT(A469,SUM(LEN(A469)-LEN(SUBSTITUTE(A469,{"0","1","2"},""))))), ROW(INDIRECT("1:"&amp;LEN((LEFT(A469,SUM(LEN(A469)-LEN(SUBSTITUTE(A469,{"0","1","2"},"")))))))), 1)) * ROW(INDIRECT("1:"&amp;LEN((LEFT(A469,SUM(LEN(A469)-LEN(SUBSTITUTE(A469,{"0","1","2"},"")))))))), 0), ROW(INDIRECT("1:"&amp;LEN((LEFT(A469,SUM(LEN(A469)-LEN(SUBSTITUTE(A469,{"0","1","2"},"")))))))))+1, 1) * 10^ROW(INDIRECT("1:"&amp;LEN((LEFT(A469,SUM(LEN(A469)-LEN(SUBSTITUTE(A469,{"0","1","2"},""))))))))/10))*100+1&amp;""&amp;" &amp; "&amp;""&amp;(SUMPRODUCT(MID(0&amp;(--TRIM(RIGHT(SUBSTITUTE(LEFT(A469,_xlfn.AGGREGATE(16,6,FIND({0,1,2,3,4,5,6,7,8,9},A469,ROW(INDIRECT("1:"&amp;LEN(A469)))),1))," ",REPT(" ",LEN(A469))),LEN(A469)))), LARGE(INDEX(ISNUMBER(--MID((--TRIM(RIGHT(SUBSTITUTE(LEFT(A469,_xlfn.AGGREGATE(16,6,FIND({0,1,2,3,4,5,6,7,8,9},A469,ROW(INDIRECT("1:"&amp;LEN(A469)))),1))," ",REPT(" ",LEN(A469))),LEN(A469)))), ROW(INDIRECT("1:"&amp;LEN((--TRIM(RIGHT(SUBSTITUTE(LEFT(A469,_xlfn.AGGREGATE(16,6,FIND({0,1,2,3,4,5,6,7,8,9},A469,ROW(INDIRECT("1:"&amp;LEN(A469)))),1))," ",REPT(" ",LEN(A469))),LEN(A469))))))), 1)) * ROW(INDIRECT("1:"&amp;LEN((--TRIM(RIGHT(SUBSTITUTE(LEFT(A469,_xlfn.AGGREGATE(16,6,FIND({0,1,2,3,4,5,6,7,8,9},A469,ROW(INDIRECT("1:"&amp;LEN(A469)))),1))," ",REPT(" ",LEN(A469))),LEN(A469))))))), 0), ROW(INDIRECT("1:"&amp;LEN((--TRIM(RIGHT(SUBSTITUTE(LEFT(A469,_xlfn.AGGREGATE(16,6,FIND({0,1,2,3,4,5,6,7,8,9},A469,ROW(INDIRECT("1:"&amp;LEN(A469)))),1))," ",REPT(" ",LEN(A469))),LEN(A469))))))))+1, 1) * 10^ROW(INDIRECT("1:"&amp;LEN((--TRIM(RIGHT(SUBSTITUTE(LEFT(A469,_xlfn.AGGREGATE(16,6,FIND({0,1,2,3,4,5,6,7,8,9},A469,ROW(INDIRECT("1:"&amp;LEN(A469)))),1))," ",REPT(" ",LEN(A469))),LEN(A469)))))))/10))*100+1</f>
        <v>201 &amp; 401</v>
      </c>
      <c r="B470" s="42" t="s">
        <v>188</v>
      </c>
      <c r="C470" s="42" t="s">
        <v>169</v>
      </c>
      <c r="D470" s="42">
        <f>35.187*10.764</f>
        <v>378.75286799999998</v>
      </c>
      <c r="E470" s="42">
        <v>0</v>
      </c>
      <c r="F470" s="42">
        <v>635</v>
      </c>
      <c r="G470" s="114" t="str">
        <f>A469</f>
        <v>2nd &amp; 4th Floor</v>
      </c>
      <c r="H470" s="115"/>
      <c r="I470" s="36"/>
      <c r="J470" s="57">
        <f t="shared" si="47"/>
        <v>1.6765549614267212</v>
      </c>
    </row>
    <row r="471" spans="1:14" s="37" customFormat="1" x14ac:dyDescent="0.25">
      <c r="A471" s="50" t="str">
        <f ca="1">(SUMPRODUCT(MID(0&amp;(LEFT(A470,SUM(LEN(A470)-LEN(SUBSTITUTE(A470,{"0","1","2"},""))))), LARGE(INDEX(ISNUMBER(--MID((LEFT(A470,SUM(LEN(A470)-LEN(SUBSTITUTE(A470,{"0","1","2"},""))))), ROW(INDIRECT("1:"&amp;LEN((LEFT(A470,SUM(LEN(A470)-LEN(SUBSTITUTE(A470,{"0","1","2"},"")))))))), 1)) * ROW(INDIRECT("1:"&amp;LEN((LEFT(A470,SUM(LEN(A470)-LEN(SUBSTITUTE(A470,{"0","1","2"},"")))))))), 0), ROW(INDIRECT("1:"&amp;LEN((LEFT(A470,SUM(LEN(A470)-LEN(SUBSTITUTE(A470,{"0","1","2"},"")))))))))+1, 1) * 10^ROW(INDIRECT("1:"&amp;LEN((LEFT(A470,SUM(LEN(A470)-LEN(SUBSTITUTE(A470,{"0","1","2"},""))))))))/10))*1+1&amp;""&amp;" &amp; "&amp;""&amp;(SUMPRODUCT(MID(0&amp;(--TRIM(RIGHT(SUBSTITUTE(LEFT(A470,_xlfn.AGGREGATE(16,6,FIND({0,1,2,3,4,5,6,7,8,9},A470,ROW(INDIRECT("1:"&amp;LEN(A470)))),1))," ",REPT(" ",LEN(A470))),LEN(A470)))), LARGE(INDEX(ISNUMBER(--MID((--TRIM(RIGHT(SUBSTITUTE(LEFT(A470,_xlfn.AGGREGATE(16,6,FIND({0,1,2,3,4,5,6,7,8,9},A470,ROW(INDIRECT("1:"&amp;LEN(A470)))),1))," ",REPT(" ",LEN(A470))),LEN(A470)))), ROW(INDIRECT("1:"&amp;LEN((--TRIM(RIGHT(SUBSTITUTE(LEFT(A470,_xlfn.AGGREGATE(16,6,FIND({0,1,2,3,4,5,6,7,8,9},A470,ROW(INDIRECT("1:"&amp;LEN(A470)))),1))," ",REPT(" ",LEN(A470))),LEN(A470))))))), 1)) * ROW(INDIRECT("1:"&amp;LEN((--TRIM(RIGHT(SUBSTITUTE(LEFT(A470,_xlfn.AGGREGATE(16,6,FIND({0,1,2,3,4,5,6,7,8,9},A470,ROW(INDIRECT("1:"&amp;LEN(A470)))),1))," ",REPT(" ",LEN(A470))),LEN(A470))))))), 0), ROW(INDIRECT("1:"&amp;LEN((--TRIM(RIGHT(SUBSTITUTE(LEFT(A470,_xlfn.AGGREGATE(16,6,FIND({0,1,2,3,4,5,6,7,8,9},A470,ROW(INDIRECT("1:"&amp;LEN(A470)))),1))," ",REPT(" ",LEN(A470))),LEN(A470))))))))+1, 1) * 10^ROW(INDIRECT("1:"&amp;LEN((--TRIM(RIGHT(SUBSTITUTE(LEFT(A470,_xlfn.AGGREGATE(16,6,FIND({0,1,2,3,4,5,6,7,8,9},A470,ROW(INDIRECT("1:"&amp;LEN(A470)))),1))," ",REPT(" ",LEN(A470))),LEN(A470)))))))/10))*1+1</f>
        <v>202 &amp; 402</v>
      </c>
      <c r="B471" s="42" t="s">
        <v>188</v>
      </c>
      <c r="C471" s="42" t="s">
        <v>168</v>
      </c>
      <c r="D471" s="42">
        <f>42.395*10.764</f>
        <v>456.33978000000002</v>
      </c>
      <c r="E471" s="42">
        <v>0</v>
      </c>
      <c r="F471" s="42">
        <v>755</v>
      </c>
      <c r="G471" s="114" t="str">
        <f t="shared" ref="G471:G473" si="48">G470</f>
        <v>2nd &amp; 4th Floor</v>
      </c>
      <c r="H471" s="115"/>
      <c r="I471" s="36"/>
      <c r="J471" s="57">
        <f t="shared" si="47"/>
        <v>1.654468957319478</v>
      </c>
    </row>
    <row r="472" spans="1:14" s="37" customFormat="1" x14ac:dyDescent="0.25">
      <c r="A472" s="50" t="str">
        <f ca="1">(SUMPRODUCT(MID(0&amp;(LEFT(A471,SUM(LEN(A471)-LEN(SUBSTITUTE(A471,{"0","1","2"},""))))), LARGE(INDEX(ISNUMBER(--MID((LEFT(A471,SUM(LEN(A471)-LEN(SUBSTITUTE(A471,{"0","1","2"},""))))), ROW(INDIRECT("1:"&amp;LEN((LEFT(A471,SUM(LEN(A471)-LEN(SUBSTITUTE(A471,{"0","1","2"},"")))))))), 1)) * ROW(INDIRECT("1:"&amp;LEN((LEFT(A471,SUM(LEN(A471)-LEN(SUBSTITUTE(A471,{"0","1","2"},"")))))))), 0), ROW(INDIRECT("1:"&amp;LEN((LEFT(A471,SUM(LEN(A471)-LEN(SUBSTITUTE(A471,{"0","1","2"},"")))))))))+1, 1) * 10^ROW(INDIRECT("1:"&amp;LEN((LEFT(A471,SUM(LEN(A471)-LEN(SUBSTITUTE(A471,{"0","1","2"},""))))))))/10))*1+1&amp;""&amp;" &amp; "&amp;""&amp;(SUMPRODUCT(MID(0&amp;(--TRIM(RIGHT(SUBSTITUTE(LEFT(A471,_xlfn.AGGREGATE(16,6,FIND({0,1,2,3,4,5,6,7,8,9},A471,ROW(INDIRECT("1:"&amp;LEN(A471)))),1))," ",REPT(" ",LEN(A471))),LEN(A471)))), LARGE(INDEX(ISNUMBER(--MID((--TRIM(RIGHT(SUBSTITUTE(LEFT(A471,_xlfn.AGGREGATE(16,6,FIND({0,1,2,3,4,5,6,7,8,9},A471,ROW(INDIRECT("1:"&amp;LEN(A471)))),1))," ",REPT(" ",LEN(A471))),LEN(A471)))), ROW(INDIRECT("1:"&amp;LEN((--TRIM(RIGHT(SUBSTITUTE(LEFT(A471,_xlfn.AGGREGATE(16,6,FIND({0,1,2,3,4,5,6,7,8,9},A471,ROW(INDIRECT("1:"&amp;LEN(A471)))),1))," ",REPT(" ",LEN(A471))),LEN(A471))))))), 1)) * ROW(INDIRECT("1:"&amp;LEN((--TRIM(RIGHT(SUBSTITUTE(LEFT(A471,_xlfn.AGGREGATE(16,6,FIND({0,1,2,3,4,5,6,7,8,9},A471,ROW(INDIRECT("1:"&amp;LEN(A471)))),1))," ",REPT(" ",LEN(A471))),LEN(A471))))))), 0), ROW(INDIRECT("1:"&amp;LEN((--TRIM(RIGHT(SUBSTITUTE(LEFT(A471,_xlfn.AGGREGATE(16,6,FIND({0,1,2,3,4,5,6,7,8,9},A471,ROW(INDIRECT("1:"&amp;LEN(A471)))),1))," ",REPT(" ",LEN(A471))),LEN(A471))))))))+1, 1) * 10^ROW(INDIRECT("1:"&amp;LEN((--TRIM(RIGHT(SUBSTITUTE(LEFT(A471,_xlfn.AGGREGATE(16,6,FIND({0,1,2,3,4,5,6,7,8,9},A471,ROW(INDIRECT("1:"&amp;LEN(A471)))),1))," ",REPT(" ",LEN(A471))),LEN(A471)))))))/10))*1+1</f>
        <v>203 &amp; 403</v>
      </c>
      <c r="B472" s="42" t="s">
        <v>188</v>
      </c>
      <c r="C472" s="42" t="s">
        <v>168</v>
      </c>
      <c r="D472" s="42">
        <f>43.372*10.764</f>
        <v>466.85620799999998</v>
      </c>
      <c r="E472" s="42">
        <v>0</v>
      </c>
      <c r="F472" s="42">
        <v>770</v>
      </c>
      <c r="G472" s="114" t="str">
        <f t="shared" si="48"/>
        <v>2nd &amp; 4th Floor</v>
      </c>
      <c r="H472" s="115"/>
      <c r="I472" s="36"/>
      <c r="J472" s="57">
        <f t="shared" si="47"/>
        <v>1.6493301080833009</v>
      </c>
    </row>
    <row r="473" spans="1:14" s="37" customFormat="1" x14ac:dyDescent="0.25">
      <c r="A473" s="50" t="str">
        <f ca="1">(SUMPRODUCT(MID(0&amp;(LEFT(A472,SUM(LEN(A472)-LEN(SUBSTITUTE(A472,{"0","1","2"},""))))), LARGE(INDEX(ISNUMBER(--MID((LEFT(A472,SUM(LEN(A472)-LEN(SUBSTITUTE(A472,{"0","1","2"},""))))), ROW(INDIRECT("1:"&amp;LEN((LEFT(A472,SUM(LEN(A472)-LEN(SUBSTITUTE(A472,{"0","1","2"},"")))))))), 1)) * ROW(INDIRECT("1:"&amp;LEN((LEFT(A472,SUM(LEN(A472)-LEN(SUBSTITUTE(A472,{"0","1","2"},"")))))))), 0), ROW(INDIRECT("1:"&amp;LEN((LEFT(A472,SUM(LEN(A472)-LEN(SUBSTITUTE(A472,{"0","1","2"},"")))))))))+1, 1) * 10^ROW(INDIRECT("1:"&amp;LEN((LEFT(A472,SUM(LEN(A472)-LEN(SUBSTITUTE(A472,{"0","1","2"},""))))))))/10))*1+1&amp;""&amp;" &amp; "&amp;""&amp;(SUMPRODUCT(MID(0&amp;(--TRIM(RIGHT(SUBSTITUTE(LEFT(A472,_xlfn.AGGREGATE(16,6,FIND({0,1,2,3,4,5,6,7,8,9},A472,ROW(INDIRECT("1:"&amp;LEN(A472)))),1))," ",REPT(" ",LEN(A472))),LEN(A472)))), LARGE(INDEX(ISNUMBER(--MID((--TRIM(RIGHT(SUBSTITUTE(LEFT(A472,_xlfn.AGGREGATE(16,6,FIND({0,1,2,3,4,5,6,7,8,9},A472,ROW(INDIRECT("1:"&amp;LEN(A472)))),1))," ",REPT(" ",LEN(A472))),LEN(A472)))), ROW(INDIRECT("1:"&amp;LEN((--TRIM(RIGHT(SUBSTITUTE(LEFT(A472,_xlfn.AGGREGATE(16,6,FIND({0,1,2,3,4,5,6,7,8,9},A472,ROW(INDIRECT("1:"&amp;LEN(A472)))),1))," ",REPT(" ",LEN(A472))),LEN(A472))))))), 1)) * ROW(INDIRECT("1:"&amp;LEN((--TRIM(RIGHT(SUBSTITUTE(LEFT(A472,_xlfn.AGGREGATE(16,6,FIND({0,1,2,3,4,5,6,7,8,9},A472,ROW(INDIRECT("1:"&amp;LEN(A472)))),1))," ",REPT(" ",LEN(A472))),LEN(A472))))))), 0), ROW(INDIRECT("1:"&amp;LEN((--TRIM(RIGHT(SUBSTITUTE(LEFT(A472,_xlfn.AGGREGATE(16,6,FIND({0,1,2,3,4,5,6,7,8,9},A472,ROW(INDIRECT("1:"&amp;LEN(A472)))),1))," ",REPT(" ",LEN(A472))),LEN(A472))))))))+1, 1) * 10^ROW(INDIRECT("1:"&amp;LEN((--TRIM(RIGHT(SUBSTITUTE(LEFT(A472,_xlfn.AGGREGATE(16,6,FIND({0,1,2,3,4,5,6,7,8,9},A472,ROW(INDIRECT("1:"&amp;LEN(A472)))),1))," ",REPT(" ",LEN(A472))),LEN(A472)))))))/10))*1+1</f>
        <v>204 &amp; 404</v>
      </c>
      <c r="B473" s="42" t="s">
        <v>188</v>
      </c>
      <c r="C473" s="42" t="s">
        <v>168</v>
      </c>
      <c r="D473" s="42">
        <f>43.372*10.764</f>
        <v>466.85620799999998</v>
      </c>
      <c r="E473" s="42">
        <v>0</v>
      </c>
      <c r="F473" s="42">
        <v>770</v>
      </c>
      <c r="G473" s="114" t="str">
        <f t="shared" si="48"/>
        <v>2nd &amp; 4th Floor</v>
      </c>
      <c r="H473" s="115"/>
      <c r="I473" s="36"/>
      <c r="J473" s="57">
        <f t="shared" si="47"/>
        <v>1.6493301080833009</v>
      </c>
    </row>
    <row r="474" spans="1:14" s="34" customFormat="1" x14ac:dyDescent="0.25">
      <c r="A474" s="122" t="s">
        <v>176</v>
      </c>
      <c r="B474" s="122"/>
      <c r="C474" s="122"/>
      <c r="D474" s="122"/>
      <c r="E474" s="122"/>
      <c r="F474" s="122"/>
      <c r="G474" s="122"/>
      <c r="H474" s="122"/>
      <c r="J474" s="57" t="e">
        <f t="shared" si="47"/>
        <v>#DIV/0!</v>
      </c>
    </row>
    <row r="475" spans="1:14" s="37" customFormat="1" x14ac:dyDescent="0.25">
      <c r="A475" s="116" t="s">
        <v>189</v>
      </c>
      <c r="B475" s="117"/>
      <c r="C475" s="117"/>
      <c r="D475" s="117"/>
      <c r="E475" s="117"/>
      <c r="F475" s="117"/>
      <c r="G475" s="117"/>
      <c r="H475" s="118"/>
      <c r="J475" s="57" t="e">
        <f t="shared" si="47"/>
        <v>#DIV/0!</v>
      </c>
    </row>
    <row r="476" spans="1:14" s="37" customFormat="1" ht="15.75" customHeight="1" x14ac:dyDescent="0.25">
      <c r="A476" s="50">
        <v>1</v>
      </c>
      <c r="B476" s="42" t="s">
        <v>188</v>
      </c>
      <c r="C476" s="42" t="s">
        <v>169</v>
      </c>
      <c r="D476" s="42">
        <f>35.187*10.764</f>
        <v>378.75286799999998</v>
      </c>
      <c r="E476" s="42">
        <v>0</v>
      </c>
      <c r="F476" s="42">
        <v>635</v>
      </c>
      <c r="G476" s="114" t="str">
        <f>A475</f>
        <v xml:space="preserve">Ground Floor for Residential </v>
      </c>
      <c r="H476" s="115"/>
      <c r="I476" s="36"/>
      <c r="J476" s="57">
        <f t="shared" si="47"/>
        <v>1.6765549614267212</v>
      </c>
      <c r="L476" s="123"/>
      <c r="M476" s="123"/>
      <c r="N476" s="36"/>
    </row>
    <row r="477" spans="1:14" s="37" customFormat="1" ht="15.75" customHeight="1" x14ac:dyDescent="0.25">
      <c r="A477" s="50">
        <f t="shared" ref="A477" si="49">A476+1</f>
        <v>2</v>
      </c>
      <c r="B477" s="42" t="s">
        <v>188</v>
      </c>
      <c r="C477" s="42" t="s">
        <v>169</v>
      </c>
      <c r="D477" s="42">
        <f>35.187*10.764</f>
        <v>378.75286799999998</v>
      </c>
      <c r="E477" s="42">
        <v>0</v>
      </c>
      <c r="F477" s="42">
        <v>635</v>
      </c>
      <c r="G477" s="114" t="str">
        <f t="shared" ref="G477" si="50">G476</f>
        <v xml:space="preserve">Ground Floor for Residential </v>
      </c>
      <c r="H477" s="115"/>
      <c r="I477" s="36"/>
      <c r="J477" s="57">
        <f t="shared" si="47"/>
        <v>1.6765549614267212</v>
      </c>
      <c r="L477" s="123"/>
      <c r="M477" s="123"/>
      <c r="N477" s="36"/>
    </row>
    <row r="478" spans="1:14" s="37" customFormat="1" x14ac:dyDescent="0.25">
      <c r="A478" s="119" t="s">
        <v>186</v>
      </c>
      <c r="B478" s="120"/>
      <c r="C478" s="120"/>
      <c r="D478" s="120"/>
      <c r="E478" s="120"/>
      <c r="F478" s="120"/>
      <c r="G478" s="120"/>
      <c r="H478" s="121"/>
      <c r="I478" s="36"/>
      <c r="J478" s="57" t="e">
        <f t="shared" si="47"/>
        <v>#DIV/0!</v>
      </c>
    </row>
    <row r="479" spans="1:14" s="37" customFormat="1" x14ac:dyDescent="0.25">
      <c r="A479" s="50" t="str">
        <f ca="1">(SUMPRODUCT(MID(0&amp;(LEFT(A478,SUM(LEN(A478)-LEN(SUBSTITUTE(A478,{"0","1","2"},""))))), LARGE(INDEX(ISNUMBER(--MID((LEFT(A478,SUM(LEN(A478)-LEN(SUBSTITUTE(A478,{"0","1","2"},""))))), ROW(INDIRECT("1:"&amp;LEN((LEFT(A478,SUM(LEN(A478)-LEN(SUBSTITUTE(A478,{"0","1","2"},"")))))))), 1)) * ROW(INDIRECT("1:"&amp;LEN((LEFT(A478,SUM(LEN(A478)-LEN(SUBSTITUTE(A478,{"0","1","2"},"")))))))), 0), ROW(INDIRECT("1:"&amp;LEN((LEFT(A478,SUM(LEN(A478)-LEN(SUBSTITUTE(A478,{"0","1","2"},"")))))))))+1, 1) * 10^ROW(INDIRECT("1:"&amp;LEN((LEFT(A478,SUM(LEN(A478)-LEN(SUBSTITUTE(A478,{"0","1","2"},""))))))))/10))*100+1&amp;""&amp;" &amp; "&amp;""&amp;(SUMPRODUCT(MID(0&amp;(--TRIM(RIGHT(SUBSTITUTE(LEFT(A478,_xlfn.AGGREGATE(16,6,FIND({0,1,2,3,4,5,6,7,8,9},A478,ROW(INDIRECT("1:"&amp;LEN(A478)))),1))," ",REPT(" ",LEN(A478))),LEN(A478)))), LARGE(INDEX(ISNUMBER(--MID((--TRIM(RIGHT(SUBSTITUTE(LEFT(A478,_xlfn.AGGREGATE(16,6,FIND({0,1,2,3,4,5,6,7,8,9},A478,ROW(INDIRECT("1:"&amp;LEN(A478)))),1))," ",REPT(" ",LEN(A478))),LEN(A478)))), ROW(INDIRECT("1:"&amp;LEN((--TRIM(RIGHT(SUBSTITUTE(LEFT(A478,_xlfn.AGGREGATE(16,6,FIND({0,1,2,3,4,5,6,7,8,9},A478,ROW(INDIRECT("1:"&amp;LEN(A478)))),1))," ",REPT(" ",LEN(A478))),LEN(A478))))))), 1)) * ROW(INDIRECT("1:"&amp;LEN((--TRIM(RIGHT(SUBSTITUTE(LEFT(A478,_xlfn.AGGREGATE(16,6,FIND({0,1,2,3,4,5,6,7,8,9},A478,ROW(INDIRECT("1:"&amp;LEN(A478)))),1))," ",REPT(" ",LEN(A478))),LEN(A478))))))), 0), ROW(INDIRECT("1:"&amp;LEN((--TRIM(RIGHT(SUBSTITUTE(LEFT(A478,_xlfn.AGGREGATE(16,6,FIND({0,1,2,3,4,5,6,7,8,9},A478,ROW(INDIRECT("1:"&amp;LEN(A478)))),1))," ",REPT(" ",LEN(A478))),LEN(A478))))))))+1, 1) * 10^ROW(INDIRECT("1:"&amp;LEN((--TRIM(RIGHT(SUBSTITUTE(LEFT(A478,_xlfn.AGGREGATE(16,6,FIND({0,1,2,3,4,5,6,7,8,9},A478,ROW(INDIRECT("1:"&amp;LEN(A478)))),1))," ",REPT(" ",LEN(A478))),LEN(A478)))))))/10))*100+1</f>
        <v>101 &amp; 301</v>
      </c>
      <c r="B479" s="42" t="s">
        <v>188</v>
      </c>
      <c r="C479" s="42" t="s">
        <v>168</v>
      </c>
      <c r="D479" s="42">
        <f>43.162*10.764</f>
        <v>464.59576799999996</v>
      </c>
      <c r="E479" s="42">
        <v>0</v>
      </c>
      <c r="F479" s="42">
        <v>765</v>
      </c>
      <c r="G479" s="114" t="str">
        <f>A478</f>
        <v>1st &amp; 3rd Floor</v>
      </c>
      <c r="H479" s="115"/>
      <c r="I479" s="36"/>
      <c r="J479" s="57">
        <f t="shared" si="47"/>
        <v>1.6465926999145633</v>
      </c>
    </row>
    <row r="480" spans="1:14" s="37" customFormat="1" x14ac:dyDescent="0.25">
      <c r="A480" s="50" t="str">
        <f ca="1">(SUMPRODUCT(MID(0&amp;(LEFT(A479,SUM(LEN(A479)-LEN(SUBSTITUTE(A479,{"0","1","2"},""))))), LARGE(INDEX(ISNUMBER(--MID((LEFT(A479,SUM(LEN(A479)-LEN(SUBSTITUTE(A479,{"0","1","2"},""))))), ROW(INDIRECT("1:"&amp;LEN((LEFT(A479,SUM(LEN(A479)-LEN(SUBSTITUTE(A479,{"0","1","2"},"")))))))), 1)) * ROW(INDIRECT("1:"&amp;LEN((LEFT(A479,SUM(LEN(A479)-LEN(SUBSTITUTE(A479,{"0","1","2"},"")))))))), 0), ROW(INDIRECT("1:"&amp;LEN((LEFT(A479,SUM(LEN(A479)-LEN(SUBSTITUTE(A479,{"0","1","2"},"")))))))))+1, 1) * 10^ROW(INDIRECT("1:"&amp;LEN((LEFT(A479,SUM(LEN(A479)-LEN(SUBSTITUTE(A479,{"0","1","2"},""))))))))/10))*1+1&amp;""&amp;" &amp; "&amp;""&amp;(SUMPRODUCT(MID(0&amp;(--TRIM(RIGHT(SUBSTITUTE(LEFT(A479,_xlfn.AGGREGATE(16,6,FIND({0,1,2,3,4,5,6,7,8,9},A479,ROW(INDIRECT("1:"&amp;LEN(A479)))),1))," ",REPT(" ",LEN(A479))),LEN(A479)))), LARGE(INDEX(ISNUMBER(--MID((--TRIM(RIGHT(SUBSTITUTE(LEFT(A479,_xlfn.AGGREGATE(16,6,FIND({0,1,2,3,4,5,6,7,8,9},A479,ROW(INDIRECT("1:"&amp;LEN(A479)))),1))," ",REPT(" ",LEN(A479))),LEN(A479)))), ROW(INDIRECT("1:"&amp;LEN((--TRIM(RIGHT(SUBSTITUTE(LEFT(A479,_xlfn.AGGREGATE(16,6,FIND({0,1,2,3,4,5,6,7,8,9},A479,ROW(INDIRECT("1:"&amp;LEN(A479)))),1))," ",REPT(" ",LEN(A479))),LEN(A479))))))), 1)) * ROW(INDIRECT("1:"&amp;LEN((--TRIM(RIGHT(SUBSTITUTE(LEFT(A479,_xlfn.AGGREGATE(16,6,FIND({0,1,2,3,4,5,6,7,8,9},A479,ROW(INDIRECT("1:"&amp;LEN(A479)))),1))," ",REPT(" ",LEN(A479))),LEN(A479))))))), 0), ROW(INDIRECT("1:"&amp;LEN((--TRIM(RIGHT(SUBSTITUTE(LEFT(A479,_xlfn.AGGREGATE(16,6,FIND({0,1,2,3,4,5,6,7,8,9},A479,ROW(INDIRECT("1:"&amp;LEN(A479)))),1))," ",REPT(" ",LEN(A479))),LEN(A479))))))))+1, 1) * 10^ROW(INDIRECT("1:"&amp;LEN((--TRIM(RIGHT(SUBSTITUTE(LEFT(A479,_xlfn.AGGREGATE(16,6,FIND({0,1,2,3,4,5,6,7,8,9},A479,ROW(INDIRECT("1:"&amp;LEN(A479)))),1))," ",REPT(" ",LEN(A479))),LEN(A479)))))))/10))*1+1</f>
        <v>102 &amp; 302</v>
      </c>
      <c r="B480" s="42" t="s">
        <v>188</v>
      </c>
      <c r="C480" s="42" t="s">
        <v>169</v>
      </c>
      <c r="D480" s="42">
        <f>35.187*10.764</f>
        <v>378.75286799999998</v>
      </c>
      <c r="E480" s="42">
        <v>0</v>
      </c>
      <c r="F480" s="42">
        <v>635</v>
      </c>
      <c r="G480" s="114" t="str">
        <f t="shared" ref="G480:G481" si="51">G479</f>
        <v>1st &amp; 3rd Floor</v>
      </c>
      <c r="H480" s="115"/>
      <c r="I480" s="36"/>
      <c r="J480" s="57">
        <f t="shared" si="47"/>
        <v>1.6765549614267212</v>
      </c>
    </row>
    <row r="481" spans="1:10" s="37" customFormat="1" x14ac:dyDescent="0.25">
      <c r="A481" s="50" t="str">
        <f ca="1">(SUMPRODUCT(MID(0&amp;(LEFT(A480,SUM(LEN(A480)-LEN(SUBSTITUTE(A480,{"0","1","2"},""))))), LARGE(INDEX(ISNUMBER(--MID((LEFT(A480,SUM(LEN(A480)-LEN(SUBSTITUTE(A480,{"0","1","2"},""))))), ROW(INDIRECT("1:"&amp;LEN((LEFT(A480,SUM(LEN(A480)-LEN(SUBSTITUTE(A480,{"0","1","2"},"")))))))), 1)) * ROW(INDIRECT("1:"&amp;LEN((LEFT(A480,SUM(LEN(A480)-LEN(SUBSTITUTE(A480,{"0","1","2"},"")))))))), 0), ROW(INDIRECT("1:"&amp;LEN((LEFT(A480,SUM(LEN(A480)-LEN(SUBSTITUTE(A480,{"0","1","2"},"")))))))))+1, 1) * 10^ROW(INDIRECT("1:"&amp;LEN((LEFT(A480,SUM(LEN(A480)-LEN(SUBSTITUTE(A480,{"0","1","2"},""))))))))/10))*1+1&amp;""&amp;" &amp; "&amp;""&amp;(SUMPRODUCT(MID(0&amp;(--TRIM(RIGHT(SUBSTITUTE(LEFT(A480,_xlfn.AGGREGATE(16,6,FIND({0,1,2,3,4,5,6,7,8,9},A480,ROW(INDIRECT("1:"&amp;LEN(A480)))),1))," ",REPT(" ",LEN(A480))),LEN(A480)))), LARGE(INDEX(ISNUMBER(--MID((--TRIM(RIGHT(SUBSTITUTE(LEFT(A480,_xlfn.AGGREGATE(16,6,FIND({0,1,2,3,4,5,6,7,8,9},A480,ROW(INDIRECT("1:"&amp;LEN(A480)))),1))," ",REPT(" ",LEN(A480))),LEN(A480)))), ROW(INDIRECT("1:"&amp;LEN((--TRIM(RIGHT(SUBSTITUTE(LEFT(A480,_xlfn.AGGREGATE(16,6,FIND({0,1,2,3,4,5,6,7,8,9},A480,ROW(INDIRECT("1:"&amp;LEN(A480)))),1))," ",REPT(" ",LEN(A480))),LEN(A480))))))), 1)) * ROW(INDIRECT("1:"&amp;LEN((--TRIM(RIGHT(SUBSTITUTE(LEFT(A480,_xlfn.AGGREGATE(16,6,FIND({0,1,2,3,4,5,6,7,8,9},A480,ROW(INDIRECT("1:"&amp;LEN(A480)))),1))," ",REPT(" ",LEN(A480))),LEN(A480))))))), 0), ROW(INDIRECT("1:"&amp;LEN((--TRIM(RIGHT(SUBSTITUTE(LEFT(A480,_xlfn.AGGREGATE(16,6,FIND({0,1,2,3,4,5,6,7,8,9},A480,ROW(INDIRECT("1:"&amp;LEN(A480)))),1))," ",REPT(" ",LEN(A480))),LEN(A480))))))))+1, 1) * 10^ROW(INDIRECT("1:"&amp;LEN((--TRIM(RIGHT(SUBSTITUTE(LEFT(A480,_xlfn.AGGREGATE(16,6,FIND({0,1,2,3,4,5,6,7,8,9},A480,ROW(INDIRECT("1:"&amp;LEN(A480)))),1))," ",REPT(" ",LEN(A480))),LEN(A480)))))))/10))*1+1</f>
        <v>103 &amp; 303</v>
      </c>
      <c r="B481" s="42" t="s">
        <v>188</v>
      </c>
      <c r="C481" s="42" t="s">
        <v>169</v>
      </c>
      <c r="D481" s="42">
        <f>35.187*10.764</f>
        <v>378.75286799999998</v>
      </c>
      <c r="E481" s="42">
        <v>0</v>
      </c>
      <c r="F481" s="42">
        <v>635</v>
      </c>
      <c r="G481" s="114" t="str">
        <f t="shared" si="51"/>
        <v>1st &amp; 3rd Floor</v>
      </c>
      <c r="H481" s="115"/>
      <c r="I481" s="36"/>
      <c r="J481" s="57">
        <f t="shared" si="47"/>
        <v>1.6765549614267212</v>
      </c>
    </row>
    <row r="482" spans="1:10" s="37" customFormat="1" ht="15.75" customHeight="1" x14ac:dyDescent="0.25">
      <c r="A482" s="119" t="s">
        <v>170</v>
      </c>
      <c r="B482" s="120"/>
      <c r="C482" s="120"/>
      <c r="D482" s="120"/>
      <c r="E482" s="120"/>
      <c r="F482" s="120"/>
      <c r="G482" s="120"/>
      <c r="H482" s="121"/>
      <c r="I482" s="36"/>
      <c r="J482" s="57" t="e">
        <f t="shared" si="47"/>
        <v>#DIV/0!</v>
      </c>
    </row>
    <row r="483" spans="1:10" s="37" customFormat="1" x14ac:dyDescent="0.25">
      <c r="A483" s="50" t="str">
        <f ca="1">(SUMPRODUCT(MID(0&amp;(LEFT(A482,SUM(LEN(A482)-LEN(SUBSTITUTE(A482,{"0","1","2"},""))))), LARGE(INDEX(ISNUMBER(--MID((LEFT(A482,SUM(LEN(A482)-LEN(SUBSTITUTE(A482,{"0","1","2"},""))))), ROW(INDIRECT("1:"&amp;LEN((LEFT(A482,SUM(LEN(A482)-LEN(SUBSTITUTE(A482,{"0","1","2"},"")))))))), 1)) * ROW(INDIRECT("1:"&amp;LEN((LEFT(A482,SUM(LEN(A482)-LEN(SUBSTITUTE(A482,{"0","1","2"},"")))))))), 0), ROW(INDIRECT("1:"&amp;LEN((LEFT(A482,SUM(LEN(A482)-LEN(SUBSTITUTE(A482,{"0","1","2"},"")))))))))+1, 1) * 10^ROW(INDIRECT("1:"&amp;LEN((LEFT(A482,SUM(LEN(A482)-LEN(SUBSTITUTE(A482,{"0","1","2"},""))))))))/10))*100+1&amp;""&amp;" &amp; "&amp;""&amp;(SUMPRODUCT(MID(0&amp;(--TRIM(RIGHT(SUBSTITUTE(LEFT(A482,_xlfn.AGGREGATE(16,6,FIND({0,1,2,3,4,5,6,7,8,9},A482,ROW(INDIRECT("1:"&amp;LEN(A482)))),1))," ",REPT(" ",LEN(A482))),LEN(A482)))), LARGE(INDEX(ISNUMBER(--MID((--TRIM(RIGHT(SUBSTITUTE(LEFT(A482,_xlfn.AGGREGATE(16,6,FIND({0,1,2,3,4,5,6,7,8,9},A482,ROW(INDIRECT("1:"&amp;LEN(A482)))),1))," ",REPT(" ",LEN(A482))),LEN(A482)))), ROW(INDIRECT("1:"&amp;LEN((--TRIM(RIGHT(SUBSTITUTE(LEFT(A482,_xlfn.AGGREGATE(16,6,FIND({0,1,2,3,4,5,6,7,8,9},A482,ROW(INDIRECT("1:"&amp;LEN(A482)))),1))," ",REPT(" ",LEN(A482))),LEN(A482))))))), 1)) * ROW(INDIRECT("1:"&amp;LEN((--TRIM(RIGHT(SUBSTITUTE(LEFT(A482,_xlfn.AGGREGATE(16,6,FIND({0,1,2,3,4,5,6,7,8,9},A482,ROW(INDIRECT("1:"&amp;LEN(A482)))),1))," ",REPT(" ",LEN(A482))),LEN(A482))))))), 0), ROW(INDIRECT("1:"&amp;LEN((--TRIM(RIGHT(SUBSTITUTE(LEFT(A482,_xlfn.AGGREGATE(16,6,FIND({0,1,2,3,4,5,6,7,8,9},A482,ROW(INDIRECT("1:"&amp;LEN(A482)))),1))," ",REPT(" ",LEN(A482))),LEN(A482))))))))+1, 1) * 10^ROW(INDIRECT("1:"&amp;LEN((--TRIM(RIGHT(SUBSTITUTE(LEFT(A482,_xlfn.AGGREGATE(16,6,FIND({0,1,2,3,4,5,6,7,8,9},A482,ROW(INDIRECT("1:"&amp;LEN(A482)))),1))," ",REPT(" ",LEN(A482))),LEN(A482)))))))/10))*100+1</f>
        <v>201 &amp; 401</v>
      </c>
      <c r="B483" s="42" t="s">
        <v>188</v>
      </c>
      <c r="C483" s="42" t="s">
        <v>168</v>
      </c>
      <c r="D483" s="42">
        <f>43.162*10.764</f>
        <v>464.59576799999996</v>
      </c>
      <c r="E483" s="42">
        <v>0</v>
      </c>
      <c r="F483" s="42">
        <v>765</v>
      </c>
      <c r="G483" s="114" t="str">
        <f>A482</f>
        <v>2nd &amp; 4th Floor</v>
      </c>
      <c r="H483" s="115"/>
      <c r="I483" s="36"/>
      <c r="J483" s="57">
        <f t="shared" si="47"/>
        <v>1.6465926999145633</v>
      </c>
    </row>
    <row r="484" spans="1:10" s="37" customFormat="1" x14ac:dyDescent="0.25">
      <c r="A484" s="50" t="str">
        <f ca="1">(SUMPRODUCT(MID(0&amp;(LEFT(A483,SUM(LEN(A483)-LEN(SUBSTITUTE(A483,{"0","1","2"},""))))), LARGE(INDEX(ISNUMBER(--MID((LEFT(A483,SUM(LEN(A483)-LEN(SUBSTITUTE(A483,{"0","1","2"},""))))), ROW(INDIRECT("1:"&amp;LEN((LEFT(A483,SUM(LEN(A483)-LEN(SUBSTITUTE(A483,{"0","1","2"},"")))))))), 1)) * ROW(INDIRECT("1:"&amp;LEN((LEFT(A483,SUM(LEN(A483)-LEN(SUBSTITUTE(A483,{"0","1","2"},"")))))))), 0), ROW(INDIRECT("1:"&amp;LEN((LEFT(A483,SUM(LEN(A483)-LEN(SUBSTITUTE(A483,{"0","1","2"},"")))))))))+1, 1) * 10^ROW(INDIRECT("1:"&amp;LEN((LEFT(A483,SUM(LEN(A483)-LEN(SUBSTITUTE(A483,{"0","1","2"},""))))))))/10))*1+1&amp;""&amp;" &amp; "&amp;""&amp;(SUMPRODUCT(MID(0&amp;(--TRIM(RIGHT(SUBSTITUTE(LEFT(A483,_xlfn.AGGREGATE(16,6,FIND({0,1,2,3,4,5,6,7,8,9},A483,ROW(INDIRECT("1:"&amp;LEN(A483)))),1))," ",REPT(" ",LEN(A483))),LEN(A483)))), LARGE(INDEX(ISNUMBER(--MID((--TRIM(RIGHT(SUBSTITUTE(LEFT(A483,_xlfn.AGGREGATE(16,6,FIND({0,1,2,3,4,5,6,7,8,9},A483,ROW(INDIRECT("1:"&amp;LEN(A483)))),1))," ",REPT(" ",LEN(A483))),LEN(A483)))), ROW(INDIRECT("1:"&amp;LEN((--TRIM(RIGHT(SUBSTITUTE(LEFT(A483,_xlfn.AGGREGATE(16,6,FIND({0,1,2,3,4,5,6,7,8,9},A483,ROW(INDIRECT("1:"&amp;LEN(A483)))),1))," ",REPT(" ",LEN(A483))),LEN(A483))))))), 1)) * ROW(INDIRECT("1:"&amp;LEN((--TRIM(RIGHT(SUBSTITUTE(LEFT(A483,_xlfn.AGGREGATE(16,6,FIND({0,1,2,3,4,5,6,7,8,9},A483,ROW(INDIRECT("1:"&amp;LEN(A483)))),1))," ",REPT(" ",LEN(A483))),LEN(A483))))))), 0), ROW(INDIRECT("1:"&amp;LEN((--TRIM(RIGHT(SUBSTITUTE(LEFT(A483,_xlfn.AGGREGATE(16,6,FIND({0,1,2,3,4,5,6,7,8,9},A483,ROW(INDIRECT("1:"&amp;LEN(A483)))),1))," ",REPT(" ",LEN(A483))),LEN(A483))))))))+1, 1) * 10^ROW(INDIRECT("1:"&amp;LEN((--TRIM(RIGHT(SUBSTITUTE(LEFT(A483,_xlfn.AGGREGATE(16,6,FIND({0,1,2,3,4,5,6,7,8,9},A483,ROW(INDIRECT("1:"&amp;LEN(A483)))),1))," ",REPT(" ",LEN(A483))),LEN(A483)))))))/10))*1+1</f>
        <v>202 &amp; 402</v>
      </c>
      <c r="B484" s="42" t="s">
        <v>188</v>
      </c>
      <c r="C484" s="42" t="s">
        <v>169</v>
      </c>
      <c r="D484" s="42">
        <f>35.187*10.764</f>
        <v>378.75286799999998</v>
      </c>
      <c r="E484" s="42">
        <v>0</v>
      </c>
      <c r="F484" s="42">
        <v>635</v>
      </c>
      <c r="G484" s="114" t="str">
        <f t="shared" ref="G484:G485" si="52">G483</f>
        <v>2nd &amp; 4th Floor</v>
      </c>
      <c r="H484" s="115"/>
      <c r="I484" s="36"/>
      <c r="J484" s="57">
        <f t="shared" si="47"/>
        <v>1.6765549614267212</v>
      </c>
    </row>
    <row r="485" spans="1:10" s="37" customFormat="1" x14ac:dyDescent="0.25">
      <c r="A485" s="50" t="str">
        <f ca="1">(SUMPRODUCT(MID(0&amp;(LEFT(A484,SUM(LEN(A484)-LEN(SUBSTITUTE(A484,{"0","1","2"},""))))), LARGE(INDEX(ISNUMBER(--MID((LEFT(A484,SUM(LEN(A484)-LEN(SUBSTITUTE(A484,{"0","1","2"},""))))), ROW(INDIRECT("1:"&amp;LEN((LEFT(A484,SUM(LEN(A484)-LEN(SUBSTITUTE(A484,{"0","1","2"},"")))))))), 1)) * ROW(INDIRECT("1:"&amp;LEN((LEFT(A484,SUM(LEN(A484)-LEN(SUBSTITUTE(A484,{"0","1","2"},"")))))))), 0), ROW(INDIRECT("1:"&amp;LEN((LEFT(A484,SUM(LEN(A484)-LEN(SUBSTITUTE(A484,{"0","1","2"},"")))))))))+1, 1) * 10^ROW(INDIRECT("1:"&amp;LEN((LEFT(A484,SUM(LEN(A484)-LEN(SUBSTITUTE(A484,{"0","1","2"},""))))))))/10))*1+1&amp;""&amp;" &amp; "&amp;""&amp;(SUMPRODUCT(MID(0&amp;(--TRIM(RIGHT(SUBSTITUTE(LEFT(A484,_xlfn.AGGREGATE(16,6,FIND({0,1,2,3,4,5,6,7,8,9},A484,ROW(INDIRECT("1:"&amp;LEN(A484)))),1))," ",REPT(" ",LEN(A484))),LEN(A484)))), LARGE(INDEX(ISNUMBER(--MID((--TRIM(RIGHT(SUBSTITUTE(LEFT(A484,_xlfn.AGGREGATE(16,6,FIND({0,1,2,3,4,5,6,7,8,9},A484,ROW(INDIRECT("1:"&amp;LEN(A484)))),1))," ",REPT(" ",LEN(A484))),LEN(A484)))), ROW(INDIRECT("1:"&amp;LEN((--TRIM(RIGHT(SUBSTITUTE(LEFT(A484,_xlfn.AGGREGATE(16,6,FIND({0,1,2,3,4,5,6,7,8,9},A484,ROW(INDIRECT("1:"&amp;LEN(A484)))),1))," ",REPT(" ",LEN(A484))),LEN(A484))))))), 1)) * ROW(INDIRECT("1:"&amp;LEN((--TRIM(RIGHT(SUBSTITUTE(LEFT(A484,_xlfn.AGGREGATE(16,6,FIND({0,1,2,3,4,5,6,7,8,9},A484,ROW(INDIRECT("1:"&amp;LEN(A484)))),1))," ",REPT(" ",LEN(A484))),LEN(A484))))))), 0), ROW(INDIRECT("1:"&amp;LEN((--TRIM(RIGHT(SUBSTITUTE(LEFT(A484,_xlfn.AGGREGATE(16,6,FIND({0,1,2,3,4,5,6,7,8,9},A484,ROW(INDIRECT("1:"&amp;LEN(A484)))),1))," ",REPT(" ",LEN(A484))),LEN(A484))))))))+1, 1) * 10^ROW(INDIRECT("1:"&amp;LEN((--TRIM(RIGHT(SUBSTITUTE(LEFT(A484,_xlfn.AGGREGATE(16,6,FIND({0,1,2,3,4,5,6,7,8,9},A484,ROW(INDIRECT("1:"&amp;LEN(A484)))),1))," ",REPT(" ",LEN(A484))),LEN(A484)))))))/10))*1+1</f>
        <v>203 &amp; 403</v>
      </c>
      <c r="B485" s="42" t="s">
        <v>188</v>
      </c>
      <c r="C485" s="42" t="s">
        <v>169</v>
      </c>
      <c r="D485" s="42">
        <f>35.187*10.764</f>
        <v>378.75286799999998</v>
      </c>
      <c r="E485" s="42">
        <v>0</v>
      </c>
      <c r="F485" s="42">
        <v>635</v>
      </c>
      <c r="G485" s="114" t="str">
        <f t="shared" si="52"/>
        <v>2nd &amp; 4th Floor</v>
      </c>
      <c r="H485" s="115"/>
      <c r="I485" s="36">
        <f>3175000/F485</f>
        <v>5000</v>
      </c>
      <c r="J485" s="57">
        <f t="shared" si="47"/>
        <v>1.6765549614267212</v>
      </c>
    </row>
    <row r="486" spans="1:10" s="35" customFormat="1" x14ac:dyDescent="0.25">
      <c r="A486" s="142" t="s">
        <v>66</v>
      </c>
      <c r="B486" s="142"/>
      <c r="C486" s="142"/>
      <c r="D486" s="142"/>
      <c r="E486" s="142"/>
      <c r="F486" s="142"/>
      <c r="G486" s="142"/>
      <c r="H486" s="142"/>
    </row>
    <row r="487" spans="1:10" s="35" customFormat="1" ht="94.5" customHeight="1" x14ac:dyDescent="0.25">
      <c r="A487" s="51" t="s">
        <v>155</v>
      </c>
      <c r="B487" s="147" t="s">
        <v>270</v>
      </c>
      <c r="C487" s="148"/>
      <c r="D487" s="148"/>
      <c r="E487" s="148"/>
      <c r="F487" s="148"/>
      <c r="G487" s="148"/>
      <c r="H487" s="149"/>
    </row>
    <row r="488" spans="1:10" s="35" customFormat="1" x14ac:dyDescent="0.25">
      <c r="A488" s="51" t="s">
        <v>155</v>
      </c>
      <c r="B488" s="147" t="str">
        <f>(IF(F271="Saleable area Loading :","We have considered Saleable area of Flats as per our Calculation.","We considered Saleable area of Flat as per Builder area Sheet."))</f>
        <v>We considered Saleable area of Flat as per Builder area Sheet.</v>
      </c>
      <c r="C488" s="148"/>
      <c r="D488" s="148"/>
      <c r="E488" s="148"/>
      <c r="F488" s="148"/>
      <c r="G488" s="148"/>
      <c r="H488" s="149"/>
    </row>
    <row r="489" spans="1:10" s="35" customFormat="1" x14ac:dyDescent="0.25">
      <c r="A489" s="51" t="s">
        <v>155</v>
      </c>
      <c r="B489" s="147" t="str">
        <f>(IF(F233="Saleable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89" s="148"/>
      <c r="D489" s="148"/>
      <c r="E489" s="148"/>
      <c r="F489" s="148"/>
      <c r="G489" s="148"/>
      <c r="H489" s="149"/>
    </row>
    <row r="490" spans="1:10" s="35" customFormat="1" x14ac:dyDescent="0.25">
      <c r="A490" s="51" t="s">
        <v>155</v>
      </c>
      <c r="B490" s="147" t="s">
        <v>125</v>
      </c>
      <c r="C490" s="148"/>
      <c r="D490" s="148"/>
      <c r="E490" s="148"/>
      <c r="F490" s="148"/>
      <c r="G490" s="148"/>
      <c r="H490" s="149"/>
    </row>
    <row r="491" spans="1:10" s="35" customFormat="1" x14ac:dyDescent="0.25">
      <c r="A491" s="51" t="s">
        <v>155</v>
      </c>
      <c r="B491" s="147" t="s">
        <v>211</v>
      </c>
      <c r="C491" s="148"/>
      <c r="D491" s="148"/>
      <c r="E491" s="148"/>
      <c r="F491" s="148"/>
      <c r="G491" s="148"/>
      <c r="H491" s="149"/>
    </row>
    <row r="492" spans="1:10" s="35" customFormat="1" x14ac:dyDescent="0.25">
      <c r="A492" s="51" t="s">
        <v>155</v>
      </c>
      <c r="B492" s="147" t="s">
        <v>154</v>
      </c>
      <c r="C492" s="148"/>
      <c r="D492" s="148"/>
      <c r="E492" s="148"/>
      <c r="F492" s="148"/>
      <c r="G492" s="148"/>
      <c r="H492" s="149"/>
    </row>
    <row r="493" spans="1:10" s="35" customFormat="1" x14ac:dyDescent="0.25">
      <c r="A493" s="51" t="s">
        <v>155</v>
      </c>
      <c r="B493" s="144" t="s">
        <v>126</v>
      </c>
      <c r="C493" s="145"/>
      <c r="D493" s="145"/>
      <c r="E493" s="145"/>
      <c r="F493" s="145"/>
      <c r="G493" s="145"/>
      <c r="H493" s="146"/>
    </row>
    <row r="494" spans="1:10" s="35" customFormat="1" ht="34.5" customHeight="1" x14ac:dyDescent="0.25">
      <c r="A494" s="51" t="s">
        <v>155</v>
      </c>
      <c r="B494" s="144" t="s">
        <v>156</v>
      </c>
      <c r="C494" s="145"/>
      <c r="D494" s="145"/>
      <c r="E494" s="145"/>
      <c r="F494" s="145"/>
      <c r="G494" s="145"/>
      <c r="H494" s="146"/>
    </row>
    <row r="495" spans="1:10" s="35" customFormat="1" x14ac:dyDescent="0.25">
      <c r="A495" s="51" t="s">
        <v>155</v>
      </c>
      <c r="B495" s="144" t="s">
        <v>127</v>
      </c>
      <c r="C495" s="145"/>
      <c r="D495" s="145"/>
      <c r="E495" s="145"/>
      <c r="F495" s="145"/>
      <c r="G495" s="145"/>
      <c r="H495" s="146"/>
    </row>
    <row r="496" spans="1:10" s="35" customFormat="1" ht="30.95" customHeight="1" x14ac:dyDescent="0.25">
      <c r="A496" s="51" t="s">
        <v>155</v>
      </c>
      <c r="B496" s="147" t="s">
        <v>261</v>
      </c>
      <c r="C496" s="148"/>
      <c r="D496" s="148"/>
      <c r="E496" s="148"/>
      <c r="F496" s="148"/>
      <c r="G496" s="148"/>
      <c r="H496" s="149"/>
    </row>
    <row r="497" spans="1:9" x14ac:dyDescent="0.25">
      <c r="A497" s="143" t="s">
        <v>60</v>
      </c>
      <c r="B497" s="143"/>
      <c r="C497" s="143"/>
      <c r="D497" s="143"/>
      <c r="E497" s="143"/>
      <c r="F497" s="143"/>
      <c r="G497" s="143"/>
      <c r="H497" s="143"/>
    </row>
    <row r="498" spans="1:9" x14ac:dyDescent="0.25">
      <c r="A498" s="134" t="s">
        <v>61</v>
      </c>
      <c r="B498" s="134"/>
      <c r="C498" s="134"/>
      <c r="D498" s="134"/>
      <c r="E498" s="134"/>
      <c r="F498" s="134"/>
      <c r="G498" s="134"/>
      <c r="H498" s="134"/>
    </row>
    <row r="499" spans="1:9" ht="15.75" customHeight="1" x14ac:dyDescent="0.25">
      <c r="A499" s="135" t="s">
        <v>250</v>
      </c>
      <c r="B499" s="135"/>
      <c r="C499" s="135"/>
      <c r="D499" s="135"/>
      <c r="E499" s="135"/>
      <c r="F499" s="135"/>
      <c r="G499" s="135"/>
      <c r="H499" s="135"/>
    </row>
    <row r="500" spans="1:9" x14ac:dyDescent="0.25">
      <c r="A500" s="134" t="s">
        <v>62</v>
      </c>
      <c r="B500" s="134"/>
      <c r="C500" s="134"/>
      <c r="D500" s="134"/>
      <c r="E500" s="134"/>
      <c r="F500" s="134"/>
      <c r="G500" s="134"/>
      <c r="H500" s="134"/>
    </row>
    <row r="501" spans="1:9" x14ac:dyDescent="0.25">
      <c r="A501" s="134" t="s">
        <v>63</v>
      </c>
      <c r="B501" s="134"/>
      <c r="C501" s="134"/>
      <c r="D501" s="134"/>
      <c r="E501" s="134"/>
      <c r="F501" s="134"/>
      <c r="G501" s="134"/>
      <c r="H501" s="134"/>
    </row>
    <row r="502" spans="1:9" x14ac:dyDescent="0.25">
      <c r="A502" s="134" t="s">
        <v>128</v>
      </c>
      <c r="B502" s="134"/>
      <c r="C502" s="134"/>
      <c r="D502" s="134"/>
      <c r="E502" s="134"/>
      <c r="F502" s="134"/>
      <c r="G502" s="134"/>
      <c r="H502" s="134"/>
    </row>
    <row r="503" spans="1:9" ht="35.25" customHeight="1" x14ac:dyDescent="0.25">
      <c r="A503" s="141" t="s">
        <v>129</v>
      </c>
      <c r="B503" s="141"/>
      <c r="C503" s="141"/>
      <c r="D503" s="141"/>
      <c r="E503" s="141"/>
      <c r="F503" s="141"/>
      <c r="G503" s="141"/>
      <c r="H503" s="141"/>
    </row>
    <row r="504" spans="1:9" x14ac:dyDescent="0.25">
      <c r="A504" s="155" t="s">
        <v>75</v>
      </c>
      <c r="B504" s="155"/>
      <c r="C504" s="155" t="s">
        <v>258</v>
      </c>
      <c r="D504" s="155"/>
      <c r="E504" s="155" t="s">
        <v>106</v>
      </c>
      <c r="F504" s="155"/>
      <c r="G504" s="155" t="s">
        <v>268</v>
      </c>
      <c r="H504" s="155"/>
      <c r="I504"/>
    </row>
    <row r="505" spans="1:9" x14ac:dyDescent="0.25">
      <c r="A505" s="154" t="s">
        <v>77</v>
      </c>
      <c r="B505" s="154"/>
      <c r="C505" s="154"/>
      <c r="D505" s="154"/>
      <c r="E505" s="154"/>
      <c r="F505" s="154"/>
      <c r="G505" s="154"/>
      <c r="H505" s="154"/>
    </row>
    <row r="506" spans="1:9" x14ac:dyDescent="0.25">
      <c r="A506" s="154"/>
      <c r="B506" s="154"/>
      <c r="C506" s="154"/>
      <c r="D506" s="154"/>
      <c r="E506" s="154"/>
      <c r="F506" s="154"/>
      <c r="G506" s="154"/>
      <c r="H506" s="154"/>
    </row>
    <row r="507" spans="1:9" x14ac:dyDescent="0.25">
      <c r="A507" s="154"/>
      <c r="B507" s="154"/>
      <c r="C507" s="154"/>
      <c r="D507" s="154"/>
      <c r="E507" s="154"/>
      <c r="F507" s="154"/>
      <c r="G507" s="154"/>
      <c r="H507" s="154"/>
    </row>
    <row r="508" spans="1:9" x14ac:dyDescent="0.25">
      <c r="A508" s="154"/>
      <c r="B508" s="154"/>
      <c r="C508" s="154"/>
      <c r="D508" s="154"/>
      <c r="E508" s="154"/>
      <c r="F508" s="154"/>
      <c r="G508" s="154"/>
      <c r="H508" s="154"/>
    </row>
    <row r="509" spans="1:9" x14ac:dyDescent="0.25">
      <c r="A509" s="38" t="s">
        <v>64</v>
      </c>
      <c r="B509" s="39"/>
      <c r="C509" s="39"/>
      <c r="D509" s="38" t="str">
        <f>E8</f>
        <v>Konnark Oasis</v>
      </c>
      <c r="F509" s="39"/>
      <c r="G509" s="39"/>
      <c r="H509" s="39"/>
    </row>
    <row r="510" spans="1:9" x14ac:dyDescent="0.25">
      <c r="A510" s="39"/>
      <c r="B510" s="39"/>
      <c r="C510" s="39"/>
      <c r="D510" s="39"/>
      <c r="E510" s="39"/>
      <c r="F510" s="39"/>
      <c r="G510" s="39"/>
      <c r="H510" s="39"/>
    </row>
    <row r="511" spans="1:9" x14ac:dyDescent="0.25">
      <c r="A511" s="39"/>
      <c r="B511" s="39"/>
      <c r="C511" s="39"/>
      <c r="D511" s="39"/>
      <c r="E511" s="39"/>
      <c r="F511" s="39"/>
      <c r="G511" s="39"/>
      <c r="H511" s="39"/>
    </row>
    <row r="512" spans="1:9" ht="15" customHeight="1" x14ac:dyDescent="0.25"/>
    <row r="551" spans="1:8" x14ac:dyDescent="0.25">
      <c r="A551" s="38" t="s">
        <v>64</v>
      </c>
      <c r="B551" s="39"/>
      <c r="C551" s="39"/>
      <c r="D551" s="38" t="str">
        <f>E8</f>
        <v>Konnark Oasis</v>
      </c>
      <c r="F551" s="39"/>
      <c r="G551" s="39"/>
      <c r="H551" s="39"/>
    </row>
    <row r="552" spans="1:8" x14ac:dyDescent="0.25">
      <c r="A552" s="39"/>
      <c r="B552" s="39"/>
      <c r="C552" s="39"/>
      <c r="D552" s="39"/>
      <c r="E552" s="39"/>
      <c r="F552" s="39"/>
      <c r="G552" s="39"/>
      <c r="H552" s="39"/>
    </row>
    <row r="553" spans="1:8" x14ac:dyDescent="0.25">
      <c r="A553" s="39"/>
      <c r="B553" s="39"/>
      <c r="C553" s="39"/>
      <c r="D553" s="39"/>
      <c r="E553" s="39"/>
      <c r="F553" s="39"/>
      <c r="G553" s="39"/>
      <c r="H553" s="39"/>
    </row>
    <row r="554" spans="1:8" ht="15" customHeight="1" x14ac:dyDescent="0.25"/>
    <row r="593" spans="1:1" x14ac:dyDescent="0.25">
      <c r="A593" s="41" t="s">
        <v>65</v>
      </c>
    </row>
  </sheetData>
  <mergeCells count="874">
    <mergeCell ref="A37:B37"/>
    <mergeCell ref="C36:H36"/>
    <mergeCell ref="C37:H37"/>
    <mergeCell ref="L450:M450"/>
    <mergeCell ref="G451:H451"/>
    <mergeCell ref="L451:M451"/>
    <mergeCell ref="A457:H457"/>
    <mergeCell ref="G458:H458"/>
    <mergeCell ref="G459:H459"/>
    <mergeCell ref="A257:H257"/>
    <mergeCell ref="A259:H259"/>
    <mergeCell ref="A260:B260"/>
    <mergeCell ref="G260:H260"/>
    <mergeCell ref="A261:B261"/>
    <mergeCell ref="G261:H261"/>
    <mergeCell ref="A262:B262"/>
    <mergeCell ref="G262:H262"/>
    <mergeCell ref="A430:B430"/>
    <mergeCell ref="G430:H430"/>
    <mergeCell ref="A431:B431"/>
    <mergeCell ref="G431:H431"/>
    <mergeCell ref="A432:B432"/>
    <mergeCell ref="A414:B414"/>
    <mergeCell ref="G414:H414"/>
    <mergeCell ref="G461:H461"/>
    <mergeCell ref="A438:H438"/>
    <mergeCell ref="G439:H439"/>
    <mergeCell ref="G440:H440"/>
    <mergeCell ref="G441:H441"/>
    <mergeCell ref="G442:H442"/>
    <mergeCell ref="A436:H436"/>
    <mergeCell ref="A435:B435"/>
    <mergeCell ref="G435:H435"/>
    <mergeCell ref="A443:H443"/>
    <mergeCell ref="G444:H444"/>
    <mergeCell ref="G445:H445"/>
    <mergeCell ref="G446:H446"/>
    <mergeCell ref="G447:H447"/>
    <mergeCell ref="A452:H452"/>
    <mergeCell ref="G453:H453"/>
    <mergeCell ref="G454:H454"/>
    <mergeCell ref="G455:H455"/>
    <mergeCell ref="G460:H460"/>
    <mergeCell ref="G456:H456"/>
    <mergeCell ref="A449:H449"/>
    <mergeCell ref="G450:H450"/>
    <mergeCell ref="A437:H437"/>
    <mergeCell ref="A448:H448"/>
    <mergeCell ref="A434:B434"/>
    <mergeCell ref="G434:H434"/>
    <mergeCell ref="A427:B427"/>
    <mergeCell ref="G427:H427"/>
    <mergeCell ref="A428:B428"/>
    <mergeCell ref="G428:H428"/>
    <mergeCell ref="A429:H429"/>
    <mergeCell ref="A422:H422"/>
    <mergeCell ref="A423:B423"/>
    <mergeCell ref="G423:H423"/>
    <mergeCell ref="A424:B424"/>
    <mergeCell ref="G424:H424"/>
    <mergeCell ref="A425:B425"/>
    <mergeCell ref="G425:H425"/>
    <mergeCell ref="A426:B426"/>
    <mergeCell ref="G426:H426"/>
    <mergeCell ref="G432:H432"/>
    <mergeCell ref="A433:B433"/>
    <mergeCell ref="G433:H433"/>
    <mergeCell ref="A421:H421"/>
    <mergeCell ref="L260:M260"/>
    <mergeCell ref="L261:M261"/>
    <mergeCell ref="L262:M262"/>
    <mergeCell ref="A416:B416"/>
    <mergeCell ref="G416:H416"/>
    <mergeCell ref="A417:B417"/>
    <mergeCell ref="G417:H417"/>
    <mergeCell ref="A418:B418"/>
    <mergeCell ref="G418:H418"/>
    <mergeCell ref="A419:B419"/>
    <mergeCell ref="G419:H419"/>
    <mergeCell ref="G370:H370"/>
    <mergeCell ref="G378:H378"/>
    <mergeCell ref="A379:B379"/>
    <mergeCell ref="G379:H379"/>
    <mergeCell ref="A380:B380"/>
    <mergeCell ref="G407:H407"/>
    <mergeCell ref="A408:B408"/>
    <mergeCell ref="G408:H408"/>
    <mergeCell ref="A409:B409"/>
    <mergeCell ref="G409:H409"/>
    <mergeCell ref="A410:B410"/>
    <mergeCell ref="G410:H410"/>
    <mergeCell ref="A394:H394"/>
    <mergeCell ref="A397:B397"/>
    <mergeCell ref="G397:H397"/>
    <mergeCell ref="G392:H392"/>
    <mergeCell ref="L250:M250"/>
    <mergeCell ref="A251:B251"/>
    <mergeCell ref="G251:H251"/>
    <mergeCell ref="L251:M251"/>
    <mergeCell ref="A252:B252"/>
    <mergeCell ref="G252:H252"/>
    <mergeCell ref="L252:M252"/>
    <mergeCell ref="A253:B253"/>
    <mergeCell ref="G253:H253"/>
    <mergeCell ref="L253:M253"/>
    <mergeCell ref="L254:M254"/>
    <mergeCell ref="A255:B255"/>
    <mergeCell ref="G255:H255"/>
    <mergeCell ref="L255:M255"/>
    <mergeCell ref="A256:B256"/>
    <mergeCell ref="G256:H256"/>
    <mergeCell ref="L256:M256"/>
    <mergeCell ref="A393:B393"/>
    <mergeCell ref="G393:H393"/>
    <mergeCell ref="A359:B359"/>
    <mergeCell ref="A420:B420"/>
    <mergeCell ref="G420:H420"/>
    <mergeCell ref="A412:B412"/>
    <mergeCell ref="G412:H412"/>
    <mergeCell ref="A413:H413"/>
    <mergeCell ref="A401:B401"/>
    <mergeCell ref="G401:H401"/>
    <mergeCell ref="A402:B402"/>
    <mergeCell ref="G402:H402"/>
    <mergeCell ref="A403:H403"/>
    <mergeCell ref="A405:H405"/>
    <mergeCell ref="A406:B406"/>
    <mergeCell ref="G406:H406"/>
    <mergeCell ref="A415:B415"/>
    <mergeCell ref="G415:H415"/>
    <mergeCell ref="A407:B407"/>
    <mergeCell ref="A411:B411"/>
    <mergeCell ref="G411:H411"/>
    <mergeCell ref="G359:H359"/>
    <mergeCell ref="A366:B366"/>
    <mergeCell ref="G366:H366"/>
    <mergeCell ref="A374:B374"/>
    <mergeCell ref="G374:H374"/>
    <mergeCell ref="A381:B381"/>
    <mergeCell ref="G381:H381"/>
    <mergeCell ref="A371:B371"/>
    <mergeCell ref="G371:H371"/>
    <mergeCell ref="A365:B365"/>
    <mergeCell ref="G365:H365"/>
    <mergeCell ref="A367:H367"/>
    <mergeCell ref="A368:H368"/>
    <mergeCell ref="A369:B369"/>
    <mergeCell ref="G369:H369"/>
    <mergeCell ref="A370:B370"/>
    <mergeCell ref="G380:H380"/>
    <mergeCell ref="A372:B372"/>
    <mergeCell ref="L269:M269"/>
    <mergeCell ref="A383:H383"/>
    <mergeCell ref="G390:H390"/>
    <mergeCell ref="L245:M245"/>
    <mergeCell ref="A246:B246"/>
    <mergeCell ref="G246:H246"/>
    <mergeCell ref="L246:M246"/>
    <mergeCell ref="A247:B247"/>
    <mergeCell ref="G247:H247"/>
    <mergeCell ref="L247:M247"/>
    <mergeCell ref="A305:B305"/>
    <mergeCell ref="A293:B293"/>
    <mergeCell ref="G293:H293"/>
    <mergeCell ref="A258:H258"/>
    <mergeCell ref="A272:H272"/>
    <mergeCell ref="A273:H273"/>
    <mergeCell ref="G296:H296"/>
    <mergeCell ref="A297:B297"/>
    <mergeCell ref="G297:H297"/>
    <mergeCell ref="A288:H288"/>
    <mergeCell ref="G291:H291"/>
    <mergeCell ref="A286:H286"/>
    <mergeCell ref="A279:B279"/>
    <mergeCell ref="G279:H279"/>
    <mergeCell ref="A235:H235"/>
    <mergeCell ref="A242:B242"/>
    <mergeCell ref="G242:H242"/>
    <mergeCell ref="L242:M242"/>
    <mergeCell ref="A243:B243"/>
    <mergeCell ref="G243:H243"/>
    <mergeCell ref="L243:M243"/>
    <mergeCell ref="A244:B244"/>
    <mergeCell ref="G244:H244"/>
    <mergeCell ref="L244:M244"/>
    <mergeCell ref="L241:M241"/>
    <mergeCell ref="L240:M240"/>
    <mergeCell ref="L239:M239"/>
    <mergeCell ref="L238:M238"/>
    <mergeCell ref="G240:H240"/>
    <mergeCell ref="G238:H238"/>
    <mergeCell ref="G239:H239"/>
    <mergeCell ref="A236:H236"/>
    <mergeCell ref="G241:H241"/>
    <mergeCell ref="B494:H494"/>
    <mergeCell ref="A46:B46"/>
    <mergeCell ref="C46:H46"/>
    <mergeCell ref="B492:H492"/>
    <mergeCell ref="A117:B117"/>
    <mergeCell ref="A118:B118"/>
    <mergeCell ref="G88:H97"/>
    <mergeCell ref="A89:B89"/>
    <mergeCell ref="A90:B90"/>
    <mergeCell ref="A91:B91"/>
    <mergeCell ref="F198:H198"/>
    <mergeCell ref="A198:E198"/>
    <mergeCell ref="G391:H391"/>
    <mergeCell ref="G387:H387"/>
    <mergeCell ref="D233:D234"/>
    <mergeCell ref="A200:E200"/>
    <mergeCell ref="A238:B238"/>
    <mergeCell ref="A239:B239"/>
    <mergeCell ref="A240:B240"/>
    <mergeCell ref="A241:B241"/>
    <mergeCell ref="A201:E201"/>
    <mergeCell ref="F206:H206"/>
    <mergeCell ref="A340:B340"/>
    <mergeCell ref="A213:B213"/>
    <mergeCell ref="A87:B87"/>
    <mergeCell ref="E87:F87"/>
    <mergeCell ref="G87:H87"/>
    <mergeCell ref="A202:E202"/>
    <mergeCell ref="F202:H202"/>
    <mergeCell ref="A203:E203"/>
    <mergeCell ref="A205:E205"/>
    <mergeCell ref="F199:H199"/>
    <mergeCell ref="A204:E204"/>
    <mergeCell ref="A119:B119"/>
    <mergeCell ref="A120:B120"/>
    <mergeCell ref="A121:B121"/>
    <mergeCell ref="A123:B123"/>
    <mergeCell ref="A124:B124"/>
    <mergeCell ref="A199:E199"/>
    <mergeCell ref="A196:E196"/>
    <mergeCell ref="F196:H196"/>
    <mergeCell ref="F201:H201"/>
    <mergeCell ref="F200:H200"/>
    <mergeCell ref="G115:H115"/>
    <mergeCell ref="A116:B116"/>
    <mergeCell ref="E116:F125"/>
    <mergeCell ref="A114:B114"/>
    <mergeCell ref="C114:H114"/>
    <mergeCell ref="B490:H490"/>
    <mergeCell ref="B491:H491"/>
    <mergeCell ref="G275:H275"/>
    <mergeCell ref="A289:H289"/>
    <mergeCell ref="A290:B290"/>
    <mergeCell ref="G290:H290"/>
    <mergeCell ref="A291:B291"/>
    <mergeCell ref="A295:B295"/>
    <mergeCell ref="G295:H295"/>
    <mergeCell ref="A296:B296"/>
    <mergeCell ref="G372:H372"/>
    <mergeCell ref="A373:B373"/>
    <mergeCell ref="G373:H373"/>
    <mergeCell ref="A375:H375"/>
    <mergeCell ref="A376:B376"/>
    <mergeCell ref="A400:B400"/>
    <mergeCell ref="G398:H398"/>
    <mergeCell ref="A396:B396"/>
    <mergeCell ref="A316:H316"/>
    <mergeCell ref="A317:H317"/>
    <mergeCell ref="A318:B318"/>
    <mergeCell ref="G318:H318"/>
    <mergeCell ref="A395:B395"/>
    <mergeCell ref="G278:H278"/>
    <mergeCell ref="A81:B81"/>
    <mergeCell ref="C219:D219"/>
    <mergeCell ref="E219:F219"/>
    <mergeCell ref="G219:H219"/>
    <mergeCell ref="F203:H203"/>
    <mergeCell ref="A197:E197"/>
    <mergeCell ref="A112:B112"/>
    <mergeCell ref="C112:H112"/>
    <mergeCell ref="A237:H237"/>
    <mergeCell ref="E233:E234"/>
    <mergeCell ref="G233:H234"/>
    <mergeCell ref="A88:B88"/>
    <mergeCell ref="E88:F97"/>
    <mergeCell ref="A95:B95"/>
    <mergeCell ref="A96:B96"/>
    <mergeCell ref="A97:B97"/>
    <mergeCell ref="E211:F211"/>
    <mergeCell ref="A231:H231"/>
    <mergeCell ref="F207:H207"/>
    <mergeCell ref="F205:H205"/>
    <mergeCell ref="A115:B115"/>
    <mergeCell ref="E115:F115"/>
    <mergeCell ref="G116:H125"/>
    <mergeCell ref="A86:B86"/>
    <mergeCell ref="A39:D39"/>
    <mergeCell ref="E39:H39"/>
    <mergeCell ref="A45:H45"/>
    <mergeCell ref="D55:H55"/>
    <mergeCell ref="A55:C55"/>
    <mergeCell ref="G48:H48"/>
    <mergeCell ref="A49:B50"/>
    <mergeCell ref="A80:B80"/>
    <mergeCell ref="A73:B73"/>
    <mergeCell ref="A76:B76"/>
    <mergeCell ref="A72:B72"/>
    <mergeCell ref="A70:B70"/>
    <mergeCell ref="C70:H70"/>
    <mergeCell ref="A78:B78"/>
    <mergeCell ref="A65:C65"/>
    <mergeCell ref="D65:H65"/>
    <mergeCell ref="C72:H72"/>
    <mergeCell ref="D54:H54"/>
    <mergeCell ref="G51:H51"/>
    <mergeCell ref="A75:B75"/>
    <mergeCell ref="A77:B77"/>
    <mergeCell ref="E73:F73"/>
    <mergeCell ref="A66:C66"/>
    <mergeCell ref="D66:H66"/>
    <mergeCell ref="C86:H86"/>
    <mergeCell ref="E74:F83"/>
    <mergeCell ref="G74:H83"/>
    <mergeCell ref="A82:B82"/>
    <mergeCell ref="A83:B83"/>
    <mergeCell ref="D64:H64"/>
    <mergeCell ref="A41:D41"/>
    <mergeCell ref="E41:H41"/>
    <mergeCell ref="E42:H42"/>
    <mergeCell ref="E43:H43"/>
    <mergeCell ref="E44:H44"/>
    <mergeCell ref="A42:D42"/>
    <mergeCell ref="A43:D43"/>
    <mergeCell ref="A44:D44"/>
    <mergeCell ref="C50:H50"/>
    <mergeCell ref="A67:C67"/>
    <mergeCell ref="D67:H67"/>
    <mergeCell ref="A68:C68"/>
    <mergeCell ref="D68:H68"/>
    <mergeCell ref="A74:B74"/>
    <mergeCell ref="G73:H73"/>
    <mergeCell ref="A52:H52"/>
    <mergeCell ref="A53:C53"/>
    <mergeCell ref="A54:C54"/>
    <mergeCell ref="A35:H35"/>
    <mergeCell ref="A34:B34"/>
    <mergeCell ref="C34:E34"/>
    <mergeCell ref="F31:H31"/>
    <mergeCell ref="F32:H32"/>
    <mergeCell ref="A38:H38"/>
    <mergeCell ref="A63:C63"/>
    <mergeCell ref="A64:C64"/>
    <mergeCell ref="D63:H63"/>
    <mergeCell ref="F34:H34"/>
    <mergeCell ref="A36:B36"/>
    <mergeCell ref="G47:H47"/>
    <mergeCell ref="G49:H49"/>
    <mergeCell ref="D53:H53"/>
    <mergeCell ref="C49:E49"/>
    <mergeCell ref="D56:H56"/>
    <mergeCell ref="D57:H57"/>
    <mergeCell ref="C48:E48"/>
    <mergeCell ref="A51:B51"/>
    <mergeCell ref="C51:E51"/>
    <mergeCell ref="A48:B48"/>
    <mergeCell ref="E40:H40"/>
    <mergeCell ref="A40:D40"/>
    <mergeCell ref="D59:H59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A505:H508"/>
    <mergeCell ref="A504:B504"/>
    <mergeCell ref="E504:F504"/>
    <mergeCell ref="C504:D504"/>
    <mergeCell ref="G504:H504"/>
    <mergeCell ref="A210:H210"/>
    <mergeCell ref="A208:E208"/>
    <mergeCell ref="F208:H208"/>
    <mergeCell ref="A209:E209"/>
    <mergeCell ref="F209:H209"/>
    <mergeCell ref="A382:H382"/>
    <mergeCell ref="A219:B219"/>
    <mergeCell ref="A392:B392"/>
    <mergeCell ref="A212:B212"/>
    <mergeCell ref="A500:H500"/>
    <mergeCell ref="A217:H217"/>
    <mergeCell ref="B493:H493"/>
    <mergeCell ref="B489:H489"/>
    <mergeCell ref="A277:B277"/>
    <mergeCell ref="G277:H277"/>
    <mergeCell ref="G276:H276"/>
    <mergeCell ref="A274:H274"/>
    <mergeCell ref="A275:B275"/>
    <mergeCell ref="B488:H488"/>
    <mergeCell ref="A20:D21"/>
    <mergeCell ref="E20:H21"/>
    <mergeCell ref="E13:H13"/>
    <mergeCell ref="A14:B14"/>
    <mergeCell ref="C14:H14"/>
    <mergeCell ref="C15:H15"/>
    <mergeCell ref="A22:D22"/>
    <mergeCell ref="E22:H22"/>
    <mergeCell ref="G216:H216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306:B306"/>
    <mergeCell ref="A503:H503"/>
    <mergeCell ref="A501:H501"/>
    <mergeCell ref="A486:H486"/>
    <mergeCell ref="G400:H400"/>
    <mergeCell ref="A497:H497"/>
    <mergeCell ref="A498:H498"/>
    <mergeCell ref="G386:H386"/>
    <mergeCell ref="G306:H306"/>
    <mergeCell ref="A307:B307"/>
    <mergeCell ref="G307:H307"/>
    <mergeCell ref="A388:B388"/>
    <mergeCell ref="A386:B386"/>
    <mergeCell ref="A398:B398"/>
    <mergeCell ref="A399:B399"/>
    <mergeCell ref="A387:B387"/>
    <mergeCell ref="G388:H388"/>
    <mergeCell ref="G396:H396"/>
    <mergeCell ref="G395:H395"/>
    <mergeCell ref="B495:H495"/>
    <mergeCell ref="B496:H496"/>
    <mergeCell ref="A320:B320"/>
    <mergeCell ref="G320:H320"/>
    <mergeCell ref="B487:H487"/>
    <mergeCell ref="A336:B336"/>
    <mergeCell ref="G336:H336"/>
    <mergeCell ref="A337:B337"/>
    <mergeCell ref="G337:H337"/>
    <mergeCell ref="A327:B327"/>
    <mergeCell ref="G327:H327"/>
    <mergeCell ref="A338:B338"/>
    <mergeCell ref="G338:H338"/>
    <mergeCell ref="G339:H339"/>
    <mergeCell ref="A333:H333"/>
    <mergeCell ref="A334:H334"/>
    <mergeCell ref="A335:B335"/>
    <mergeCell ref="G335:H335"/>
    <mergeCell ref="A328:B328"/>
    <mergeCell ref="G399:H399"/>
    <mergeCell ref="A391:B391"/>
    <mergeCell ref="A348:B348"/>
    <mergeCell ref="G348:H348"/>
    <mergeCell ref="A349:B349"/>
    <mergeCell ref="G349:H349"/>
    <mergeCell ref="G340:H340"/>
    <mergeCell ref="A341:B341"/>
    <mergeCell ref="G341:H341"/>
    <mergeCell ref="A360:H360"/>
    <mergeCell ref="A361:B361"/>
    <mergeCell ref="G346:H346"/>
    <mergeCell ref="A351:H351"/>
    <mergeCell ref="A356:B356"/>
    <mergeCell ref="G356:H356"/>
    <mergeCell ref="A357:B357"/>
    <mergeCell ref="G357:H357"/>
    <mergeCell ref="A358:B358"/>
    <mergeCell ref="G358:H358"/>
    <mergeCell ref="A390:B390"/>
    <mergeCell ref="A384:H384"/>
    <mergeCell ref="A385:H385"/>
    <mergeCell ref="A389:B389"/>
    <mergeCell ref="G389:H389"/>
    <mergeCell ref="A211:B211"/>
    <mergeCell ref="A232:H232"/>
    <mergeCell ref="G211:H211"/>
    <mergeCell ref="C233:C234"/>
    <mergeCell ref="E218:F218"/>
    <mergeCell ref="A230:B230"/>
    <mergeCell ref="E230:F230"/>
    <mergeCell ref="C230:D230"/>
    <mergeCell ref="A224:B224"/>
    <mergeCell ref="C224:D224"/>
    <mergeCell ref="E224:F224"/>
    <mergeCell ref="G224:H224"/>
    <mergeCell ref="A227:B227"/>
    <mergeCell ref="C227:D227"/>
    <mergeCell ref="E227:F227"/>
    <mergeCell ref="G227:H227"/>
    <mergeCell ref="A220:B220"/>
    <mergeCell ref="A215:B215"/>
    <mergeCell ref="C215:D215"/>
    <mergeCell ref="E215:F215"/>
    <mergeCell ref="G215:H215"/>
    <mergeCell ref="A226:H226"/>
    <mergeCell ref="A225:B225"/>
    <mergeCell ref="C225:D225"/>
    <mergeCell ref="A248:H248"/>
    <mergeCell ref="A249:H249"/>
    <mergeCell ref="A250:B250"/>
    <mergeCell ref="G250:H250"/>
    <mergeCell ref="A254:B254"/>
    <mergeCell ref="A245:B245"/>
    <mergeCell ref="G245:H245"/>
    <mergeCell ref="A302:B302"/>
    <mergeCell ref="G302:H302"/>
    <mergeCell ref="A284:B284"/>
    <mergeCell ref="G284:H284"/>
    <mergeCell ref="A285:B285"/>
    <mergeCell ref="G285:H285"/>
    <mergeCell ref="A301:B301"/>
    <mergeCell ref="G301:H301"/>
    <mergeCell ref="G254:H254"/>
    <mergeCell ref="A276:B276"/>
    <mergeCell ref="A278:B278"/>
    <mergeCell ref="A502:H502"/>
    <mergeCell ref="A499:H499"/>
    <mergeCell ref="A218:B218"/>
    <mergeCell ref="G271:H271"/>
    <mergeCell ref="A92:B92"/>
    <mergeCell ref="A93:B93"/>
    <mergeCell ref="A94:B94"/>
    <mergeCell ref="A84:B84"/>
    <mergeCell ref="C84:H84"/>
    <mergeCell ref="A122:B122"/>
    <mergeCell ref="A206:E206"/>
    <mergeCell ref="C212:D212"/>
    <mergeCell ref="E212:F212"/>
    <mergeCell ref="B233:B234"/>
    <mergeCell ref="A233:A234"/>
    <mergeCell ref="A282:B282"/>
    <mergeCell ref="G282:H282"/>
    <mergeCell ref="A207:E207"/>
    <mergeCell ref="G230:H230"/>
    <mergeCell ref="C213:D213"/>
    <mergeCell ref="E213:F213"/>
    <mergeCell ref="G213:H213"/>
    <mergeCell ref="G319:H319"/>
    <mergeCell ref="A325:H325"/>
    <mergeCell ref="A47:B47"/>
    <mergeCell ref="C47:E47"/>
    <mergeCell ref="G355:H355"/>
    <mergeCell ref="G305:H305"/>
    <mergeCell ref="A299:H299"/>
    <mergeCell ref="A300:H300"/>
    <mergeCell ref="A303:B303"/>
    <mergeCell ref="G303:H303"/>
    <mergeCell ref="G328:H328"/>
    <mergeCell ref="A329:B329"/>
    <mergeCell ref="G329:H329"/>
    <mergeCell ref="A330:B330"/>
    <mergeCell ref="G330:H330"/>
    <mergeCell ref="A339:B339"/>
    <mergeCell ref="A352:H352"/>
    <mergeCell ref="A326:B326"/>
    <mergeCell ref="A69:C69"/>
    <mergeCell ref="D69:H69"/>
    <mergeCell ref="A304:B304"/>
    <mergeCell ref="G304:H304"/>
    <mergeCell ref="C220:D220"/>
    <mergeCell ref="A298:B298"/>
    <mergeCell ref="G298:H298"/>
    <mergeCell ref="A292:B292"/>
    <mergeCell ref="A322:B322"/>
    <mergeCell ref="G322:H322"/>
    <mergeCell ref="A323:B323"/>
    <mergeCell ref="G323:H323"/>
    <mergeCell ref="A324:B324"/>
    <mergeCell ref="G324:H324"/>
    <mergeCell ref="A319:B319"/>
    <mergeCell ref="A79:B79"/>
    <mergeCell ref="F197:H197"/>
    <mergeCell ref="G212:H212"/>
    <mergeCell ref="A125:B125"/>
    <mergeCell ref="G292:H292"/>
    <mergeCell ref="A283:B283"/>
    <mergeCell ref="G283:H283"/>
    <mergeCell ref="A270:H270"/>
    <mergeCell ref="A280:H280"/>
    <mergeCell ref="A281:B281"/>
    <mergeCell ref="G281:H281"/>
    <mergeCell ref="A221:B221"/>
    <mergeCell ref="C221:D221"/>
    <mergeCell ref="E221:F221"/>
    <mergeCell ref="G221:H221"/>
    <mergeCell ref="A287:H287"/>
    <mergeCell ref="A294:H294"/>
    <mergeCell ref="G309:H309"/>
    <mergeCell ref="A310:B310"/>
    <mergeCell ref="G310:H310"/>
    <mergeCell ref="A311:B311"/>
    <mergeCell ref="G311:H311"/>
    <mergeCell ref="A312:B312"/>
    <mergeCell ref="G312:H312"/>
    <mergeCell ref="A321:B321"/>
    <mergeCell ref="G321:H321"/>
    <mergeCell ref="G465:H465"/>
    <mergeCell ref="A263:H263"/>
    <mergeCell ref="A265:H265"/>
    <mergeCell ref="A266:B266"/>
    <mergeCell ref="G266:H266"/>
    <mergeCell ref="L266:M266"/>
    <mergeCell ref="A267:B267"/>
    <mergeCell ref="G267:H267"/>
    <mergeCell ref="L267:M267"/>
    <mergeCell ref="A268:B268"/>
    <mergeCell ref="G268:H268"/>
    <mergeCell ref="L268:M268"/>
    <mergeCell ref="A264:H264"/>
    <mergeCell ref="A347:B347"/>
    <mergeCell ref="G347:H347"/>
    <mergeCell ref="A314:B314"/>
    <mergeCell ref="G314:H314"/>
    <mergeCell ref="A315:B315"/>
    <mergeCell ref="A404:H404"/>
    <mergeCell ref="A344:B344"/>
    <mergeCell ref="G344:H344"/>
    <mergeCell ref="G326:H326"/>
    <mergeCell ref="A308:H308"/>
    <mergeCell ref="A309:B309"/>
    <mergeCell ref="L476:M476"/>
    <mergeCell ref="G477:H477"/>
    <mergeCell ref="L477:M477"/>
    <mergeCell ref="A478:H478"/>
    <mergeCell ref="G479:H479"/>
    <mergeCell ref="G480:H480"/>
    <mergeCell ref="G481:H481"/>
    <mergeCell ref="G466:H466"/>
    <mergeCell ref="G467:H467"/>
    <mergeCell ref="G468:H468"/>
    <mergeCell ref="A469:H469"/>
    <mergeCell ref="G470:H470"/>
    <mergeCell ref="G471:H471"/>
    <mergeCell ref="G472:H472"/>
    <mergeCell ref="G473:H473"/>
    <mergeCell ref="A474:H474"/>
    <mergeCell ref="A345:B345"/>
    <mergeCell ref="G345:H345"/>
    <mergeCell ref="A346:B346"/>
    <mergeCell ref="A482:H482"/>
    <mergeCell ref="G483:H483"/>
    <mergeCell ref="A350:H350"/>
    <mergeCell ref="A353:H353"/>
    <mergeCell ref="A354:B354"/>
    <mergeCell ref="G354:H354"/>
    <mergeCell ref="A355:B355"/>
    <mergeCell ref="G361:H361"/>
    <mergeCell ref="A362:B362"/>
    <mergeCell ref="G362:H362"/>
    <mergeCell ref="A363:B363"/>
    <mergeCell ref="G363:H363"/>
    <mergeCell ref="A364:B364"/>
    <mergeCell ref="G364:H364"/>
    <mergeCell ref="G376:H376"/>
    <mergeCell ref="A377:B377"/>
    <mergeCell ref="G377:H377"/>
    <mergeCell ref="A378:B378"/>
    <mergeCell ref="A462:H462"/>
    <mergeCell ref="A463:H463"/>
    <mergeCell ref="A464:H464"/>
    <mergeCell ref="G484:H484"/>
    <mergeCell ref="G485:H485"/>
    <mergeCell ref="A228:B228"/>
    <mergeCell ref="C228:D228"/>
    <mergeCell ref="E228:F228"/>
    <mergeCell ref="G228:H228"/>
    <mergeCell ref="A229:B229"/>
    <mergeCell ref="C229:D229"/>
    <mergeCell ref="E229:F229"/>
    <mergeCell ref="G229:H229"/>
    <mergeCell ref="A475:H475"/>
    <mergeCell ref="G476:H476"/>
    <mergeCell ref="A269:B269"/>
    <mergeCell ref="G269:H269"/>
    <mergeCell ref="G315:H315"/>
    <mergeCell ref="A331:B331"/>
    <mergeCell ref="G331:H331"/>
    <mergeCell ref="A332:B332"/>
    <mergeCell ref="G332:H332"/>
    <mergeCell ref="A342:H342"/>
    <mergeCell ref="A343:B343"/>
    <mergeCell ref="G343:H343"/>
    <mergeCell ref="A313:B313"/>
    <mergeCell ref="G313:H313"/>
    <mergeCell ref="E225:F225"/>
    <mergeCell ref="G225:H225"/>
    <mergeCell ref="E220:F220"/>
    <mergeCell ref="G220:H220"/>
    <mergeCell ref="C218:D218"/>
    <mergeCell ref="G218:H218"/>
    <mergeCell ref="A222:B222"/>
    <mergeCell ref="C222:D222"/>
    <mergeCell ref="E222:F222"/>
    <mergeCell ref="G222:H222"/>
    <mergeCell ref="A223:B223"/>
    <mergeCell ref="C223:D223"/>
    <mergeCell ref="E223:F223"/>
    <mergeCell ref="G223:H223"/>
    <mergeCell ref="A216:B216"/>
    <mergeCell ref="C216:D216"/>
    <mergeCell ref="E216:F216"/>
    <mergeCell ref="D60:H60"/>
    <mergeCell ref="D61:H61"/>
    <mergeCell ref="D62:H62"/>
    <mergeCell ref="A56:C62"/>
    <mergeCell ref="A126:B126"/>
    <mergeCell ref="C126:H126"/>
    <mergeCell ref="A214:B214"/>
    <mergeCell ref="C214:D214"/>
    <mergeCell ref="E214:F214"/>
    <mergeCell ref="G214:H214"/>
    <mergeCell ref="A168:B168"/>
    <mergeCell ref="C168:H168"/>
    <mergeCell ref="A170:B170"/>
    <mergeCell ref="C170:H170"/>
    <mergeCell ref="A171:B171"/>
    <mergeCell ref="E171:F171"/>
    <mergeCell ref="G171:H171"/>
    <mergeCell ref="A172:B172"/>
    <mergeCell ref="E172:F181"/>
    <mergeCell ref="G172:H181"/>
    <mergeCell ref="D58:H58"/>
    <mergeCell ref="F204:H204"/>
    <mergeCell ref="C211:D211"/>
    <mergeCell ref="A128:B128"/>
    <mergeCell ref="C128:H128"/>
    <mergeCell ref="A129:B129"/>
    <mergeCell ref="E129:F129"/>
    <mergeCell ref="G129:H129"/>
    <mergeCell ref="A130:B130"/>
    <mergeCell ref="E130:F139"/>
    <mergeCell ref="G130:H139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54:B154"/>
    <mergeCell ref="C154:H154"/>
    <mergeCell ref="A156:B156"/>
    <mergeCell ref="C156:H156"/>
    <mergeCell ref="A157:B157"/>
    <mergeCell ref="E157:F157"/>
    <mergeCell ref="G157:H157"/>
    <mergeCell ref="A158:B158"/>
    <mergeCell ref="E158:F167"/>
    <mergeCell ref="G158:H167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C182:H182"/>
    <mergeCell ref="A184:B184"/>
    <mergeCell ref="C184:H184"/>
    <mergeCell ref="A185:B185"/>
    <mergeCell ref="E185:F185"/>
    <mergeCell ref="G185:H185"/>
    <mergeCell ref="A186:B186"/>
    <mergeCell ref="E186:F195"/>
    <mergeCell ref="G186:H195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40:B140"/>
    <mergeCell ref="C140:H140"/>
    <mergeCell ref="A142:B142"/>
    <mergeCell ref="C142:H142"/>
    <mergeCell ref="A143:B143"/>
    <mergeCell ref="E143:F143"/>
    <mergeCell ref="G143:H143"/>
    <mergeCell ref="A144:B144"/>
    <mergeCell ref="E144:F153"/>
    <mergeCell ref="G144:H153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98:B98"/>
    <mergeCell ref="C98:H98"/>
    <mergeCell ref="A100:B100"/>
    <mergeCell ref="C100:H100"/>
    <mergeCell ref="A101:B101"/>
    <mergeCell ref="E101:F101"/>
    <mergeCell ref="G101:H101"/>
    <mergeCell ref="A102:B102"/>
    <mergeCell ref="E102:F111"/>
    <mergeCell ref="G102:H111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29" max="7" man="1"/>
    <brk id="97" max="16383" man="1"/>
    <brk id="167" max="16383" man="1"/>
    <brk id="508" max="16383" man="1"/>
    <brk id="550" max="7" man="1"/>
    <brk id="59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E12" sqref="E12"/>
    </sheetView>
  </sheetViews>
  <sheetFormatPr defaultRowHeight="15" x14ac:dyDescent="0.25"/>
  <sheetData>
    <row r="3" spans="1:6" x14ac:dyDescent="0.25">
      <c r="A3" s="43" t="s">
        <v>180</v>
      </c>
      <c r="B3" s="195" t="s">
        <v>171</v>
      </c>
      <c r="C3" s="195"/>
      <c r="E3" s="43" t="s">
        <v>181</v>
      </c>
      <c r="F3" s="44" t="s">
        <v>182</v>
      </c>
    </row>
    <row r="4" spans="1:6" x14ac:dyDescent="0.25">
      <c r="A4" s="43"/>
      <c r="B4" s="196">
        <f>(2.75*4.05+2.1*3.15+2.85*3.15+2.4*3.1+1.8*1.1+2.15*1.1+1*(1.8+2.15))</f>
        <v>42.464999999999996</v>
      </c>
      <c r="C4" s="196"/>
      <c r="E4" s="43"/>
      <c r="F4" s="43">
        <f>(2.7*4.06+2.2*2.05+2.7*2.45+2.5*2.95+1.05*1.75+1.05*1.75)</f>
        <v>33.137</v>
      </c>
    </row>
    <row r="5" spans="1:6" x14ac:dyDescent="0.25">
      <c r="A5" s="43" t="s">
        <v>172</v>
      </c>
      <c r="B5" s="196">
        <f>3.325*1</f>
        <v>3.3250000000000002</v>
      </c>
      <c r="C5" s="196"/>
    </row>
    <row r="6" spans="1:6" x14ac:dyDescent="0.25">
      <c r="A6" s="43" t="s">
        <v>173</v>
      </c>
      <c r="B6" s="196">
        <f>2.4*1</f>
        <v>2.4</v>
      </c>
      <c r="C6" s="196"/>
    </row>
    <row r="7" spans="1:6" x14ac:dyDescent="0.25">
      <c r="A7" s="43" t="s">
        <v>174</v>
      </c>
      <c r="B7" s="196">
        <f>2.77*2.3+0.06*1.7</f>
        <v>6.4729999999999999</v>
      </c>
      <c r="C7" s="196"/>
    </row>
    <row r="8" spans="1:6" x14ac:dyDescent="0.25">
      <c r="B8" s="194"/>
      <c r="C8" s="194"/>
    </row>
  </sheetData>
  <mergeCells count="6">
    <mergeCell ref="B8:C8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7" t="s">
        <v>107</v>
      </c>
      <c r="C3" s="197"/>
      <c r="D3" s="197"/>
      <c r="E3" s="197"/>
      <c r="F3" s="197"/>
      <c r="G3" s="197"/>
      <c r="H3" s="197"/>
    </row>
    <row r="4" spans="1:9" x14ac:dyDescent="0.25">
      <c r="A4" s="2"/>
      <c r="B4" s="3" t="s">
        <v>108</v>
      </c>
      <c r="C4" s="3" t="s">
        <v>109</v>
      </c>
      <c r="D4" s="3" t="s">
        <v>67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Sheet1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2025-08-13T09:38:42Z</cp:lastPrinted>
  <dcterms:created xsi:type="dcterms:W3CDTF">2019-07-16T09:29:46Z</dcterms:created>
  <dcterms:modified xsi:type="dcterms:W3CDTF">2025-08-13T09:39:43Z</dcterms:modified>
</cp:coreProperties>
</file>