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19200" windowHeight="6645" tabRatio="725"/>
  </bookViews>
  <sheets>
    <sheet name="Report" sheetId="1" r:id="rId1"/>
    <sheet name="valuation" sheetId="5" r:id="rId2"/>
    <sheet name="Research" sheetId="4" r:id="rId3"/>
    <sheet name="Remarks" sheetId="6" r:id="rId4"/>
  </sheets>
  <definedNames>
    <definedName name="_xlnm.Print_Area" localSheetId="0">Report!$A$1:$H$330</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1" i="1" l="1"/>
  <c r="E179" i="1" l="1"/>
  <c r="E177" i="1"/>
  <c r="E176" i="1"/>
  <c r="E175" i="1"/>
  <c r="E174" i="1"/>
  <c r="E167" i="1"/>
  <c r="E169" i="1"/>
  <c r="E170" i="1"/>
  <c r="E171" i="1"/>
  <c r="E172" i="1"/>
  <c r="E168" i="1"/>
  <c r="E151" i="1"/>
  <c r="D179" i="1"/>
  <c r="D176" i="1"/>
  <c r="D177" i="1"/>
  <c r="D175" i="1"/>
  <c r="D174" i="1"/>
  <c r="D170" i="1"/>
  <c r="D171" i="1"/>
  <c r="D172" i="1"/>
  <c r="D169" i="1"/>
  <c r="D168" i="1"/>
  <c r="D167" i="1"/>
  <c r="E147" i="1"/>
  <c r="D147" i="1"/>
  <c r="D146" i="1"/>
  <c r="E146" i="1"/>
  <c r="E145" i="1"/>
  <c r="D145" i="1"/>
  <c r="E144" i="1"/>
  <c r="D144" i="1"/>
  <c r="D151" i="1" l="1"/>
  <c r="D62" i="1" l="1"/>
  <c r="F171" i="1"/>
  <c r="H171" i="1" s="1"/>
  <c r="A175" i="1"/>
  <c r="A176" i="1" s="1"/>
  <c r="A177" i="1" s="1"/>
  <c r="A178" i="1" s="1"/>
  <c r="A179" i="1" s="1"/>
  <c r="A168" i="1"/>
  <c r="A169" i="1" s="1"/>
  <c r="A170" i="1" s="1"/>
  <c r="A171" i="1" s="1"/>
  <c r="A172" i="1" s="1"/>
  <c r="E163" i="1"/>
  <c r="D163" i="1"/>
  <c r="E161" i="1"/>
  <c r="D161" i="1"/>
  <c r="E160" i="1"/>
  <c r="D160" i="1"/>
  <c r="E159" i="1"/>
  <c r="D159" i="1"/>
  <c r="A159" i="1"/>
  <c r="A160" i="1" s="1"/>
  <c r="A161" i="1" s="1"/>
  <c r="A162" i="1" s="1"/>
  <c r="A163" i="1" s="1"/>
  <c r="E158" i="1"/>
  <c r="D158" i="1"/>
  <c r="D152" i="1"/>
  <c r="E152" i="1"/>
  <c r="D153" i="1"/>
  <c r="E153" i="1"/>
  <c r="D154" i="1"/>
  <c r="E154" i="1"/>
  <c r="D155" i="1"/>
  <c r="E155" i="1"/>
  <c r="D156" i="1"/>
  <c r="E156" i="1"/>
  <c r="A152" i="1"/>
  <c r="A153" i="1" s="1"/>
  <c r="A154" i="1" s="1"/>
  <c r="A155" i="1" s="1"/>
  <c r="A156" i="1" s="1"/>
  <c r="F154" i="1" l="1"/>
  <c r="H154" i="1" s="1"/>
  <c r="F174" i="1"/>
  <c r="H174" i="1" s="1"/>
  <c r="F158" i="1"/>
  <c r="H158" i="1" s="1"/>
  <c r="F177" i="1"/>
  <c r="H177" i="1" s="1"/>
  <c r="F176" i="1"/>
  <c r="H176" i="1" s="1"/>
  <c r="I176" i="1" s="1"/>
  <c r="F159" i="1"/>
  <c r="H159" i="1" s="1"/>
  <c r="F160" i="1"/>
  <c r="H160" i="1" s="1"/>
  <c r="F172" i="1"/>
  <c r="H172" i="1" s="1"/>
  <c r="F163" i="1"/>
  <c r="H163" i="1" s="1"/>
  <c r="F169" i="1"/>
  <c r="H169" i="1" s="1"/>
  <c r="F170" i="1"/>
  <c r="H170" i="1" s="1"/>
  <c r="F179" i="1"/>
  <c r="H179" i="1" s="1"/>
  <c r="F156" i="1"/>
  <c r="H156" i="1" s="1"/>
  <c r="F152" i="1"/>
  <c r="H152" i="1" s="1"/>
  <c r="F168" i="1"/>
  <c r="H168" i="1" s="1"/>
  <c r="F175" i="1"/>
  <c r="H175" i="1" s="1"/>
  <c r="F155" i="1"/>
  <c r="H155" i="1" s="1"/>
  <c r="F167" i="1"/>
  <c r="F161" i="1"/>
  <c r="H161" i="1" s="1"/>
  <c r="F151" i="1"/>
  <c r="F153" i="1"/>
  <c r="H153" i="1" s="1"/>
  <c r="E43" i="1"/>
  <c r="C135" i="1" l="1"/>
  <c r="E135" i="1"/>
  <c r="E134" i="1"/>
  <c r="C134" i="1"/>
  <c r="H151" i="1"/>
  <c r="G134" i="1" s="1"/>
  <c r="H167" i="1"/>
  <c r="G135" i="1" s="1"/>
  <c r="B182" i="1"/>
  <c r="G58" i="1" l="1"/>
  <c r="C58" i="1"/>
  <c r="G56" i="1"/>
  <c r="C56" i="1"/>
  <c r="C54" i="1"/>
  <c r="S33" i="1" l="1"/>
  <c r="F11" i="5" l="1"/>
  <c r="G11" i="5" s="1"/>
  <c r="F10" i="5"/>
  <c r="G10" i="5" s="1"/>
  <c r="F9" i="5"/>
  <c r="G9" i="5" s="1"/>
  <c r="F8" i="5"/>
  <c r="G8" i="5" s="1"/>
  <c r="G7" i="5"/>
  <c r="F7" i="5"/>
  <c r="F6" i="5"/>
  <c r="G6" i="5" s="1"/>
  <c r="F5" i="5"/>
  <c r="G5" i="5" s="1"/>
  <c r="G12" i="5" s="1"/>
  <c r="D202" i="1"/>
  <c r="F147" i="1"/>
  <c r="H147" i="1" s="1"/>
  <c r="F146" i="1"/>
  <c r="H146" i="1" s="1"/>
  <c r="F145" i="1"/>
  <c r="H145" i="1" s="1"/>
  <c r="A145" i="1"/>
  <c r="A146" i="1" s="1"/>
  <c r="A147" i="1" s="1"/>
  <c r="F144" i="1"/>
  <c r="F130" i="1"/>
  <c r="C104" i="1"/>
  <c r="C89" i="1"/>
  <c r="C75" i="1"/>
  <c r="D69" i="1"/>
  <c r="C51" i="1"/>
  <c r="E44" i="1"/>
  <c r="E45" i="1" s="1"/>
  <c r="E31" i="1"/>
  <c r="E28" i="1"/>
  <c r="E26" i="1"/>
  <c r="C16" i="1"/>
  <c r="I15" i="1"/>
  <c r="Z13" i="1"/>
  <c r="E3" i="1"/>
  <c r="H105" i="1"/>
  <c r="H76" i="1"/>
  <c r="H90" i="1"/>
  <c r="E133" i="1" l="1"/>
  <c r="E136" i="1" s="1"/>
  <c r="C133" i="1"/>
  <c r="C136" i="1" s="1"/>
  <c r="H144" i="1"/>
  <c r="G133" i="1" s="1"/>
  <c r="J75" i="1"/>
  <c r="J77" i="1" s="1"/>
  <c r="J78" i="1"/>
  <c r="J79" i="1"/>
  <c r="J80" i="1"/>
  <c r="C79" i="1" s="1"/>
  <c r="J94" i="1"/>
  <c r="C93" i="1" s="1"/>
  <c r="D93" i="1" s="1"/>
  <c r="D98" i="1"/>
  <c r="D100" i="1"/>
  <c r="J93" i="1"/>
  <c r="D99" i="1"/>
  <c r="J89" i="1"/>
  <c r="J91" i="1" s="1"/>
  <c r="D97" i="1"/>
  <c r="J92" i="1"/>
  <c r="D96" i="1"/>
  <c r="D102" i="1"/>
  <c r="D101" i="1"/>
  <c r="D95" i="1"/>
  <c r="D83" i="1"/>
  <c r="D85" i="1"/>
  <c r="D84" i="1"/>
  <c r="D88" i="1"/>
  <c r="D82" i="1"/>
  <c r="D87" i="1"/>
  <c r="D81" i="1"/>
  <c r="D86" i="1"/>
  <c r="J104" i="1"/>
  <c r="J106" i="1" s="1"/>
  <c r="D113" i="1"/>
  <c r="D115" i="1"/>
  <c r="J109" i="1"/>
  <c r="C108" i="1" s="1"/>
  <c r="D108" i="1" s="1"/>
  <c r="D114" i="1"/>
  <c r="J108" i="1"/>
  <c r="D112" i="1"/>
  <c r="J107" i="1"/>
  <c r="D111" i="1"/>
  <c r="D117" i="1"/>
  <c r="D116" i="1"/>
  <c r="B105" i="1"/>
  <c r="B90" i="1"/>
  <c r="B76" i="1"/>
  <c r="J81" i="1" s="1"/>
  <c r="G136" i="1" l="1"/>
  <c r="J144" i="1"/>
  <c r="D79" i="1"/>
  <c r="D110" i="1"/>
  <c r="J115" i="1"/>
  <c r="J112" i="1"/>
  <c r="J114" i="1"/>
  <c r="J113" i="1"/>
  <c r="J110" i="1"/>
  <c r="J111" i="1" s="1"/>
  <c r="J116" i="1" s="1"/>
  <c r="J117" i="1" s="1"/>
  <c r="C109" i="1" s="1"/>
  <c r="J100" i="1"/>
  <c r="J97" i="1"/>
  <c r="J99" i="1"/>
  <c r="J98" i="1"/>
  <c r="J95" i="1"/>
  <c r="J96" i="1" s="1"/>
  <c r="J85" i="1"/>
  <c r="J83" i="1"/>
  <c r="J84" i="1"/>
  <c r="J82" i="1"/>
  <c r="J86" i="1"/>
  <c r="J87" i="1" l="1"/>
  <c r="J88" i="1" s="1"/>
  <c r="C80" i="1"/>
  <c r="J76" i="1" s="1"/>
  <c r="J101" i="1"/>
  <c r="J102" i="1" s="1"/>
  <c r="J103" i="1" s="1"/>
  <c r="E108" i="1"/>
  <c r="D109" i="1"/>
  <c r="I105" i="1" s="1"/>
  <c r="J105" i="1"/>
  <c r="G108" i="1"/>
  <c r="D73" i="1" s="1"/>
  <c r="G79" i="1"/>
  <c r="E79" i="1" l="1"/>
  <c r="D80" i="1"/>
  <c r="I76" i="1" s="1"/>
  <c r="I77" i="1" s="1"/>
  <c r="I75" i="1" s="1"/>
  <c r="C77" i="1" s="1"/>
  <c r="C94" i="1"/>
  <c r="J90" i="1" s="1"/>
  <c r="I106" i="1"/>
  <c r="I104" i="1" s="1"/>
  <c r="C106" i="1" s="1"/>
  <c r="E93" i="1" l="1"/>
  <c r="C103" i="1" s="1"/>
  <c r="D94" i="1"/>
  <c r="I90" i="1" s="1"/>
  <c r="I91" i="1" s="1"/>
  <c r="G93" i="1"/>
  <c r="G103" i="1" s="1"/>
  <c r="F74" i="1" l="1"/>
  <c r="D74" i="1"/>
  <c r="I89" i="1"/>
  <c r="C91" i="1" s="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E13" authorId="0">
      <text>
        <r>
          <rPr>
            <b/>
            <sz val="9"/>
            <color indexed="81"/>
            <rFont val="Tahoma"/>
            <family val="2"/>
          </rPr>
          <t>Sachin:</t>
        </r>
        <r>
          <rPr>
            <sz val="9"/>
            <color indexed="81"/>
            <rFont val="Tahoma"/>
            <family val="2"/>
          </rPr>
          <t xml:space="preserve">
If exisiting Building is provided write it or else
NA</t>
        </r>
      </text>
    </comment>
    <comment ref="C55" authorId="1">
      <text>
        <r>
          <rPr>
            <b/>
            <sz val="9"/>
            <color indexed="81"/>
            <rFont val="Tahoma"/>
            <family val="2"/>
          </rPr>
          <t>SACHIN:</t>
        </r>
        <r>
          <rPr>
            <sz val="9"/>
            <color indexed="81"/>
            <rFont val="Tahoma"/>
            <family val="2"/>
          </rPr>
          <t xml:space="preserve">
Floor with height</t>
        </r>
      </text>
    </comment>
    <comment ref="C57" authorId="1">
      <text>
        <r>
          <rPr>
            <b/>
            <sz val="9"/>
            <color indexed="81"/>
            <rFont val="Tahoma"/>
            <family val="2"/>
          </rPr>
          <t>SACHIN:</t>
        </r>
        <r>
          <rPr>
            <sz val="9"/>
            <color indexed="81"/>
            <rFont val="Tahoma"/>
            <family val="2"/>
          </rPr>
          <t xml:space="preserve">
Survey Nos.</t>
        </r>
      </text>
    </comment>
    <comment ref="C59" authorId="1">
      <text>
        <r>
          <rPr>
            <b/>
            <sz val="9"/>
            <color indexed="81"/>
            <rFont val="Tahoma"/>
            <family val="2"/>
          </rPr>
          <t>SACHIN:</t>
        </r>
        <r>
          <rPr>
            <sz val="9"/>
            <color indexed="81"/>
            <rFont val="Tahoma"/>
            <family val="2"/>
          </rPr>
          <t xml:space="preserve">
Height from AMSL</t>
        </r>
      </text>
    </comment>
    <comment ref="D62"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3"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0"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<sst xmlns="http://schemas.openxmlformats.org/spreadsheetml/2006/main" count="626" uniqueCount="348">
  <si>
    <t xml:space="preserve">Valuation Report </t>
  </si>
  <si>
    <t>Date:</t>
  </si>
  <si>
    <t>CPC Name:</t>
  </si>
  <si>
    <t>Date Of Property Visit</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</si>
  <si>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</si>
  <si>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</si>
  <si>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</si>
  <si>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</si>
  <si>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</si>
  <si>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</si>
  <si>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</si>
  <si>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</si>
  <si>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</si>
  <si>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</si>
  <si>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</si>
  <si>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</si>
  <si>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</si>
  <si>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</si>
  <si>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</si>
  <si>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</si>
  <si>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</si>
  <si>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</si>
  <si>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</si>
  <si>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</si>
  <si>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</si>
  <si>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</si>
  <si>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</si>
  <si>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</si>
  <si>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</si>
  <si>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</si>
  <si>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</si>
  <si>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</si>
  <si>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</si>
  <si>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</si>
  <si>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</si>
  <si>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</si>
  <si>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</si>
  <si>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</si>
  <si>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</si>
  <si>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</si>
  <si>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</si>
  <si>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</si>
  <si>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</si>
  <si>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</si>
  <si>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</si>
  <si>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</si>
  <si>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</si>
  <si>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</si>
  <si>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</si>
  <si>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</si>
  <si>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</si>
  <si>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</si>
  <si>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</si>
  <si>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</si>
  <si>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</si>
  <si>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</si>
  <si>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</si>
  <si>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</si>
  <si>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</si>
  <si>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</si>
  <si>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</si>
  <si>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</si>
  <si>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</si>
  <si>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</si>
  <si>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</si>
  <si>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</si>
  <si>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</si>
  <si>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</si>
  <si>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</si>
  <si>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</si>
  <si>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</si>
  <si>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</si>
  <si>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</si>
  <si>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</si>
  <si>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</si>
  <si>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</si>
  <si>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</si>
  <si>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</si>
  <si>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</si>
  <si>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</si>
  <si>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</si>
  <si>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</si>
  <si>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</si>
  <si>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</si>
  <si>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</si>
  <si>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</si>
  <si>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</si>
  <si>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</si>
  <si>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</si>
  <si>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</si>
  <si>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</si>
  <si>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</si>
  <si>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</si>
  <si>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</si>
  <si>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</si>
  <si>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</si>
  <si>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</si>
  <si>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</si>
  <si>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</si>
  <si>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</si>
  <si>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</si>
  <si>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</si>
  <si>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</si>
  <si>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</si>
  <si>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</si>
  <si>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</si>
  <si>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</si>
  <si>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</si>
  <si>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</si>
  <si>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</si>
  <si>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</si>
  <si>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</si>
  <si>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</si>
  <si>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</si>
  <si>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</si>
  <si>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</si>
  <si>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</si>
  <si>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</si>
  <si>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</si>
  <si>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</si>
  <si>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</si>
  <si>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</si>
  <si>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</si>
  <si>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</si>
  <si>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</si>
  <si>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</si>
  <si>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</si>
  <si>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</si>
  <si>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</si>
  <si>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</si>
  <si>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</si>
  <si>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</si>
  <si>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</si>
  <si>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</si>
  <si>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</si>
  <si>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</si>
  <si>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</si>
  <si>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</si>
  <si>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</si>
  <si>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</si>
  <si>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</si>
  <si>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</si>
  <si>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</si>
  <si>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</si>
  <si>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</si>
  <si>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</si>
  <si>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</si>
  <si>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</si>
  <si>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</si>
  <si>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</si>
  <si>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</si>
  <si>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</si>
  <si>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</si>
  <si>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</si>
  <si>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</si>
  <si>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</si>
  <si>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</si>
  <si>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</si>
  <si>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</si>
  <si>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</si>
  <si>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</si>
  <si>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</si>
  <si>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</si>
  <si>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</si>
  <si>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</si>
  <si>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</si>
  <si>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</si>
  <si>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</si>
  <si>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</si>
  <si>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</si>
  <si>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</si>
  <si>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</si>
  <si>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</si>
  <si>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</si>
  <si>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</si>
  <si>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</si>
  <si>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</si>
  <si>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</si>
  <si>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</si>
  <si>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</si>
  <si>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</si>
  <si>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</si>
  <si>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</si>
  <si>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</si>
  <si>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</si>
  <si>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</si>
  <si>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</si>
  <si>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</si>
  <si>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</si>
  <si>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</si>
  <si>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</si>
  <si>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</si>
  <si>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</si>
  <si>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</si>
  <si>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</si>
  <si>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</si>
  <si>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</si>
  <si>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</si>
  <si>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</si>
  <si>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</si>
  <si>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</si>
  <si>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</si>
  <si>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</si>
  <si>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</si>
  <si>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</si>
  <si>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</si>
  <si>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</si>
  <si>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</si>
  <si>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</si>
  <si>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</si>
  <si>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</si>
  <si>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</si>
  <si>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</si>
  <si>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</si>
  <si>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</si>
  <si>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</si>
  <si>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</si>
  <si>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</si>
  <si>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</si>
  <si>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</si>
  <si>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</si>
  <si>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</si>
  <si>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</si>
  <si>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</si>
  <si>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</si>
  <si>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</si>
  <si>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</si>
  <si>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</si>
  <si>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</si>
  <si>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</si>
  <si>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</si>
  <si>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</si>
  <si>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</si>
  <si>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</si>
  <si>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</si>
  <si>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</si>
  <si>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</si>
  <si>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</si>
  <si>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</si>
  <si>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</si>
  <si>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</si>
  <si>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</si>
  <si>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</si>
  <si>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</si>
  <si>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</si>
  <si>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</si>
  <si>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</si>
  <si>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</si>
  <si>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</si>
  <si>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</si>
  <si>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</si>
  <si>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</si>
  <si>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</si>
  <si>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</si>
  <si>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</si>
  <si>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</si>
  <si>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</si>
  <si>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</si>
  <si>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</si>
  <si>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</si>
  <si>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</si>
  <si>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</si>
  <si>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</si>
  <si>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</si>
  <si>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</si>
  <si>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</si>
  <si>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</si>
  <si>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</si>
  <si>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</si>
  <si>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</si>
  <si>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</si>
  <si>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</si>
  <si>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</si>
  <si>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</si>
  <si>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</si>
  <si>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</si>
  <si>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</si>
  <si>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</si>
  <si>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</si>
  <si>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</si>
  <si>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</si>
  <si>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</si>
  <si>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</si>
  <si>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</si>
  <si>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</si>
  <si>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</si>
  <si>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</si>
  <si>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There are inadequate transportation options to get to the project and the area is not 
developed.</t>
  </si>
  <si>
    <t>We did not consider the terrace area attached to the 1st floor flats because it was not shown in the approved plans. However, it was shown in the sales plan.</t>
  </si>
  <si>
    <t>River located on west side of the project.</t>
  </si>
  <si>
    <t>Name of the builder</t>
  </si>
  <si>
    <t>Kanji Murji Mange</t>
  </si>
  <si>
    <t>P51700045456</t>
  </si>
  <si>
    <t>Mr Rakesh Verma 8108352222</t>
  </si>
  <si>
    <t>Laxmi Aangan - Mahanadi, Krishna And Ganga</t>
  </si>
  <si>
    <t>Ganga, Krishna, Mahanadi, Kaveri, Godavari, Yamuna</t>
  </si>
  <si>
    <t>Approved Plans, CC, Sale Plans &amp; Cost Sheet.</t>
  </si>
  <si>
    <t>Survey No</t>
  </si>
  <si>
    <t>Dawale</t>
  </si>
  <si>
    <t>19.162368,73.049677</t>
  </si>
  <si>
    <t>https://maps.app.goo.gl/Ezw13JCnSJ8xUfqWA</t>
  </si>
  <si>
    <t>Open Plot</t>
  </si>
  <si>
    <t>Nirmal Nagari</t>
  </si>
  <si>
    <t>Other Plot</t>
  </si>
  <si>
    <t>Mukta Lake City/
Nirmal Nagari Road</t>
  </si>
  <si>
    <t>S. No. 4 H. No. 10B/ 
12.00 M. Wide Road</t>
  </si>
  <si>
    <t>Khardipada</t>
  </si>
  <si>
    <t>Nirmal Nagari Road</t>
  </si>
  <si>
    <t>3.20KM from Diva Railway Station</t>
  </si>
  <si>
    <t>Diva East</t>
  </si>
  <si>
    <t>Mahanadi, Krishna And Ganga</t>
  </si>
  <si>
    <r>
      <t xml:space="preserve">Proposed Amenities :                                                                                                                                                                                                                         </t>
    </r>
    <r>
      <rPr>
        <b/>
        <sz val="12"/>
        <rFont val="Times New Roman"/>
        <family val="1"/>
      </rPr>
      <t xml:space="preserve">                                               </t>
    </r>
  </si>
  <si>
    <t>Mahanadi</t>
  </si>
  <si>
    <t>Ground/Stilt Floor For Entrance Lobby &amp; Parking</t>
  </si>
  <si>
    <t>1st to 7th Floor For Residential</t>
  </si>
  <si>
    <t>1BHK</t>
  </si>
  <si>
    <t>Krishna</t>
  </si>
  <si>
    <t>Refuge Area</t>
  </si>
  <si>
    <t>Ganga</t>
  </si>
  <si>
    <t xml:space="preserve">Details of Residential in Building   </t>
  </si>
  <si>
    <t>03 Buildings</t>
  </si>
  <si>
    <t>As per RERA - 31/03/2027</t>
  </si>
  <si>
    <t>Chajja Area + Service Slab</t>
  </si>
  <si>
    <t>We considered Gross carpet area = Net carpet + Chajja Area + Service Slab.</t>
  </si>
  <si>
    <t>Decorative Entrance, Senior Citizen Sitout Area, Childrens Play Area, Flower Garden, Solar Water Heater, Vitrified tiles flooring, &amp; Granite Kitchen Platform, etc.</t>
  </si>
  <si>
    <t>Sale plan</t>
  </si>
  <si>
    <t>Laxmi Builders &amp; Developers</t>
  </si>
  <si>
    <t xml:space="preserve">Mahanadi = Stilt + 1st to 8th Floor </t>
  </si>
  <si>
    <t>From Rera</t>
  </si>
  <si>
    <t>4, H. No. 10/C</t>
  </si>
  <si>
    <t>Ganga  = Stilt + 1st to 16th Floor</t>
  </si>
  <si>
    <t>Krishna = Stilt + 1st to 16th Floor</t>
  </si>
  <si>
    <t>S11/0242/21TMCB/TDD/0092/(PIC)/2024/Autodcr</t>
  </si>
  <si>
    <t xml:space="preserve">Commencement-CC No
Valid Up to: </t>
  </si>
  <si>
    <t>Mahanadi = Stilt + 1st to 7th Floor 
Ganga, Krishna = Stilt + 1st to 16th Floor</t>
  </si>
  <si>
    <t>Mahanadi, Godavari, Yamuna,  = Stilt + 1st to 7th Floor 
Ganga, Krishna, Kaveri = Stilt + 1st to 16th Floor</t>
  </si>
  <si>
    <t>8th &amp; 13th Floor (Part Refuge Area)</t>
  </si>
  <si>
    <t>1st to 7th, 9th to 12th, 14th to 16th Floor For Residential</t>
  </si>
  <si>
    <t>Flats - 216</t>
  </si>
  <si>
    <t xml:space="preserve">We have updated revised plans &amp; CC (on 22/05/2024).
</t>
  </si>
  <si>
    <t>rate 5750 OC 100000 extra smith cost sheet    22/01/2025</t>
  </si>
  <si>
    <t xml:space="preserve">Recommended Rates / Other charges of the Property have been revised on 17/05/2024 &amp; 22/01/2025.
</t>
  </si>
  <si>
    <t>Miss. Anita 8108374444</t>
  </si>
  <si>
    <t>09/08/2025.</t>
  </si>
  <si>
    <t>16/02/2024.</t>
  </si>
  <si>
    <t>Shruti Tathare</t>
  </si>
  <si>
    <t>Gangaram Lambore</t>
  </si>
  <si>
    <t>Mahanadi &amp; Krishna = Construction work is in process at the time of Visit.
Ganga = All work Completed. Please provide OC.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</si>
</sst>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24">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2"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34" xfId="0" applyFill="1" applyBorder="1" applyAlignment="1"/>
    <xf numFmtId="2" fontId="7" fillId="0" borderId="0" xfId="1" applyNumberFormat="1" applyFont="1"/>
    <xf numFmtId="0" fontId="12" fillId="0" borderId="1" xfId="1" applyFont="1" applyBorder="1" applyAlignment="1" applyProtection="1">
      <alignment vertical="top"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9" fontId="13" fillId="0" borderId="16" xfId="8" applyFont="1" applyFill="1" applyBorder="1" applyAlignment="1" applyProtection="1">
      <alignment horizontal="center" vertical="top" wrapText="1"/>
      <protection locked="0"/>
    </xf>
    <xf numFmtId="0" fontId="15" fillId="0" borderId="0" xfId="1" applyFont="1" applyAlignment="1">
      <alignment horizontal="left" vertical="center"/>
    </xf>
    <xf numFmtId="1" fontId="6" fillId="0" borderId="1" xfId="0" applyNumberFormat="1" applyFont="1" applyBorder="1" applyAlignment="1" applyProtection="1">
      <alignment horizontal="center" vertical="center" wrapText="1"/>
      <protection locked="0"/>
    </xf>
    <xf numFmtId="0" fontId="7" fillId="2" borderId="0" xfId="1" applyFont="1" applyFill="1"/>
    <xf numFmtId="14" fontId="7" fillId="2" borderId="0" xfId="1" applyNumberFormat="1" applyFont="1" applyFill="1"/>
    <xf numFmtId="1" fontId="6"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24" fillId="2" borderId="15" xfId="0" applyFont="1" applyFill="1" applyBorder="1"/>
    <xf numFmtId="0" fontId="25" fillId="0" borderId="9" xfId="0" applyFont="1" applyBorder="1"/>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1" fontId="8" fillId="3" borderId="8" xfId="1" applyNumberFormat="1" applyFont="1" applyFill="1" applyBorder="1" applyAlignment="1" applyProtection="1">
      <alignment horizontal="center" vertical="center" wrapText="1"/>
      <protection locked="0"/>
    </xf>
    <xf numFmtId="1" fontId="8" fillId="3" borderId="21" xfId="1" applyNumberFormat="1" applyFont="1" applyFill="1" applyBorder="1" applyAlignment="1" applyProtection="1">
      <alignment horizontal="center" vertical="center" wrapText="1"/>
      <protection locked="0"/>
    </xf>
    <xf numFmtId="1" fontId="8" fillId="3" borderId="9" xfId="1" applyNumberFormat="1" applyFont="1" applyFill="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8" fillId="0" borderId="1" xfId="1" applyFont="1" applyBorder="1" applyAlignment="1" applyProtection="1">
      <alignment horizontal="center" vertical="top"/>
      <protection locked="0"/>
    </xf>
    <xf numFmtId="0" fontId="10" fillId="0" borderId="32" xfId="1" applyFont="1" applyBorder="1" applyAlignment="1" applyProtection="1">
      <alignment horizontal="center" vertical="center" wrapText="1"/>
      <protection locked="0"/>
    </xf>
    <xf numFmtId="0" fontId="10" fillId="0" borderId="37" xfId="1" applyFont="1" applyBorder="1" applyAlignment="1" applyProtection="1">
      <alignment horizontal="center" vertical="center" wrapText="1"/>
      <protection locked="0"/>
    </xf>
    <xf numFmtId="9" fontId="10" fillId="0" borderId="36" xfId="1" applyNumberFormat="1" applyFont="1" applyBorder="1" applyAlignment="1" applyProtection="1">
      <alignment horizontal="center" vertical="center" wrapText="1"/>
      <protection locked="0"/>
    </xf>
    <xf numFmtId="0" fontId="10" fillId="0" borderId="35" xfId="1" applyFont="1" applyBorder="1" applyAlignment="1" applyProtection="1">
      <alignment horizontal="center" vertical="center" wrapText="1"/>
      <protection locked="0"/>
    </xf>
    <xf numFmtId="9" fontId="10" fillId="0" borderId="36" xfId="8" applyFont="1" applyFill="1" applyBorder="1" applyAlignment="1" applyProtection="1">
      <alignment horizontal="center" vertical="center" wrapText="1"/>
      <protection locked="0"/>
    </xf>
    <xf numFmtId="9" fontId="10" fillId="0" borderId="35" xfId="8" applyFont="1" applyFill="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6" fillId="0" borderId="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10" fillId="0" borderId="33" xfId="0" applyNumberFormat="1" applyFont="1" applyBorder="1" applyAlignment="1" applyProtection="1">
      <alignment horizontal="center" vertical="center"/>
      <protection locked="0"/>
    </xf>
    <xf numFmtId="0" fontId="8" fillId="0" borderId="1" xfId="1" applyFont="1" applyBorder="1" applyAlignment="1" applyProtection="1">
      <alignment horizontal="left" vertical="top"/>
      <protection locked="0"/>
    </xf>
    <xf numFmtId="0" fontId="7" fillId="0" borderId="4" xfId="1" applyFont="1" applyBorder="1" applyAlignment="1" applyProtection="1">
      <alignment horizontal="center"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9" fontId="7" fillId="0" borderId="1" xfId="8" applyFont="1" applyFill="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center"/>
      <protection locked="0"/>
    </xf>
    <xf numFmtId="0" fontId="12" fillId="0" borderId="1" xfId="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25"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6"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7" fillId="0" borderId="0" xfId="1" applyFont="1" applyAlignment="1">
      <alignment horizontal="center" vertical="center"/>
    </xf>
    <xf numFmtId="0" fontId="12" fillId="0" borderId="25" xfId="1" applyFont="1" applyBorder="1" applyAlignment="1">
      <alignment horizontal="left" vertical="top" wrapText="1"/>
    </xf>
    <xf numFmtId="0" fontId="12" fillId="0" borderId="0" xfId="1" applyFont="1" applyAlignment="1">
      <alignment horizontal="left" vertical="top" wrapText="1"/>
    </xf>
    <xf numFmtId="0" fontId="7" fillId="0" borderId="25" xfId="1" applyFont="1" applyBorder="1" applyAlignment="1">
      <alignment horizontal="center"/>
    </xf>
    <xf numFmtId="0" fontId="7" fillId="0" borderId="0" xfId="1" applyFont="1" applyAlignment="1">
      <alignment horizontal="center"/>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1" fontId="8"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15" fillId="0" borderId="25" xfId="1" applyFont="1" applyBorder="1" applyAlignment="1">
      <alignment horizontal="left" vertical="center"/>
    </xf>
    <xf numFmtId="1" fontId="6" fillId="0" borderId="21" xfId="1" applyNumberFormat="1" applyFont="1" applyBorder="1" applyAlignment="1" applyProtection="1">
      <alignment horizontal="center" vertical="center" wrapText="1"/>
      <protection locked="0"/>
    </xf>
    <xf numFmtId="1" fontId="8" fillId="3" borderId="1" xfId="1" applyNumberFormat="1" applyFont="1" applyFill="1" applyBorder="1" applyAlignment="1" applyProtection="1">
      <alignment horizontal="center" vertical="center"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9</xdr:col>
      <xdr:colOff>466725</xdr:colOff>
      <xdr:row>63</xdr:row>
      <xdr:rowOff>28575</xdr:rowOff>
    </xdr:from>
    <xdr:to>
      <xdr:col>13</xdr:col>
      <xdr:colOff>783411</xdr:colOff>
      <xdr:row>72</xdr:row>
      <xdr:rowOff>91125</xdr:rowOff>
    </xdr:to>
    <xdr:pic>
      <xdr:nvPicPr>
        <xdr:cNvPr id="2" name="Picture 1"/>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943850" y="13620750"/>
          <a:ext cx="3545661" cy="2520000"/>
        </a:xfrm>
        <a:prstGeom prst="rect">
          <a:avLst/>
        </a:prstGeom>
        <a:ln>
          <a:solidFill>
            <a:sysClr val="windowText" lastClr="000000"/>
          </a:solidFill>
        </a:ln>
      </xdr:spPr>
    </xdr:pic>
    <xdr:clientData/>
  </xdr:twoCellAnchor>
  <xdr:twoCellAnchor>
    <xdr:from>
      <xdr:col>0</xdr:col>
      <xdr:colOff>190500</xdr:colOff>
      <xdr:row>246</xdr:row>
      <xdr:rowOff>9525</xdr:rowOff>
    </xdr:from>
    <xdr:to>
      <xdr:col>7</xdr:col>
      <xdr:colOff>548850</xdr:colOff>
      <xdr:row>282</xdr:row>
      <xdr:rowOff>78686</xdr:rowOff>
    </xdr:to>
    <xdr:grpSp>
      <xdr:nvGrpSpPr>
        <xdr:cNvPr id="4" name="Group 3"/>
        <xdr:cNvGrpSpPr/>
      </xdr:nvGrpSpPr>
      <xdr:grpSpPr>
        <a:xfrm>
          <a:off x="190500" y="49587150"/>
          <a:ext cx="5940000" cy="7270061"/>
          <a:chOff x="190500" y="51206400"/>
          <a:chExt cx="5940000" cy="7270061"/>
        </a:xfrm>
      </xdr:grpSpPr>
      <xdr:grpSp>
        <xdr:nvGrpSpPr>
          <xdr:cNvPr id="55" name="Group 54"/>
          <xdr:cNvGrpSpPr/>
        </xdr:nvGrpSpPr>
        <xdr:grpSpPr>
          <a:xfrm>
            <a:off x="190500" y="51206400"/>
            <a:ext cx="5940000" cy="4583393"/>
            <a:chOff x="613103" y="214492"/>
            <a:chExt cx="5940000" cy="4583393"/>
          </a:xfrm>
        </xdr:grpSpPr>
        <xdr:pic>
          <xdr:nvPicPr>
            <xdr:cNvPr id="57" name="Picture 56"/>
            <xdr:cNvPicPr>
              <a:picLocks noChangeAspect="1"/>
            </xdr:cNvPicPr>
          </xdr:nvPicPr>
          <xdr:blipFill>
            <a:blip xmlns:r="http://schemas.openxmlformats.org/officeDocument/2006/relationships" r:embed="rId2"/>
            <a:stretch>
              <a:fillRect/>
            </a:stretch>
          </xdr:blipFill>
          <xdr:spPr>
            <a:xfrm>
              <a:off x="613103" y="214492"/>
              <a:ext cx="5940000" cy="4583393"/>
            </a:xfrm>
            <a:prstGeom prst="rect">
              <a:avLst/>
            </a:prstGeom>
            <a:ln>
              <a:solidFill>
                <a:schemeClr val="tx1"/>
              </a:solidFill>
            </a:ln>
          </xdr:spPr>
        </xdr:pic>
        <xdr:sp macro="" textlink="">
          <xdr:nvSpPr>
            <xdr:cNvPr id="58" name="Rectangle 57"/>
            <xdr:cNvSpPr/>
          </xdr:nvSpPr>
          <xdr:spPr>
            <a:xfrm>
              <a:off x="1988820" y="2362200"/>
              <a:ext cx="1691640" cy="6324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9" name="Rectangle 58"/>
            <xdr:cNvSpPr/>
          </xdr:nvSpPr>
          <xdr:spPr>
            <a:xfrm>
              <a:off x="3794760" y="1813560"/>
              <a:ext cx="1005840" cy="109728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0" name="Rectangle 59"/>
            <xdr:cNvSpPr/>
          </xdr:nvSpPr>
          <xdr:spPr>
            <a:xfrm>
              <a:off x="4107180" y="845820"/>
              <a:ext cx="876300" cy="90678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1" name="TextBox 8"/>
            <xdr:cNvSpPr txBox="1"/>
          </xdr:nvSpPr>
          <xdr:spPr>
            <a:xfrm>
              <a:off x="2202180" y="1992868"/>
              <a:ext cx="115448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Mahanadi</a:t>
              </a:r>
              <a:endParaRPr lang="en-IN" b="1">
                <a:solidFill>
                  <a:srgbClr val="FF0000"/>
                </a:solidFill>
              </a:endParaRPr>
            </a:p>
          </xdr:txBody>
        </xdr:sp>
        <xdr:sp macro="" textlink="">
          <xdr:nvSpPr>
            <xdr:cNvPr id="62" name="TextBox 9"/>
            <xdr:cNvSpPr txBox="1"/>
          </xdr:nvSpPr>
          <xdr:spPr>
            <a:xfrm>
              <a:off x="4736003" y="2122271"/>
              <a:ext cx="89870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Krishna</a:t>
              </a:r>
              <a:endParaRPr lang="en-IN" b="1">
                <a:solidFill>
                  <a:srgbClr val="FF0000"/>
                </a:solidFill>
              </a:endParaRPr>
            </a:p>
          </xdr:txBody>
        </xdr:sp>
        <xdr:sp macro="" textlink="">
          <xdr:nvSpPr>
            <xdr:cNvPr id="63" name="TextBox 10"/>
            <xdr:cNvSpPr txBox="1"/>
          </xdr:nvSpPr>
          <xdr:spPr>
            <a:xfrm>
              <a:off x="3286345" y="905798"/>
              <a:ext cx="78822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Ganga</a:t>
              </a:r>
              <a:endParaRPr lang="en-IN" b="1">
                <a:solidFill>
                  <a:srgbClr val="FF0000"/>
                </a:solidFill>
              </a:endParaRPr>
            </a:p>
          </xdr:txBody>
        </xdr:sp>
      </xdr:grpSp>
      <xdr:grpSp>
        <xdr:nvGrpSpPr>
          <xdr:cNvPr id="3" name="Group 2"/>
          <xdr:cNvGrpSpPr/>
        </xdr:nvGrpSpPr>
        <xdr:grpSpPr>
          <a:xfrm>
            <a:off x="407775" y="55942810"/>
            <a:ext cx="5505450" cy="2533651"/>
            <a:chOff x="407775" y="55942810"/>
            <a:chExt cx="5505450" cy="2533651"/>
          </a:xfrm>
        </xdr:grpSpPr>
        <xdr:pic>
          <xdr:nvPicPr>
            <xdr:cNvPr id="54" name="Picture 53"/>
            <xdr:cNvPicPr>
              <a:picLocks noChangeAspect="1"/>
            </xdr:cNvPicPr>
          </xdr:nvPicPr>
          <xdr:blipFill>
            <a:blip xmlns:r="http://schemas.openxmlformats.org/officeDocument/2006/relationships" r:embed="rId3"/>
            <a:stretch>
              <a:fillRect/>
            </a:stretch>
          </xdr:blipFill>
          <xdr:spPr>
            <a:xfrm>
              <a:off x="407775" y="55942810"/>
              <a:ext cx="5505450" cy="2533651"/>
            </a:xfrm>
            <a:prstGeom prst="rect">
              <a:avLst/>
            </a:prstGeom>
            <a:ln>
              <a:solidFill>
                <a:schemeClr val="tx1"/>
              </a:solidFill>
            </a:ln>
          </xdr:spPr>
        </xdr:pic>
        <xdr:sp macro="" textlink="">
          <xdr:nvSpPr>
            <xdr:cNvPr id="56" name="Rectangle 55"/>
            <xdr:cNvSpPr/>
          </xdr:nvSpPr>
          <xdr:spPr>
            <a:xfrm>
              <a:off x="4377997" y="56876863"/>
              <a:ext cx="1422400" cy="148104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0</xdr:col>
      <xdr:colOff>381000</xdr:colOff>
      <xdr:row>289</xdr:row>
      <xdr:rowOff>19050</xdr:rowOff>
    </xdr:from>
    <xdr:to>
      <xdr:col>7</xdr:col>
      <xdr:colOff>406520</xdr:colOff>
      <xdr:row>326</xdr:row>
      <xdr:rowOff>143697</xdr:rowOff>
    </xdr:to>
    <xdr:grpSp>
      <xdr:nvGrpSpPr>
        <xdr:cNvPr id="5" name="Group 4"/>
        <xdr:cNvGrpSpPr/>
      </xdr:nvGrpSpPr>
      <xdr:grpSpPr>
        <a:xfrm>
          <a:off x="381000" y="58197750"/>
          <a:ext cx="5607170" cy="7525572"/>
          <a:chOff x="381000" y="60017025"/>
          <a:chExt cx="5607170" cy="7525572"/>
        </a:xfrm>
      </xdr:grpSpPr>
      <xdr:pic>
        <xdr:nvPicPr>
          <xdr:cNvPr id="64" name="Picture 63"/>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869088" y="60017025"/>
            <a:ext cx="4630993" cy="3569110"/>
          </a:xfrm>
          <a:prstGeom prst="rect">
            <a:avLst/>
          </a:prstGeom>
          <a:noFill/>
          <a:ln>
            <a:solidFill>
              <a:schemeClr val="tx1"/>
            </a:solidFill>
          </a:ln>
        </xdr:spPr>
      </xdr:pic>
      <xdr:grpSp>
        <xdr:nvGrpSpPr>
          <xdr:cNvPr id="65" name="Group 64"/>
          <xdr:cNvGrpSpPr/>
        </xdr:nvGrpSpPr>
        <xdr:grpSpPr>
          <a:xfrm>
            <a:off x="381000" y="63764227"/>
            <a:ext cx="5607170" cy="3778370"/>
            <a:chOff x="475869" y="4088921"/>
            <a:chExt cx="5607170" cy="3778370"/>
          </a:xfrm>
        </xdr:grpSpPr>
        <xdr:pic>
          <xdr:nvPicPr>
            <xdr:cNvPr id="66" name="Picture 65"/>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475869" y="4088921"/>
              <a:ext cx="5607170" cy="3778370"/>
            </a:xfrm>
            <a:prstGeom prst="rect">
              <a:avLst/>
            </a:prstGeom>
            <a:ln>
              <a:solidFill>
                <a:schemeClr val="tx1"/>
              </a:solidFill>
            </a:ln>
          </xdr:spPr>
        </xdr:pic>
        <xdr:sp macro="" textlink="">
          <xdr:nvSpPr>
            <xdr:cNvPr id="67" name="Rectangle 66"/>
            <xdr:cNvSpPr/>
          </xdr:nvSpPr>
          <xdr:spPr>
            <a:xfrm>
              <a:off x="2553419" y="5003321"/>
              <a:ext cx="1949570" cy="1949570"/>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0</xdr:col>
      <xdr:colOff>57149</xdr:colOff>
      <xdr:row>202</xdr:row>
      <xdr:rowOff>142875</xdr:rowOff>
    </xdr:from>
    <xdr:to>
      <xdr:col>7</xdr:col>
      <xdr:colOff>649508</xdr:colOff>
      <xdr:row>238</xdr:row>
      <xdr:rowOff>26399</xdr:rowOff>
    </xdr:to>
    <xdr:grpSp>
      <xdr:nvGrpSpPr>
        <xdr:cNvPr id="9" name="Group 8"/>
        <xdr:cNvGrpSpPr/>
      </xdr:nvGrpSpPr>
      <xdr:grpSpPr>
        <a:xfrm>
          <a:off x="57149" y="40928925"/>
          <a:ext cx="6174009" cy="7074899"/>
          <a:chOff x="85724" y="41014650"/>
          <a:chExt cx="6174009" cy="7074899"/>
        </a:xfrm>
      </xdr:grpSpPr>
      <xdr:pic>
        <xdr:nvPicPr>
          <xdr:cNvPr id="42" name="Picture 41" descr="https://vsjcllp.vsjadon.com/upload/insp-243250-1525.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4991100" y="46386750"/>
            <a:ext cx="1268633" cy="16932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43250-84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1323975" y="46394687"/>
            <a:ext cx="2255907" cy="16932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https://vsjcllp.vsjadon.com/upload/insp-243250-877.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85724" y="46394686"/>
            <a:ext cx="1184117" cy="168751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https://vsjcllp.vsjadon.com/upload/insp-243250-940.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657601" y="46396275"/>
            <a:ext cx="1273925" cy="16932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8" name="Group 7"/>
          <xdr:cNvGrpSpPr/>
        </xdr:nvGrpSpPr>
        <xdr:grpSpPr>
          <a:xfrm>
            <a:off x="95250" y="41014650"/>
            <a:ext cx="6160592" cy="5314949"/>
            <a:chOff x="66675" y="40795575"/>
            <a:chExt cx="6160592" cy="5314949"/>
          </a:xfrm>
        </xdr:grpSpPr>
        <xdr:pic>
          <xdr:nvPicPr>
            <xdr:cNvPr id="43" name="Picture 42" descr="https://vsjcllp.vsjadon.com/upload/insp-243250-843.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229100" y="40795575"/>
              <a:ext cx="1998167" cy="2667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43250-847.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143125" y="40795575"/>
              <a:ext cx="1998167" cy="2667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43250-86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2181226" y="43548299"/>
              <a:ext cx="1919668" cy="25622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https://vsjcllp.vsjadon.com/upload/insp-243250-862.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4181476" y="43538774"/>
              <a:ext cx="1919668" cy="25622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https://vsjcllp.vsjadon.com/upload/insp-243250-860.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161926" y="43538774"/>
              <a:ext cx="1919668" cy="25622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6" name="Picture 75" descr="https://vsjcllp.vsjadon.com/upload/insp-243250-880.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66675" y="40795575"/>
              <a:ext cx="1998167" cy="2667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15</xdr:col>
      <xdr:colOff>101974</xdr:colOff>
      <xdr:row>52</xdr:row>
      <xdr:rowOff>76200</xdr:rowOff>
    </xdr:to>
    <xdr:pic>
      <xdr:nvPicPr>
        <xdr:cNvPr id="3" name="Picture 2"/>
        <xdr:cNvPicPr>
          <a:picLocks noChangeAspect="1"/>
        </xdr:cNvPicPr>
      </xdr:nvPicPr>
      <xdr:blipFill>
        <a:blip xmlns:r="http://schemas.openxmlformats.org/officeDocument/2006/relationships" r:embed="rId2"/>
        <a:stretch>
          <a:fillRect/>
        </a:stretch>
      </xdr:blipFill>
      <xdr:spPr>
        <a:xfrm>
          <a:off x="582706" y="2678206"/>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Ezw13JCnSJ8xUfqW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88"/>
  <sheetViews>
    <sheetView tabSelected="1" view="pageBreakPreview" zoomScaleNormal="100" zoomScaleSheetLayoutView="100" zoomScalePageLayoutView="85" workbookViewId="0">
      <selection activeCell="K85" sqref="K85"/>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1.285156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162" t="s">
        <v>156</v>
      </c>
      <c r="B1" s="162"/>
      <c r="C1" s="162"/>
      <c r="D1" s="162"/>
      <c r="E1" s="162"/>
      <c r="F1" s="162"/>
      <c r="G1" s="162"/>
      <c r="H1" s="162"/>
    </row>
    <row r="2" spans="1:26" ht="16.5" customHeight="1" x14ac:dyDescent="0.25">
      <c r="A2" s="93" t="s">
        <v>0</v>
      </c>
      <c r="B2" s="93"/>
      <c r="C2" s="93"/>
      <c r="D2" s="93"/>
      <c r="E2" s="93"/>
      <c r="F2" s="93"/>
      <c r="G2" s="93"/>
      <c r="H2" s="93"/>
    </row>
    <row r="3" spans="1:26" x14ac:dyDescent="0.25">
      <c r="A3" s="119" t="s">
        <v>1</v>
      </c>
      <c r="B3" s="119"/>
      <c r="C3" s="119"/>
      <c r="D3" s="119"/>
      <c r="E3" s="119" t="str">
        <f ca="1">TEXT(TODAY(),"DD/MM/YYYY")</f>
        <v>09/08/2025</v>
      </c>
      <c r="F3" s="119"/>
      <c r="G3" s="119"/>
      <c r="H3" s="119"/>
      <c r="K3" s="58" t="s">
        <v>225</v>
      </c>
      <c r="L3" s="55" t="s">
        <v>223</v>
      </c>
      <c r="M3" s="55" t="s">
        <v>228</v>
      </c>
      <c r="N3" s="55" t="s">
        <v>226</v>
      </c>
      <c r="O3" s="55" t="s">
        <v>227</v>
      </c>
      <c r="P3" s="55" t="s">
        <v>229</v>
      </c>
    </row>
    <row r="4" spans="1:26" ht="15" customHeight="1" x14ac:dyDescent="0.25">
      <c r="A4" s="119" t="s">
        <v>222</v>
      </c>
      <c r="B4" s="119"/>
      <c r="C4" s="119"/>
      <c r="D4" s="119"/>
      <c r="E4" s="119" t="s">
        <v>223</v>
      </c>
      <c r="F4" s="119"/>
      <c r="G4" s="119"/>
      <c r="H4" s="119"/>
      <c r="K4" s="54" t="s">
        <v>224</v>
      </c>
      <c r="L4" s="55" t="s">
        <v>162</v>
      </c>
      <c r="M4" s="55" t="s">
        <v>233</v>
      </c>
      <c r="N4" s="55" t="s">
        <v>235</v>
      </c>
      <c r="O4" s="55" t="s">
        <v>237</v>
      </c>
      <c r="P4" s="55"/>
    </row>
    <row r="5" spans="1:26" ht="15" customHeight="1" x14ac:dyDescent="0.25">
      <c r="A5" s="119" t="s">
        <v>2</v>
      </c>
      <c r="B5" s="119"/>
      <c r="C5" s="119"/>
      <c r="D5" s="119"/>
      <c r="E5" s="119" t="s">
        <v>230</v>
      </c>
      <c r="F5" s="119"/>
      <c r="G5" s="119"/>
      <c r="H5" s="119"/>
      <c r="K5" s="54"/>
      <c r="L5" s="55" t="s">
        <v>230</v>
      </c>
      <c r="M5" s="55" t="s">
        <v>234</v>
      </c>
      <c r="N5" s="55" t="s">
        <v>236</v>
      </c>
      <c r="O5" s="55" t="s">
        <v>238</v>
      </c>
      <c r="P5" s="55"/>
    </row>
    <row r="6" spans="1:26" x14ac:dyDescent="0.25">
      <c r="A6" s="119" t="s">
        <v>3</v>
      </c>
      <c r="B6" s="119"/>
      <c r="C6" s="119"/>
      <c r="D6" s="119"/>
      <c r="E6" s="163" t="s">
        <v>343</v>
      </c>
      <c r="F6" s="119"/>
      <c r="G6" s="119"/>
      <c r="H6" s="119"/>
      <c r="K6" s="54"/>
      <c r="L6" s="55" t="s">
        <v>231</v>
      </c>
      <c r="M6" s="55"/>
      <c r="N6" s="55"/>
      <c r="O6" s="55" t="s">
        <v>239</v>
      </c>
      <c r="P6" s="55"/>
    </row>
    <row r="7" spans="1:26" ht="16.5" customHeight="1" x14ac:dyDescent="0.25">
      <c r="A7" s="119" t="s">
        <v>290</v>
      </c>
      <c r="B7" s="119"/>
      <c r="C7" s="119"/>
      <c r="D7" s="119"/>
      <c r="E7" s="119" t="s">
        <v>291</v>
      </c>
      <c r="F7" s="119"/>
      <c r="G7" s="119"/>
      <c r="H7" s="119"/>
      <c r="K7" s="54"/>
      <c r="L7" s="55" t="s">
        <v>232</v>
      </c>
      <c r="M7" s="55"/>
      <c r="N7" s="55"/>
      <c r="O7" s="55" t="s">
        <v>239</v>
      </c>
      <c r="P7" s="55"/>
    </row>
    <row r="8" spans="1:26" ht="15.75" customHeight="1" x14ac:dyDescent="0.25">
      <c r="A8" s="119" t="s">
        <v>4</v>
      </c>
      <c r="B8" s="119"/>
      <c r="C8" s="119"/>
      <c r="D8" s="119"/>
      <c r="E8" s="119" t="s">
        <v>326</v>
      </c>
      <c r="F8" s="119"/>
      <c r="G8" s="119"/>
      <c r="H8" s="119"/>
      <c r="K8" s="54"/>
      <c r="L8" s="55"/>
      <c r="M8" s="55"/>
      <c r="N8" s="55"/>
      <c r="O8" s="55" t="s">
        <v>240</v>
      </c>
      <c r="P8" s="55"/>
    </row>
    <row r="9" spans="1:26" ht="31.5" customHeight="1" x14ac:dyDescent="0.25">
      <c r="A9" s="119" t="s">
        <v>5</v>
      </c>
      <c r="B9" s="119"/>
      <c r="C9" s="119"/>
      <c r="D9" s="119"/>
      <c r="E9" s="92" t="s">
        <v>294</v>
      </c>
      <c r="F9" s="89"/>
      <c r="G9" s="89"/>
      <c r="H9" s="89"/>
      <c r="K9" s="54"/>
      <c r="L9" s="55"/>
      <c r="M9" s="55"/>
      <c r="N9" s="55"/>
      <c r="O9" s="55" t="s">
        <v>241</v>
      </c>
      <c r="P9" s="55"/>
    </row>
    <row r="10" spans="1:26" x14ac:dyDescent="0.25">
      <c r="A10" s="119" t="s">
        <v>159</v>
      </c>
      <c r="B10" s="119"/>
      <c r="C10" s="119"/>
      <c r="D10" s="119"/>
      <c r="E10" s="119" t="s">
        <v>293</v>
      </c>
      <c r="F10" s="119"/>
      <c r="G10" s="119"/>
      <c r="H10" s="119"/>
      <c r="K10" s="54"/>
      <c r="L10" s="55"/>
      <c r="M10" s="55"/>
      <c r="N10" s="55"/>
      <c r="O10" s="55"/>
      <c r="P10" s="55"/>
    </row>
    <row r="11" spans="1:26" x14ac:dyDescent="0.25">
      <c r="A11" s="119" t="s">
        <v>160</v>
      </c>
      <c r="B11" s="119"/>
      <c r="C11" s="119"/>
      <c r="D11" s="119"/>
      <c r="E11" s="119" t="s">
        <v>342</v>
      </c>
      <c r="F11" s="119"/>
      <c r="G11" s="119"/>
      <c r="H11" s="119"/>
    </row>
    <row r="12" spans="1:26" x14ac:dyDescent="0.25">
      <c r="A12" s="119" t="s">
        <v>6</v>
      </c>
      <c r="B12" s="119"/>
      <c r="C12" s="119"/>
      <c r="D12" s="119"/>
      <c r="E12" s="127" t="s">
        <v>310</v>
      </c>
      <c r="F12" s="127"/>
      <c r="G12" s="127"/>
      <c r="H12" s="127"/>
      <c r="I12" s="21" t="s">
        <v>295</v>
      </c>
    </row>
    <row r="13" spans="1:26" x14ac:dyDescent="0.25">
      <c r="A13" s="119" t="s">
        <v>163</v>
      </c>
      <c r="B13" s="119"/>
      <c r="C13" s="119"/>
      <c r="D13" s="119"/>
      <c r="E13" s="119" t="s">
        <v>27</v>
      </c>
      <c r="F13" s="119"/>
      <c r="G13" s="119"/>
      <c r="H13" s="119"/>
      <c r="S13" s="55" t="s">
        <v>168</v>
      </c>
      <c r="T13" s="55" t="s">
        <v>178</v>
      </c>
      <c r="U13" s="55" t="s">
        <v>164</v>
      </c>
      <c r="V13" s="55" t="s">
        <v>183</v>
      </c>
      <c r="W13" s="55" t="s">
        <v>201</v>
      </c>
      <c r="X13"/>
      <c r="Y13" t="s">
        <v>183</v>
      </c>
      <c r="Z13" t="e">
        <f ca="1">OFFSET($S$13,1,MATCH($G20,$S$13:$W$13,0)-1,15,1)</f>
        <v>#VALUE!</v>
      </c>
    </row>
    <row r="14" spans="1:26" x14ac:dyDescent="0.25">
      <c r="A14" s="103" t="s">
        <v>268</v>
      </c>
      <c r="B14" s="103"/>
      <c r="C14" s="103"/>
      <c r="D14" s="103"/>
      <c r="E14" s="127" t="s">
        <v>296</v>
      </c>
      <c r="F14" s="127"/>
      <c r="G14" s="127"/>
      <c r="H14" s="127"/>
      <c r="S14" s="55" t="s">
        <v>169</v>
      </c>
      <c r="T14" s="55" t="s">
        <v>176</v>
      </c>
      <c r="U14" s="55" t="s">
        <v>198</v>
      </c>
      <c r="V14" s="55" t="s">
        <v>184</v>
      </c>
      <c r="W14" s="55" t="s">
        <v>202</v>
      </c>
      <c r="X14"/>
      <c r="Y14"/>
      <c r="Z14"/>
    </row>
    <row r="15" spans="1:26" x14ac:dyDescent="0.25">
      <c r="A15" s="103" t="s">
        <v>7</v>
      </c>
      <c r="B15" s="103"/>
      <c r="C15" s="103"/>
      <c r="D15" s="103"/>
      <c r="E15" s="127" t="s">
        <v>292</v>
      </c>
      <c r="F15" s="119"/>
      <c r="G15" s="119"/>
      <c r="H15" s="119"/>
      <c r="I15" s="212" t="e">
        <f ca="1">OFFSET($D$5,1,MATCH($J13,$D$5:$H$5,0)-1,15,1)</f>
        <v>#N/A</v>
      </c>
      <c r="J15" s="213"/>
      <c r="K15" s="213"/>
      <c r="L15" s="213"/>
      <c r="M15" s="213"/>
      <c r="N15" s="213"/>
      <c r="O15" s="213"/>
      <c r="P15" s="213"/>
      <c r="S15" s="55" t="s">
        <v>170</v>
      </c>
      <c r="T15" s="55" t="s">
        <v>177</v>
      </c>
      <c r="U15" s="55" t="s">
        <v>199</v>
      </c>
      <c r="V15" s="55" t="s">
        <v>185</v>
      </c>
      <c r="W15" s="55" t="s">
        <v>215</v>
      </c>
      <c r="X15"/>
      <c r="Y15"/>
      <c r="Z15"/>
    </row>
    <row r="16" spans="1:26" ht="48.75" customHeight="1" x14ac:dyDescent="0.25">
      <c r="A16" s="159" t="s">
        <v>8</v>
      </c>
      <c r="B16" s="159"/>
      <c r="C16" s="159" t="str">
        <f>CONCATENATE((IF(OR(E9="",E9="NA"),"",E9)),", ",(IF(OR(A17="",A17="NA"),"",A17)),".",(IF(OR(C17="",C17="NA"),"",C17)),", near ",(IF(OR(C22="",C22="NA"),"",C22)),", ",(IF(OR(C19="",C19="NA"),"",C19)),", ",(IF(OR(C18="",C18="NA"),"",C18)),", ",(IF(OR(G19="",G19="NA"),"",G19)),", ",(IF(OR(C20="",C20="NA"),"",C20)),", ",(IF(OR(C21="",C21="NA"),"",C21)),", ",(IF(OR(G20="",G20="NA"),"",G20))," - ",(IF(OR(G21="",G21="NA"),"",G21)),".")</f>
        <v>Laxmi Aangan - Mahanadi, Krishna And Ganga, Survey No.4, H. No. 10/C, near Nirmal Nagari, Nirmal Nagari Road, Khardipada, Dawale, Diva East, Thane, Thane  - 400612.</v>
      </c>
      <c r="D16" s="159"/>
      <c r="E16" s="159"/>
      <c r="F16" s="159"/>
      <c r="G16" s="159"/>
      <c r="H16" s="159"/>
      <c r="S16" s="55" t="s">
        <v>171</v>
      </c>
      <c r="T16" s="55" t="s">
        <v>179</v>
      </c>
      <c r="U16" s="55" t="s">
        <v>200</v>
      </c>
      <c r="V16" s="55" t="s">
        <v>186</v>
      </c>
      <c r="W16" s="55" t="s">
        <v>203</v>
      </c>
      <c r="X16"/>
      <c r="Y16"/>
      <c r="Z16"/>
    </row>
    <row r="17" spans="1:26" x14ac:dyDescent="0.25">
      <c r="A17" s="127" t="s">
        <v>297</v>
      </c>
      <c r="B17" s="127"/>
      <c r="C17" s="127" t="s">
        <v>329</v>
      </c>
      <c r="D17" s="127"/>
      <c r="E17" s="127"/>
      <c r="F17" s="127"/>
      <c r="G17" s="127"/>
      <c r="H17" s="127"/>
      <c r="S17" s="55" t="s">
        <v>172</v>
      </c>
      <c r="T17" s="55" t="s">
        <v>180</v>
      </c>
      <c r="U17" s="55" t="s">
        <v>164</v>
      </c>
      <c r="V17" s="55" t="s">
        <v>187</v>
      </c>
      <c r="W17" s="55" t="s">
        <v>204</v>
      </c>
      <c r="X17"/>
      <c r="Y17"/>
      <c r="Z17"/>
    </row>
    <row r="18" spans="1:26" ht="15.75" customHeight="1" x14ac:dyDescent="0.25">
      <c r="A18" s="127" t="s">
        <v>154</v>
      </c>
      <c r="B18" s="127"/>
      <c r="C18" s="127" t="s">
        <v>306</v>
      </c>
      <c r="D18" s="127"/>
      <c r="E18" s="127"/>
      <c r="F18" s="127"/>
      <c r="G18" s="127"/>
      <c r="H18" s="127"/>
      <c r="S18" s="55" t="s">
        <v>173</v>
      </c>
      <c r="T18" s="55" t="s">
        <v>178</v>
      </c>
      <c r="U18" s="55"/>
      <c r="V18" s="55" t="s">
        <v>188</v>
      </c>
      <c r="W18" s="55" t="s">
        <v>205</v>
      </c>
      <c r="X18"/>
      <c r="Y18"/>
      <c r="Z18"/>
    </row>
    <row r="19" spans="1:26" ht="15.75" customHeight="1" x14ac:dyDescent="0.25">
      <c r="A19" s="159" t="s">
        <v>9</v>
      </c>
      <c r="B19" s="159"/>
      <c r="C19" s="119" t="s">
        <v>307</v>
      </c>
      <c r="D19" s="119"/>
      <c r="E19" s="159" t="s">
        <v>69</v>
      </c>
      <c r="F19" s="159"/>
      <c r="G19" s="127" t="s">
        <v>298</v>
      </c>
      <c r="H19" s="127"/>
      <c r="S19" s="55" t="s">
        <v>174</v>
      </c>
      <c r="T19" s="55" t="s">
        <v>181</v>
      </c>
      <c r="U19" s="55"/>
      <c r="V19" s="55" t="s">
        <v>189</v>
      </c>
      <c r="W19" s="55" t="s">
        <v>206</v>
      </c>
      <c r="X19"/>
      <c r="Y19"/>
      <c r="Z19"/>
    </row>
    <row r="20" spans="1:26" x14ac:dyDescent="0.25">
      <c r="A20" s="103" t="s">
        <v>11</v>
      </c>
      <c r="B20" s="103"/>
      <c r="C20" s="127" t="s">
        <v>309</v>
      </c>
      <c r="D20" s="127"/>
      <c r="E20" s="127" t="s">
        <v>10</v>
      </c>
      <c r="F20" s="127"/>
      <c r="G20" s="160" t="s">
        <v>168</v>
      </c>
      <c r="H20" s="160"/>
      <c r="S20" s="55" t="s">
        <v>175</v>
      </c>
      <c r="T20" s="55" t="s">
        <v>182</v>
      </c>
      <c r="U20" s="55"/>
      <c r="V20" s="55" t="s">
        <v>190</v>
      </c>
      <c r="W20" s="55" t="s">
        <v>207</v>
      </c>
      <c r="X20"/>
      <c r="Y20"/>
      <c r="Z20"/>
    </row>
    <row r="21" spans="1:26" x14ac:dyDescent="0.25">
      <c r="A21" s="103" t="s">
        <v>70</v>
      </c>
      <c r="B21" s="103"/>
      <c r="C21" s="127" t="s">
        <v>169</v>
      </c>
      <c r="D21" s="127"/>
      <c r="E21" s="127" t="s">
        <v>12</v>
      </c>
      <c r="F21" s="127"/>
      <c r="G21" s="127">
        <v>400612</v>
      </c>
      <c r="H21" s="127"/>
      <c r="S21" s="55"/>
      <c r="T21" s="55"/>
      <c r="U21" s="55"/>
      <c r="V21" s="55" t="s">
        <v>191</v>
      </c>
      <c r="W21" s="55" t="s">
        <v>208</v>
      </c>
      <c r="X21"/>
      <c r="Y21"/>
      <c r="Z21"/>
    </row>
    <row r="22" spans="1:26" ht="32.25" customHeight="1" x14ac:dyDescent="0.25">
      <c r="A22" s="103" t="s">
        <v>116</v>
      </c>
      <c r="B22" s="103"/>
      <c r="C22" s="127" t="s">
        <v>302</v>
      </c>
      <c r="D22" s="127"/>
      <c r="E22" s="127" t="s">
        <v>13</v>
      </c>
      <c r="F22" s="127"/>
      <c r="G22" s="127" t="s">
        <v>308</v>
      </c>
      <c r="H22" s="127"/>
      <c r="S22" s="55"/>
      <c r="T22" s="55"/>
      <c r="U22" s="55"/>
      <c r="V22" s="55" t="s">
        <v>192</v>
      </c>
      <c r="W22" s="55" t="s">
        <v>209</v>
      </c>
      <c r="X22"/>
      <c r="Y22"/>
      <c r="Z22"/>
    </row>
    <row r="23" spans="1:26" ht="15" customHeight="1" x14ac:dyDescent="0.25">
      <c r="A23" s="159" t="s">
        <v>71</v>
      </c>
      <c r="B23" s="159"/>
      <c r="C23" s="159"/>
      <c r="D23" s="159"/>
      <c r="E23" s="119" t="s">
        <v>14</v>
      </c>
      <c r="F23" s="119"/>
      <c r="G23" s="119"/>
      <c r="H23" s="119"/>
      <c r="S23" s="55"/>
      <c r="T23" s="55"/>
      <c r="U23" s="55"/>
      <c r="V23" s="55" t="s">
        <v>193</v>
      </c>
      <c r="W23" s="55" t="s">
        <v>210</v>
      </c>
      <c r="X23"/>
      <c r="Y23"/>
      <c r="Z23"/>
    </row>
    <row r="24" spans="1:26" ht="18.75" customHeight="1" x14ac:dyDescent="0.25">
      <c r="A24" s="159"/>
      <c r="B24" s="159"/>
      <c r="C24" s="159"/>
      <c r="D24" s="159"/>
      <c r="E24" s="119"/>
      <c r="F24" s="119"/>
      <c r="G24" s="119"/>
      <c r="H24" s="119"/>
      <c r="S24" s="55"/>
      <c r="T24" s="55"/>
      <c r="U24" s="55"/>
      <c r="V24" s="55" t="s">
        <v>194</v>
      </c>
      <c r="W24" s="55" t="s">
        <v>211</v>
      </c>
      <c r="X24"/>
      <c r="Y24"/>
      <c r="Z24"/>
    </row>
    <row r="25" spans="1:26" ht="15" customHeight="1" x14ac:dyDescent="0.25">
      <c r="A25" s="159" t="s">
        <v>15</v>
      </c>
      <c r="B25" s="159"/>
      <c r="C25" s="159"/>
      <c r="D25" s="159"/>
      <c r="E25" s="127" t="s">
        <v>16</v>
      </c>
      <c r="F25" s="127"/>
      <c r="G25" s="127"/>
      <c r="H25" s="127"/>
      <c r="S25" s="55"/>
      <c r="T25" s="55"/>
      <c r="U25" s="55"/>
      <c r="V25" s="55" t="s">
        <v>195</v>
      </c>
      <c r="W25" s="55" t="s">
        <v>212</v>
      </c>
      <c r="X25"/>
      <c r="Y25"/>
      <c r="Z25"/>
    </row>
    <row r="26" spans="1:26" ht="15" customHeight="1" x14ac:dyDescent="0.25">
      <c r="A26" s="103" t="s">
        <v>17</v>
      </c>
      <c r="B26" s="103"/>
      <c r="C26" s="103"/>
      <c r="D26" s="103"/>
      <c r="E26" s="127" t="str">
        <f>IF(AND(G20="Mumbai"),"Upper Class","Middle Class")</f>
        <v>Middle Class</v>
      </c>
      <c r="F26" s="127"/>
      <c r="G26" s="127"/>
      <c r="H26" s="127"/>
      <c r="S26" s="55"/>
      <c r="T26" s="55"/>
      <c r="U26" s="55"/>
      <c r="V26" s="55" t="s">
        <v>196</v>
      </c>
      <c r="W26" s="55" t="s">
        <v>213</v>
      </c>
      <c r="X26"/>
      <c r="Y26"/>
      <c r="Z26"/>
    </row>
    <row r="27" spans="1:26" x14ac:dyDescent="0.25">
      <c r="A27" s="103" t="s">
        <v>18</v>
      </c>
      <c r="B27" s="103"/>
      <c r="C27" s="103"/>
      <c r="D27" s="103"/>
      <c r="E27" s="127" t="s">
        <v>19</v>
      </c>
      <c r="F27" s="127"/>
      <c r="G27" s="127"/>
      <c r="H27" s="127"/>
      <c r="S27" s="55"/>
      <c r="T27" s="55"/>
      <c r="U27" s="55"/>
      <c r="V27" s="55" t="s">
        <v>197</v>
      </c>
      <c r="W27" s="55" t="s">
        <v>214</v>
      </c>
      <c r="X27"/>
      <c r="Y27"/>
      <c r="Z27"/>
    </row>
    <row r="28" spans="1:26" ht="15.75" customHeight="1" x14ac:dyDescent="0.25">
      <c r="A28" s="103" t="s">
        <v>20</v>
      </c>
      <c r="B28" s="103"/>
      <c r="C28" s="103"/>
      <c r="D28" s="103"/>
      <c r="E28" s="127" t="str">
        <f>IF(AND(G20="Mumbai"),"Developed","Developing")</f>
        <v>Developing</v>
      </c>
      <c r="F28" s="127"/>
      <c r="G28" s="127"/>
      <c r="H28" s="127"/>
    </row>
    <row r="29" spans="1:26" x14ac:dyDescent="0.25">
      <c r="A29" s="103" t="s">
        <v>21</v>
      </c>
      <c r="B29" s="103"/>
      <c r="C29" s="103"/>
      <c r="D29" s="103"/>
      <c r="E29" s="127" t="s">
        <v>22</v>
      </c>
      <c r="F29" s="127"/>
      <c r="G29" s="127"/>
      <c r="H29" s="127"/>
    </row>
    <row r="30" spans="1:26" ht="15.75" customHeight="1" x14ac:dyDescent="0.25">
      <c r="A30" s="103" t="s">
        <v>76</v>
      </c>
      <c r="B30" s="103"/>
      <c r="C30" s="103"/>
      <c r="D30" s="103"/>
      <c r="E30" s="127" t="s">
        <v>77</v>
      </c>
      <c r="F30" s="127"/>
      <c r="G30" s="127"/>
      <c r="H30" s="127"/>
    </row>
    <row r="31" spans="1:26" ht="15" customHeight="1" x14ac:dyDescent="0.25">
      <c r="A31" s="103" t="s">
        <v>29</v>
      </c>
      <c r="B31" s="103"/>
      <c r="C31" s="103"/>
      <c r="D31" s="103"/>
      <c r="E31" s="12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27"/>
      <c r="G31" s="127"/>
      <c r="H31" s="127"/>
    </row>
    <row r="32" spans="1:26" ht="15.75" customHeight="1" x14ac:dyDescent="0.25">
      <c r="A32" s="103" t="s">
        <v>88</v>
      </c>
      <c r="B32" s="103"/>
      <c r="C32" s="103"/>
      <c r="D32" s="103"/>
      <c r="E32" s="127" t="s">
        <v>30</v>
      </c>
      <c r="F32" s="127"/>
      <c r="G32" s="127"/>
      <c r="H32" s="127"/>
    </row>
    <row r="33" spans="1:19" s="21" customFormat="1" x14ac:dyDescent="0.25">
      <c r="A33" s="156" t="s">
        <v>89</v>
      </c>
      <c r="B33" s="156"/>
      <c r="C33" s="155" t="s">
        <v>165</v>
      </c>
      <c r="D33" s="155"/>
      <c r="E33" s="155"/>
      <c r="F33" s="155" t="s">
        <v>28</v>
      </c>
      <c r="G33" s="155"/>
      <c r="H33" s="155"/>
      <c r="S33" s="21" t="e">
        <f ca="1">OFFSET($S$13,1,MATCH($G20,$S$13:$W$13,0)-1,15,1)</f>
        <v>#VALUE!</v>
      </c>
    </row>
    <row r="34" spans="1:19" s="21" customFormat="1" x14ac:dyDescent="0.25">
      <c r="A34" s="136" t="s">
        <v>23</v>
      </c>
      <c r="B34" s="136" t="s">
        <v>27</v>
      </c>
      <c r="C34" s="137" t="s">
        <v>303</v>
      </c>
      <c r="D34" s="137"/>
      <c r="E34" s="137"/>
      <c r="F34" s="137" t="s">
        <v>301</v>
      </c>
      <c r="G34" s="137"/>
      <c r="H34" s="137"/>
    </row>
    <row r="35" spans="1:19" ht="33.75" customHeight="1" x14ac:dyDescent="0.25">
      <c r="A35" s="157" t="s">
        <v>24</v>
      </c>
      <c r="B35" s="157" t="s">
        <v>27</v>
      </c>
      <c r="C35" s="158" t="s">
        <v>305</v>
      </c>
      <c r="D35" s="158"/>
      <c r="E35" s="158"/>
      <c r="F35" s="161" t="s">
        <v>304</v>
      </c>
      <c r="G35" s="161"/>
      <c r="H35" s="161"/>
    </row>
    <row r="36" spans="1:19" s="21" customFormat="1" x14ac:dyDescent="0.25">
      <c r="A36" s="136" t="s">
        <v>26</v>
      </c>
      <c r="B36" s="136" t="s">
        <v>27</v>
      </c>
      <c r="C36" s="137" t="s">
        <v>303</v>
      </c>
      <c r="D36" s="137"/>
      <c r="E36" s="137"/>
      <c r="F36" s="137" t="s">
        <v>301</v>
      </c>
      <c r="G36" s="137"/>
      <c r="H36" s="137"/>
    </row>
    <row r="37" spans="1:19" x14ac:dyDescent="0.25">
      <c r="A37" s="136" t="s">
        <v>25</v>
      </c>
      <c r="B37" s="136" t="s">
        <v>27</v>
      </c>
      <c r="C37" s="137" t="s">
        <v>303</v>
      </c>
      <c r="D37" s="137"/>
      <c r="E37" s="137"/>
      <c r="F37" s="137" t="s">
        <v>301</v>
      </c>
      <c r="G37" s="137"/>
      <c r="H37" s="137"/>
    </row>
    <row r="38" spans="1:19" x14ac:dyDescent="0.25">
      <c r="A38" s="103" t="s">
        <v>269</v>
      </c>
      <c r="B38" s="103"/>
      <c r="C38" s="103"/>
      <c r="D38" s="103"/>
      <c r="E38" s="103"/>
      <c r="F38" s="103"/>
      <c r="G38" s="103"/>
      <c r="H38" s="103"/>
    </row>
    <row r="39" spans="1:19" ht="15.75" customHeight="1" x14ac:dyDescent="0.25">
      <c r="A39" s="103" t="s">
        <v>157</v>
      </c>
      <c r="B39" s="103"/>
      <c r="C39" s="103" t="s">
        <v>299</v>
      </c>
      <c r="D39" s="103"/>
      <c r="E39" s="103"/>
      <c r="F39" s="103"/>
      <c r="G39" s="103"/>
      <c r="H39" s="103"/>
    </row>
    <row r="40" spans="1:19" x14ac:dyDescent="0.25">
      <c r="A40" s="103" t="s">
        <v>153</v>
      </c>
      <c r="B40" s="103"/>
      <c r="C40" s="126" t="s">
        <v>300</v>
      </c>
      <c r="D40" s="127"/>
      <c r="E40" s="127"/>
      <c r="F40" s="127"/>
      <c r="G40" s="127"/>
      <c r="H40" s="127"/>
    </row>
    <row r="41" spans="1:19" x14ac:dyDescent="0.25">
      <c r="A41" s="112" t="s">
        <v>31</v>
      </c>
      <c r="B41" s="112"/>
      <c r="C41" s="112"/>
      <c r="D41" s="112"/>
      <c r="E41" s="112"/>
      <c r="F41" s="112"/>
      <c r="G41" s="112"/>
      <c r="H41" s="112"/>
    </row>
    <row r="42" spans="1:19" x14ac:dyDescent="0.25">
      <c r="A42" s="103" t="s">
        <v>32</v>
      </c>
      <c r="B42" s="103"/>
      <c r="C42" s="103"/>
      <c r="D42" s="103"/>
      <c r="E42" s="139">
        <v>5968.65</v>
      </c>
      <c r="F42" s="139"/>
      <c r="G42" s="139"/>
      <c r="H42" s="139"/>
    </row>
    <row r="43" spans="1:19" x14ac:dyDescent="0.25">
      <c r="A43" s="103" t="s">
        <v>33</v>
      </c>
      <c r="B43" s="103"/>
      <c r="C43" s="103"/>
      <c r="D43" s="103"/>
      <c r="E43" s="151">
        <f>6592.46/E42</f>
        <v>1.1045144211840199</v>
      </c>
      <c r="F43" s="151"/>
      <c r="G43" s="151"/>
      <c r="H43" s="151"/>
      <c r="I43" s="64"/>
    </row>
    <row r="44" spans="1:19" x14ac:dyDescent="0.25">
      <c r="A44" s="103" t="s">
        <v>34</v>
      </c>
      <c r="B44" s="103"/>
      <c r="C44" s="103"/>
      <c r="D44" s="103"/>
      <c r="E44" s="151">
        <f>E46/E42-E43</f>
        <v>1.8850929439655533</v>
      </c>
      <c r="F44" s="151"/>
      <c r="G44" s="151"/>
      <c r="H44" s="151"/>
    </row>
    <row r="45" spans="1:19" x14ac:dyDescent="0.25">
      <c r="A45" s="103" t="s">
        <v>35</v>
      </c>
      <c r="B45" s="103"/>
      <c r="C45" s="103"/>
      <c r="D45" s="103"/>
      <c r="E45" s="151">
        <f>E43+E44</f>
        <v>2.9896073651495731</v>
      </c>
      <c r="F45" s="151"/>
      <c r="G45" s="151"/>
      <c r="H45" s="151"/>
    </row>
    <row r="46" spans="1:19" x14ac:dyDescent="0.25">
      <c r="A46" s="103" t="s">
        <v>87</v>
      </c>
      <c r="B46" s="103"/>
      <c r="C46" s="103"/>
      <c r="D46" s="103"/>
      <c r="E46" s="152">
        <v>17843.919999999998</v>
      </c>
      <c r="F46" s="152"/>
      <c r="G46" s="152"/>
      <c r="H46" s="152"/>
    </row>
    <row r="47" spans="1:19" x14ac:dyDescent="0.25">
      <c r="A47" s="119" t="s">
        <v>36</v>
      </c>
      <c r="B47" s="119"/>
      <c r="C47" s="119"/>
      <c r="D47" s="119"/>
      <c r="E47" s="119" t="s">
        <v>320</v>
      </c>
      <c r="F47" s="119"/>
      <c r="G47" s="119"/>
      <c r="H47" s="119"/>
    </row>
    <row r="48" spans="1:19" x14ac:dyDescent="0.25">
      <c r="A48" s="112" t="s">
        <v>37</v>
      </c>
      <c r="B48" s="112"/>
      <c r="C48" s="112"/>
      <c r="D48" s="112"/>
      <c r="E48" s="112"/>
      <c r="F48" s="112"/>
      <c r="G48" s="112"/>
      <c r="H48" s="112"/>
    </row>
    <row r="49" spans="1:24" ht="33.75" customHeight="1" x14ac:dyDescent="0.25">
      <c r="A49" s="131" t="s">
        <v>144</v>
      </c>
      <c r="B49" s="132"/>
      <c r="C49" s="133" t="s">
        <v>249</v>
      </c>
      <c r="D49" s="134"/>
      <c r="E49" s="134"/>
      <c r="F49" s="134"/>
      <c r="G49" s="134"/>
      <c r="H49" s="135"/>
      <c r="R49" t="s">
        <v>242</v>
      </c>
      <c r="S49" t="s">
        <v>164</v>
      </c>
      <c r="T49" t="s">
        <v>168</v>
      </c>
      <c r="U49" t="s">
        <v>183</v>
      </c>
      <c r="V49" t="s">
        <v>178</v>
      </c>
    </row>
    <row r="50" spans="1:24" ht="34.5" customHeight="1" x14ac:dyDescent="0.25">
      <c r="A50" s="131" t="s">
        <v>38</v>
      </c>
      <c r="B50" s="132"/>
      <c r="C50" s="185" t="s">
        <v>332</v>
      </c>
      <c r="D50" s="186"/>
      <c r="E50" s="187"/>
      <c r="F50" s="65" t="s">
        <v>39</v>
      </c>
      <c r="G50" s="188" t="s">
        <v>344</v>
      </c>
      <c r="H50" s="187"/>
      <c r="R50"/>
      <c r="S50" t="s">
        <v>243</v>
      </c>
      <c r="T50" t="s">
        <v>248</v>
      </c>
      <c r="U50" t="s">
        <v>259</v>
      </c>
      <c r="V50" t="s">
        <v>264</v>
      </c>
    </row>
    <row r="51" spans="1:24" ht="34.5" customHeight="1" x14ac:dyDescent="0.25">
      <c r="A51" s="131" t="s">
        <v>40</v>
      </c>
      <c r="B51" s="132"/>
      <c r="C51" s="185" t="str">
        <f>C50</f>
        <v>S11/0242/21TMCB/TDD/0092/(PIC)/2024/Autodcr</v>
      </c>
      <c r="D51" s="186"/>
      <c r="E51" s="187"/>
      <c r="F51" s="65" t="s">
        <v>39</v>
      </c>
      <c r="G51" s="188" t="str">
        <f>G50</f>
        <v>16/02/2024.</v>
      </c>
      <c r="H51" s="187"/>
      <c r="R51"/>
      <c r="S51" t="s">
        <v>244</v>
      </c>
      <c r="T51" t="s">
        <v>249</v>
      </c>
      <c r="U51" t="s">
        <v>257</v>
      </c>
      <c r="V51" t="s">
        <v>265</v>
      </c>
    </row>
    <row r="52" spans="1:24" s="22" customFormat="1" ht="33" customHeight="1" x14ac:dyDescent="0.25">
      <c r="A52" s="190" t="s">
        <v>333</v>
      </c>
      <c r="B52" s="191"/>
      <c r="C52" s="131" t="s">
        <v>332</v>
      </c>
      <c r="D52" s="153"/>
      <c r="E52" s="132"/>
      <c r="F52" s="17" t="s">
        <v>39</v>
      </c>
      <c r="G52" s="189" t="s">
        <v>344</v>
      </c>
      <c r="H52" s="132"/>
      <c r="R52"/>
      <c r="S52" t="s">
        <v>245</v>
      </c>
      <c r="T52" t="s">
        <v>250</v>
      </c>
      <c r="U52" t="s">
        <v>247</v>
      </c>
      <c r="V52" t="s">
        <v>266</v>
      </c>
    </row>
    <row r="53" spans="1:24" s="22" customFormat="1" ht="33.75" customHeight="1" x14ac:dyDescent="0.25">
      <c r="A53" s="192"/>
      <c r="B53" s="193"/>
      <c r="C53" s="131" t="s">
        <v>334</v>
      </c>
      <c r="D53" s="153"/>
      <c r="E53" s="153"/>
      <c r="F53" s="153"/>
      <c r="G53" s="153"/>
      <c r="H53" s="132"/>
      <c r="I53" s="210" t="s">
        <v>335</v>
      </c>
      <c r="J53" s="211"/>
      <c r="K53" s="211"/>
      <c r="L53" s="211"/>
      <c r="M53" s="211"/>
      <c r="N53" s="211"/>
      <c r="R53"/>
      <c r="S53" t="s">
        <v>246</v>
      </c>
      <c r="T53" t="s">
        <v>253</v>
      </c>
      <c r="U53" t="s">
        <v>260</v>
      </c>
    </row>
    <row r="54" spans="1:24" s="22" customFormat="1" hidden="1" x14ac:dyDescent="0.25">
      <c r="A54" s="174" t="s">
        <v>270</v>
      </c>
      <c r="B54" s="175"/>
      <c r="C54" s="131" t="str">
        <f>C53</f>
        <v>Mahanadi = Stilt + 1st to 7th Floor 
Ganga, Krishna = Stilt + 1st to 16th Floor</v>
      </c>
      <c r="D54" s="153"/>
      <c r="E54" s="132"/>
      <c r="F54" s="17" t="s">
        <v>39</v>
      </c>
      <c r="G54" s="131"/>
      <c r="H54" s="132"/>
      <c r="R54"/>
      <c r="S54" t="s">
        <v>245</v>
      </c>
      <c r="T54" t="s">
        <v>250</v>
      </c>
      <c r="U54" t="s">
        <v>247</v>
      </c>
      <c r="V54" t="s">
        <v>266</v>
      </c>
    </row>
    <row r="55" spans="1:24" s="22" customFormat="1" ht="32.25" hidden="1" customHeight="1" x14ac:dyDescent="0.25">
      <c r="A55" s="176"/>
      <c r="B55" s="177"/>
      <c r="C55" s="128"/>
      <c r="D55" s="129"/>
      <c r="E55" s="129"/>
      <c r="F55" s="129"/>
      <c r="G55" s="129"/>
      <c r="H55" s="130"/>
      <c r="R55"/>
      <c r="S55" t="s">
        <v>247</v>
      </c>
      <c r="T55" t="s">
        <v>251</v>
      </c>
      <c r="U55" t="s">
        <v>261</v>
      </c>
      <c r="V55" s="20"/>
      <c r="W55" s="20"/>
      <c r="X55" s="20"/>
    </row>
    <row r="56" spans="1:24" s="22" customFormat="1" ht="34.5" hidden="1" customHeight="1" x14ac:dyDescent="0.25">
      <c r="A56" s="174" t="s">
        <v>271</v>
      </c>
      <c r="B56" s="175"/>
      <c r="C56" s="131">
        <f>C55</f>
        <v>0</v>
      </c>
      <c r="D56" s="153"/>
      <c r="E56" s="132"/>
      <c r="F56" s="17" t="s">
        <v>39</v>
      </c>
      <c r="G56" s="131">
        <f>G55</f>
        <v>0</v>
      </c>
      <c r="H56" s="132"/>
      <c r="R56"/>
      <c r="S56" s="20"/>
      <c r="T56" t="s">
        <v>252</v>
      </c>
      <c r="U56" t="s">
        <v>262</v>
      </c>
      <c r="V56" s="20"/>
      <c r="W56" s="20"/>
      <c r="X56" s="20"/>
    </row>
    <row r="57" spans="1:24" s="22" customFormat="1" ht="41.25" hidden="1" customHeight="1" x14ac:dyDescent="0.25">
      <c r="A57" s="176"/>
      <c r="B57" s="177"/>
      <c r="C57" s="131"/>
      <c r="D57" s="153"/>
      <c r="E57" s="153"/>
      <c r="F57" s="153"/>
      <c r="G57" s="153"/>
      <c r="H57" s="132"/>
      <c r="R57"/>
      <c r="S57" s="20"/>
      <c r="T57" t="s">
        <v>254</v>
      </c>
      <c r="U57" t="s">
        <v>263</v>
      </c>
      <c r="V57" s="20"/>
      <c r="W57" s="20"/>
      <c r="X57" s="20"/>
    </row>
    <row r="58" spans="1:24" s="22" customFormat="1" ht="15.75" hidden="1" customHeight="1" x14ac:dyDescent="0.25">
      <c r="A58" s="174" t="s">
        <v>272</v>
      </c>
      <c r="B58" s="175"/>
      <c r="C58" s="131">
        <f>C57</f>
        <v>0</v>
      </c>
      <c r="D58" s="153"/>
      <c r="E58" s="132"/>
      <c r="F58" s="17" t="s">
        <v>39</v>
      </c>
      <c r="G58" s="131">
        <f>G57</f>
        <v>0</v>
      </c>
      <c r="H58" s="132"/>
      <c r="R58"/>
      <c r="S58" s="20"/>
      <c r="T58" t="s">
        <v>255</v>
      </c>
      <c r="U58" s="20" t="s">
        <v>286</v>
      </c>
      <c r="V58" s="20"/>
      <c r="W58" s="20"/>
      <c r="X58" s="20"/>
    </row>
    <row r="59" spans="1:24" s="22" customFormat="1" ht="33.75" hidden="1" customHeight="1" x14ac:dyDescent="0.25">
      <c r="A59" s="176"/>
      <c r="B59" s="177"/>
      <c r="C59" s="131"/>
      <c r="D59" s="153"/>
      <c r="E59" s="153"/>
      <c r="F59" s="153"/>
      <c r="G59" s="153"/>
      <c r="H59" s="132"/>
      <c r="R59"/>
      <c r="S59" s="20"/>
      <c r="T59" t="s">
        <v>256</v>
      </c>
      <c r="U59" s="20"/>
      <c r="V59" s="20"/>
      <c r="W59" s="20"/>
      <c r="X59" s="20"/>
    </row>
    <row r="60" spans="1:24" x14ac:dyDescent="0.25">
      <c r="A60" s="214" t="s">
        <v>41</v>
      </c>
      <c r="B60" s="215"/>
      <c r="C60" s="214" t="s">
        <v>101</v>
      </c>
      <c r="D60" s="216"/>
      <c r="E60" s="215"/>
      <c r="F60" s="44" t="s">
        <v>39</v>
      </c>
      <c r="G60" s="207" t="s">
        <v>27</v>
      </c>
      <c r="H60" s="208"/>
      <c r="R60"/>
      <c r="T60" t="s">
        <v>258</v>
      </c>
    </row>
    <row r="61" spans="1:24" x14ac:dyDescent="0.25">
      <c r="A61" s="169" t="s">
        <v>43</v>
      </c>
      <c r="B61" s="169"/>
      <c r="C61" s="169"/>
      <c r="D61" s="169"/>
      <c r="E61" s="169"/>
      <c r="F61" s="169"/>
      <c r="G61" s="169"/>
      <c r="H61" s="169"/>
      <c r="T61" t="s">
        <v>267</v>
      </c>
    </row>
    <row r="62" spans="1:24" x14ac:dyDescent="0.25">
      <c r="A62" s="159" t="s">
        <v>86</v>
      </c>
      <c r="B62" s="159"/>
      <c r="C62" s="159"/>
      <c r="D62" s="119">
        <f>1823.7+3804.4+2983.4</f>
        <v>8611.5</v>
      </c>
      <c r="E62" s="119"/>
      <c r="F62" s="119"/>
      <c r="G62" s="119"/>
      <c r="H62" s="119"/>
      <c r="R62"/>
    </row>
    <row r="63" spans="1:24" x14ac:dyDescent="0.25">
      <c r="A63" s="127" t="s">
        <v>44</v>
      </c>
      <c r="B63" s="119"/>
      <c r="C63" s="119"/>
      <c r="D63" s="119" t="s">
        <v>338</v>
      </c>
      <c r="E63" s="119"/>
      <c r="F63" s="119"/>
      <c r="G63" s="119"/>
      <c r="H63" s="119"/>
      <c r="I63" s="23"/>
      <c r="R63"/>
    </row>
    <row r="64" spans="1:24" ht="33" customHeight="1" x14ac:dyDescent="0.25">
      <c r="A64" s="122" t="s">
        <v>45</v>
      </c>
      <c r="B64" s="123"/>
      <c r="C64" s="124"/>
      <c r="D64" s="120" t="s">
        <v>334</v>
      </c>
      <c r="E64" s="121"/>
      <c r="F64" s="121"/>
      <c r="G64" s="121"/>
      <c r="H64" s="121"/>
      <c r="R64"/>
    </row>
    <row r="65" spans="1:19" ht="15.75" customHeight="1" x14ac:dyDescent="0.25">
      <c r="A65" s="122" t="s">
        <v>84</v>
      </c>
      <c r="B65" s="123"/>
      <c r="C65" s="123"/>
      <c r="D65" s="201" t="s">
        <v>327</v>
      </c>
      <c r="E65" s="202"/>
      <c r="F65" s="202"/>
      <c r="G65" s="202"/>
      <c r="H65" s="203"/>
      <c r="I65" s="220" t="s">
        <v>328</v>
      </c>
      <c r="R65"/>
    </row>
    <row r="66" spans="1:19" ht="15.75" customHeight="1" x14ac:dyDescent="0.25">
      <c r="A66" s="197"/>
      <c r="B66" s="198"/>
      <c r="C66" s="198"/>
      <c r="D66" s="204" t="s">
        <v>330</v>
      </c>
      <c r="E66" s="205"/>
      <c r="F66" s="205"/>
      <c r="G66" s="205"/>
      <c r="H66" s="206"/>
      <c r="I66" s="220"/>
      <c r="R66"/>
    </row>
    <row r="67" spans="1:19" ht="15.75" customHeight="1" x14ac:dyDescent="0.25">
      <c r="A67" s="199"/>
      <c r="B67" s="200"/>
      <c r="C67" s="200"/>
      <c r="D67" s="194" t="s">
        <v>331</v>
      </c>
      <c r="E67" s="195"/>
      <c r="F67" s="195"/>
      <c r="G67" s="195"/>
      <c r="H67" s="196"/>
      <c r="I67" s="220"/>
      <c r="S67"/>
    </row>
    <row r="68" spans="1:19" ht="15.75" customHeight="1" x14ac:dyDescent="0.25">
      <c r="A68" s="103" t="s">
        <v>42</v>
      </c>
      <c r="B68" s="103"/>
      <c r="C68" s="103"/>
      <c r="D68" s="140" t="s">
        <v>321</v>
      </c>
      <c r="E68" s="140"/>
      <c r="F68" s="140"/>
      <c r="G68" s="140"/>
      <c r="H68" s="140"/>
      <c r="J68" s="24"/>
      <c r="K68" s="23"/>
      <c r="N68" s="23"/>
      <c r="S68"/>
    </row>
    <row r="69" spans="1:19" ht="15.75" customHeight="1" x14ac:dyDescent="0.25">
      <c r="A69" s="103" t="s">
        <v>82</v>
      </c>
      <c r="B69" s="103"/>
      <c r="C69" s="103"/>
      <c r="D69" s="150" t="str">
        <f>(IF(G60="NA","60 Years After Completion",IF(G60&lt;&gt;"NA",""&amp;60-ROUNDDOWN((E3-G60)/360,0)&amp;" Years"," ")))</f>
        <v>60 Years After Completion</v>
      </c>
      <c r="E69" s="150"/>
      <c r="F69" s="150"/>
      <c r="G69" s="150"/>
      <c r="H69" s="150"/>
      <c r="N69" s="23"/>
      <c r="S69"/>
    </row>
    <row r="70" spans="1:19" ht="15.75" customHeight="1" x14ac:dyDescent="0.25">
      <c r="A70" s="103" t="s">
        <v>83</v>
      </c>
      <c r="B70" s="103"/>
      <c r="C70" s="103"/>
      <c r="D70" s="159" t="s">
        <v>22</v>
      </c>
      <c r="E70" s="159"/>
      <c r="F70" s="159"/>
      <c r="G70" s="159"/>
      <c r="H70" s="159"/>
      <c r="J70" s="25"/>
      <c r="K70" s="25"/>
      <c r="S70"/>
    </row>
    <row r="71" spans="1:19" ht="50.25" customHeight="1" x14ac:dyDescent="0.25">
      <c r="A71" s="119" t="s">
        <v>311</v>
      </c>
      <c r="B71" s="119"/>
      <c r="C71" s="119"/>
      <c r="D71" s="127" t="s">
        <v>324</v>
      </c>
      <c r="E71" s="127"/>
      <c r="F71" s="127"/>
      <c r="G71" s="127"/>
      <c r="H71" s="127"/>
      <c r="I71" s="69" t="s">
        <v>325</v>
      </c>
      <c r="S71"/>
    </row>
    <row r="72" spans="1:19" x14ac:dyDescent="0.25">
      <c r="A72" s="159" t="s">
        <v>142</v>
      </c>
      <c r="B72" s="159"/>
      <c r="C72" s="159"/>
      <c r="D72" s="159" t="s">
        <v>27</v>
      </c>
      <c r="E72" s="159"/>
      <c r="F72" s="159"/>
      <c r="G72" s="159"/>
      <c r="H72" s="159"/>
      <c r="I72" s="26"/>
      <c r="J72" s="26"/>
      <c r="K72" s="26"/>
      <c r="L72" s="26"/>
      <c r="M72" s="26"/>
      <c r="N72" s="26"/>
    </row>
    <row r="73" spans="1:19" ht="15.75" customHeight="1" x14ac:dyDescent="0.25">
      <c r="A73" s="103" t="s">
        <v>81</v>
      </c>
      <c r="B73" s="103"/>
      <c r="C73" s="103"/>
      <c r="D73" s="127" t="str">
        <f ca="1">(IF(G108&gt;95%,"Nothing",IF(G108&gt;0%,"Cement, Aggregate, Steel, etc",IF(G108=0%,"Work not yet Started"))))</f>
        <v>Cement, Aggregate, Steel, etc</v>
      </c>
      <c r="E73" s="127"/>
      <c r="F73" s="127"/>
      <c r="G73" s="127"/>
      <c r="H73" s="127"/>
      <c r="J73" s="25"/>
      <c r="S73"/>
    </row>
    <row r="74" spans="1:19" ht="33.75" customHeight="1" thickBot="1" x14ac:dyDescent="0.3">
      <c r="A74" s="159" t="s">
        <v>114</v>
      </c>
      <c r="B74" s="159"/>
      <c r="C74" s="159"/>
      <c r="D74" s="127" t="str">
        <f ca="1">(IF(D73="Nothing","Yes",IF(D73="Cement, Aggregate, Steel, etc","Under Construction",IF(D73="Work not yet Started","Work not yet Started"))))</f>
        <v>Under Construction</v>
      </c>
      <c r="E74" s="127"/>
      <c r="F74" s="127" t="str">
        <f ca="1">(IF(D73="Nothing","Yes",IF(D73="Cement, Aggregate, Steel, etc","Under Construction",IF(D73="Work not yet Started","Work not yet Started"))))</f>
        <v>Under Construction</v>
      </c>
      <c r="G74" s="127"/>
      <c r="H74" s="127"/>
      <c r="S74"/>
    </row>
    <row r="75" spans="1:19" ht="15.75" customHeight="1" x14ac:dyDescent="0.25">
      <c r="A75" s="164" t="s">
        <v>134</v>
      </c>
      <c r="B75" s="164"/>
      <c r="C75" s="164" t="str">
        <f>D65</f>
        <v xml:space="preserve">Mahanadi = Stilt + 1st to 8th Floor </v>
      </c>
      <c r="D75" s="164"/>
      <c r="E75" s="164"/>
      <c r="F75" s="164"/>
      <c r="G75" s="164"/>
      <c r="H75" s="164"/>
      <c r="I75" s="75" t="str">
        <f ca="1">IF(D88=100%,"All work Completed. Possession granted to the Building.",IF(D87=100%,"All work Completed, Waiting for OC",I76&amp;""&amp;I77&amp;""&amp;J76&amp;""&amp;J75&amp;" "&amp;J77))</f>
        <v xml:space="preserve">Excavation Completed, Footing work Completed </v>
      </c>
      <c r="J75" s="49"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25">
      <c r="A76" s="52" t="s">
        <v>136</v>
      </c>
      <c r="B76" s="52">
        <f>IF(AND(ISNUMBER(SEARCH("1B",C75))),1,IF(AND(ISNUMBER(SEARCH("2B",C75))),2,IF(AND(ISNUMBER(SEARCH("3B",C75))),3,IF(AND(ISNUMBER(SEARCH("4B",C75))),4,IF(ISNUMBER(SEARCH("5B",C75)),5,0)))))</f>
        <v>0</v>
      </c>
      <c r="C76" s="52" t="s">
        <v>68</v>
      </c>
      <c r="D76" s="52">
        <v>1</v>
      </c>
      <c r="E76" s="52" t="s">
        <v>67</v>
      </c>
      <c r="F76" s="52">
        <v>0</v>
      </c>
      <c r="G76" s="47" t="s">
        <v>75</v>
      </c>
      <c r="H76" s="52">
        <f ca="1">--TRIM(RIGHT(SUBSTITUTE(LEFT(C75,_xlfn.AGGREGATE(16,6,FIND({0,1,2,3,4,5,6,7,8,9},C75,ROW(INDIRECT("1:"&amp;LEN(C75)))),1))," ",REPT(" ",LEN(C75))),LEN(C75)))</f>
        <v>8</v>
      </c>
      <c r="I76" s="76" t="str">
        <f ca="1">IF(D79=100%,"Excavation","")&amp;IF(D80=100%,", Plinth","")&amp;IF(D81=100%,", RCC Slab","")&amp;IF(D82=100%,", Brickwork","")&amp;IF(D83=100%,", Internal Plaster","")&amp;IF(D84=100%,", External Plaster","")&amp;IF(D85=100%,", Flooring","")&amp;IF(D86=100%,", Painting","")&amp;IF(D87=100%,", Building common Amenities","")</f>
        <v>Excavation</v>
      </c>
      <c r="J76" s="51"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Footing work Completed</v>
      </c>
      <c r="S76"/>
    </row>
    <row r="77" spans="1:19" x14ac:dyDescent="0.25">
      <c r="A77" s="89" t="s">
        <v>85</v>
      </c>
      <c r="B77" s="89"/>
      <c r="C77" s="92" t="str">
        <f ca="1">I75</f>
        <v xml:space="preserve">Excavation Completed, Footing work Completed </v>
      </c>
      <c r="D77" s="92"/>
      <c r="E77" s="92"/>
      <c r="F77" s="92"/>
      <c r="G77" s="92"/>
      <c r="H77" s="92"/>
      <c r="I77" s="76" t="str">
        <f ca="1">IF(I76&lt;&gt;""," Completed","")</f>
        <v xml:space="preserve"> Completed</v>
      </c>
      <c r="J77" s="51" t="str">
        <f ca="1">IF(J75&lt;&gt;"","Completed","")</f>
        <v/>
      </c>
      <c r="S77"/>
    </row>
    <row r="78" spans="1:19" ht="15.75" customHeight="1" x14ac:dyDescent="0.25">
      <c r="A78" s="113" t="s">
        <v>46</v>
      </c>
      <c r="B78" s="88"/>
      <c r="C78" s="42" t="s">
        <v>133</v>
      </c>
      <c r="D78" s="42" t="s">
        <v>78</v>
      </c>
      <c r="E78" s="88" t="s">
        <v>80</v>
      </c>
      <c r="F78" s="88"/>
      <c r="G78" s="88" t="s">
        <v>79</v>
      </c>
      <c r="H78" s="165"/>
      <c r="I78" s="13" t="s">
        <v>135</v>
      </c>
      <c r="J78" s="27">
        <f ca="1">H76*25%</f>
        <v>2</v>
      </c>
      <c r="S78"/>
    </row>
    <row r="79" spans="1:19" x14ac:dyDescent="0.25">
      <c r="A79" s="113" t="s">
        <v>122</v>
      </c>
      <c r="B79" s="88"/>
      <c r="C79" s="42">
        <f ca="1">J80</f>
        <v>8</v>
      </c>
      <c r="D79" s="18">
        <f ca="1">((100/H76)*C79)/100</f>
        <v>1</v>
      </c>
      <c r="E79" s="141">
        <f ca="1">(((C80/H76*10)+(40/(D76+F76+H76)*C81)+(7.5/(H76)*C82)+(7.5/(H76)*C83)+(10/H76*C84)+(10/H76*C85)+(5/H76*C86)+(5/H76*C87)+(5/H76*C88))/100)</f>
        <v>0.05</v>
      </c>
      <c r="F79" s="142"/>
      <c r="G79" s="141">
        <f ca="1">((((C79/H76)*20)+((C80/H76)*25)+(30/(H76+F76+D76)*C81)+(5/H76*C82)+(5/H76*C83)+(5/H76*C84)+(5/H76*C85)+(0/H76*C86)+(0/H76*C87)+(5/H76*C88))/100)</f>
        <v>0.32500000000000001</v>
      </c>
      <c r="H79" s="147"/>
      <c r="I79" s="13" t="s">
        <v>96</v>
      </c>
      <c r="J79" s="28">
        <f ca="1">H76*50%</f>
        <v>4</v>
      </c>
    </row>
    <row r="80" spans="1:19" x14ac:dyDescent="0.25">
      <c r="A80" s="113" t="s">
        <v>47</v>
      </c>
      <c r="B80" s="88"/>
      <c r="C80" s="53">
        <f ca="1">J82</f>
        <v>4</v>
      </c>
      <c r="D80" s="18">
        <f ca="1">((100/H76)*C80)/100</f>
        <v>0.5</v>
      </c>
      <c r="E80" s="143"/>
      <c r="F80" s="144"/>
      <c r="G80" s="143"/>
      <c r="H80" s="148"/>
      <c r="I80" s="13" t="s">
        <v>97</v>
      </c>
      <c r="J80" s="28">
        <f ca="1">H76</f>
        <v>8</v>
      </c>
      <c r="S80"/>
    </row>
    <row r="81" spans="1:19" ht="15.75" customHeight="1" x14ac:dyDescent="0.25">
      <c r="A81" s="113" t="s">
        <v>123</v>
      </c>
      <c r="B81" s="88"/>
      <c r="C81" s="42">
        <v>0</v>
      </c>
      <c r="D81" s="18">
        <f ca="1">((100/(D76+F76+H76))*C81)/100</f>
        <v>0</v>
      </c>
      <c r="E81" s="143"/>
      <c r="F81" s="144"/>
      <c r="G81" s="143"/>
      <c r="H81" s="148"/>
      <c r="I81" s="13" t="s">
        <v>98</v>
      </c>
      <c r="J81" s="29">
        <f ca="1">(IF(B76&gt;1,(H76/(B76+2)),H76/4))</f>
        <v>2</v>
      </c>
      <c r="S81"/>
    </row>
    <row r="82" spans="1:19" ht="15.75" customHeight="1" x14ac:dyDescent="0.25">
      <c r="A82" s="113" t="s">
        <v>130</v>
      </c>
      <c r="B82" s="88" t="s">
        <v>124</v>
      </c>
      <c r="C82" s="42">
        <v>0</v>
      </c>
      <c r="D82" s="18">
        <f ca="1">((100/H76)*C82)/100</f>
        <v>0</v>
      </c>
      <c r="E82" s="143"/>
      <c r="F82" s="144"/>
      <c r="G82" s="143"/>
      <c r="H82" s="148"/>
      <c r="I82" s="13" t="s">
        <v>99</v>
      </c>
      <c r="J82" s="29">
        <f ca="1">(IF(B76&gt;1,(H76/(B76+2)+J81),H76/4+J81))</f>
        <v>4</v>
      </c>
    </row>
    <row r="83" spans="1:19" ht="15.75" customHeight="1" x14ac:dyDescent="0.25">
      <c r="A83" s="113" t="s">
        <v>131</v>
      </c>
      <c r="B83" s="88" t="s">
        <v>124</v>
      </c>
      <c r="C83" s="42">
        <v>0</v>
      </c>
      <c r="D83" s="18">
        <f ca="1">((100/H76)*C83)/100</f>
        <v>0</v>
      </c>
      <c r="E83" s="143"/>
      <c r="F83" s="144"/>
      <c r="G83" s="143"/>
      <c r="H83" s="148"/>
      <c r="I83" s="13" t="s">
        <v>140</v>
      </c>
      <c r="J83" s="29">
        <f>(IF(B76&gt;1,(H76/(B76+2)+J82),0))</f>
        <v>0</v>
      </c>
    </row>
    <row r="84" spans="1:19" ht="15" customHeight="1" x14ac:dyDescent="0.25">
      <c r="A84" s="113" t="s">
        <v>129</v>
      </c>
      <c r="B84" s="88" t="s">
        <v>126</v>
      </c>
      <c r="C84" s="42">
        <v>0</v>
      </c>
      <c r="D84" s="18">
        <f ca="1">((100/(H76))*C84)/100</f>
        <v>0</v>
      </c>
      <c r="E84" s="143"/>
      <c r="F84" s="144"/>
      <c r="G84" s="143"/>
      <c r="H84" s="148"/>
      <c r="I84" s="13" t="s">
        <v>137</v>
      </c>
      <c r="J84" s="29">
        <f>(IF(B76&gt;2,(H76/(B76+2)+J83),0))</f>
        <v>0</v>
      </c>
    </row>
    <row r="85" spans="1:19" ht="15.75" customHeight="1" x14ac:dyDescent="0.25">
      <c r="A85" s="113" t="s">
        <v>125</v>
      </c>
      <c r="B85" s="88" t="s">
        <v>125</v>
      </c>
      <c r="C85" s="42">
        <v>0</v>
      </c>
      <c r="D85" s="18">
        <f ca="1">((100/H76)*C85)/100</f>
        <v>0</v>
      </c>
      <c r="E85" s="143"/>
      <c r="F85" s="144"/>
      <c r="G85" s="143"/>
      <c r="H85" s="148"/>
      <c r="I85" s="13" t="s">
        <v>138</v>
      </c>
      <c r="J85" s="30">
        <f>(IF(B76&gt;3,(H76/(B76+2)+J84),0))</f>
        <v>0</v>
      </c>
    </row>
    <row r="86" spans="1:19" ht="15.75" customHeight="1" x14ac:dyDescent="0.25">
      <c r="A86" s="113" t="s">
        <v>132</v>
      </c>
      <c r="B86" s="88"/>
      <c r="C86" s="42">
        <v>0</v>
      </c>
      <c r="D86" s="18">
        <f ca="1">((100/H76)*C86)/100</f>
        <v>0</v>
      </c>
      <c r="E86" s="143"/>
      <c r="F86" s="144"/>
      <c r="G86" s="143"/>
      <c r="H86" s="148"/>
      <c r="I86" s="13" t="s">
        <v>139</v>
      </c>
      <c r="J86" s="29">
        <f>(IF(B76&gt;4,(H76/(B76+2)+J85),0))</f>
        <v>0</v>
      </c>
    </row>
    <row r="87" spans="1:19" ht="15.75" customHeight="1" x14ac:dyDescent="0.25">
      <c r="A87" s="113" t="s">
        <v>127</v>
      </c>
      <c r="B87" s="88" t="s">
        <v>127</v>
      </c>
      <c r="C87" s="42">
        <v>0</v>
      </c>
      <c r="D87" s="18">
        <f ca="1">((100/(H76))*C87)/100</f>
        <v>0</v>
      </c>
      <c r="E87" s="143"/>
      <c r="F87" s="144"/>
      <c r="G87" s="143"/>
      <c r="H87" s="148"/>
      <c r="I87" s="13" t="s">
        <v>141</v>
      </c>
      <c r="J87" s="29">
        <f ca="1">(IF(B76=1,(H76/(B76+3)+J82),IF(B76=0,(H76/4+J82),IF(B76&gt;1,0))))</f>
        <v>6</v>
      </c>
    </row>
    <row r="88" spans="1:19" ht="16.5" thickBot="1" x14ac:dyDescent="0.3">
      <c r="A88" s="90" t="s">
        <v>128</v>
      </c>
      <c r="B88" s="91"/>
      <c r="C88" s="43">
        <v>0</v>
      </c>
      <c r="D88" s="19">
        <f ca="1">((100/(H76))*C88)/100</f>
        <v>0</v>
      </c>
      <c r="E88" s="145"/>
      <c r="F88" s="146"/>
      <c r="G88" s="145"/>
      <c r="H88" s="149"/>
      <c r="I88" s="14" t="s">
        <v>100</v>
      </c>
      <c r="J88" s="31">
        <f ca="1">(IF(B76&gt;1.5,(H76/(B76+2)+J82+MAX(0,J83-J82)+MAX(0,J84-J83)+MAX(0,J85-J84)+MAX(0,J86-J85)+MAX(0,J87-J86)),IF(B76=1,(H76/(B76+3)+J87),IF(B76=0,H76/4+J87))))</f>
        <v>8</v>
      </c>
    </row>
    <row r="89" spans="1:19" ht="15.75" customHeight="1" x14ac:dyDescent="0.25">
      <c r="A89" s="114" t="s">
        <v>134</v>
      </c>
      <c r="B89" s="115"/>
      <c r="C89" s="116" t="str">
        <f>D66</f>
        <v>Ganga  = Stilt + 1st to 16th Floor</v>
      </c>
      <c r="D89" s="117"/>
      <c r="E89" s="117"/>
      <c r="F89" s="117"/>
      <c r="G89" s="117"/>
      <c r="H89" s="118"/>
      <c r="I89" s="48" t="str">
        <f ca="1">IF(D102=100%,"All work Completed. Possession granted to the Building.",IF(D101=100%,"All work Completed, Waiting for OC",I90&amp;""&amp;I91&amp;""&amp;J90&amp;""&amp;J89&amp;" "&amp;J91))</f>
        <v>All work Completed. Possession granted to the Building.</v>
      </c>
      <c r="J89" s="49"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x14ac:dyDescent="0.25">
      <c r="A90" s="15" t="s">
        <v>136</v>
      </c>
      <c r="B90" s="52">
        <f>IF(AND(ISNUMBER(SEARCH("1B",C89))),1,IF(AND(ISNUMBER(SEARCH("2B",C89))),2,IF(AND(ISNUMBER(SEARCH("3B",C89))),3,IF(AND(ISNUMBER(SEARCH("4B",C89))),4,IF(ISNUMBER(SEARCH("5B",C89)),5,0)))))</f>
        <v>0</v>
      </c>
      <c r="C90" s="46" t="s">
        <v>68</v>
      </c>
      <c r="D90" s="46">
        <v>1</v>
      </c>
      <c r="E90" s="46" t="s">
        <v>67</v>
      </c>
      <c r="F90" s="52">
        <v>0</v>
      </c>
      <c r="G90" s="47" t="s">
        <v>75</v>
      </c>
      <c r="H90" s="16">
        <f ca="1">--TRIM(RIGHT(SUBSTITUTE(LEFT(C89,_xlfn.AGGREGATE(16,6,FIND({0,1,2,3,4,5,6,7,8,9},C89,ROW(INDIRECT("1:"&amp;LEN(C89)))),1))," ",REPT(" ",LEN(C89))),LEN(C89)))</f>
        <v>16</v>
      </c>
      <c r="I90" s="50" t="str">
        <f ca="1">IF(D93=100%,"Excavation","")&amp;IF(D94=100%,", Plinth","")&amp;IF(D95=100%,", RCC Slab","")&amp;IF(D96=100%,", Brickwork","")&amp;IF(D97=100%,", Internal Plaster","")&amp;IF(D98=100%,", External Plaster","")&amp;IF(D99=100%,", Flooring","")&amp;IF(D100=100%,", Painting","")&amp;IF(D101=100%,", Building common Amenities","")</f>
        <v>Excavation, Plinth, RCC Slab, Brickwork, Internal Plaster, External Plaster, Flooring, Painting, Building common Amenities</v>
      </c>
      <c r="J90" s="51"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ht="16.5" thickBot="1" x14ac:dyDescent="0.3">
      <c r="A91" s="154" t="s">
        <v>85</v>
      </c>
      <c r="B91" s="89"/>
      <c r="C91" s="92" t="str">
        <f ca="1">(IF($G$60="NA",I89,"All work Completed. OC Received."))</f>
        <v>All work Completed. Possession granted to the Building.</v>
      </c>
      <c r="D91" s="92"/>
      <c r="E91" s="92"/>
      <c r="F91" s="92"/>
      <c r="G91" s="92"/>
      <c r="H91" s="125"/>
      <c r="I91" s="50" t="str">
        <f ca="1">IF(I90&lt;&gt;""," Completed","")</f>
        <v xml:space="preserve"> Completed</v>
      </c>
      <c r="J91" s="51" t="str">
        <f ca="1">IF(J89&lt;&gt;"","Completed","")</f>
        <v/>
      </c>
    </row>
    <row r="92" spans="1:19" ht="15.75" hidden="1" customHeight="1" x14ac:dyDescent="0.25">
      <c r="A92" s="113" t="s">
        <v>46</v>
      </c>
      <c r="B92" s="88"/>
      <c r="C92" s="42" t="s">
        <v>133</v>
      </c>
      <c r="D92" s="42" t="s">
        <v>78</v>
      </c>
      <c r="E92" s="88" t="s">
        <v>80</v>
      </c>
      <c r="F92" s="88"/>
      <c r="G92" s="88" t="s">
        <v>79</v>
      </c>
      <c r="H92" s="165"/>
      <c r="I92" s="13" t="s">
        <v>135</v>
      </c>
      <c r="J92" s="27">
        <f ca="1">H90*25%</f>
        <v>4</v>
      </c>
    </row>
    <row r="93" spans="1:19" hidden="1" x14ac:dyDescent="0.25">
      <c r="A93" s="113" t="s">
        <v>122</v>
      </c>
      <c r="B93" s="88"/>
      <c r="C93" s="42">
        <f ca="1">J94</f>
        <v>16</v>
      </c>
      <c r="D93" s="18">
        <f ca="1">((100/H90)*C93)/100</f>
        <v>1</v>
      </c>
      <c r="E93" s="141">
        <f ca="1">(((C94/H90*10)+(40/(D90+F90+H90)*C95)+(7.5/(H90)*C96)+(7.5/(H90)*C97)+(10/H90*C98)+(10/H90*C99)+(5/H90*C100)+(5/H90*C101)+(5/H90*C102))/100)</f>
        <v>1</v>
      </c>
      <c r="F93" s="142"/>
      <c r="G93" s="141">
        <f ca="1">((((C93/H90)*20)+((C94/H90)*25)+(30/(H90+F90+D90)*C95)+(5/H90*C96)+(5/H90*C97)+(5/H90*C98)+(5/H90*C99)+(0/H90*C100)+(0/H90*C101)+(5/H90*C102))/100)</f>
        <v>1</v>
      </c>
      <c r="H93" s="147"/>
      <c r="I93" s="13" t="s">
        <v>96</v>
      </c>
      <c r="J93" s="28">
        <f ca="1">H90*50%</f>
        <v>8</v>
      </c>
    </row>
    <row r="94" spans="1:19" hidden="1" x14ac:dyDescent="0.25">
      <c r="A94" s="113" t="s">
        <v>47</v>
      </c>
      <c r="B94" s="88"/>
      <c r="C94" s="53">
        <f ca="1">J102</f>
        <v>16</v>
      </c>
      <c r="D94" s="18">
        <f ca="1">((100/H90)*C94)/100</f>
        <v>1</v>
      </c>
      <c r="E94" s="143"/>
      <c r="F94" s="144"/>
      <c r="G94" s="143"/>
      <c r="H94" s="148"/>
      <c r="I94" s="13" t="s">
        <v>97</v>
      </c>
      <c r="J94" s="28">
        <f ca="1">H90</f>
        <v>16</v>
      </c>
    </row>
    <row r="95" spans="1:19" ht="15.75" hidden="1" customHeight="1" x14ac:dyDescent="0.25">
      <c r="A95" s="113" t="s">
        <v>123</v>
      </c>
      <c r="B95" s="88"/>
      <c r="C95" s="42">
        <v>17</v>
      </c>
      <c r="D95" s="18">
        <f ca="1">((100/(D90+F90+H90))*C95)/100</f>
        <v>1</v>
      </c>
      <c r="E95" s="143"/>
      <c r="F95" s="144"/>
      <c r="G95" s="143"/>
      <c r="H95" s="148"/>
      <c r="I95" s="13" t="s">
        <v>98</v>
      </c>
      <c r="J95" s="29">
        <f ca="1">(IF(B90&gt;1,(H90/(B90+2)),H90/4))</f>
        <v>4</v>
      </c>
    </row>
    <row r="96" spans="1:19" ht="15.75" hidden="1" customHeight="1" x14ac:dyDescent="0.25">
      <c r="A96" s="113" t="s">
        <v>130</v>
      </c>
      <c r="B96" s="88" t="s">
        <v>124</v>
      </c>
      <c r="C96" s="42">
        <v>16</v>
      </c>
      <c r="D96" s="18">
        <f ca="1">((100/H90)*C96)/100</f>
        <v>1</v>
      </c>
      <c r="E96" s="143"/>
      <c r="F96" s="144"/>
      <c r="G96" s="143"/>
      <c r="H96" s="148"/>
      <c r="I96" s="13" t="s">
        <v>99</v>
      </c>
      <c r="J96" s="29">
        <f ca="1">(IF(B90&gt;1,(H90/(B90+2)+J95),H90/4+J95))</f>
        <v>8</v>
      </c>
    </row>
    <row r="97" spans="1:10" ht="15.75" hidden="1" customHeight="1" x14ac:dyDescent="0.25">
      <c r="A97" s="113" t="s">
        <v>131</v>
      </c>
      <c r="B97" s="88" t="s">
        <v>124</v>
      </c>
      <c r="C97" s="42">
        <v>16</v>
      </c>
      <c r="D97" s="18">
        <f ca="1">((100/H90)*C97)/100</f>
        <v>1</v>
      </c>
      <c r="E97" s="143"/>
      <c r="F97" s="144"/>
      <c r="G97" s="143"/>
      <c r="H97" s="148"/>
      <c r="I97" s="13" t="s">
        <v>140</v>
      </c>
      <c r="J97" s="29">
        <f>(IF(B90&gt;1,(H90/(B90+2)+J96),0))</f>
        <v>0</v>
      </c>
    </row>
    <row r="98" spans="1:10" ht="15" hidden="1" customHeight="1" x14ac:dyDescent="0.25">
      <c r="A98" s="113" t="s">
        <v>129</v>
      </c>
      <c r="B98" s="88" t="s">
        <v>126</v>
      </c>
      <c r="C98" s="42">
        <v>16</v>
      </c>
      <c r="D98" s="18">
        <f ca="1">((100/(H90))*C98)/100</f>
        <v>1</v>
      </c>
      <c r="E98" s="143"/>
      <c r="F98" s="144"/>
      <c r="G98" s="143"/>
      <c r="H98" s="148"/>
      <c r="I98" s="13" t="s">
        <v>137</v>
      </c>
      <c r="J98" s="29">
        <f>(IF(B90&gt;2,(H90/(B90+2)+J97),0))</f>
        <v>0</v>
      </c>
    </row>
    <row r="99" spans="1:10" ht="15.75" hidden="1" customHeight="1" x14ac:dyDescent="0.25">
      <c r="A99" s="113" t="s">
        <v>125</v>
      </c>
      <c r="B99" s="88" t="s">
        <v>125</v>
      </c>
      <c r="C99" s="74">
        <v>16</v>
      </c>
      <c r="D99" s="18">
        <f ca="1">((100/H90)*C99)/100</f>
        <v>1</v>
      </c>
      <c r="E99" s="143"/>
      <c r="F99" s="144"/>
      <c r="G99" s="143"/>
      <c r="H99" s="148"/>
      <c r="I99" s="13" t="s">
        <v>138</v>
      </c>
      <c r="J99" s="30">
        <f>(IF(B90&gt;3,(H90/(B90+2)+J98),0))</f>
        <v>0</v>
      </c>
    </row>
    <row r="100" spans="1:10" ht="15.75" hidden="1" customHeight="1" x14ac:dyDescent="0.25">
      <c r="A100" s="113" t="s">
        <v>132</v>
      </c>
      <c r="B100" s="88"/>
      <c r="C100" s="74">
        <v>16</v>
      </c>
      <c r="D100" s="18">
        <f ca="1">((100/H90)*C100)/100</f>
        <v>1</v>
      </c>
      <c r="E100" s="143"/>
      <c r="F100" s="144"/>
      <c r="G100" s="143"/>
      <c r="H100" s="148"/>
      <c r="I100" s="13" t="s">
        <v>139</v>
      </c>
      <c r="J100" s="29">
        <f>(IF(B90&gt;4,(H90/(B90+2)+J99),0))</f>
        <v>0</v>
      </c>
    </row>
    <row r="101" spans="1:10" ht="15.75" hidden="1" customHeight="1" x14ac:dyDescent="0.25">
      <c r="A101" s="113" t="s">
        <v>127</v>
      </c>
      <c r="B101" s="88" t="s">
        <v>127</v>
      </c>
      <c r="C101" s="74">
        <v>16</v>
      </c>
      <c r="D101" s="18">
        <f ca="1">((100/(H90))*C101)/100</f>
        <v>1</v>
      </c>
      <c r="E101" s="143"/>
      <c r="F101" s="144"/>
      <c r="G101" s="143"/>
      <c r="H101" s="148"/>
      <c r="I101" s="13" t="s">
        <v>141</v>
      </c>
      <c r="J101" s="29">
        <f ca="1">(IF(B90=1,(H90/(B90+3)+J96),IF(B90=0,(H90/4+J96),IF(B90&gt;1,0))))</f>
        <v>12</v>
      </c>
    </row>
    <row r="102" spans="1:10" ht="16.5" hidden="1" thickBot="1" x14ac:dyDescent="0.3">
      <c r="A102" s="90" t="s">
        <v>128</v>
      </c>
      <c r="B102" s="91"/>
      <c r="C102" s="43">
        <v>16</v>
      </c>
      <c r="D102" s="19">
        <f ca="1">((100/(H90))*C102)/100</f>
        <v>1</v>
      </c>
      <c r="E102" s="145"/>
      <c r="F102" s="146"/>
      <c r="G102" s="145"/>
      <c r="H102" s="149"/>
      <c r="I102" s="14" t="s">
        <v>100</v>
      </c>
      <c r="J102" s="31">
        <f ca="1">(IF(B90&gt;1.5,(H90/(B90+2)+J96+MAX(0,J97-J96)+MAX(0,J98-J97)+MAX(0,J99-J98)+MAX(0,J100-J99)+MAX(0,J101-J100)),IF(B90=1,(H90/(B90+3)+J101),IF(B90=0,H90/4+J101))))</f>
        <v>16</v>
      </c>
    </row>
    <row r="103" spans="1:10" ht="32.25" customHeight="1" thickBot="1" x14ac:dyDescent="0.3">
      <c r="A103" s="94" t="s">
        <v>80</v>
      </c>
      <c r="B103" s="95"/>
      <c r="C103" s="96">
        <f ca="1">E93</f>
        <v>1</v>
      </c>
      <c r="D103" s="97"/>
      <c r="E103" s="98" t="s">
        <v>79</v>
      </c>
      <c r="F103" s="99"/>
      <c r="G103" s="98">
        <f ca="1">G93</f>
        <v>1</v>
      </c>
      <c r="H103" s="99"/>
      <c r="I103" s="14" t="s">
        <v>100</v>
      </c>
      <c r="J103" s="31">
        <f ca="1">(IF(B91&gt;1.5,(H91/(B91+2)+J97+MAX(0,J98-J97)+MAX(0,J99-J98)+MAX(0,J100-J99)+MAX(0,J101-J100)+MAX(0,J102-J101)),IF(B91=1,(H91/(B91+3)+J102),IF(B91=0,H91/4+J102))))</f>
        <v>16</v>
      </c>
    </row>
    <row r="104" spans="1:10" ht="15.75" customHeight="1" x14ac:dyDescent="0.25">
      <c r="A104" s="114" t="s">
        <v>134</v>
      </c>
      <c r="B104" s="115"/>
      <c r="C104" s="116" t="str">
        <f>D67</f>
        <v>Krishna = Stilt + 1st to 16th Floor</v>
      </c>
      <c r="D104" s="117"/>
      <c r="E104" s="117"/>
      <c r="F104" s="117"/>
      <c r="G104" s="117"/>
      <c r="H104" s="118"/>
      <c r="I104" s="48" t="str">
        <f ca="1">IF(D117=100%,"All work Completed. Possession granted to the Building.",IF(D116=100%,"All work Completed, Waiting for OC",I105&amp;""&amp;I106&amp;""&amp;J105&amp;""&amp;J104&amp;" "&amp;J106))</f>
        <v>Excavation, Plinth, RCC Slab, Brickwork, Internal Plaster Completed, External Plaster upto 12 Floor, Flooring upto 9 Floor, Painting upto 6 Floor Completed</v>
      </c>
      <c r="J104" s="49"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External Plaster upto 12 Floor, Flooring upto 9 Floor, Painting upto 6 Floor</v>
      </c>
    </row>
    <row r="105" spans="1:10" x14ac:dyDescent="0.25">
      <c r="A105" s="15" t="s">
        <v>136</v>
      </c>
      <c r="B105" s="52">
        <f>IF(AND(ISNUMBER(SEARCH("1B",C104))),1,IF(AND(ISNUMBER(SEARCH("2B",C104))),2,IF(AND(ISNUMBER(SEARCH("3B",C104))),3,IF(AND(ISNUMBER(SEARCH("4B",C104))),4,IF(ISNUMBER(SEARCH("5B",C104)),5,0)))))</f>
        <v>0</v>
      </c>
      <c r="C105" s="46" t="s">
        <v>68</v>
      </c>
      <c r="D105" s="46">
        <v>1</v>
      </c>
      <c r="E105" s="46" t="s">
        <v>67</v>
      </c>
      <c r="F105" s="52">
        <v>0</v>
      </c>
      <c r="G105" s="47" t="s">
        <v>75</v>
      </c>
      <c r="H105" s="16">
        <f ca="1">--TRIM(RIGHT(SUBSTITUTE(LEFT(C104,_xlfn.AGGREGATE(16,6,FIND({0,1,2,3,4,5,6,7,8,9},C104,ROW(INDIRECT("1:"&amp;LEN(C104)))),1))," ",REPT(" ",LEN(C104))),LEN(C104)))</f>
        <v>16</v>
      </c>
      <c r="I105" s="50" t="str">
        <f ca="1">IF(D108=100%,"Excavation","")&amp;IF(D109=100%,", Plinth","")&amp;IF(D110=100%,", RCC Slab","")&amp;IF(D111=100%,", Brickwork","")&amp;IF(D112=100%,", Internal Plaster","")&amp;IF(D113=100%,", External Plaster","")&amp;IF(D114=100%,", Flooring","")&amp;IF(D115=100%,", Painting","")&amp;IF(D116=100%,", Building common Amenities","")</f>
        <v>Excavation, Plinth, RCC Slab, Brickwork, Internal Plaster</v>
      </c>
      <c r="J105" s="51"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row>
    <row r="106" spans="1:10" ht="48.75" customHeight="1" x14ac:dyDescent="0.25">
      <c r="A106" s="89" t="s">
        <v>85</v>
      </c>
      <c r="B106" s="89"/>
      <c r="C106" s="92" t="str">
        <f ca="1">(IF($G$60="NA",I104,"All work Completed. OC Received."))</f>
        <v>Excavation, Plinth, RCC Slab, Brickwork, Internal Plaster Completed, External Plaster upto 12 Floor, Flooring upto 9 Floor, Painting upto 6 Floor Completed</v>
      </c>
      <c r="D106" s="92"/>
      <c r="E106" s="92"/>
      <c r="F106" s="92"/>
      <c r="G106" s="92"/>
      <c r="H106" s="92"/>
      <c r="I106" s="76" t="str">
        <f ca="1">IF(I105&lt;&gt;""," Completed","")</f>
        <v xml:space="preserve"> Completed</v>
      </c>
      <c r="J106" s="51" t="str">
        <f ca="1">IF(J104&lt;&gt;"","Completed","")</f>
        <v>Completed</v>
      </c>
    </row>
    <row r="107" spans="1:10" ht="15.75" customHeight="1" x14ac:dyDescent="0.25">
      <c r="A107" s="88" t="s">
        <v>46</v>
      </c>
      <c r="B107" s="88"/>
      <c r="C107" s="74" t="s">
        <v>133</v>
      </c>
      <c r="D107" s="74" t="s">
        <v>78</v>
      </c>
      <c r="E107" s="88" t="s">
        <v>80</v>
      </c>
      <c r="F107" s="88"/>
      <c r="G107" s="88" t="s">
        <v>79</v>
      </c>
      <c r="H107" s="88"/>
      <c r="I107" s="13" t="s">
        <v>135</v>
      </c>
      <c r="J107" s="27">
        <f ca="1">H105*25%</f>
        <v>4</v>
      </c>
    </row>
    <row r="108" spans="1:10" x14ac:dyDescent="0.25">
      <c r="A108" s="88" t="s">
        <v>122</v>
      </c>
      <c r="B108" s="88"/>
      <c r="C108" s="74">
        <f ca="1">J109</f>
        <v>16</v>
      </c>
      <c r="D108" s="18">
        <f ca="1">((100/H105)*C108)/100</f>
        <v>1</v>
      </c>
      <c r="E108" s="138">
        <f ca="1">(((C109/H105*10)+(40/(D105+F105+H105)*C110)+(7.5/(H105)*C111)+(7.5/(H105)*C112)+(10/H105*C113)+(10/H105*C114)+(5/H105*C115)+(5/H105*C116)+(5/H105*C117))/100)</f>
        <v>0.8</v>
      </c>
      <c r="F108" s="138"/>
      <c r="G108" s="138">
        <f ca="1">((((C108/H105)*20)+((C109/H105)*25)+(30/(H105+F105+D105)*C110)+(5/H105*C111)+(5/H105*C112)+(5/H105*C113)+(5/H105*C114)+(0/H105*C115)+(0/H105*C116)+(5/H105*C117))/100)</f>
        <v>0.91562500000000002</v>
      </c>
      <c r="H108" s="138"/>
      <c r="I108" s="13" t="s">
        <v>96</v>
      </c>
      <c r="J108" s="28">
        <f ca="1">H105*50%</f>
        <v>8</v>
      </c>
    </row>
    <row r="109" spans="1:10" x14ac:dyDescent="0.25">
      <c r="A109" s="88" t="s">
        <v>47</v>
      </c>
      <c r="B109" s="88"/>
      <c r="C109" s="74">
        <f ca="1">J117</f>
        <v>16</v>
      </c>
      <c r="D109" s="18">
        <f ca="1">((100/H105)*C109)/100</f>
        <v>1</v>
      </c>
      <c r="E109" s="138"/>
      <c r="F109" s="138"/>
      <c r="G109" s="138"/>
      <c r="H109" s="138"/>
      <c r="I109" s="13" t="s">
        <v>97</v>
      </c>
      <c r="J109" s="28">
        <f ca="1">H105</f>
        <v>16</v>
      </c>
    </row>
    <row r="110" spans="1:10" ht="15.75" customHeight="1" x14ac:dyDescent="0.25">
      <c r="A110" s="88" t="s">
        <v>123</v>
      </c>
      <c r="B110" s="88"/>
      <c r="C110" s="74">
        <v>17</v>
      </c>
      <c r="D110" s="18">
        <f ca="1">((100/(D105+F105+H105))*C110)/100</f>
        <v>1</v>
      </c>
      <c r="E110" s="138"/>
      <c r="F110" s="138"/>
      <c r="G110" s="138"/>
      <c r="H110" s="138"/>
      <c r="I110" s="13" t="s">
        <v>98</v>
      </c>
      <c r="J110" s="29">
        <f ca="1">(IF(B105&gt;1,(H105/(B105+2)),H105/4))</f>
        <v>4</v>
      </c>
    </row>
    <row r="111" spans="1:10" ht="15.75" customHeight="1" x14ac:dyDescent="0.25">
      <c r="A111" s="88" t="s">
        <v>130</v>
      </c>
      <c r="B111" s="88" t="s">
        <v>124</v>
      </c>
      <c r="C111" s="74">
        <v>16</v>
      </c>
      <c r="D111" s="18">
        <f ca="1">((100/H105)*C111)/100</f>
        <v>1</v>
      </c>
      <c r="E111" s="138"/>
      <c r="F111" s="138"/>
      <c r="G111" s="138"/>
      <c r="H111" s="138"/>
      <c r="I111" s="13" t="s">
        <v>99</v>
      </c>
      <c r="J111" s="29">
        <f ca="1">(IF(B105&gt;1,(H105/(B105+2)+J110),H105/4+J110))</f>
        <v>8</v>
      </c>
    </row>
    <row r="112" spans="1:10" ht="15.75" customHeight="1" x14ac:dyDescent="0.25">
      <c r="A112" s="88" t="s">
        <v>131</v>
      </c>
      <c r="B112" s="88" t="s">
        <v>124</v>
      </c>
      <c r="C112" s="74">
        <v>16</v>
      </c>
      <c r="D112" s="18">
        <f ca="1">((100/H105)*C112)/100</f>
        <v>1</v>
      </c>
      <c r="E112" s="138"/>
      <c r="F112" s="138"/>
      <c r="G112" s="138"/>
      <c r="H112" s="138"/>
      <c r="I112" s="13" t="s">
        <v>140</v>
      </c>
      <c r="J112" s="29">
        <f>(IF(B105&gt;1,(H105/(B105+2)+J111),0))</f>
        <v>0</v>
      </c>
    </row>
    <row r="113" spans="1:22" ht="15" customHeight="1" x14ac:dyDescent="0.25">
      <c r="A113" s="88" t="s">
        <v>129</v>
      </c>
      <c r="B113" s="88" t="s">
        <v>126</v>
      </c>
      <c r="C113" s="74">
        <v>12</v>
      </c>
      <c r="D113" s="18">
        <f ca="1">((100/(H105))*C113)/100</f>
        <v>0.75</v>
      </c>
      <c r="E113" s="138"/>
      <c r="F113" s="138"/>
      <c r="G113" s="138"/>
      <c r="H113" s="138"/>
      <c r="I113" s="13" t="s">
        <v>137</v>
      </c>
      <c r="J113" s="29">
        <f>(IF(B105&gt;2,(H105/(B105+2)+J112),0))</f>
        <v>0</v>
      </c>
    </row>
    <row r="114" spans="1:22" ht="15.75" customHeight="1" x14ac:dyDescent="0.25">
      <c r="A114" s="88" t="s">
        <v>125</v>
      </c>
      <c r="B114" s="88" t="s">
        <v>125</v>
      </c>
      <c r="C114" s="74">
        <v>9</v>
      </c>
      <c r="D114" s="18">
        <f ca="1">((100/H105)*C114)/100</f>
        <v>0.5625</v>
      </c>
      <c r="E114" s="138"/>
      <c r="F114" s="138"/>
      <c r="G114" s="138"/>
      <c r="H114" s="138"/>
      <c r="I114" s="13" t="s">
        <v>138</v>
      </c>
      <c r="J114" s="30">
        <f>(IF(B105&gt;3,(H105/(B105+2)+J113),0))</f>
        <v>0</v>
      </c>
    </row>
    <row r="115" spans="1:22" ht="15.75" customHeight="1" x14ac:dyDescent="0.25">
      <c r="A115" s="88" t="s">
        <v>132</v>
      </c>
      <c r="B115" s="88"/>
      <c r="C115" s="74">
        <v>6</v>
      </c>
      <c r="D115" s="18">
        <f ca="1">((100/H105)*C115)/100</f>
        <v>0.375</v>
      </c>
      <c r="E115" s="138"/>
      <c r="F115" s="138"/>
      <c r="G115" s="138"/>
      <c r="H115" s="138"/>
      <c r="I115" s="13" t="s">
        <v>139</v>
      </c>
      <c r="J115" s="29">
        <f>(IF(B105&gt;4,(H105/(B105+2)+J114),0))</f>
        <v>0</v>
      </c>
    </row>
    <row r="116" spans="1:22" ht="15.75" customHeight="1" x14ac:dyDescent="0.25">
      <c r="A116" s="88" t="s">
        <v>127</v>
      </c>
      <c r="B116" s="88" t="s">
        <v>127</v>
      </c>
      <c r="C116" s="74">
        <v>0</v>
      </c>
      <c r="D116" s="18">
        <f ca="1">((100/(H105))*C116)/100</f>
        <v>0</v>
      </c>
      <c r="E116" s="138"/>
      <c r="F116" s="138"/>
      <c r="G116" s="138"/>
      <c r="H116" s="138"/>
      <c r="I116" s="13" t="s">
        <v>141</v>
      </c>
      <c r="J116" s="29">
        <f ca="1">(IF(B105=1,(H105/(B105+3)+J111),IF(B105=0,(H105/4+J111),IF(B105&gt;1,0))))</f>
        <v>12</v>
      </c>
    </row>
    <row r="117" spans="1:22" ht="16.5" thickBot="1" x14ac:dyDescent="0.3">
      <c r="A117" s="88" t="s">
        <v>128</v>
      </c>
      <c r="B117" s="88"/>
      <c r="C117" s="74">
        <v>0</v>
      </c>
      <c r="D117" s="18">
        <f ca="1">((100/(H105))*C117)/100</f>
        <v>0</v>
      </c>
      <c r="E117" s="138"/>
      <c r="F117" s="138"/>
      <c r="G117" s="138"/>
      <c r="H117" s="138"/>
      <c r="I117" s="14" t="s">
        <v>100</v>
      </c>
      <c r="J117" s="31">
        <f ca="1">(IF(B105&gt;1.5,(H105/(B105+2)+J111+MAX(0,J112-J111)+MAX(0,J113-J112)+MAX(0,J114-J113)+MAX(0,J115-J114)+MAX(0,J116-J115)),IF(B105=1,(H105/(B105+3)+J116),IF(B105=0,H105/4+J116))))</f>
        <v>16</v>
      </c>
    </row>
    <row r="118" spans="1:22" x14ac:dyDescent="0.25">
      <c r="A118" s="112" t="s">
        <v>148</v>
      </c>
      <c r="B118" s="112"/>
      <c r="C118" s="112"/>
      <c r="D118" s="112"/>
      <c r="E118" s="112"/>
      <c r="F118" s="93" t="s">
        <v>152</v>
      </c>
      <c r="G118" s="93"/>
      <c r="H118" s="93"/>
      <c r="R118" t="s">
        <v>242</v>
      </c>
      <c r="S118" t="s">
        <v>164</v>
      </c>
      <c r="T118" t="s">
        <v>168</v>
      </c>
      <c r="U118" t="s">
        <v>183</v>
      </c>
      <c r="V118" t="s">
        <v>178</v>
      </c>
    </row>
    <row r="119" spans="1:22" x14ac:dyDescent="0.25">
      <c r="A119" s="103" t="s">
        <v>150</v>
      </c>
      <c r="B119" s="103"/>
      <c r="C119" s="103"/>
      <c r="D119" s="103"/>
      <c r="E119" s="103"/>
      <c r="F119" s="104">
        <v>5750</v>
      </c>
      <c r="G119" s="104"/>
      <c r="H119" s="104"/>
      <c r="J119" s="71" t="s">
        <v>340</v>
      </c>
      <c r="K119" s="72"/>
      <c r="L119" s="71"/>
      <c r="R119"/>
      <c r="S119">
        <v>800000</v>
      </c>
      <c r="T119">
        <v>300000</v>
      </c>
      <c r="U119">
        <v>100000</v>
      </c>
      <c r="V119">
        <v>100000</v>
      </c>
    </row>
    <row r="120" spans="1:22" hidden="1" x14ac:dyDescent="0.25">
      <c r="A120" s="103" t="s">
        <v>149</v>
      </c>
      <c r="B120" s="103"/>
      <c r="C120" s="103"/>
      <c r="D120" s="103"/>
      <c r="E120" s="103"/>
      <c r="F120" s="104"/>
      <c r="G120" s="104"/>
      <c r="H120" s="104"/>
      <c r="R120"/>
      <c r="S120">
        <v>900000</v>
      </c>
      <c r="T120">
        <v>350000</v>
      </c>
      <c r="U120">
        <v>150000</v>
      </c>
      <c r="V120">
        <v>150000</v>
      </c>
    </row>
    <row r="121" spans="1:22" hidden="1" x14ac:dyDescent="0.25">
      <c r="A121" s="103" t="s">
        <v>151</v>
      </c>
      <c r="B121" s="103"/>
      <c r="C121" s="103"/>
      <c r="D121" s="103"/>
      <c r="E121" s="103"/>
      <c r="F121" s="104"/>
      <c r="G121" s="104"/>
      <c r="H121" s="104"/>
      <c r="R121"/>
      <c r="S121">
        <v>1000000</v>
      </c>
      <c r="T121">
        <v>400000</v>
      </c>
      <c r="U121">
        <v>200000</v>
      </c>
      <c r="V121">
        <v>200000</v>
      </c>
    </row>
    <row r="122" spans="1:22" s="32" customFormat="1" hidden="1" x14ac:dyDescent="0.25">
      <c r="A122" s="103" t="s">
        <v>166</v>
      </c>
      <c r="B122" s="103"/>
      <c r="C122" s="103"/>
      <c r="D122" s="103"/>
      <c r="E122" s="103"/>
      <c r="F122" s="104"/>
      <c r="G122" s="104"/>
      <c r="H122" s="104"/>
      <c r="R122"/>
      <c r="S122">
        <v>1100000</v>
      </c>
      <c r="T122">
        <v>500000</v>
      </c>
      <c r="U122">
        <v>250000</v>
      </c>
      <c r="V122" s="22">
        <v>250000</v>
      </c>
    </row>
    <row r="123" spans="1:22" s="32" customFormat="1" x14ac:dyDescent="0.25">
      <c r="A123" s="103" t="s">
        <v>90</v>
      </c>
      <c r="B123" s="103"/>
      <c r="C123" s="103"/>
      <c r="D123" s="103"/>
      <c r="E123" s="103"/>
      <c r="F123" s="104">
        <v>300000</v>
      </c>
      <c r="G123" s="104"/>
      <c r="H123" s="104"/>
      <c r="R123"/>
      <c r="S123">
        <v>1200000</v>
      </c>
      <c r="T123">
        <v>600000</v>
      </c>
      <c r="U123">
        <v>300000</v>
      </c>
      <c r="V123">
        <v>300000</v>
      </c>
    </row>
    <row r="124" spans="1:22" s="32" customFormat="1" hidden="1" x14ac:dyDescent="0.25">
      <c r="A124" s="103" t="s">
        <v>91</v>
      </c>
      <c r="B124" s="103"/>
      <c r="C124" s="103"/>
      <c r="D124" s="103"/>
      <c r="E124" s="103"/>
      <c r="F124" s="104"/>
      <c r="G124" s="104"/>
      <c r="H124" s="104"/>
      <c r="R124"/>
      <c r="S124">
        <v>1300000</v>
      </c>
      <c r="T124">
        <v>700000</v>
      </c>
      <c r="U124">
        <v>350000</v>
      </c>
      <c r="V124" s="22">
        <v>400000</v>
      </c>
    </row>
    <row r="125" spans="1:22" s="32" customFormat="1" hidden="1" x14ac:dyDescent="0.25">
      <c r="A125" s="103" t="s">
        <v>92</v>
      </c>
      <c r="B125" s="103"/>
      <c r="C125" s="103"/>
      <c r="D125" s="103"/>
      <c r="E125" s="103"/>
      <c r="F125" s="104"/>
      <c r="G125" s="104"/>
      <c r="H125" s="104"/>
      <c r="R125"/>
      <c r="S125">
        <v>1400000</v>
      </c>
      <c r="T125">
        <v>800000</v>
      </c>
      <c r="U125">
        <v>400000</v>
      </c>
      <c r="V125"/>
    </row>
    <row r="126" spans="1:22" s="32" customFormat="1" hidden="1" x14ac:dyDescent="0.25">
      <c r="A126" s="103" t="s">
        <v>93</v>
      </c>
      <c r="B126" s="103"/>
      <c r="C126" s="103"/>
      <c r="D126" s="103"/>
      <c r="E126" s="103"/>
      <c r="F126" s="104"/>
      <c r="G126" s="104"/>
      <c r="H126" s="104"/>
      <c r="R126"/>
      <c r="S126">
        <v>1500000</v>
      </c>
      <c r="T126">
        <v>900000</v>
      </c>
      <c r="U126">
        <v>500000</v>
      </c>
      <c r="V126" s="22"/>
    </row>
    <row r="127" spans="1:22" s="32" customFormat="1" hidden="1" x14ac:dyDescent="0.25">
      <c r="A127" s="103" t="s">
        <v>94</v>
      </c>
      <c r="B127" s="103"/>
      <c r="C127" s="103"/>
      <c r="D127" s="103"/>
      <c r="E127" s="103"/>
      <c r="F127" s="104"/>
      <c r="G127" s="104"/>
      <c r="H127" s="104"/>
      <c r="R127"/>
      <c r="S127">
        <v>1600000</v>
      </c>
      <c r="T127">
        <v>1000000</v>
      </c>
      <c r="U127">
        <v>600000</v>
      </c>
      <c r="V127"/>
    </row>
    <row r="128" spans="1:22" s="32" customFormat="1" hidden="1" x14ac:dyDescent="0.25">
      <c r="A128" s="103" t="s">
        <v>95</v>
      </c>
      <c r="B128" s="103"/>
      <c r="C128" s="103"/>
      <c r="D128" s="103"/>
      <c r="E128" s="103"/>
      <c r="F128" s="104"/>
      <c r="G128" s="104"/>
      <c r="H128" s="104"/>
      <c r="R128"/>
      <c r="S128">
        <v>1700000</v>
      </c>
      <c r="T128"/>
      <c r="U128"/>
      <c r="V128" s="22"/>
    </row>
    <row r="129" spans="1:22" x14ac:dyDescent="0.25">
      <c r="A129" s="103" t="s">
        <v>48</v>
      </c>
      <c r="B129" s="103"/>
      <c r="C129" s="103"/>
      <c r="D129" s="103"/>
      <c r="E129" s="103"/>
      <c r="F129" s="104">
        <v>250000</v>
      </c>
      <c r="G129" s="104"/>
      <c r="H129" s="104"/>
      <c r="R129"/>
      <c r="S129">
        <v>1800000</v>
      </c>
      <c r="T129"/>
      <c r="U129"/>
    </row>
    <row r="130" spans="1:22" s="33" customFormat="1" x14ac:dyDescent="0.25">
      <c r="A130" s="112" t="s">
        <v>49</v>
      </c>
      <c r="B130" s="112"/>
      <c r="C130" s="112"/>
      <c r="D130" s="112"/>
      <c r="E130" s="112"/>
      <c r="F130" s="104">
        <f>F119*0.8</f>
        <v>4600</v>
      </c>
      <c r="G130" s="104"/>
      <c r="H130" s="104"/>
      <c r="R130" s="20"/>
      <c r="S130" s="20"/>
      <c r="T130"/>
      <c r="U130"/>
      <c r="V130" s="20"/>
    </row>
    <row r="131" spans="1:22" s="34" customFormat="1" x14ac:dyDescent="0.25">
      <c r="A131" s="168" t="s">
        <v>66</v>
      </c>
      <c r="B131" s="168"/>
      <c r="C131" s="168"/>
      <c r="D131" s="168"/>
      <c r="E131" s="168"/>
      <c r="F131" s="168"/>
      <c r="G131" s="168"/>
      <c r="H131" s="168"/>
      <c r="T131"/>
    </row>
    <row r="132" spans="1:22" s="34" customFormat="1" ht="15.75" customHeight="1" x14ac:dyDescent="0.25">
      <c r="A132" s="170" t="s">
        <v>50</v>
      </c>
      <c r="B132" s="170"/>
      <c r="C132" s="217" t="s">
        <v>73</v>
      </c>
      <c r="D132" s="217"/>
      <c r="E132" s="107" t="s">
        <v>51</v>
      </c>
      <c r="F132" s="107"/>
      <c r="G132" s="170" t="s">
        <v>52</v>
      </c>
      <c r="H132" s="170"/>
      <c r="T132"/>
    </row>
    <row r="133" spans="1:22" s="34" customFormat="1" x14ac:dyDescent="0.25">
      <c r="A133" s="80" t="s">
        <v>312</v>
      </c>
      <c r="B133" s="80"/>
      <c r="C133" s="81">
        <f>COUNT(F144:F147)*7</f>
        <v>28</v>
      </c>
      <c r="D133" s="81"/>
      <c r="E133" s="79">
        <f>SUM(F144:F147)*7</f>
        <v>10409.326200000001</v>
      </c>
      <c r="F133" s="79"/>
      <c r="G133" s="79">
        <f>SUM(H144:H147)*7</f>
        <v>15613.989300000003</v>
      </c>
      <c r="H133" s="79"/>
      <c r="T133"/>
    </row>
    <row r="134" spans="1:22" s="34" customFormat="1" x14ac:dyDescent="0.25">
      <c r="A134" s="80" t="s">
        <v>316</v>
      </c>
      <c r="B134" s="80"/>
      <c r="C134" s="81">
        <f>COUNT(F151:F156)*14+COUNT(F158:F161,F163)*2</f>
        <v>94</v>
      </c>
      <c r="D134" s="81"/>
      <c r="E134" s="79">
        <f>SUM(F151:F156)*14+SUM(F158:F161,F163)*2</f>
        <v>37677.498299999999</v>
      </c>
      <c r="F134" s="79"/>
      <c r="G134" s="79">
        <f>SUM(H151:H156)*14+SUM(H158:H161,H163)*2</f>
        <v>56516.247449999995</v>
      </c>
      <c r="H134" s="79"/>
    </row>
    <row r="135" spans="1:22" s="34" customFormat="1" ht="16.5" thickBot="1" x14ac:dyDescent="0.3">
      <c r="A135" s="80" t="s">
        <v>318</v>
      </c>
      <c r="B135" s="80"/>
      <c r="C135" s="81">
        <f>COUNT(F167:F172)*14+COUNT(F174:F177,F179)*2</f>
        <v>94</v>
      </c>
      <c r="D135" s="81"/>
      <c r="E135" s="79">
        <f>SUM(F167:F172)*14+SUM(F174:F177,F179)*2</f>
        <v>32329.221912000005</v>
      </c>
      <c r="F135" s="79"/>
      <c r="G135" s="79">
        <f>SUM(H167:H172)*14+SUM(H174:H177,H179)*2</f>
        <v>48493.83286799999</v>
      </c>
      <c r="H135" s="79"/>
    </row>
    <row r="136" spans="1:22" s="34" customFormat="1" ht="16.5" thickBot="1" x14ac:dyDescent="0.3">
      <c r="A136" s="179" t="s">
        <v>158</v>
      </c>
      <c r="B136" s="180"/>
      <c r="C136" s="181">
        <f>SUM(C133:D135)</f>
        <v>216</v>
      </c>
      <c r="D136" s="181"/>
      <c r="E136" s="111">
        <f t="shared" ref="E136" si="0">SUM(E133:F135)</f>
        <v>80416.046412000011</v>
      </c>
      <c r="F136" s="111"/>
      <c r="G136" s="111">
        <f t="shared" ref="G136" si="1">SUM(G133:H135)</f>
        <v>120624.06961799998</v>
      </c>
      <c r="H136" s="111"/>
    </row>
    <row r="137" spans="1:22" s="33" customFormat="1" x14ac:dyDescent="0.25">
      <c r="A137" s="108" t="s">
        <v>53</v>
      </c>
      <c r="B137" s="108"/>
      <c r="C137" s="108"/>
      <c r="D137" s="108"/>
      <c r="E137" s="108"/>
      <c r="F137" s="108"/>
      <c r="G137" s="108"/>
      <c r="H137" s="108"/>
      <c r="T137" s="34"/>
    </row>
    <row r="138" spans="1:22" x14ac:dyDescent="0.25">
      <c r="A138" s="155" t="s">
        <v>319</v>
      </c>
      <c r="B138" s="155"/>
      <c r="C138" s="155"/>
      <c r="D138" s="155"/>
      <c r="E138" s="155"/>
      <c r="F138" s="155"/>
      <c r="G138" s="155"/>
      <c r="H138" s="155"/>
      <c r="T138" s="34"/>
    </row>
    <row r="139" spans="1:22" ht="47.25" customHeight="1" x14ac:dyDescent="0.25">
      <c r="A139" s="109" t="s">
        <v>115</v>
      </c>
      <c r="B139" s="77" t="s">
        <v>167</v>
      </c>
      <c r="C139" s="77" t="s">
        <v>54</v>
      </c>
      <c r="D139" s="77" t="s">
        <v>221</v>
      </c>
      <c r="E139" s="77" t="s">
        <v>322</v>
      </c>
      <c r="F139" s="77" t="s">
        <v>55</v>
      </c>
      <c r="G139" s="171" t="s">
        <v>56</v>
      </c>
      <c r="H139" s="57" t="s">
        <v>143</v>
      </c>
      <c r="I139" s="35"/>
      <c r="T139" s="36"/>
    </row>
    <row r="140" spans="1:22" s="36" customFormat="1" x14ac:dyDescent="0.25">
      <c r="A140" s="110"/>
      <c r="B140" s="78"/>
      <c r="C140" s="78"/>
      <c r="D140" s="78"/>
      <c r="E140" s="78"/>
      <c r="F140" s="78"/>
      <c r="G140" s="172"/>
      <c r="H140" s="68">
        <v>0.5</v>
      </c>
      <c r="I140" s="66">
        <v>10.763999999999999</v>
      </c>
    </row>
    <row r="141" spans="1:22" s="67" customFormat="1" x14ac:dyDescent="0.25">
      <c r="A141" s="82" t="s">
        <v>312</v>
      </c>
      <c r="B141" s="83"/>
      <c r="C141" s="83"/>
      <c r="D141" s="83"/>
      <c r="E141" s="83"/>
      <c r="F141" s="83"/>
      <c r="G141" s="83"/>
      <c r="H141" s="84"/>
      <c r="J141" s="35"/>
    </row>
    <row r="142" spans="1:22" s="67" customFormat="1" x14ac:dyDescent="0.25">
      <c r="A142" s="85" t="s">
        <v>313</v>
      </c>
      <c r="B142" s="86"/>
      <c r="C142" s="86"/>
      <c r="D142" s="86"/>
      <c r="E142" s="86"/>
      <c r="F142" s="86"/>
      <c r="G142" s="86"/>
      <c r="H142" s="87"/>
      <c r="J142" s="35"/>
    </row>
    <row r="143" spans="1:22" s="36" customFormat="1" x14ac:dyDescent="0.25">
      <c r="A143" s="85" t="s">
        <v>314</v>
      </c>
      <c r="B143" s="86"/>
      <c r="C143" s="86"/>
      <c r="D143" s="86"/>
      <c r="E143" s="86"/>
      <c r="F143" s="86"/>
      <c r="G143" s="86"/>
      <c r="H143" s="87"/>
      <c r="J143" s="35"/>
    </row>
    <row r="144" spans="1:22" s="36" customFormat="1" ht="15.75" customHeight="1" x14ac:dyDescent="0.25">
      <c r="A144" s="105">
        <v>1</v>
      </c>
      <c r="B144" s="106"/>
      <c r="C144" s="41" t="s">
        <v>315</v>
      </c>
      <c r="D144" s="66">
        <f>(2.75*3.8+2*2.45+3.35*2.75+1.2*2.2+1.4*0.9)*10.764</f>
        <v>306.37035000000003</v>
      </c>
      <c r="E144" s="66">
        <f>(0.75*(2+2.75+2.75+1.2))*10.764</f>
        <v>70.235099999999989</v>
      </c>
      <c r="F144" s="41">
        <f>D144+E144</f>
        <v>376.60545000000002</v>
      </c>
      <c r="G144" s="56">
        <v>0</v>
      </c>
      <c r="H144" s="56">
        <f>F144*(($H$140)+1)+(IF(G144&lt;101,G144,IF(G144&lt;201,G144/2,IF(G144&lt;=301,G144/3,G144/4))))</f>
        <v>564.90817500000003</v>
      </c>
      <c r="I144" s="35"/>
      <c r="J144" s="36">
        <f>2705000/H144</f>
        <v>4788.3888385931041</v>
      </c>
      <c r="L144" s="209"/>
      <c r="M144" s="209"/>
      <c r="N144" s="35"/>
      <c r="T144" s="20"/>
    </row>
    <row r="145" spans="1:20" s="36" customFormat="1" ht="15.75" customHeight="1" x14ac:dyDescent="0.25">
      <c r="A145" s="105">
        <f>A144+1</f>
        <v>2</v>
      </c>
      <c r="B145" s="106"/>
      <c r="C145" s="66" t="s">
        <v>315</v>
      </c>
      <c r="D145" s="66">
        <f>(2.75*3.8+2*2.45+3.35*2.75+1.2*2.2+1.4*0.9)*10.764</f>
        <v>306.37035000000003</v>
      </c>
      <c r="E145" s="66">
        <f>(0.75*(2+2.75+2.75))*10.764</f>
        <v>60.547499999999999</v>
      </c>
      <c r="F145" s="56">
        <f>D145+E145</f>
        <v>366.91785000000004</v>
      </c>
      <c r="G145" s="56">
        <v>0</v>
      </c>
      <c r="H145" s="56">
        <f>F145*(($H$140)+1)+(IF(G145&lt;101,G145,IF(G145&lt;201,G145/2,IF(G145&lt;=301,G145/3,G145/4))))</f>
        <v>550.37677500000007</v>
      </c>
      <c r="I145" s="35"/>
      <c r="L145" s="209"/>
      <c r="M145" s="209"/>
      <c r="N145" s="35"/>
    </row>
    <row r="146" spans="1:20" s="36" customFormat="1" ht="15.75" customHeight="1" x14ac:dyDescent="0.25">
      <c r="A146" s="105">
        <f>A145+1</f>
        <v>3</v>
      </c>
      <c r="B146" s="106"/>
      <c r="C146" s="66" t="s">
        <v>315</v>
      </c>
      <c r="D146" s="66">
        <f>(2.75*3.8+2*2.45+3.35*2.75+1.2*2.2+1.4*0.9)*10.764</f>
        <v>306.37035000000003</v>
      </c>
      <c r="E146" s="66">
        <f>(0.75*(2+2.75+2.75))*10.764</f>
        <v>60.547499999999999</v>
      </c>
      <c r="F146" s="56">
        <f>D146+E146</f>
        <v>366.91785000000004</v>
      </c>
      <c r="G146" s="56">
        <v>0</v>
      </c>
      <c r="H146" s="56">
        <f>F146*(($H$140)+1)+(IF(G146&lt;101,G146,IF(G146&lt;201,G146/2,IF(G146&lt;=301,G146/3,G146/4))))</f>
        <v>550.37677500000007</v>
      </c>
      <c r="I146" s="35"/>
      <c r="L146" s="209"/>
      <c r="M146" s="209"/>
      <c r="N146" s="35"/>
    </row>
    <row r="147" spans="1:20" s="36" customFormat="1" ht="15.75" customHeight="1" x14ac:dyDescent="0.25">
      <c r="A147" s="105">
        <f>A146+1</f>
        <v>4</v>
      </c>
      <c r="B147" s="106"/>
      <c r="C147" s="66" t="s">
        <v>315</v>
      </c>
      <c r="D147" s="66">
        <f>(2.75*3.8+2*2.45+3.35*2.75+1.2*2.2+1.4*0.9)*10.764</f>
        <v>306.37035000000003</v>
      </c>
      <c r="E147" s="66">
        <f>(0.75*(2+2.75+2.75+1.2))*10.764</f>
        <v>70.235099999999989</v>
      </c>
      <c r="F147" s="56">
        <f>D147+E147</f>
        <v>376.60545000000002</v>
      </c>
      <c r="G147" s="56">
        <v>0</v>
      </c>
      <c r="H147" s="56">
        <f>F147*(($H$140)+1)+(IF(G147&lt;101,G147,IF(G147&lt;201,G147/2,IF(G147&lt;=301,G147/3,G147/4))))</f>
        <v>564.90817500000003</v>
      </c>
      <c r="I147" s="35"/>
      <c r="L147" s="209"/>
      <c r="M147" s="209"/>
      <c r="N147" s="35"/>
    </row>
    <row r="148" spans="1:20" s="67" customFormat="1" x14ac:dyDescent="0.25">
      <c r="A148" s="82" t="s">
        <v>316</v>
      </c>
      <c r="B148" s="83"/>
      <c r="C148" s="83"/>
      <c r="D148" s="83"/>
      <c r="E148" s="83"/>
      <c r="F148" s="83"/>
      <c r="G148" s="83"/>
      <c r="H148" s="84"/>
      <c r="J148" s="35"/>
    </row>
    <row r="149" spans="1:20" s="67" customFormat="1" x14ac:dyDescent="0.25">
      <c r="A149" s="85" t="s">
        <v>313</v>
      </c>
      <c r="B149" s="86"/>
      <c r="C149" s="86"/>
      <c r="D149" s="86"/>
      <c r="E149" s="86"/>
      <c r="F149" s="86"/>
      <c r="G149" s="86"/>
      <c r="H149" s="87"/>
      <c r="J149" s="35"/>
    </row>
    <row r="150" spans="1:20" s="67" customFormat="1" x14ac:dyDescent="0.25">
      <c r="A150" s="85" t="s">
        <v>337</v>
      </c>
      <c r="B150" s="86"/>
      <c r="C150" s="86"/>
      <c r="D150" s="86"/>
      <c r="E150" s="86"/>
      <c r="F150" s="86"/>
      <c r="G150" s="86"/>
      <c r="H150" s="87"/>
      <c r="J150" s="35"/>
    </row>
    <row r="151" spans="1:20" s="67" customFormat="1" ht="15.75" customHeight="1" x14ac:dyDescent="0.25">
      <c r="A151" s="105">
        <v>1</v>
      </c>
      <c r="B151" s="106"/>
      <c r="C151" s="66" t="s">
        <v>315</v>
      </c>
      <c r="D151" s="66">
        <f>(4.3+3.05+2.6*2.3+3.05*2.75+2.15*1.2+1.2*2.15+1.55*0.6+0.4*1.2)*10.764</f>
        <v>304.48664999999994</v>
      </c>
      <c r="E151" s="66">
        <f t="shared" ref="E151:E156" si="2">(2.3*1.25+0.75*(3.05+2.3+2.75))*10.764</f>
        <v>96.337799999999987</v>
      </c>
      <c r="F151" s="66">
        <f>D151+E151</f>
        <v>400.82444999999996</v>
      </c>
      <c r="G151" s="66">
        <v>0</v>
      </c>
      <c r="H151" s="66">
        <f t="shared" ref="H151:H156" si="3">F151*(($H$140)+1)+(IF(G151&lt;101,G151,IF(G151&lt;201,G151/2,IF(G151&lt;=301,G151/3,G151/4))))</f>
        <v>601.23667499999988</v>
      </c>
      <c r="I151" s="35"/>
      <c r="L151" s="209"/>
      <c r="M151" s="209"/>
      <c r="N151" s="35"/>
      <c r="T151" s="20"/>
    </row>
    <row r="152" spans="1:20" s="67" customFormat="1" ht="15.75" customHeight="1" x14ac:dyDescent="0.25">
      <c r="A152" s="105">
        <f>A151+1</f>
        <v>2</v>
      </c>
      <c r="B152" s="106"/>
      <c r="C152" s="66" t="s">
        <v>315</v>
      </c>
      <c r="D152" s="66">
        <f t="shared" ref="D152:D156" si="4">(4.3+3.05+2.6*2.3+3.05*2.75+2.15*1.2+1.2*2.15+1.55*0.6+0.4*1.2)*10.764</f>
        <v>304.48664999999994</v>
      </c>
      <c r="E152" s="66">
        <f t="shared" si="2"/>
        <v>96.337799999999987</v>
      </c>
      <c r="F152" s="66">
        <f>D152+E152</f>
        <v>400.82444999999996</v>
      </c>
      <c r="G152" s="66">
        <v>0</v>
      </c>
      <c r="H152" s="66">
        <f t="shared" si="3"/>
        <v>601.23667499999988</v>
      </c>
      <c r="I152" s="35"/>
      <c r="L152" s="209"/>
      <c r="M152" s="209"/>
      <c r="N152" s="35"/>
    </row>
    <row r="153" spans="1:20" s="67" customFormat="1" ht="15.75" customHeight="1" x14ac:dyDescent="0.25">
      <c r="A153" s="105">
        <f>A152+1</f>
        <v>3</v>
      </c>
      <c r="B153" s="106"/>
      <c r="C153" s="66" t="s">
        <v>315</v>
      </c>
      <c r="D153" s="66">
        <f t="shared" si="4"/>
        <v>304.48664999999994</v>
      </c>
      <c r="E153" s="66">
        <f t="shared" si="2"/>
        <v>96.337799999999987</v>
      </c>
      <c r="F153" s="66">
        <f>D153+E153</f>
        <v>400.82444999999996</v>
      </c>
      <c r="G153" s="66">
        <v>0</v>
      </c>
      <c r="H153" s="66">
        <f t="shared" si="3"/>
        <v>601.23667499999988</v>
      </c>
      <c r="I153" s="35"/>
      <c r="L153" s="209"/>
      <c r="M153" s="209"/>
      <c r="N153" s="35"/>
    </row>
    <row r="154" spans="1:20" s="67" customFormat="1" ht="15.75" customHeight="1" x14ac:dyDescent="0.25">
      <c r="A154" s="105">
        <f>A153+1</f>
        <v>4</v>
      </c>
      <c r="B154" s="106"/>
      <c r="C154" s="66" t="s">
        <v>315</v>
      </c>
      <c r="D154" s="66">
        <f t="shared" si="4"/>
        <v>304.48664999999994</v>
      </c>
      <c r="E154" s="66">
        <f t="shared" si="2"/>
        <v>96.337799999999987</v>
      </c>
      <c r="F154" s="66">
        <f>D154+E154</f>
        <v>400.82444999999996</v>
      </c>
      <c r="G154" s="66">
        <v>0</v>
      </c>
      <c r="H154" s="66">
        <f t="shared" si="3"/>
        <v>601.23667499999988</v>
      </c>
      <c r="I154" s="35"/>
      <c r="L154" s="209"/>
      <c r="M154" s="209"/>
      <c r="N154" s="35"/>
    </row>
    <row r="155" spans="1:20" s="67" customFormat="1" ht="15.75" customHeight="1" x14ac:dyDescent="0.25">
      <c r="A155" s="105">
        <f t="shared" ref="A155:A156" si="5">A154+1</f>
        <v>5</v>
      </c>
      <c r="B155" s="106"/>
      <c r="C155" s="66" t="s">
        <v>315</v>
      </c>
      <c r="D155" s="66">
        <f t="shared" si="4"/>
        <v>304.48664999999994</v>
      </c>
      <c r="E155" s="66">
        <f t="shared" si="2"/>
        <v>96.337799999999987</v>
      </c>
      <c r="F155" s="66">
        <f t="shared" ref="F155:F156" si="6">D155+E155</f>
        <v>400.82444999999996</v>
      </c>
      <c r="G155" s="66">
        <v>0</v>
      </c>
      <c r="H155" s="66">
        <f t="shared" si="3"/>
        <v>601.23667499999988</v>
      </c>
      <c r="I155" s="35"/>
      <c r="L155" s="209"/>
      <c r="M155" s="209"/>
      <c r="N155" s="35"/>
    </row>
    <row r="156" spans="1:20" s="67" customFormat="1" ht="15.75" customHeight="1" x14ac:dyDescent="0.25">
      <c r="A156" s="105">
        <f t="shared" si="5"/>
        <v>6</v>
      </c>
      <c r="B156" s="106"/>
      <c r="C156" s="66" t="s">
        <v>315</v>
      </c>
      <c r="D156" s="66">
        <f t="shared" si="4"/>
        <v>304.48664999999994</v>
      </c>
      <c r="E156" s="66">
        <f t="shared" si="2"/>
        <v>96.337799999999987</v>
      </c>
      <c r="F156" s="66">
        <f t="shared" si="6"/>
        <v>400.82444999999996</v>
      </c>
      <c r="G156" s="66">
        <v>0</v>
      </c>
      <c r="H156" s="66">
        <f t="shared" si="3"/>
        <v>601.23667499999988</v>
      </c>
      <c r="I156" s="35"/>
      <c r="L156" s="209"/>
      <c r="M156" s="209"/>
      <c r="N156" s="35"/>
    </row>
    <row r="157" spans="1:20" s="67" customFormat="1" x14ac:dyDescent="0.25">
      <c r="A157" s="218" t="s">
        <v>336</v>
      </c>
      <c r="B157" s="218"/>
      <c r="C157" s="218"/>
      <c r="D157" s="218"/>
      <c r="E157" s="218"/>
      <c r="F157" s="218"/>
      <c r="G157" s="218"/>
      <c r="H157" s="218"/>
      <c r="J157" s="35"/>
    </row>
    <row r="158" spans="1:20" s="67" customFormat="1" ht="15.75" customHeight="1" x14ac:dyDescent="0.25">
      <c r="A158" s="219">
        <v>1</v>
      </c>
      <c r="B158" s="219"/>
      <c r="C158" s="66" t="s">
        <v>315</v>
      </c>
      <c r="D158" s="66">
        <f>(4.3+3.05+2.6*2.3+3.05*2.75+2.15*1.2+1.2*2.15+1.55*0.6+0.4*1.2)*10.764</f>
        <v>304.48664999999994</v>
      </c>
      <c r="E158" s="66">
        <f>(2.3*1.25+0.75*(3.05+2.3+2.75))*10.764</f>
        <v>96.337799999999987</v>
      </c>
      <c r="F158" s="66">
        <f>D158+E158</f>
        <v>400.82444999999996</v>
      </c>
      <c r="G158" s="66">
        <v>0</v>
      </c>
      <c r="H158" s="66">
        <f>F158*(($H$140)+1)+(IF(G158&lt;101,G158,IF(G158&lt;201,G158/2,IF(G158&lt;=301,G158/3,G158/4))))</f>
        <v>601.23667499999988</v>
      </c>
      <c r="I158" s="35"/>
      <c r="L158" s="209"/>
      <c r="M158" s="209"/>
      <c r="N158" s="35"/>
      <c r="T158" s="20"/>
    </row>
    <row r="159" spans="1:20" s="67" customFormat="1" ht="15.75" customHeight="1" x14ac:dyDescent="0.25">
      <c r="A159" s="219">
        <f>A158+1</f>
        <v>2</v>
      </c>
      <c r="B159" s="219"/>
      <c r="C159" s="66" t="s">
        <v>315</v>
      </c>
      <c r="D159" s="66">
        <f t="shared" ref="D159:D163" si="7">(4.3+3.05+2.6*2.3+3.05*2.75+2.15*1.2+1.2*2.15+1.55*0.6+0.4*1.2)*10.764</f>
        <v>304.48664999999994</v>
      </c>
      <c r="E159" s="66">
        <f t="shared" ref="E159:E163" si="8">(2.3*1.25+0.75*(3.05+2.3+2.75))*10.764</f>
        <v>96.337799999999987</v>
      </c>
      <c r="F159" s="66">
        <f>D159+E159</f>
        <v>400.82444999999996</v>
      </c>
      <c r="G159" s="66">
        <v>0</v>
      </c>
      <c r="H159" s="66">
        <f>F159*(($H$140)+1)+(IF(G159&lt;101,G159,IF(G159&lt;201,G159/2,IF(G159&lt;=301,G159/3,G159/4))))</f>
        <v>601.23667499999988</v>
      </c>
      <c r="I159" s="35"/>
      <c r="L159" s="209"/>
      <c r="M159" s="209"/>
      <c r="N159" s="35"/>
    </row>
    <row r="160" spans="1:20" s="67" customFormat="1" ht="15.75" customHeight="1" x14ac:dyDescent="0.25">
      <c r="A160" s="219">
        <f>A159+1</f>
        <v>3</v>
      </c>
      <c r="B160" s="219"/>
      <c r="C160" s="66" t="s">
        <v>315</v>
      </c>
      <c r="D160" s="66">
        <f t="shared" si="7"/>
        <v>304.48664999999994</v>
      </c>
      <c r="E160" s="66">
        <f t="shared" si="8"/>
        <v>96.337799999999987</v>
      </c>
      <c r="F160" s="66">
        <f>D160+E160</f>
        <v>400.82444999999996</v>
      </c>
      <c r="G160" s="66">
        <v>0</v>
      </c>
      <c r="H160" s="66">
        <f>F160*(($H$140)+1)+(IF(G160&lt;101,G160,IF(G160&lt;201,G160/2,IF(G160&lt;=301,G160/3,G160/4))))</f>
        <v>601.23667499999988</v>
      </c>
      <c r="I160" s="35"/>
      <c r="L160" s="209"/>
      <c r="M160" s="209"/>
      <c r="N160" s="35"/>
    </row>
    <row r="161" spans="1:20" s="67" customFormat="1" ht="15.75" customHeight="1" x14ac:dyDescent="0.25">
      <c r="A161" s="219">
        <f>A160+1</f>
        <v>4</v>
      </c>
      <c r="B161" s="219"/>
      <c r="C161" s="66" t="s">
        <v>315</v>
      </c>
      <c r="D161" s="66">
        <f t="shared" si="7"/>
        <v>304.48664999999994</v>
      </c>
      <c r="E161" s="66">
        <f t="shared" si="8"/>
        <v>96.337799999999987</v>
      </c>
      <c r="F161" s="66">
        <f>D161+E161</f>
        <v>400.82444999999996</v>
      </c>
      <c r="G161" s="66">
        <v>0</v>
      </c>
      <c r="H161" s="66">
        <f>F161*(($H$140)+1)+(IF(G161&lt;101,G161,IF(G161&lt;201,G161/2,IF(G161&lt;=301,G161/3,G161/4))))</f>
        <v>601.23667499999988</v>
      </c>
      <c r="I161" s="35"/>
      <c r="L161" s="209"/>
      <c r="M161" s="209"/>
      <c r="N161" s="35"/>
    </row>
    <row r="162" spans="1:20" s="67" customFormat="1" ht="15.75" customHeight="1" x14ac:dyDescent="0.25">
      <c r="A162" s="219">
        <f t="shared" ref="A162:A163" si="9">A161+1</f>
        <v>5</v>
      </c>
      <c r="B162" s="219"/>
      <c r="C162" s="219" t="s">
        <v>317</v>
      </c>
      <c r="D162" s="219"/>
      <c r="E162" s="219"/>
      <c r="F162" s="219"/>
      <c r="G162" s="219"/>
      <c r="H162" s="219"/>
      <c r="I162" s="35"/>
      <c r="L162" s="209"/>
      <c r="M162" s="209"/>
      <c r="N162" s="35"/>
    </row>
    <row r="163" spans="1:20" s="67" customFormat="1" ht="15.75" customHeight="1" x14ac:dyDescent="0.25">
      <c r="A163" s="219">
        <f t="shared" si="9"/>
        <v>6</v>
      </c>
      <c r="B163" s="219"/>
      <c r="C163" s="66" t="s">
        <v>315</v>
      </c>
      <c r="D163" s="66">
        <f t="shared" si="7"/>
        <v>304.48664999999994</v>
      </c>
      <c r="E163" s="66">
        <f t="shared" si="8"/>
        <v>96.337799999999987</v>
      </c>
      <c r="F163" s="66">
        <f t="shared" ref="F163" si="10">D163+E163</f>
        <v>400.82444999999996</v>
      </c>
      <c r="G163" s="66">
        <v>0</v>
      </c>
      <c r="H163" s="66">
        <f>F163*(($H$140)+1)+(IF(G163&lt;101,G163,IF(G163&lt;201,G163/2,IF(G163&lt;=301,G163/3,G163/4))))</f>
        <v>601.23667499999988</v>
      </c>
      <c r="I163" s="35"/>
      <c r="L163" s="209"/>
      <c r="M163" s="209"/>
      <c r="N163" s="35"/>
    </row>
    <row r="164" spans="1:20" s="67" customFormat="1" x14ac:dyDescent="0.25">
      <c r="A164" s="222" t="s">
        <v>318</v>
      </c>
      <c r="B164" s="222"/>
      <c r="C164" s="222"/>
      <c r="D164" s="222"/>
      <c r="E164" s="222"/>
      <c r="F164" s="222"/>
      <c r="G164" s="222"/>
      <c r="H164" s="222"/>
      <c r="J164" s="35"/>
    </row>
    <row r="165" spans="1:20" s="67" customFormat="1" x14ac:dyDescent="0.25">
      <c r="A165" s="218" t="s">
        <v>313</v>
      </c>
      <c r="B165" s="218"/>
      <c r="C165" s="218"/>
      <c r="D165" s="218"/>
      <c r="E165" s="218"/>
      <c r="F165" s="218"/>
      <c r="G165" s="218"/>
      <c r="H165" s="218"/>
      <c r="J165" s="35"/>
    </row>
    <row r="166" spans="1:20" s="67" customFormat="1" x14ac:dyDescent="0.25">
      <c r="A166" s="218" t="s">
        <v>337</v>
      </c>
      <c r="B166" s="218"/>
      <c r="C166" s="218"/>
      <c r="D166" s="218"/>
      <c r="E166" s="218"/>
      <c r="F166" s="218"/>
      <c r="G166" s="218"/>
      <c r="H166" s="218"/>
      <c r="J166" s="35"/>
    </row>
    <row r="167" spans="1:20" s="67" customFormat="1" ht="15.75" customHeight="1" x14ac:dyDescent="0.25">
      <c r="A167" s="219">
        <v>1</v>
      </c>
      <c r="B167" s="219"/>
      <c r="C167" s="66" t="s">
        <v>315</v>
      </c>
      <c r="D167" s="66">
        <f>(3.2*2.75+1.65*3.2+2.75*3.2+1.2*1.7+0.9*1.2+1.5*0.9+0.3*1.2)*10.764</f>
        <v>298.27044000000001</v>
      </c>
      <c r="E167" s="66">
        <f>(0.9*1+0.75*(1.2+3))*10.764</f>
        <v>43.594200000000008</v>
      </c>
      <c r="F167" s="66">
        <f>D167+E167</f>
        <v>341.86464000000001</v>
      </c>
      <c r="G167" s="66">
        <v>0</v>
      </c>
      <c r="H167" s="66">
        <f>F167*(($H$140)+1)+(IF(G167&lt;101,G167,IF(G167&lt;201,G167/2,IF(G167&lt;=301,G167/3,G167/4))))</f>
        <v>512.79696000000001</v>
      </c>
      <c r="I167" s="35"/>
      <c r="L167" s="209"/>
      <c r="M167" s="209"/>
      <c r="N167" s="35"/>
      <c r="T167" s="20"/>
    </row>
    <row r="168" spans="1:20" s="67" customFormat="1" ht="15.75" customHeight="1" x14ac:dyDescent="0.25">
      <c r="A168" s="219">
        <f>A167+1</f>
        <v>2</v>
      </c>
      <c r="B168" s="219"/>
      <c r="C168" s="66" t="s">
        <v>315</v>
      </c>
      <c r="D168" s="66">
        <f>(2.75*3.2+3.3*1.65+3.2*2.75+1.2*1.55+1.22*1.05+1.2*1.05)*10.764</f>
        <v>295.42874399999999</v>
      </c>
      <c r="E168" s="66">
        <f>(0.9*1.55+0.75*(1.2+3))*10.764</f>
        <v>48.922379999999997</v>
      </c>
      <c r="F168" s="66">
        <f>D168+E168</f>
        <v>344.35112399999997</v>
      </c>
      <c r="G168" s="66">
        <v>0</v>
      </c>
      <c r="H168" s="66">
        <f>F168*(($H$140)+1)+(IF(G168&lt;101,G168,IF(G168&lt;201,G168/2,IF(G168&lt;=301,G168/3,G168/4))))</f>
        <v>516.52668599999993</v>
      </c>
      <c r="I168" s="35"/>
      <c r="L168" s="209"/>
      <c r="M168" s="209"/>
      <c r="N168" s="35"/>
    </row>
    <row r="169" spans="1:20" s="67" customFormat="1" ht="15.75" customHeight="1" x14ac:dyDescent="0.25">
      <c r="A169" s="219">
        <f>A168+1</f>
        <v>3</v>
      </c>
      <c r="B169" s="219"/>
      <c r="C169" s="66" t="s">
        <v>315</v>
      </c>
      <c r="D169" s="66">
        <f>(2.75*3.2+3.3*1.65+3.2*2.75+1.2*1.55+1.22*1.05+1.2*1.05)*10.764</f>
        <v>295.42874399999999</v>
      </c>
      <c r="E169" s="66">
        <f t="shared" ref="E169:E172" si="11">(0.9*1.55+0.75*(1.2+3))*10.764</f>
        <v>48.922379999999997</v>
      </c>
      <c r="F169" s="66">
        <f>D169+E169</f>
        <v>344.35112399999997</v>
      </c>
      <c r="G169" s="66">
        <v>0</v>
      </c>
      <c r="H169" s="66">
        <f>F169*(($H$140)+1)+(IF(G169&lt;101,G169,IF(G169&lt;201,G169/2,IF(G169&lt;=301,G169/3,G169/4))))</f>
        <v>516.52668599999993</v>
      </c>
      <c r="I169" s="35"/>
      <c r="L169" s="209"/>
      <c r="M169" s="209"/>
      <c r="N169" s="35"/>
    </row>
    <row r="170" spans="1:20" s="67" customFormat="1" ht="15.75" customHeight="1" x14ac:dyDescent="0.25">
      <c r="A170" s="105">
        <f>A169+1</f>
        <v>4</v>
      </c>
      <c r="B170" s="106"/>
      <c r="C170" s="66" t="s">
        <v>315</v>
      </c>
      <c r="D170" s="66">
        <f t="shared" ref="D170:D172" si="12">(2.75*3.2+3.3*1.65+3.2*2.75+1.2*1.55+1.22*1.05+1.2*1.05)*10.764</f>
        <v>295.42874399999999</v>
      </c>
      <c r="E170" s="66">
        <f t="shared" si="11"/>
        <v>48.922379999999997</v>
      </c>
      <c r="F170" s="66">
        <f>D170+E170</f>
        <v>344.35112399999997</v>
      </c>
      <c r="G170" s="66">
        <v>0</v>
      </c>
      <c r="H170" s="66">
        <f>F170*(($H$140)+1)+(IF(G170&lt;101,G170,IF(G170&lt;201,G170/2,IF(G170&lt;=301,G170/3,G170/4))))</f>
        <v>516.52668599999993</v>
      </c>
      <c r="I170" s="35"/>
      <c r="L170" s="209"/>
      <c r="M170" s="209"/>
      <c r="N170" s="35"/>
    </row>
    <row r="171" spans="1:20" s="67" customFormat="1" ht="15.75" customHeight="1" x14ac:dyDescent="0.25">
      <c r="A171" s="105">
        <f t="shared" ref="A171:A172" si="13">A170+1</f>
        <v>5</v>
      </c>
      <c r="B171" s="106"/>
      <c r="C171" s="66" t="s">
        <v>315</v>
      </c>
      <c r="D171" s="66">
        <f t="shared" si="12"/>
        <v>295.42874399999999</v>
      </c>
      <c r="E171" s="66">
        <f t="shared" si="11"/>
        <v>48.922379999999997</v>
      </c>
      <c r="F171" s="66">
        <f t="shared" ref="F171:F172" si="14">D171+E171</f>
        <v>344.35112399999997</v>
      </c>
      <c r="G171" s="66">
        <v>0</v>
      </c>
      <c r="H171" s="66">
        <f t="shared" ref="H171:H172" si="15">F171*(($H$140)+1)+(IF(G171&lt;101,G171,IF(G171&lt;201,G171/2,IF(G171&lt;=301,G171/3,G171/4))))</f>
        <v>516.52668599999993</v>
      </c>
      <c r="I171" s="35"/>
      <c r="L171" s="209"/>
      <c r="M171" s="209"/>
      <c r="N171" s="35"/>
    </row>
    <row r="172" spans="1:20" s="67" customFormat="1" ht="15.75" customHeight="1" x14ac:dyDescent="0.25">
      <c r="A172" s="105">
        <f t="shared" si="13"/>
        <v>6</v>
      </c>
      <c r="B172" s="106"/>
      <c r="C172" s="66" t="s">
        <v>315</v>
      </c>
      <c r="D172" s="66">
        <f t="shared" si="12"/>
        <v>295.42874399999999</v>
      </c>
      <c r="E172" s="66">
        <f t="shared" si="11"/>
        <v>48.922379999999997</v>
      </c>
      <c r="F172" s="66">
        <f t="shared" si="14"/>
        <v>344.35112399999997</v>
      </c>
      <c r="G172" s="66">
        <v>0</v>
      </c>
      <c r="H172" s="66">
        <f t="shared" si="15"/>
        <v>516.52668599999993</v>
      </c>
      <c r="I172" s="35"/>
      <c r="L172" s="209"/>
      <c r="M172" s="209"/>
      <c r="N172" s="35"/>
    </row>
    <row r="173" spans="1:20" s="67" customFormat="1" x14ac:dyDescent="0.25">
      <c r="A173" s="85" t="s">
        <v>336</v>
      </c>
      <c r="B173" s="86"/>
      <c r="C173" s="86"/>
      <c r="D173" s="86"/>
      <c r="E173" s="86"/>
      <c r="F173" s="86"/>
      <c r="G173" s="86"/>
      <c r="H173" s="87"/>
      <c r="J173" s="35"/>
    </row>
    <row r="174" spans="1:20" s="67" customFormat="1" ht="15.75" customHeight="1" x14ac:dyDescent="0.25">
      <c r="A174" s="105">
        <v>1</v>
      </c>
      <c r="B174" s="106"/>
      <c r="C174" s="66" t="s">
        <v>315</v>
      </c>
      <c r="D174" s="66">
        <f>(3.2*2.75+1.65*3.2+2.75*3.2+1.2*1.7+0.9*1.2+1.5*0.9+0.3*1.2)*10.764</f>
        <v>298.27044000000001</v>
      </c>
      <c r="E174" s="66">
        <f>(0.9*1+0.75*(1.2+3))*10.764</f>
        <v>43.594200000000008</v>
      </c>
      <c r="F174" s="66">
        <f>D174+E174</f>
        <v>341.86464000000001</v>
      </c>
      <c r="G174" s="66">
        <v>0</v>
      </c>
      <c r="H174" s="66">
        <f>F174*(($H$140)+1)+(IF(G174&lt;101,G174,IF(G174&lt;201,G174/2,IF(G174&lt;=301,G174/3,G174/4))))</f>
        <v>512.79696000000001</v>
      </c>
      <c r="I174" s="35"/>
      <c r="L174" s="209"/>
      <c r="M174" s="209"/>
      <c r="N174" s="35"/>
      <c r="T174" s="20"/>
    </row>
    <row r="175" spans="1:20" s="67" customFormat="1" ht="15.75" customHeight="1" x14ac:dyDescent="0.25">
      <c r="A175" s="105">
        <f>A174+1</f>
        <v>2</v>
      </c>
      <c r="B175" s="106"/>
      <c r="C175" s="66" t="s">
        <v>315</v>
      </c>
      <c r="D175" s="66">
        <f>(2.75*3.2+3.3*1.65+3.2*2.75+1.2*1.55+1.22*1.05+1.2*1.05)*10.764</f>
        <v>295.42874399999999</v>
      </c>
      <c r="E175" s="66">
        <f>(0.9*1.55+0.75*(1.2+3))*10.764</f>
        <v>48.922379999999997</v>
      </c>
      <c r="F175" s="66">
        <f>D175+E175</f>
        <v>344.35112399999997</v>
      </c>
      <c r="G175" s="66">
        <v>0</v>
      </c>
      <c r="H175" s="66">
        <f>F175*(($H$140)+1)+(IF(G175&lt;101,G175,IF(G175&lt;201,G175/2,IF(G175&lt;=301,G175/3,G175/4))))</f>
        <v>516.52668599999993</v>
      </c>
      <c r="I175" s="35"/>
      <c r="L175" s="209"/>
      <c r="M175" s="209"/>
      <c r="N175" s="35"/>
    </row>
    <row r="176" spans="1:20" s="67" customFormat="1" ht="15.75" customHeight="1" x14ac:dyDescent="0.25">
      <c r="A176" s="105">
        <f>A175+1</f>
        <v>3</v>
      </c>
      <c r="B176" s="106"/>
      <c r="C176" s="66" t="s">
        <v>315</v>
      </c>
      <c r="D176" s="66">
        <f t="shared" ref="D176:D177" si="16">(2.75*3.2+3.3*1.65+3.2*2.75+1.2*1.55+1.22*1.05+1.2*1.05)*10.764</f>
        <v>295.42874399999999</v>
      </c>
      <c r="E176" s="66">
        <f t="shared" ref="E176:E177" si="17">(0.9*1.55+0.75*(1.2+3))*10.764</f>
        <v>48.922379999999997</v>
      </c>
      <c r="F176" s="66">
        <f>D176+E176</f>
        <v>344.35112399999997</v>
      </c>
      <c r="G176" s="66">
        <v>0</v>
      </c>
      <c r="H176" s="66">
        <f>F176*(($H$140)+1)+(IF(G176&lt;101,G176,IF(G176&lt;201,G176/2,IF(G176&lt;=301,G176/3,G176/4))))</f>
        <v>516.52668599999993</v>
      </c>
      <c r="I176" s="35">
        <f>24500000/H176</f>
        <v>47432.205661490261</v>
      </c>
      <c r="L176" s="209"/>
      <c r="M176" s="209"/>
      <c r="N176" s="35"/>
    </row>
    <row r="177" spans="1:20" s="67" customFormat="1" ht="15.75" customHeight="1" x14ac:dyDescent="0.25">
      <c r="A177" s="105">
        <f>A176+1</f>
        <v>4</v>
      </c>
      <c r="B177" s="106"/>
      <c r="C177" s="66" t="s">
        <v>315</v>
      </c>
      <c r="D177" s="66">
        <f t="shared" si="16"/>
        <v>295.42874399999999</v>
      </c>
      <c r="E177" s="66">
        <f t="shared" si="17"/>
        <v>48.922379999999997</v>
      </c>
      <c r="F177" s="66">
        <f>D177+E177</f>
        <v>344.35112399999997</v>
      </c>
      <c r="G177" s="66">
        <v>0</v>
      </c>
      <c r="H177" s="66">
        <f>F177*(($H$140)+1)+(IF(G177&lt;101,G177,IF(G177&lt;201,G177/2,IF(G177&lt;=301,G177/3,G177/4))))</f>
        <v>516.52668599999993</v>
      </c>
      <c r="I177" s="35"/>
      <c r="L177" s="209"/>
      <c r="M177" s="209"/>
      <c r="N177" s="35"/>
    </row>
    <row r="178" spans="1:20" s="67" customFormat="1" ht="15.75" customHeight="1" x14ac:dyDescent="0.25">
      <c r="A178" s="105">
        <f t="shared" ref="A178:A179" si="18">A177+1</f>
        <v>5</v>
      </c>
      <c r="B178" s="106"/>
      <c r="C178" s="105" t="s">
        <v>317</v>
      </c>
      <c r="D178" s="221"/>
      <c r="E178" s="221"/>
      <c r="F178" s="221"/>
      <c r="G178" s="221"/>
      <c r="H178" s="106"/>
      <c r="I178" s="35"/>
      <c r="L178" s="209"/>
      <c r="M178" s="209"/>
      <c r="N178" s="35"/>
    </row>
    <row r="179" spans="1:20" s="67" customFormat="1" ht="15.75" customHeight="1" x14ac:dyDescent="0.25">
      <c r="A179" s="105">
        <f t="shared" si="18"/>
        <v>6</v>
      </c>
      <c r="B179" s="106"/>
      <c r="C179" s="66" t="s">
        <v>315</v>
      </c>
      <c r="D179" s="66">
        <f>(2.75*3.2+3.3*1.65+3.2*2.75+1.2*1.55+1.22*1.05+1.2*1.05)*10.764</f>
        <v>295.42874399999999</v>
      </c>
      <c r="E179" s="66">
        <f t="shared" ref="E179" si="19">(0.9*1.55+0.75*(1.2+3))*10.764</f>
        <v>48.922379999999997</v>
      </c>
      <c r="F179" s="66">
        <f t="shared" ref="F179" si="20">D179+E179</f>
        <v>344.35112399999997</v>
      </c>
      <c r="G179" s="66">
        <v>0</v>
      </c>
      <c r="H179" s="66">
        <f t="shared" ref="H179" si="21">F179*(($H$140)+1)+(IF(G179&lt;101,G179,IF(G179&lt;201,G179/2,IF(G179&lt;=301,G179/3,G179/4))))</f>
        <v>516.52668599999993</v>
      </c>
      <c r="I179" s="35"/>
      <c r="L179" s="209"/>
      <c r="M179" s="209"/>
      <c r="N179" s="35"/>
    </row>
    <row r="180" spans="1:20" s="34" customFormat="1" x14ac:dyDescent="0.25">
      <c r="A180" s="173" t="s">
        <v>64</v>
      </c>
      <c r="B180" s="173"/>
      <c r="C180" s="173"/>
      <c r="D180" s="173"/>
      <c r="E180" s="173"/>
      <c r="F180" s="173"/>
      <c r="G180" s="173"/>
      <c r="H180" s="173"/>
      <c r="T180" s="36"/>
    </row>
    <row r="181" spans="1:20" s="34" customFormat="1" ht="33" customHeight="1" x14ac:dyDescent="0.25">
      <c r="A181" s="45" t="s">
        <v>146</v>
      </c>
      <c r="B181" s="182" t="s">
        <v>347</v>
      </c>
      <c r="C181" s="183"/>
      <c r="D181" s="183"/>
      <c r="E181" s="183"/>
      <c r="F181" s="183"/>
      <c r="G181" s="183"/>
      <c r="H181" s="184"/>
      <c r="T181" s="36"/>
    </row>
    <row r="182" spans="1:20" s="34" customFormat="1" x14ac:dyDescent="0.25">
      <c r="A182" s="45" t="s">
        <v>146</v>
      </c>
      <c r="B182" s="182" t="str">
        <f>(IF(H139="Saleable area Loading :","We have considered Saleable area of Flats as per our Calculation.","We considered Saleable area of Flat as per Builder area Sheet."))</f>
        <v>We have considered Saleable area of Flats as per our Calculation.</v>
      </c>
      <c r="C182" s="183"/>
      <c r="D182" s="183"/>
      <c r="E182" s="183"/>
      <c r="F182" s="183"/>
      <c r="G182" s="183"/>
      <c r="H182" s="184"/>
      <c r="T182" s="36"/>
    </row>
    <row r="183" spans="1:20" s="34" customFormat="1" x14ac:dyDescent="0.25">
      <c r="A183" s="45" t="s">
        <v>146</v>
      </c>
      <c r="B183" s="100" t="s">
        <v>117</v>
      </c>
      <c r="C183" s="101"/>
      <c r="D183" s="101"/>
      <c r="E183" s="101"/>
      <c r="F183" s="101"/>
      <c r="G183" s="101"/>
      <c r="H183" s="102"/>
    </row>
    <row r="184" spans="1:20" s="34" customFormat="1" x14ac:dyDescent="0.25">
      <c r="A184" s="45" t="s">
        <v>146</v>
      </c>
      <c r="B184" s="100" t="s">
        <v>323</v>
      </c>
      <c r="C184" s="101"/>
      <c r="D184" s="101"/>
      <c r="E184" s="101"/>
      <c r="F184" s="101"/>
      <c r="G184" s="101"/>
      <c r="H184" s="102"/>
    </row>
    <row r="185" spans="1:20" s="34" customFormat="1" x14ac:dyDescent="0.25">
      <c r="A185" s="45" t="s">
        <v>146</v>
      </c>
      <c r="B185" s="100" t="s">
        <v>145</v>
      </c>
      <c r="C185" s="101"/>
      <c r="D185" s="101"/>
      <c r="E185" s="101"/>
      <c r="F185" s="101"/>
      <c r="G185" s="101"/>
      <c r="H185" s="102"/>
    </row>
    <row r="186" spans="1:20" s="34" customFormat="1" x14ac:dyDescent="0.25">
      <c r="A186" s="45" t="s">
        <v>146</v>
      </c>
      <c r="B186" s="100" t="s">
        <v>118</v>
      </c>
      <c r="C186" s="101"/>
      <c r="D186" s="101"/>
      <c r="E186" s="101"/>
      <c r="F186" s="101"/>
      <c r="G186" s="101"/>
      <c r="H186" s="102"/>
    </row>
    <row r="187" spans="1:20" s="34" customFormat="1" ht="34.5" customHeight="1" x14ac:dyDescent="0.25">
      <c r="A187" s="45" t="s">
        <v>146</v>
      </c>
      <c r="B187" s="100" t="s">
        <v>147</v>
      </c>
      <c r="C187" s="101"/>
      <c r="D187" s="101"/>
      <c r="E187" s="101"/>
      <c r="F187" s="101"/>
      <c r="G187" s="101"/>
      <c r="H187" s="102"/>
    </row>
    <row r="188" spans="1:20" s="34" customFormat="1" x14ac:dyDescent="0.25">
      <c r="A188" s="70" t="s">
        <v>146</v>
      </c>
      <c r="B188" s="100" t="s">
        <v>119</v>
      </c>
      <c r="C188" s="101"/>
      <c r="D188" s="101"/>
      <c r="E188" s="101"/>
      <c r="F188" s="101"/>
      <c r="G188" s="101"/>
      <c r="H188" s="102"/>
    </row>
    <row r="189" spans="1:20" s="34" customFormat="1" ht="30.95" customHeight="1" x14ac:dyDescent="0.25">
      <c r="A189" s="45" t="s">
        <v>146</v>
      </c>
      <c r="B189" s="100" t="s">
        <v>341</v>
      </c>
      <c r="C189" s="101"/>
      <c r="D189" s="101"/>
      <c r="E189" s="101"/>
      <c r="F189" s="101"/>
      <c r="G189" s="101"/>
      <c r="H189" s="102"/>
    </row>
    <row r="190" spans="1:20" s="34" customFormat="1" x14ac:dyDescent="0.25">
      <c r="A190" s="73" t="s">
        <v>146</v>
      </c>
      <c r="B190" s="100" t="s">
        <v>339</v>
      </c>
      <c r="C190" s="101"/>
      <c r="D190" s="101"/>
      <c r="E190" s="101"/>
      <c r="F190" s="101"/>
      <c r="G190" s="101"/>
      <c r="H190" s="102"/>
    </row>
    <row r="191" spans="1:20" x14ac:dyDescent="0.25">
      <c r="A191" s="169" t="s">
        <v>57</v>
      </c>
      <c r="B191" s="169"/>
      <c r="C191" s="169"/>
      <c r="D191" s="169"/>
      <c r="E191" s="169"/>
      <c r="F191" s="169"/>
      <c r="G191" s="169"/>
      <c r="H191" s="169"/>
      <c r="T191" s="34"/>
    </row>
    <row r="192" spans="1:20" x14ac:dyDescent="0.25">
      <c r="A192" s="103" t="s">
        <v>58</v>
      </c>
      <c r="B192" s="103"/>
      <c r="C192" s="103"/>
      <c r="D192" s="103"/>
      <c r="E192" s="103"/>
      <c r="F192" s="103"/>
      <c r="G192" s="103"/>
      <c r="H192" s="103"/>
      <c r="T192" s="34"/>
    </row>
    <row r="193" spans="1:20" ht="15.75" customHeight="1" x14ac:dyDescent="0.25">
      <c r="A193" s="178" t="s">
        <v>59</v>
      </c>
      <c r="B193" s="178"/>
      <c r="C193" s="178"/>
      <c r="D193" s="178"/>
      <c r="E193" s="178"/>
      <c r="F193" s="178"/>
      <c r="G193" s="178"/>
      <c r="H193" s="178"/>
      <c r="T193" s="34"/>
    </row>
    <row r="194" spans="1:20" x14ac:dyDescent="0.25">
      <c r="A194" s="103" t="s">
        <v>60</v>
      </c>
      <c r="B194" s="103"/>
      <c r="C194" s="103"/>
      <c r="D194" s="103"/>
      <c r="E194" s="103"/>
      <c r="F194" s="103"/>
      <c r="G194" s="103"/>
      <c r="H194" s="103"/>
    </row>
    <row r="195" spans="1:20" x14ac:dyDescent="0.25">
      <c r="A195" s="103" t="s">
        <v>61</v>
      </c>
      <c r="B195" s="103"/>
      <c r="C195" s="103"/>
      <c r="D195" s="103"/>
      <c r="E195" s="103"/>
      <c r="F195" s="103"/>
      <c r="G195" s="103"/>
      <c r="H195" s="103"/>
    </row>
    <row r="196" spans="1:20" x14ac:dyDescent="0.25">
      <c r="A196" s="103" t="s">
        <v>120</v>
      </c>
      <c r="B196" s="103"/>
      <c r="C196" s="103"/>
      <c r="D196" s="103"/>
      <c r="E196" s="103"/>
      <c r="F196" s="103"/>
      <c r="G196" s="103"/>
      <c r="H196" s="103"/>
    </row>
    <row r="197" spans="1:20" ht="30.95" customHeight="1" x14ac:dyDescent="0.25">
      <c r="A197" s="159" t="s">
        <v>121</v>
      </c>
      <c r="B197" s="159"/>
      <c r="C197" s="159"/>
      <c r="D197" s="159"/>
      <c r="E197" s="159"/>
      <c r="F197" s="159"/>
      <c r="G197" s="159"/>
      <c r="H197" s="159"/>
    </row>
    <row r="198" spans="1:20" x14ac:dyDescent="0.25">
      <c r="A198" s="167" t="s">
        <v>72</v>
      </c>
      <c r="B198" s="167"/>
      <c r="C198" s="167" t="s">
        <v>346</v>
      </c>
      <c r="D198" s="167"/>
      <c r="E198" s="167" t="s">
        <v>102</v>
      </c>
      <c r="F198" s="167"/>
      <c r="G198" s="167" t="s">
        <v>345</v>
      </c>
      <c r="H198" s="167"/>
    </row>
    <row r="199" spans="1:20" x14ac:dyDescent="0.25">
      <c r="A199" s="166" t="s">
        <v>74</v>
      </c>
      <c r="B199" s="166"/>
      <c r="C199" s="166"/>
      <c r="D199" s="166"/>
      <c r="E199" s="166"/>
      <c r="F199" s="166"/>
      <c r="G199" s="166"/>
      <c r="H199" s="166"/>
    </row>
    <row r="200" spans="1:20" x14ac:dyDescent="0.25">
      <c r="A200" s="166"/>
      <c r="B200" s="166"/>
      <c r="C200" s="166"/>
      <c r="D200" s="166"/>
      <c r="E200" s="166"/>
      <c r="F200" s="166"/>
      <c r="G200" s="166"/>
      <c r="H200" s="166"/>
    </row>
    <row r="201" spans="1:20" x14ac:dyDescent="0.25">
      <c r="A201" s="166"/>
      <c r="B201" s="166"/>
      <c r="C201" s="166"/>
      <c r="D201" s="166"/>
      <c r="E201" s="166"/>
      <c r="F201" s="166"/>
      <c r="G201" s="166"/>
      <c r="H201" s="166"/>
    </row>
    <row r="202" spans="1:20" x14ac:dyDescent="0.25">
      <c r="A202" s="37" t="s">
        <v>62</v>
      </c>
      <c r="B202" s="38"/>
      <c r="C202" s="38"/>
      <c r="D202" s="37" t="str">
        <f>E9</f>
        <v>Laxmi Aangan - Mahanadi, Krishna And Ganga</v>
      </c>
      <c r="F202" s="38"/>
      <c r="G202" s="38"/>
      <c r="H202" s="38"/>
    </row>
    <row r="203" spans="1:20" x14ac:dyDescent="0.25">
      <c r="A203" s="38"/>
      <c r="B203" s="38"/>
      <c r="C203" s="38"/>
      <c r="D203" s="38"/>
      <c r="E203" s="38"/>
      <c r="F203" s="38"/>
      <c r="G203" s="38"/>
      <c r="H203" s="38"/>
    </row>
    <row r="204" spans="1:20" x14ac:dyDescent="0.25">
      <c r="A204" s="38"/>
      <c r="B204" s="38"/>
      <c r="C204" s="38"/>
      <c r="D204" s="38"/>
      <c r="E204" s="38"/>
      <c r="F204" s="38"/>
      <c r="G204" s="38"/>
      <c r="H204" s="38"/>
    </row>
    <row r="205" spans="1:20" ht="15" customHeight="1" x14ac:dyDescent="0.25"/>
    <row r="245" spans="1:1" x14ac:dyDescent="0.25">
      <c r="A245" s="40" t="s">
        <v>155</v>
      </c>
    </row>
    <row r="288" spans="1:1" x14ac:dyDescent="0.25">
      <c r="A288" s="40" t="s">
        <v>63</v>
      </c>
    </row>
  </sheetData>
  <mergeCells count="366">
    <mergeCell ref="B190:H190"/>
    <mergeCell ref="A179:B179"/>
    <mergeCell ref="L179:M179"/>
    <mergeCell ref="I65:I67"/>
    <mergeCell ref="A175:B175"/>
    <mergeCell ref="L175:M175"/>
    <mergeCell ref="A176:B176"/>
    <mergeCell ref="L176:M176"/>
    <mergeCell ref="A177:B177"/>
    <mergeCell ref="L177:M177"/>
    <mergeCell ref="A178:B178"/>
    <mergeCell ref="C178:H178"/>
    <mergeCell ref="L178:M178"/>
    <mergeCell ref="A170:B170"/>
    <mergeCell ref="L170:M170"/>
    <mergeCell ref="A171:B171"/>
    <mergeCell ref="L171:M171"/>
    <mergeCell ref="A172:B172"/>
    <mergeCell ref="L172:M172"/>
    <mergeCell ref="A173:H173"/>
    <mergeCell ref="A174:B174"/>
    <mergeCell ref="L174:M174"/>
    <mergeCell ref="A164:H164"/>
    <mergeCell ref="A165:H165"/>
    <mergeCell ref="A166:H166"/>
    <mergeCell ref="A167:B167"/>
    <mergeCell ref="L167:M167"/>
    <mergeCell ref="A168:B168"/>
    <mergeCell ref="L168:M168"/>
    <mergeCell ref="A169:B169"/>
    <mergeCell ref="L169:M169"/>
    <mergeCell ref="A159:B159"/>
    <mergeCell ref="L159:M159"/>
    <mergeCell ref="A160:B160"/>
    <mergeCell ref="L160:M160"/>
    <mergeCell ref="A161:B161"/>
    <mergeCell ref="L161:M161"/>
    <mergeCell ref="A162:B162"/>
    <mergeCell ref="L162:M162"/>
    <mergeCell ref="A163:B163"/>
    <mergeCell ref="L163:M163"/>
    <mergeCell ref="C162:H162"/>
    <mergeCell ref="L155:M155"/>
    <mergeCell ref="A156:B156"/>
    <mergeCell ref="L156:M156"/>
    <mergeCell ref="A157:H157"/>
    <mergeCell ref="A158:B158"/>
    <mergeCell ref="L158:M158"/>
    <mergeCell ref="A149:H149"/>
    <mergeCell ref="A150:H150"/>
    <mergeCell ref="A151:B151"/>
    <mergeCell ref="L151:M151"/>
    <mergeCell ref="A152:B152"/>
    <mergeCell ref="L152:M152"/>
    <mergeCell ref="A153:B153"/>
    <mergeCell ref="L153:M153"/>
    <mergeCell ref="A154:B154"/>
    <mergeCell ref="L154:M154"/>
    <mergeCell ref="A155:B155"/>
    <mergeCell ref="A148:H148"/>
    <mergeCell ref="L147:M147"/>
    <mergeCell ref="L144:M144"/>
    <mergeCell ref="L145:M145"/>
    <mergeCell ref="L146:M146"/>
    <mergeCell ref="I53:N53"/>
    <mergeCell ref="I15:P15"/>
    <mergeCell ref="F128:H128"/>
    <mergeCell ref="F126:H126"/>
    <mergeCell ref="A138:H138"/>
    <mergeCell ref="A127:E127"/>
    <mergeCell ref="A60:B60"/>
    <mergeCell ref="C60:E60"/>
    <mergeCell ref="D62:H62"/>
    <mergeCell ref="F127:H127"/>
    <mergeCell ref="C132:D132"/>
    <mergeCell ref="D72:H72"/>
    <mergeCell ref="A73:C73"/>
    <mergeCell ref="E43:H43"/>
    <mergeCell ref="A43:D43"/>
    <mergeCell ref="A89:B89"/>
    <mergeCell ref="C89:H89"/>
    <mergeCell ref="A84:B84"/>
    <mergeCell ref="A50:B50"/>
    <mergeCell ref="C50:E50"/>
    <mergeCell ref="G50:H50"/>
    <mergeCell ref="G52:H52"/>
    <mergeCell ref="A51:B51"/>
    <mergeCell ref="A61:H61"/>
    <mergeCell ref="G51:H51"/>
    <mergeCell ref="A52:B53"/>
    <mergeCell ref="C53:H53"/>
    <mergeCell ref="D67:H67"/>
    <mergeCell ref="C52:E52"/>
    <mergeCell ref="A65:C67"/>
    <mergeCell ref="D65:H65"/>
    <mergeCell ref="D66:H66"/>
    <mergeCell ref="C51:E51"/>
    <mergeCell ref="A62:C62"/>
    <mergeCell ref="A63:C63"/>
    <mergeCell ref="D63:H63"/>
    <mergeCell ref="G60:H60"/>
    <mergeCell ref="A54:B55"/>
    <mergeCell ref="C54:E54"/>
    <mergeCell ref="G54:H54"/>
    <mergeCell ref="A56:B57"/>
    <mergeCell ref="C56:E56"/>
    <mergeCell ref="G56:H56"/>
    <mergeCell ref="A58:B59"/>
    <mergeCell ref="C58:E58"/>
    <mergeCell ref="G58:H58"/>
    <mergeCell ref="A196:H196"/>
    <mergeCell ref="A193:H193"/>
    <mergeCell ref="A132:B132"/>
    <mergeCell ref="D139:D140"/>
    <mergeCell ref="E139:E140"/>
    <mergeCell ref="A97:B97"/>
    <mergeCell ref="A98:B98"/>
    <mergeCell ref="A99:B99"/>
    <mergeCell ref="A114:B114"/>
    <mergeCell ref="F119:H119"/>
    <mergeCell ref="G133:H133"/>
    <mergeCell ref="A117:B117"/>
    <mergeCell ref="F125:H125"/>
    <mergeCell ref="A143:H143"/>
    <mergeCell ref="A136:B136"/>
    <mergeCell ref="C136:D136"/>
    <mergeCell ref="E136:F136"/>
    <mergeCell ref="B189:H189"/>
    <mergeCell ref="B186:H186"/>
    <mergeCell ref="B181:H181"/>
    <mergeCell ref="B182:H182"/>
    <mergeCell ref="E92:F92"/>
    <mergeCell ref="G92:H92"/>
    <mergeCell ref="A124:E124"/>
    <mergeCell ref="F124:H124"/>
    <mergeCell ref="A126:E126"/>
    <mergeCell ref="F121:H121"/>
    <mergeCell ref="A125:E125"/>
    <mergeCell ref="A111:B111"/>
    <mergeCell ref="A112:B112"/>
    <mergeCell ref="E93:F102"/>
    <mergeCell ref="A100:B100"/>
    <mergeCell ref="A101:B101"/>
    <mergeCell ref="E107:F107"/>
    <mergeCell ref="E108:F117"/>
    <mergeCell ref="G93:H102"/>
    <mergeCell ref="A94:B94"/>
    <mergeCell ref="A95:B95"/>
    <mergeCell ref="A96:B96"/>
    <mergeCell ref="F120:H120"/>
    <mergeCell ref="A120:E120"/>
    <mergeCell ref="A122:E122"/>
    <mergeCell ref="A199:H201"/>
    <mergeCell ref="A198:B198"/>
    <mergeCell ref="E198:F198"/>
    <mergeCell ref="C198:D198"/>
    <mergeCell ref="G198:H198"/>
    <mergeCell ref="A129:E129"/>
    <mergeCell ref="F129:H129"/>
    <mergeCell ref="A130:E130"/>
    <mergeCell ref="F130:H130"/>
    <mergeCell ref="A133:B133"/>
    <mergeCell ref="A194:H194"/>
    <mergeCell ref="A131:H131"/>
    <mergeCell ref="A197:H197"/>
    <mergeCell ref="A195:H195"/>
    <mergeCell ref="A191:H191"/>
    <mergeCell ref="G132:H132"/>
    <mergeCell ref="B139:B140"/>
    <mergeCell ref="A192:H192"/>
    <mergeCell ref="C139:C140"/>
    <mergeCell ref="G139:G140"/>
    <mergeCell ref="A145:B145"/>
    <mergeCell ref="B183:H183"/>
    <mergeCell ref="B184:H184"/>
    <mergeCell ref="A180:H180"/>
    <mergeCell ref="A77:B77"/>
    <mergeCell ref="A75:B75"/>
    <mergeCell ref="C75:H75"/>
    <mergeCell ref="A83:B83"/>
    <mergeCell ref="A70:C70"/>
    <mergeCell ref="D70:H70"/>
    <mergeCell ref="C77:H77"/>
    <mergeCell ref="A80:B80"/>
    <mergeCell ref="A82:B82"/>
    <mergeCell ref="E78:F78"/>
    <mergeCell ref="A71:C71"/>
    <mergeCell ref="D71:H71"/>
    <mergeCell ref="A74:C74"/>
    <mergeCell ref="D74:H74"/>
    <mergeCell ref="A72:C72"/>
    <mergeCell ref="D73:H73"/>
    <mergeCell ref="A79:B79"/>
    <mergeCell ref="G78:H78"/>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08:H117"/>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C59:H59"/>
    <mergeCell ref="A91:B91"/>
    <mergeCell ref="A39:B39"/>
    <mergeCell ref="C39:H39"/>
    <mergeCell ref="A46:D46"/>
    <mergeCell ref="A86:B86"/>
    <mergeCell ref="C133:D133"/>
    <mergeCell ref="E133:F133"/>
    <mergeCell ref="A119:E119"/>
    <mergeCell ref="A104:B104"/>
    <mergeCell ref="C104:H104"/>
    <mergeCell ref="A93:B93"/>
    <mergeCell ref="A47:D47"/>
    <mergeCell ref="A48:H48"/>
    <mergeCell ref="D64:H64"/>
    <mergeCell ref="A64:C64"/>
    <mergeCell ref="A85:B85"/>
    <mergeCell ref="C91:H91"/>
    <mergeCell ref="A45:D45"/>
    <mergeCell ref="A40:B40"/>
    <mergeCell ref="C40:H40"/>
    <mergeCell ref="C55:H55"/>
    <mergeCell ref="A78:B78"/>
    <mergeCell ref="A49:B49"/>
    <mergeCell ref="C49:H49"/>
    <mergeCell ref="A81:B81"/>
    <mergeCell ref="B188:H188"/>
    <mergeCell ref="E135:F135"/>
    <mergeCell ref="G135:H135"/>
    <mergeCell ref="A134:B134"/>
    <mergeCell ref="C134:D134"/>
    <mergeCell ref="E134:F134"/>
    <mergeCell ref="B187:H187"/>
    <mergeCell ref="B185:H185"/>
    <mergeCell ref="A109:B109"/>
    <mergeCell ref="A110:B110"/>
    <mergeCell ref="A123:E123"/>
    <mergeCell ref="A128:E128"/>
    <mergeCell ref="F123:H123"/>
    <mergeCell ref="A144:B144"/>
    <mergeCell ref="E132:F132"/>
    <mergeCell ref="A137:H137"/>
    <mergeCell ref="A139:A140"/>
    <mergeCell ref="G136:H136"/>
    <mergeCell ref="A146:B146"/>
    <mergeCell ref="A147:B147"/>
    <mergeCell ref="A121:E121"/>
    <mergeCell ref="A118:E118"/>
    <mergeCell ref="F122:H122"/>
    <mergeCell ref="A113:B113"/>
    <mergeCell ref="F139:F140"/>
    <mergeCell ref="G134:H134"/>
    <mergeCell ref="A135:B135"/>
    <mergeCell ref="C135:D135"/>
    <mergeCell ref="A141:H141"/>
    <mergeCell ref="A142:H142"/>
    <mergeCell ref="G107:H107"/>
    <mergeCell ref="A106:B106"/>
    <mergeCell ref="A102:B102"/>
    <mergeCell ref="A108:B108"/>
    <mergeCell ref="C106:H106"/>
    <mergeCell ref="A107:B107"/>
    <mergeCell ref="F118:H118"/>
    <mergeCell ref="A115:B115"/>
    <mergeCell ref="A116:B116"/>
    <mergeCell ref="A103:B103"/>
    <mergeCell ref="C103:D103"/>
    <mergeCell ref="E103:F103"/>
    <mergeCell ref="G103:H103"/>
  </mergeCells>
  <dataValidations count="12">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G198:H198">
      <formula1>"Kunal Kadam,Shruti Tathare,Pranita Mhatre,Shruti Fule,Pooja Kawale,Mansee Mohite,Anjali Kamble, Hitakshi Mhatre, Sachin Sawant"</formula1>
    </dataValidation>
    <dataValidation type="list" allowBlank="1" showInputMessage="1" showErrorMessage="1" sqref="F118:H118">
      <formula1>"On Saleable Area,On Builtup Area,On Carpet Area,On Plot Area"</formula1>
    </dataValidation>
    <dataValidation type="list" allowBlank="1" showInputMessage="1" showErrorMessage="1" sqref="B139:B140">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9:E140">
      <formula1>"Fungible area,Balcony Area,Chajja Area + Service Slab,Cornice Area,AP Area,WS Area"</formula1>
    </dataValidation>
    <dataValidation type="list" allowBlank="1" showInputMessage="1" showErrorMessage="1" sqref="H140">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4" max="7" man="1"/>
    <brk id="201" max="16383" man="1"/>
    <brk id="244" max="16383" man="1"/>
    <brk id="287"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23" t="s">
        <v>103</v>
      </c>
      <c r="C3" s="223"/>
      <c r="D3" s="223"/>
      <c r="E3" s="223"/>
      <c r="F3" s="223"/>
      <c r="G3" s="223"/>
      <c r="H3" s="223"/>
    </row>
    <row r="4" spans="1:9" x14ac:dyDescent="0.25">
      <c r="A4" s="2"/>
      <c r="B4" s="3" t="s">
        <v>104</v>
      </c>
      <c r="C4" s="3" t="s">
        <v>105</v>
      </c>
      <c r="D4" s="3" t="s">
        <v>65</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4"/>
      <c r="C4" s="54" t="s">
        <v>10</v>
      </c>
      <c r="D4" s="55" t="s">
        <v>168</v>
      </c>
      <c r="E4" s="55" t="s">
        <v>178</v>
      </c>
      <c r="F4" s="55" t="s">
        <v>164</v>
      </c>
      <c r="G4" s="55" t="s">
        <v>183</v>
      </c>
      <c r="H4" s="55" t="s">
        <v>201</v>
      </c>
      <c r="J4" t="s">
        <v>183</v>
      </c>
      <c r="K4" t="s">
        <v>199</v>
      </c>
    </row>
    <row r="5" spans="2:11" x14ac:dyDescent="0.25">
      <c r="B5" s="54"/>
      <c r="C5" s="54"/>
      <c r="D5" s="55" t="s">
        <v>169</v>
      </c>
      <c r="E5" s="55" t="s">
        <v>176</v>
      </c>
      <c r="F5" s="55" t="s">
        <v>198</v>
      </c>
      <c r="G5" s="55" t="s">
        <v>184</v>
      </c>
      <c r="H5" s="55" t="s">
        <v>202</v>
      </c>
    </row>
    <row r="6" spans="2:11" x14ac:dyDescent="0.25">
      <c r="B6" s="54"/>
      <c r="C6" s="54"/>
      <c r="D6" s="55" t="s">
        <v>170</v>
      </c>
      <c r="E6" s="55" t="s">
        <v>177</v>
      </c>
      <c r="F6" s="55" t="s">
        <v>199</v>
      </c>
      <c r="G6" s="55" t="s">
        <v>185</v>
      </c>
      <c r="H6" s="55" t="s">
        <v>215</v>
      </c>
    </row>
    <row r="7" spans="2:11" x14ac:dyDescent="0.25">
      <c r="B7" s="54"/>
      <c r="C7" s="54"/>
      <c r="D7" s="55" t="s">
        <v>171</v>
      </c>
      <c r="E7" s="55" t="s">
        <v>179</v>
      </c>
      <c r="F7" s="55" t="s">
        <v>200</v>
      </c>
      <c r="G7" s="55" t="s">
        <v>186</v>
      </c>
      <c r="H7" s="55" t="s">
        <v>203</v>
      </c>
    </row>
    <row r="8" spans="2:11" x14ac:dyDescent="0.25">
      <c r="B8" s="54"/>
      <c r="C8" s="54"/>
      <c r="D8" s="55" t="s">
        <v>172</v>
      </c>
      <c r="E8" s="55" t="s">
        <v>180</v>
      </c>
      <c r="F8" s="55"/>
      <c r="G8" s="55" t="s">
        <v>187</v>
      </c>
      <c r="H8" s="55" t="s">
        <v>204</v>
      </c>
    </row>
    <row r="9" spans="2:11" x14ac:dyDescent="0.25">
      <c r="B9" s="54"/>
      <c r="C9" s="54"/>
      <c r="D9" s="55" t="s">
        <v>173</v>
      </c>
      <c r="E9" s="55" t="s">
        <v>178</v>
      </c>
      <c r="F9" s="55"/>
      <c r="G9" s="55" t="s">
        <v>188</v>
      </c>
      <c r="H9" s="55" t="s">
        <v>205</v>
      </c>
    </row>
    <row r="10" spans="2:11" x14ac:dyDescent="0.25">
      <c r="B10" s="54"/>
      <c r="C10" s="54"/>
      <c r="D10" s="55" t="s">
        <v>174</v>
      </c>
      <c r="E10" s="55" t="s">
        <v>181</v>
      </c>
      <c r="F10" s="55"/>
      <c r="G10" s="55" t="s">
        <v>189</v>
      </c>
      <c r="H10" s="55" t="s">
        <v>206</v>
      </c>
    </row>
    <row r="11" spans="2:11" x14ac:dyDescent="0.25">
      <c r="B11" s="54"/>
      <c r="C11" s="54"/>
      <c r="D11" s="55" t="s">
        <v>175</v>
      </c>
      <c r="E11" s="55" t="s">
        <v>182</v>
      </c>
      <c r="F11" s="55"/>
      <c r="G11" s="55" t="s">
        <v>190</v>
      </c>
      <c r="H11" s="55" t="s">
        <v>207</v>
      </c>
    </row>
    <row r="12" spans="2:11" x14ac:dyDescent="0.25">
      <c r="B12" s="54"/>
      <c r="C12" s="54"/>
      <c r="D12" s="55"/>
      <c r="E12" s="55"/>
      <c r="F12" s="55"/>
      <c r="G12" s="55" t="s">
        <v>191</v>
      </c>
      <c r="H12" s="55" t="s">
        <v>208</v>
      </c>
    </row>
    <row r="13" spans="2:11" x14ac:dyDescent="0.25">
      <c r="B13" s="54"/>
      <c r="C13" s="54"/>
      <c r="D13" s="55"/>
      <c r="E13" s="55"/>
      <c r="F13" s="55"/>
      <c r="G13" s="55" t="s">
        <v>192</v>
      </c>
      <c r="H13" s="55" t="s">
        <v>209</v>
      </c>
    </row>
    <row r="14" spans="2:11" x14ac:dyDescent="0.25">
      <c r="B14" s="54"/>
      <c r="C14" s="54"/>
      <c r="D14" s="55"/>
      <c r="E14" s="55"/>
      <c r="F14" s="55"/>
      <c r="G14" s="55" t="s">
        <v>193</v>
      </c>
      <c r="H14" s="55" t="s">
        <v>210</v>
      </c>
    </row>
    <row r="15" spans="2:11" x14ac:dyDescent="0.25">
      <c r="B15" s="54"/>
      <c r="C15" s="54"/>
      <c r="D15" s="55"/>
      <c r="E15" s="55"/>
      <c r="F15" s="55"/>
      <c r="G15" s="55" t="s">
        <v>194</v>
      </c>
      <c r="H15" s="55" t="s">
        <v>211</v>
      </c>
    </row>
    <row r="16" spans="2:11" x14ac:dyDescent="0.25">
      <c r="B16" s="54"/>
      <c r="C16" s="54"/>
      <c r="D16" s="55"/>
      <c r="E16" s="55"/>
      <c r="F16" s="55"/>
      <c r="G16" s="55" t="s">
        <v>195</v>
      </c>
      <c r="H16" s="55" t="s">
        <v>212</v>
      </c>
    </row>
    <row r="17" spans="2:8" x14ac:dyDescent="0.25">
      <c r="B17" s="54"/>
      <c r="C17" s="54"/>
      <c r="D17" s="55"/>
      <c r="E17" s="55"/>
      <c r="F17" s="55"/>
      <c r="G17" s="55" t="s">
        <v>196</v>
      </c>
      <c r="H17" s="55" t="s">
        <v>213</v>
      </c>
    </row>
    <row r="18" spans="2:8" x14ac:dyDescent="0.25">
      <c r="B18" s="54"/>
      <c r="C18" s="54"/>
      <c r="D18" s="55"/>
      <c r="E18" s="55"/>
      <c r="F18" s="55"/>
      <c r="G18" s="55" t="s">
        <v>197</v>
      </c>
      <c r="H18" s="55" t="s">
        <v>214</v>
      </c>
    </row>
    <row r="24" spans="2:8" x14ac:dyDescent="0.25">
      <c r="C24" t="s">
        <v>161</v>
      </c>
    </row>
    <row r="25" spans="2:8" x14ac:dyDescent="0.25">
      <c r="C25" t="s">
        <v>216</v>
      </c>
    </row>
    <row r="26" spans="2:8" x14ac:dyDescent="0.25">
      <c r="C26" t="s">
        <v>217</v>
      </c>
    </row>
    <row r="27" spans="2:8" x14ac:dyDescent="0.25">
      <c r="C27" t="s">
        <v>218</v>
      </c>
    </row>
    <row r="28" spans="2:8" x14ac:dyDescent="0.25">
      <c r="C28" t="s">
        <v>219</v>
      </c>
    </row>
    <row r="29" spans="2:8" x14ac:dyDescent="0.25">
      <c r="C29" t="s">
        <v>220</v>
      </c>
    </row>
    <row r="30" spans="2:8" x14ac:dyDescent="0.25">
      <c r="C30" t="s">
        <v>161</v>
      </c>
    </row>
    <row r="33" spans="3:11" x14ac:dyDescent="0.25">
      <c r="J33">
        <v>1</v>
      </c>
      <c r="K33">
        <v>2</v>
      </c>
    </row>
    <row r="34" spans="3:11" x14ac:dyDescent="0.25">
      <c r="C34" s="58" t="s">
        <v>225</v>
      </c>
      <c r="D34" s="55" t="s">
        <v>223</v>
      </c>
      <c r="E34" s="55" t="s">
        <v>228</v>
      </c>
      <c r="F34" s="55" t="s">
        <v>226</v>
      </c>
      <c r="G34" s="55" t="s">
        <v>227</v>
      </c>
      <c r="H34" s="55" t="s">
        <v>229</v>
      </c>
      <c r="J34" t="s">
        <v>183</v>
      </c>
      <c r="K34" t="s">
        <v>199</v>
      </c>
    </row>
    <row r="35" spans="3:11" x14ac:dyDescent="0.25">
      <c r="C35" s="54" t="s">
        <v>224</v>
      </c>
      <c r="D35" s="55" t="s">
        <v>162</v>
      </c>
      <c r="E35" s="55" t="s">
        <v>233</v>
      </c>
      <c r="F35" s="55" t="s">
        <v>235</v>
      </c>
      <c r="G35" s="55" t="s">
        <v>237</v>
      </c>
      <c r="H35" s="55"/>
    </row>
    <row r="36" spans="3:11" x14ac:dyDescent="0.25">
      <c r="C36" s="54"/>
      <c r="D36" s="55" t="s">
        <v>230</v>
      </c>
      <c r="E36" s="55" t="s">
        <v>234</v>
      </c>
      <c r="F36" s="55" t="s">
        <v>236</v>
      </c>
      <c r="G36" s="55" t="s">
        <v>238</v>
      </c>
      <c r="H36" s="55"/>
    </row>
    <row r="37" spans="3:11" x14ac:dyDescent="0.25">
      <c r="C37" s="54"/>
      <c r="D37" s="55" t="s">
        <v>231</v>
      </c>
      <c r="E37" s="55"/>
      <c r="F37" s="55"/>
      <c r="G37" s="55" t="s">
        <v>239</v>
      </c>
      <c r="H37" s="55"/>
    </row>
    <row r="38" spans="3:11" x14ac:dyDescent="0.25">
      <c r="C38" s="54"/>
      <c r="D38" s="55" t="s">
        <v>232</v>
      </c>
      <c r="E38" s="55"/>
      <c r="F38" s="55"/>
      <c r="G38" s="55" t="s">
        <v>239</v>
      </c>
      <c r="H38" s="55"/>
    </row>
    <row r="39" spans="3:11" x14ac:dyDescent="0.25">
      <c r="C39" s="54"/>
      <c r="D39" s="55"/>
      <c r="E39" s="55"/>
      <c r="F39" s="55"/>
      <c r="G39" s="55" t="s">
        <v>240</v>
      </c>
      <c r="H39" s="55"/>
    </row>
    <row r="40" spans="3:11" x14ac:dyDescent="0.25">
      <c r="C40" s="54"/>
      <c r="D40" s="55"/>
      <c r="E40" s="55"/>
      <c r="F40" s="55"/>
      <c r="G40" s="55" t="s">
        <v>241</v>
      </c>
      <c r="H40" s="55"/>
    </row>
    <row r="41" spans="3:11" x14ac:dyDescent="0.25">
      <c r="C41" s="54"/>
      <c r="D41" s="55"/>
      <c r="E41" s="55"/>
      <c r="F41" s="55"/>
      <c r="G41" s="55"/>
      <c r="H41" s="55"/>
    </row>
    <row r="43" spans="3:11" x14ac:dyDescent="0.25">
      <c r="C43" t="s">
        <v>242</v>
      </c>
    </row>
    <row r="44" spans="3:11" x14ac:dyDescent="0.25">
      <c r="C44" t="s">
        <v>164</v>
      </c>
      <c r="D44" t="s">
        <v>243</v>
      </c>
    </row>
    <row r="45" spans="3:11" x14ac:dyDescent="0.25">
      <c r="D45" t="s">
        <v>244</v>
      </c>
    </row>
    <row r="46" spans="3:11" x14ac:dyDescent="0.25">
      <c r="D46" t="s">
        <v>245</v>
      </c>
    </row>
    <row r="47" spans="3:11" x14ac:dyDescent="0.25">
      <c r="D47" t="s">
        <v>246</v>
      </c>
    </row>
    <row r="48" spans="3:11" x14ac:dyDescent="0.25">
      <c r="D48" t="s">
        <v>247</v>
      </c>
    </row>
    <row r="49" spans="3:4" x14ac:dyDescent="0.25">
      <c r="C49" t="s">
        <v>168</v>
      </c>
      <c r="D49" t="s">
        <v>248</v>
      </c>
    </row>
    <row r="50" spans="3:4" x14ac:dyDescent="0.25">
      <c r="D50" t="s">
        <v>249</v>
      </c>
    </row>
    <row r="51" spans="3:4" x14ac:dyDescent="0.25">
      <c r="D51" t="s">
        <v>250</v>
      </c>
    </row>
    <row r="52" spans="3:4" x14ac:dyDescent="0.25">
      <c r="D52" t="s">
        <v>253</v>
      </c>
    </row>
    <row r="53" spans="3:4" x14ac:dyDescent="0.25">
      <c r="D53" t="s">
        <v>251</v>
      </c>
    </row>
    <row r="54" spans="3:4" x14ac:dyDescent="0.25">
      <c r="D54" t="s">
        <v>252</v>
      </c>
    </row>
    <row r="55" spans="3:4" x14ac:dyDescent="0.25">
      <c r="D55" t="s">
        <v>254</v>
      </c>
    </row>
    <row r="56" spans="3:4" x14ac:dyDescent="0.25">
      <c r="D56" t="s">
        <v>255</v>
      </c>
    </row>
    <row r="57" spans="3:4" x14ac:dyDescent="0.25">
      <c r="D57" t="s">
        <v>256</v>
      </c>
    </row>
    <row r="58" spans="3:4" x14ac:dyDescent="0.25">
      <c r="D58" t="s">
        <v>258</v>
      </c>
    </row>
    <row r="59" spans="3:4" x14ac:dyDescent="0.25">
      <c r="D59" t="s">
        <v>267</v>
      </c>
    </row>
    <row r="60" spans="3:4" x14ac:dyDescent="0.25">
      <c r="C60" t="s">
        <v>183</v>
      </c>
      <c r="D60" t="s">
        <v>259</v>
      </c>
    </row>
    <row r="61" spans="3:4" x14ac:dyDescent="0.25">
      <c r="D61" t="s">
        <v>257</v>
      </c>
    </row>
    <row r="62" spans="3:4" x14ac:dyDescent="0.25">
      <c r="D62" t="s">
        <v>247</v>
      </c>
    </row>
    <row r="63" spans="3:4" x14ac:dyDescent="0.25">
      <c r="D63" t="s">
        <v>260</v>
      </c>
    </row>
    <row r="64" spans="3:4" x14ac:dyDescent="0.25">
      <c r="D64" t="s">
        <v>261</v>
      </c>
    </row>
    <row r="65" spans="3:4" x14ac:dyDescent="0.25">
      <c r="D65" t="s">
        <v>262</v>
      </c>
    </row>
    <row r="66" spans="3:4" x14ac:dyDescent="0.25">
      <c r="D66" t="s">
        <v>263</v>
      </c>
    </row>
    <row r="67" spans="3:4" x14ac:dyDescent="0.25">
      <c r="C67" t="s">
        <v>178</v>
      </c>
      <c r="D67" t="s">
        <v>264</v>
      </c>
    </row>
    <row r="68" spans="3:4" x14ac:dyDescent="0.25">
      <c r="D68" t="s">
        <v>265</v>
      </c>
    </row>
    <row r="69" spans="3:4" x14ac:dyDescent="0.25">
      <c r="D69" t="s">
        <v>266</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8"/>
  <sheetViews>
    <sheetView topLeftCell="A4" workbookViewId="0">
      <selection activeCell="C12" sqref="C12"/>
    </sheetView>
  </sheetViews>
  <sheetFormatPr defaultRowHeight="15" x14ac:dyDescent="0.25"/>
  <cols>
    <col min="2" max="2" width="3" bestFit="1" customWidth="1"/>
    <col min="3" max="3" width="130" customWidth="1"/>
  </cols>
  <sheetData>
    <row r="2" spans="2:3" ht="15" customHeight="1" x14ac:dyDescent="0.25">
      <c r="B2" s="59">
        <v>1</v>
      </c>
      <c r="C2" s="62" t="s">
        <v>273</v>
      </c>
    </row>
    <row r="3" spans="2:3" x14ac:dyDescent="0.25">
      <c r="B3" s="59">
        <v>2</v>
      </c>
      <c r="C3" s="60" t="s">
        <v>274</v>
      </c>
    </row>
    <row r="4" spans="2:3" x14ac:dyDescent="0.25">
      <c r="B4" s="59">
        <v>3</v>
      </c>
      <c r="C4" s="61" t="s">
        <v>275</v>
      </c>
    </row>
    <row r="5" spans="2:3" ht="30" x14ac:dyDescent="0.25">
      <c r="B5" s="59">
        <v>4</v>
      </c>
      <c r="C5" s="60" t="s">
        <v>276</v>
      </c>
    </row>
    <row r="6" spans="2:3" x14ac:dyDescent="0.25">
      <c r="B6" s="59">
        <v>5</v>
      </c>
      <c r="C6" s="61" t="s">
        <v>277</v>
      </c>
    </row>
    <row r="7" spans="2:3" ht="30" x14ac:dyDescent="0.25">
      <c r="B7" s="59">
        <v>6</v>
      </c>
      <c r="C7" s="60" t="s">
        <v>278</v>
      </c>
    </row>
    <row r="8" spans="2:3" ht="90" x14ac:dyDescent="0.25">
      <c r="B8" s="59">
        <v>7</v>
      </c>
      <c r="C8" s="60" t="s">
        <v>279</v>
      </c>
    </row>
    <row r="9" spans="2:3" x14ac:dyDescent="0.25">
      <c r="B9" s="59">
        <v>8</v>
      </c>
      <c r="C9" s="61" t="s">
        <v>280</v>
      </c>
    </row>
    <row r="10" spans="2:3" x14ac:dyDescent="0.25">
      <c r="B10" s="59">
        <v>9</v>
      </c>
      <c r="C10" s="61" t="s">
        <v>281</v>
      </c>
    </row>
    <row r="11" spans="2:3" x14ac:dyDescent="0.25">
      <c r="B11" s="59">
        <v>10</v>
      </c>
      <c r="C11" s="61" t="s">
        <v>282</v>
      </c>
    </row>
    <row r="12" spans="2:3" x14ac:dyDescent="0.25">
      <c r="B12" s="59">
        <v>11</v>
      </c>
      <c r="C12" s="61" t="s">
        <v>283</v>
      </c>
    </row>
    <row r="13" spans="2:3" x14ac:dyDescent="0.25">
      <c r="B13" s="59">
        <v>12</v>
      </c>
      <c r="C13" s="61" t="s">
        <v>284</v>
      </c>
    </row>
    <row r="14" spans="2:3" x14ac:dyDescent="0.25">
      <c r="B14" s="59">
        <v>13</v>
      </c>
      <c r="C14" s="61" t="s">
        <v>285</v>
      </c>
    </row>
    <row r="15" spans="2:3" x14ac:dyDescent="0.25">
      <c r="B15" s="59">
        <v>14</v>
      </c>
      <c r="C15" s="61" t="s">
        <v>287</v>
      </c>
    </row>
    <row r="16" spans="2:3" x14ac:dyDescent="0.25">
      <c r="B16" s="59">
        <v>15</v>
      </c>
      <c r="C16" s="61" t="s">
        <v>288</v>
      </c>
    </row>
    <row r="17" spans="2:3" x14ac:dyDescent="0.25">
      <c r="B17" s="59">
        <v>16</v>
      </c>
      <c r="C17" s="63" t="s">
        <v>289</v>
      </c>
    </row>
    <row r="18" spans="2:3" x14ac:dyDescent="0.25">
      <c r="B18" s="59">
        <v>15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2025-05-16T11:33:54Z</cp:lastPrinted>
  <dcterms:created xsi:type="dcterms:W3CDTF">2019-07-16T09:29:46Z</dcterms:created>
  <dcterms:modified xsi:type="dcterms:W3CDTF">2025-08-09T11:23:06Z</dcterms:modified>
</cp:coreProperties>
</file>