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19200" windowHeight="6645" tabRatio="725"/>
  </bookViews>
  <sheets>
    <sheet name="Report" sheetId="1" r:id="rId1"/>
    <sheet name="valuation" sheetId="5" r:id="rId2"/>
    <sheet name="Research" sheetId="4" r:id="rId3"/>
    <sheet name="Remarks" sheetId="6" r:id="rId4"/>
  </sheets>
  <definedNames>
    <definedName name="_xlnm.Print_Area" localSheetId="0">Report!$A$1:$H$309</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24" i="1" l="1"/>
  <c r="M129" i="1"/>
  <c r="J124" i="1" l="1"/>
  <c r="J129" i="1"/>
  <c r="E132" i="1" l="1"/>
  <c r="D132" i="1"/>
  <c r="E131" i="1"/>
  <c r="D131" i="1"/>
  <c r="E130" i="1"/>
  <c r="D130" i="1"/>
  <c r="E128" i="1"/>
  <c r="D128" i="1"/>
  <c r="E127" i="1"/>
  <c r="D127" i="1"/>
  <c r="E126" i="1"/>
  <c r="D126" i="1"/>
  <c r="E125" i="1"/>
  <c r="D125" i="1"/>
  <c r="D123" i="1"/>
  <c r="J122" i="1"/>
  <c r="I132" i="1"/>
  <c r="C107" i="1" l="1"/>
  <c r="C108" i="1" s="1"/>
  <c r="I125" i="1"/>
  <c r="F131" i="1"/>
  <c r="F132" i="1"/>
  <c r="F130" i="1"/>
  <c r="A130" i="1"/>
  <c r="A131" i="1" s="1"/>
  <c r="A132" i="1" s="1"/>
  <c r="A133" i="1" s="1"/>
  <c r="F128" i="1"/>
  <c r="F127" i="1"/>
  <c r="F126" i="1"/>
  <c r="F125" i="1"/>
  <c r="I123" i="1"/>
  <c r="E46" i="1"/>
  <c r="E43" i="1"/>
  <c r="A125" i="1"/>
  <c r="H127" i="1" l="1"/>
  <c r="M127" i="1" s="1"/>
  <c r="J127" i="1"/>
  <c r="K127" i="1"/>
  <c r="H128" i="1"/>
  <c r="M128" i="1" s="1"/>
  <c r="J128" i="1"/>
  <c r="K128" i="1"/>
  <c r="H130" i="1"/>
  <c r="M130" i="1" s="1"/>
  <c r="J130" i="1"/>
  <c r="J132" i="1"/>
  <c r="H132" i="1"/>
  <c r="M132" i="1" s="1"/>
  <c r="H126" i="1"/>
  <c r="M126" i="1" s="1"/>
  <c r="J126" i="1"/>
  <c r="K126" i="1"/>
  <c r="J131" i="1"/>
  <c r="H131" i="1"/>
  <c r="M131" i="1" s="1"/>
  <c r="H125" i="1"/>
  <c r="M125" i="1" s="1"/>
  <c r="J125" i="1"/>
  <c r="K125" i="1"/>
  <c r="B160" i="1"/>
  <c r="A126" i="1"/>
  <c r="F116" i="1" l="1"/>
  <c r="H116" i="1" s="1"/>
  <c r="F117" i="1"/>
  <c r="H117" i="1" s="1"/>
  <c r="F118" i="1"/>
  <c r="H118" i="1" s="1"/>
  <c r="F115" i="1"/>
  <c r="H115" i="1" s="1"/>
  <c r="A127" i="1"/>
  <c r="G58" i="1" l="1"/>
  <c r="C58" i="1"/>
  <c r="G56" i="1"/>
  <c r="C56" i="1"/>
  <c r="A128" i="1"/>
  <c r="S33" i="1" l="1"/>
  <c r="F11" i="5" l="1"/>
  <c r="G11" i="5" s="1"/>
  <c r="F10" i="5"/>
  <c r="G10" i="5" s="1"/>
  <c r="F9" i="5"/>
  <c r="G9" i="5" s="1"/>
  <c r="F8" i="5"/>
  <c r="G8" i="5" s="1"/>
  <c r="F7" i="5"/>
  <c r="G7" i="5" s="1"/>
  <c r="F6" i="5"/>
  <c r="G6" i="5" s="1"/>
  <c r="F5" i="5"/>
  <c r="G5" i="5" s="1"/>
  <c r="G12" i="5" s="1"/>
  <c r="D183" i="1"/>
  <c r="B161" i="1"/>
  <c r="F157" i="1"/>
  <c r="H157" i="1" s="1"/>
  <c r="F156" i="1"/>
  <c r="H156" i="1" s="1"/>
  <c r="F155" i="1"/>
  <c r="H155" i="1" s="1"/>
  <c r="F154" i="1"/>
  <c r="H154" i="1" s="1"/>
  <c r="F153" i="1"/>
  <c r="H153" i="1" s="1"/>
  <c r="F151" i="1"/>
  <c r="H151" i="1" s="1"/>
  <c r="F150" i="1"/>
  <c r="H150" i="1" s="1"/>
  <c r="F149" i="1"/>
  <c r="H149" i="1" s="1"/>
  <c r="F148" i="1"/>
  <c r="H148" i="1" s="1"/>
  <c r="F147" i="1"/>
  <c r="H147" i="1" s="1"/>
  <c r="F145" i="1"/>
  <c r="H145" i="1" s="1"/>
  <c r="F144" i="1"/>
  <c r="H144" i="1" s="1"/>
  <c r="F143" i="1"/>
  <c r="H143" i="1" s="1"/>
  <c r="F142" i="1"/>
  <c r="H142" i="1" s="1"/>
  <c r="F141" i="1"/>
  <c r="H141" i="1" s="1"/>
  <c r="F139" i="1"/>
  <c r="H139" i="1" s="1"/>
  <c r="F138" i="1"/>
  <c r="H138" i="1" s="1"/>
  <c r="F137" i="1"/>
  <c r="H137" i="1" s="1"/>
  <c r="F136" i="1"/>
  <c r="H136" i="1" s="1"/>
  <c r="F135" i="1"/>
  <c r="H135" i="1" s="1"/>
  <c r="A135" i="1"/>
  <c r="A136" i="1" s="1"/>
  <c r="A137" i="1" s="1"/>
  <c r="A138" i="1" s="1"/>
  <c r="A139" i="1" s="1"/>
  <c r="F123" i="1"/>
  <c r="A116" i="1"/>
  <c r="A117" i="1" s="1"/>
  <c r="A118" i="1" s="1"/>
  <c r="C109" i="1"/>
  <c r="F99" i="1"/>
  <c r="D67" i="1"/>
  <c r="D62" i="1"/>
  <c r="E44" i="1"/>
  <c r="E45" i="1" s="1"/>
  <c r="E31" i="1"/>
  <c r="E28" i="1"/>
  <c r="E26" i="1"/>
  <c r="C16" i="1"/>
  <c r="I15" i="1"/>
  <c r="Z13" i="1"/>
  <c r="E8" i="1"/>
  <c r="E3" i="1"/>
  <c r="A141" i="1"/>
  <c r="H74" i="1"/>
  <c r="A147" i="1"/>
  <c r="A153" i="1"/>
  <c r="J123" i="1" l="1"/>
  <c r="H123" i="1"/>
  <c r="G107" i="1" s="1"/>
  <c r="G108" i="1" s="1"/>
  <c r="G109" i="1" s="1"/>
  <c r="K123" i="1"/>
  <c r="E107" i="1"/>
  <c r="E108" i="1" s="1"/>
  <c r="E109" i="1" s="1"/>
  <c r="J73" i="1"/>
  <c r="J75" i="1" s="1"/>
  <c r="J76" i="1"/>
  <c r="J77" i="1"/>
  <c r="J78" i="1"/>
  <c r="C77" i="1" s="1"/>
  <c r="D81" i="1"/>
  <c r="D83" i="1"/>
  <c r="D82" i="1"/>
  <c r="D86" i="1"/>
  <c r="D80" i="1"/>
  <c r="D85" i="1"/>
  <c r="D79" i="1"/>
  <c r="D84" i="1"/>
  <c r="B74" i="1"/>
  <c r="J79" i="1" s="1"/>
  <c r="A154" i="1"/>
  <c r="A148" i="1"/>
  <c r="A142" i="1"/>
  <c r="M123" i="1" l="1"/>
  <c r="L123" i="1"/>
  <c r="D77" i="1"/>
  <c r="J83" i="1"/>
  <c r="J81" i="1"/>
  <c r="J82" i="1"/>
  <c r="J80" i="1"/>
  <c r="J85" i="1" s="1"/>
  <c r="J86" i="1" s="1"/>
  <c r="C78" i="1" s="1"/>
  <c r="J84" i="1"/>
  <c r="A155" i="1"/>
  <c r="A149" i="1"/>
  <c r="A143" i="1"/>
  <c r="J74" i="1" l="1"/>
  <c r="E77" i="1"/>
  <c r="D78" i="1"/>
  <c r="I74" i="1" s="1"/>
  <c r="G77" i="1"/>
  <c r="A156" i="1"/>
  <c r="A144" i="1"/>
  <c r="A150" i="1"/>
  <c r="D71" i="1" l="1"/>
  <c r="D72" i="1" s="1"/>
  <c r="I75" i="1"/>
  <c r="I73" i="1" s="1"/>
  <c r="C75" i="1" s="1"/>
  <c r="A145" i="1"/>
  <c r="A151" i="1"/>
  <c r="A157" i="1"/>
  <c r="F72" i="1" l="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E13" authorId="0">
      <text>
        <r>
          <rPr>
            <b/>
            <sz val="9"/>
            <color indexed="81"/>
            <rFont val="Tahoma"/>
            <family val="2"/>
          </rPr>
          <t>Sachin:</t>
        </r>
        <r>
          <rPr>
            <sz val="9"/>
            <color indexed="81"/>
            <rFont val="Tahoma"/>
            <family val="2"/>
          </rPr>
          <t xml:space="preserve">
If exisiting Building is provided write it or else
NA</t>
        </r>
      </text>
    </comment>
    <comment ref="C55" authorId="1">
      <text>
        <r>
          <rPr>
            <b/>
            <sz val="9"/>
            <color indexed="81"/>
            <rFont val="Tahoma"/>
            <family val="2"/>
          </rPr>
          <t>SACHIN:</t>
        </r>
        <r>
          <rPr>
            <sz val="9"/>
            <color indexed="81"/>
            <rFont val="Tahoma"/>
            <family val="2"/>
          </rPr>
          <t xml:space="preserve">
Floor with height</t>
        </r>
      </text>
    </comment>
    <comment ref="C57" authorId="1">
      <text>
        <r>
          <rPr>
            <b/>
            <sz val="9"/>
            <color indexed="81"/>
            <rFont val="Tahoma"/>
            <family val="2"/>
          </rPr>
          <t>SACHIN:</t>
        </r>
        <r>
          <rPr>
            <sz val="9"/>
            <color indexed="81"/>
            <rFont val="Tahoma"/>
            <family val="2"/>
          </rPr>
          <t xml:space="preserve">
Survey Nos.</t>
        </r>
      </text>
    </comment>
    <comment ref="C59" authorId="1">
      <text>
        <r>
          <rPr>
            <b/>
            <sz val="9"/>
            <color indexed="81"/>
            <rFont val="Tahoma"/>
            <family val="2"/>
          </rPr>
          <t>SACHIN:</t>
        </r>
        <r>
          <rPr>
            <sz val="9"/>
            <color indexed="81"/>
            <rFont val="Tahoma"/>
            <family val="2"/>
          </rPr>
          <t xml:space="preserve">
Height from AMSL</t>
        </r>
      </text>
    </comment>
    <comment ref="D62"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1"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<sst xmlns="http://schemas.openxmlformats.org/spreadsheetml/2006/main" count="543" uniqueCount="356">
  <si>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</si>
  <si>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</si>
  <si>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</si>
  <si>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</si>
  <si>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</si>
  <si>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</si>
  <si>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</si>
  <si>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</si>
  <si>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</si>
  <si>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</si>
  <si>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</si>
  <si>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</si>
  <si>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</si>
  <si>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</si>
  <si>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</si>
  <si>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</si>
  <si>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</si>
  <si>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</si>
  <si>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</si>
  <si>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</si>
  <si>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</si>
  <si>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</si>
  <si>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</si>
  <si>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</si>
  <si>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</si>
  <si>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</si>
  <si>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</si>
  <si>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</si>
  <si>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</si>
  <si>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</si>
  <si>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</si>
  <si>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</si>
  <si>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</si>
  <si>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</si>
  <si>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</si>
  <si>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</si>
  <si>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</si>
  <si>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</si>
  <si>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</si>
  <si>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</si>
  <si>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</si>
  <si>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</si>
  <si>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</si>
  <si>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</si>
  <si>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</si>
  <si>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</si>
  <si>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</si>
  <si>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</si>
  <si>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</si>
  <si>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</si>
  <si>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</si>
  <si>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</si>
  <si>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</si>
  <si>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</si>
  <si>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</si>
  <si>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</si>
  <si>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</si>
  <si>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</si>
  <si>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</si>
  <si>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</si>
  <si>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</si>
  <si>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</si>
  <si>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</si>
  <si>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</si>
  <si>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</si>
  <si>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</si>
  <si>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</si>
  <si>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</si>
  <si>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</si>
  <si>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</si>
  <si>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</si>
  <si>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</si>
  <si>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</si>
  <si>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</si>
  <si>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</si>
  <si>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</si>
  <si>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</si>
  <si>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</si>
  <si>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</si>
  <si>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</si>
  <si>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</si>
  <si>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</si>
  <si>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</si>
  <si>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</si>
  <si>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</si>
  <si>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</si>
  <si>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</si>
  <si>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</si>
  <si>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</si>
  <si>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</si>
  <si>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</si>
  <si>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</si>
  <si>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</si>
  <si>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</si>
  <si>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</si>
  <si>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</si>
  <si>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</si>
  <si>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</si>
  <si>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</si>
  <si>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</si>
  <si>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</si>
  <si>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</si>
  <si>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</si>
  <si>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</si>
  <si>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</si>
  <si>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</si>
  <si>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</si>
  <si>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</si>
  <si>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</si>
  <si>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</si>
  <si>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</si>
  <si>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</si>
  <si>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</si>
  <si>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</si>
  <si>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</si>
  <si>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</si>
  <si>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</si>
  <si>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</si>
  <si>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</si>
  <si>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</si>
  <si>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</si>
  <si>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</si>
  <si>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</si>
  <si>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</si>
  <si>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</si>
  <si>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</si>
  <si>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</si>
  <si>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</si>
  <si>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</si>
  <si>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</si>
  <si>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</si>
  <si>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</si>
  <si>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</si>
  <si>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</si>
  <si>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</si>
  <si>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</si>
  <si>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</si>
  <si>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</si>
  <si>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</si>
  <si>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</si>
  <si>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</si>
  <si>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</si>
  <si>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</si>
  <si>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</si>
  <si>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</si>
  <si>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</si>
  <si>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</si>
  <si>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</si>
  <si>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</si>
  <si>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</si>
  <si>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</si>
  <si>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</si>
  <si>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</si>
  <si>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</si>
  <si>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</si>
  <si>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</si>
  <si>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</si>
  <si>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</si>
  <si>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</si>
  <si>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</si>
  <si>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</si>
  <si>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</si>
  <si>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</si>
  <si>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</si>
  <si>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</si>
  <si>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</si>
  <si>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</si>
  <si>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</si>
  <si>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</si>
  <si>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</si>
  <si>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</si>
  <si>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</si>
  <si>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</si>
  <si>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</si>
  <si>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</si>
  <si>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</si>
  <si>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</si>
  <si>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</si>
  <si>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</si>
  <si>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</si>
  <si>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</si>
  <si>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</si>
  <si>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</si>
  <si>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</si>
  <si>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</si>
  <si>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</si>
  <si>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</si>
  <si>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</si>
  <si>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</si>
  <si>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</si>
  <si>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</si>
  <si>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</si>
  <si>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</si>
  <si>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</si>
  <si>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</si>
  <si>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</si>
  <si>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</si>
  <si>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</si>
  <si>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</si>
  <si>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</si>
  <si>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</si>
  <si>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</si>
  <si>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</si>
  <si>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</si>
  <si>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</si>
  <si>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</si>
  <si>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</si>
  <si>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</si>
  <si>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</si>
  <si>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</si>
  <si>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</si>
  <si>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</si>
  <si>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</si>
  <si>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</si>
  <si>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</si>
  <si>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</si>
  <si>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</si>
  <si>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</si>
  <si>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</si>
  <si>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</si>
  <si>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</si>
  <si>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</si>
  <si>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</si>
  <si>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</si>
  <si>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</si>
  <si>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</si>
  <si>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</si>
  <si>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</si>
  <si>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</si>
  <si>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</si>
  <si>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</si>
  <si>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</si>
  <si>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</si>
  <si>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</si>
  <si>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</si>
  <si>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</si>
  <si>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</si>
  <si>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</si>
  <si>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</si>
  <si>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</si>
  <si>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</si>
  <si>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</si>
  <si>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</si>
  <si>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</si>
  <si>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</si>
  <si>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</si>
  <si>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</si>
  <si>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</si>
  <si>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</si>
  <si>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</si>
  <si>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</si>
  <si>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</si>
  <si>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</si>
  <si>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</si>
  <si>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</si>
  <si>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</si>
  <si>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</si>
  <si>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</si>
  <si>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</si>
  <si>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</si>
  <si>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</si>
  <si>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</si>
  <si>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</si>
  <si>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</si>
  <si>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</si>
  <si>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</si>
  <si>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</si>
  <si>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</si>
  <si>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</si>
  <si>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</si>
  <si>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</si>
  <si>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</si>
  <si>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</si>
  <si>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</si>
  <si>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</si>
  <si>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</si>
  <si>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</si>
  <si>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</si>
  <si>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</si>
  <si>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</si>
  <si>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</si>
  <si>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</si>
  <si>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</si>
  <si>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</si>
  <si>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</si>
  <si>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</si>
  <si>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</si>
  <si>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</si>
  <si>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</si>
  <si>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</si>
  <si>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</si>
  <si>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</si>
  <si>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</si>
  <si>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</si>
  <si>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</si>
  <si>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</si>
  <si>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</si>
  <si>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</si>
  <si>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</si>
  <si>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</si>
  <si>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 xml:space="preserve">Icon Construction Builders &amp; Developers
</t>
  </si>
  <si>
    <t>Icon Apartment</t>
  </si>
  <si>
    <t xml:space="preserve">Mr. Ibrahim Ansari 7709820609
</t>
  </si>
  <si>
    <t>https://maps.app.goo.gl/F9VBAZUbrDfZyy259</t>
  </si>
  <si>
    <t>P51700050313</t>
  </si>
  <si>
    <t>Survey No</t>
  </si>
  <si>
    <t>76 A, 190A/2 &amp; Plot No.21</t>
  </si>
  <si>
    <t>Khardi</t>
  </si>
  <si>
    <t>Internal Road</t>
  </si>
  <si>
    <t>Khardi West</t>
  </si>
  <si>
    <t>Khardi Railway Station</t>
  </si>
  <si>
    <t>64 M from Khardi Railway Station</t>
  </si>
  <si>
    <t>7.5 M W Road</t>
  </si>
  <si>
    <t>Plot No. 20</t>
  </si>
  <si>
    <t>Plot No. 22</t>
  </si>
  <si>
    <t>Railway Track</t>
  </si>
  <si>
    <t>Open Plot</t>
  </si>
  <si>
    <t>Houses</t>
  </si>
  <si>
    <t>Ground Floor For Residential, Meter Room, Society Office, Generator Room &amp; Parking</t>
  </si>
  <si>
    <t>2BHK</t>
  </si>
  <si>
    <t>1st &amp; 2nd Floor For Residential</t>
  </si>
  <si>
    <t>1BHK</t>
  </si>
  <si>
    <t>3rd Floor ( Part Terrace Area)</t>
  </si>
  <si>
    <t>Terrace Area</t>
  </si>
  <si>
    <t xml:space="preserve">Details of Residential in Building   </t>
  </si>
  <si>
    <t>Flats</t>
  </si>
  <si>
    <t>Mahasul/K-1/T-11/BP/Khardi(Shahapur)/SR-51/18</t>
  </si>
  <si>
    <t>Stilt + 1st to 3rd Floor ( Total Builtup Area = 571.83)</t>
  </si>
  <si>
    <t>Stilt + 1st to 3rd Floor</t>
  </si>
  <si>
    <t>Flats -12</t>
  </si>
  <si>
    <t xml:space="preserve">We considered Gross carpet area = Net carpet + Balcony </t>
  </si>
  <si>
    <t xml:space="preserve">Please check for Railway Noc.
</t>
  </si>
  <si>
    <t>BP/M.Khardi/T.Shahapur/SN.76/A+190/A/2 PN.21/SSTHANE/1671</t>
  </si>
  <si>
    <t>Builder Saleable Area</t>
  </si>
  <si>
    <t>VS/Rekhankan/BP/M.Khardi/T.Shahapur/SSThane/1670</t>
  </si>
  <si>
    <t xml:space="preserve">CCTV, Vitrified tiles flooring, Granite Kitchen Platform, Decorative Entrance &amp; etc.
</t>
  </si>
  <si>
    <r>
      <t xml:space="preserve">Shop No.
</t>
    </r>
    <r>
      <rPr>
        <b/>
        <sz val="11"/>
        <color theme="1"/>
        <rFont val="Times New Roman"/>
        <family val="1"/>
      </rPr>
      <t>(Approved Plan)</t>
    </r>
  </si>
  <si>
    <r>
      <t xml:space="preserve">Flat No.
</t>
    </r>
    <r>
      <rPr>
        <b/>
        <sz val="11"/>
        <color theme="1"/>
        <rFont val="Times New Roman"/>
        <family val="1"/>
      </rPr>
      <t>(Approved Plan)</t>
    </r>
  </si>
  <si>
    <r>
      <t xml:space="preserve">Proposed Amenities :                                                                                                                                                                                                                         </t>
    </r>
    <r>
      <rPr>
        <b/>
        <sz val="12"/>
        <color theme="1"/>
        <rFont val="Times New Roman"/>
        <family val="1"/>
      </rPr>
      <t xml:space="preserve">                                               </t>
    </r>
  </si>
  <si>
    <t>Approved Plans, CC, Sale Plans, Cost Sheet.</t>
  </si>
  <si>
    <t>Water, MSEB, Development Charges</t>
  </si>
  <si>
    <t>Society Formation Charges + Infrastructure + Maintainence</t>
  </si>
  <si>
    <t>19.580484, 73.393178</t>
  </si>
  <si>
    <t>Rate done with sachin sir</t>
  </si>
  <si>
    <t xml:space="preserve">Railway Noc No
Valid Up to: </t>
  </si>
  <si>
    <t>BB/W/6561/NOC/Khardi/1220/DB</t>
  </si>
  <si>
    <t>As per RERA, completion period of project Icon Apartment is expired on 31/12/2024 but still project is under construction.</t>
  </si>
  <si>
    <t>As per RERA - 30/09/2025</t>
  </si>
  <si>
    <t>Construction work is in process at the time of Visit (Labour found) (Slow Speed).</t>
  </si>
  <si>
    <t>11/08/2025.</t>
  </si>
  <si>
    <t>26/09/2019.</t>
  </si>
  <si>
    <t>19/06/2020.</t>
  </si>
  <si>
    <t>20/06/2019.</t>
  </si>
  <si>
    <t>Shruti Tathare</t>
  </si>
  <si>
    <t>Mangesh Bapardekar</t>
  </si>
  <si>
    <t>Since the project has received first CC on 19/06/2020., But construction work of Icon Apartment is under construction.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</si>
</sst>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22">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0" xfId="0" applyFont="1" applyBorder="1" applyProtection="1">
      <protection hidden="1"/>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6"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4" fillId="0" borderId="25" xfId="0" applyFont="1" applyBorder="1"/>
    <xf numFmtId="0" fontId="24" fillId="0" borderId="4" xfId="0" applyFont="1" applyBorder="1"/>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20" xfId="0" applyFill="1" applyBorder="1"/>
    <xf numFmtId="0" fontId="0" fillId="0" borderId="7" xfId="0" applyBorder="1"/>
    <xf numFmtId="0" fontId="0" fillId="0" borderId="1" xfId="0" applyBorder="1" applyAlignment="1">
      <alignment vertical="top" wrapText="1"/>
    </xf>
    <xf numFmtId="0" fontId="0" fillId="0" borderId="1" xfId="0" applyFill="1" applyBorder="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wrapText="1"/>
    </xf>
    <xf numFmtId="1" fontId="6" fillId="0" borderId="1" xfId="1" applyNumberFormat="1" applyFont="1" applyBorder="1" applyAlignment="1">
      <alignment horizontal="center" vertical="center"/>
    </xf>
    <xf numFmtId="0" fontId="6" fillId="0" borderId="6"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0" xfId="1" applyFont="1" applyAlignment="1">
      <alignment horizontal="center" vertical="center"/>
    </xf>
    <xf numFmtId="1" fontId="9" fillId="0" borderId="2" xfId="1" applyNumberFormat="1" applyFont="1" applyBorder="1" applyAlignment="1" applyProtection="1">
      <alignment horizontal="center" vertical="top" wrapText="1"/>
      <protection locked="0"/>
    </xf>
    <xf numFmtId="9" fontId="9" fillId="0" borderId="13"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6" fillId="0" borderId="0" xfId="1" applyFont="1" applyAlignment="1">
      <alignment vertical="center"/>
    </xf>
    <xf numFmtId="0" fontId="11" fillId="0" borderId="1" xfId="1" applyFont="1" applyBorder="1" applyAlignment="1" applyProtection="1">
      <alignment vertical="top" wrapText="1"/>
      <protection locked="0"/>
    </xf>
    <xf numFmtId="0" fontId="23" fillId="0" borderId="0" xfId="0" applyFont="1"/>
    <xf numFmtId="1" fontId="5" fillId="0" borderId="1" xfId="0" applyNumberFormat="1" applyFont="1" applyBorder="1" applyAlignment="1" applyProtection="1">
      <alignment horizontal="center" vertical="center" wrapText="1"/>
      <protection locked="0"/>
    </xf>
    <xf numFmtId="0" fontId="23" fillId="2" borderId="12" xfId="0" applyFont="1" applyFill="1" applyBorder="1"/>
    <xf numFmtId="0" fontId="24" fillId="0" borderId="8" xfId="0" applyFont="1" applyBorder="1"/>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pplyProtection="1">
      <alignment horizontal="left"/>
      <protection locked="0"/>
    </xf>
    <xf numFmtId="1" fontId="16" fillId="0" borderId="7" xfId="0" applyNumberFormat="1" applyFont="1" applyBorder="1" applyAlignment="1" applyProtection="1">
      <alignment vertical="top" wrapText="1"/>
      <protection locked="0"/>
    </xf>
    <xf numFmtId="1" fontId="16" fillId="0" borderId="18" xfId="0" applyNumberFormat="1" applyFont="1" applyBorder="1" applyAlignment="1" applyProtection="1">
      <alignment vertical="top" wrapText="1"/>
      <protection locked="0"/>
    </xf>
    <xf numFmtId="1" fontId="16" fillId="0" borderId="8" xfId="0" applyNumberFormat="1" applyFont="1" applyBorder="1" applyAlignment="1" applyProtection="1">
      <alignment vertical="top" wrapText="1"/>
      <protection locked="0"/>
    </xf>
    <xf numFmtId="0" fontId="6" fillId="0" borderId="1" xfId="1"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0" fontId="6" fillId="0" borderId="3"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5" fillId="0" borderId="1" xfId="1" applyFont="1" applyBorder="1" applyAlignment="1" applyProtection="1">
      <alignment horizontal="left" vertical="top" wrapText="1"/>
      <protection locked="0"/>
    </xf>
    <xf numFmtId="1" fontId="7" fillId="0" borderId="26" xfId="0" applyNumberFormat="1" applyFont="1" applyBorder="1" applyAlignment="1" applyProtection="1">
      <alignment horizontal="center" vertical="center" wrapText="1"/>
      <protection locked="0"/>
    </xf>
    <xf numFmtId="1" fontId="7" fillId="0" borderId="27"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0" fontId="7" fillId="0" borderId="13"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6" fillId="0" borderId="7" xfId="1" applyFont="1" applyBorder="1" applyAlignment="1" applyProtection="1">
      <alignment horizontal="left" vertical="top"/>
      <protection locked="0"/>
    </xf>
    <xf numFmtId="0" fontId="6" fillId="0" borderId="18" xfId="1" applyFont="1" applyBorder="1" applyAlignment="1" applyProtection="1">
      <alignment horizontal="left" vertical="top"/>
      <protection locked="0"/>
    </xf>
    <xf numFmtId="0" fontId="6" fillId="0" borderId="8" xfId="1" applyFont="1" applyBorder="1" applyAlignment="1" applyProtection="1">
      <alignment horizontal="left" vertical="top"/>
      <protection locked="0"/>
    </xf>
    <xf numFmtId="0" fontId="6" fillId="0" borderId="20" xfId="1" applyFont="1" applyBorder="1" applyAlignment="1">
      <alignment horizontal="center"/>
    </xf>
    <xf numFmtId="0" fontId="6" fillId="0" borderId="0" xfId="1" applyFont="1" applyAlignment="1">
      <alignment horizontal="center"/>
    </xf>
    <xf numFmtId="164" fontId="5" fillId="0" borderId="1" xfId="1" applyNumberFormat="1" applyFont="1" applyBorder="1" applyAlignment="1" applyProtection="1">
      <alignment horizontal="left" vertical="top"/>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14" fontId="5" fillId="0" borderId="7" xfId="1" applyNumberFormat="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14" fontId="11" fillId="0" borderId="7" xfId="1" applyNumberFormat="1" applyFont="1" applyBorder="1" applyAlignment="1" applyProtection="1">
      <alignment horizontal="left" vertical="top" wrapText="1"/>
      <protection locked="0"/>
    </xf>
    <xf numFmtId="0" fontId="14" fillId="0" borderId="14"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top" wrapText="1"/>
      <protection locked="0"/>
    </xf>
    <xf numFmtId="1" fontId="9" fillId="0" borderId="2" xfId="1" applyNumberFormat="1" applyFont="1" applyBorder="1" applyAlignment="1" applyProtection="1">
      <alignment horizontal="center" vertical="top" wrapText="1"/>
      <protection locked="0"/>
    </xf>
    <xf numFmtId="1" fontId="9" fillId="0" borderId="13"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1" fontId="9" fillId="0" borderId="2" xfId="0" applyNumberFormat="1"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1" fontId="9" fillId="0" borderId="7" xfId="1" applyNumberFormat="1" applyFont="1" applyBorder="1" applyAlignment="1" applyProtection="1">
      <alignment horizontal="center" vertical="center" wrapText="1"/>
      <protection locked="0"/>
    </xf>
    <xf numFmtId="1" fontId="9" fillId="0" borderId="18" xfId="1" applyNumberFormat="1" applyFont="1" applyBorder="1" applyAlignment="1" applyProtection="1">
      <alignment horizontal="center" vertical="center" wrapText="1"/>
      <protection locked="0"/>
    </xf>
    <xf numFmtId="1" fontId="9" fillId="0" borderId="8" xfId="1" applyNumberFormat="1" applyFont="1" applyBorder="1" applyAlignment="1" applyProtection="1">
      <alignment horizontal="center" vertical="center" wrapText="1"/>
      <protection locked="0"/>
    </xf>
    <xf numFmtId="1" fontId="7" fillId="0" borderId="7" xfId="0" applyNumberFormat="1" applyFont="1" applyBorder="1" applyAlignment="1" applyProtection="1">
      <alignment vertical="top" wrapText="1"/>
      <protection locked="0"/>
    </xf>
    <xf numFmtId="1" fontId="7" fillId="0" borderId="18"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12" fillId="0" borderId="1" xfId="0" applyNumberFormat="1" applyFont="1" applyBorder="1" applyAlignment="1" applyProtection="1">
      <alignmen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1" applyFont="1" applyBorder="1" applyAlignment="1" applyProtection="1">
      <alignment horizontal="center" vertical="top"/>
      <protection locked="0"/>
    </xf>
    <xf numFmtId="1" fontId="7" fillId="0" borderId="1" xfId="0" applyNumberFormat="1" applyFont="1" applyBorder="1" applyAlignment="1" applyProtection="1">
      <alignment vertical="top" wrapText="1"/>
      <protection locked="0"/>
    </xf>
    <xf numFmtId="1" fontId="7" fillId="0" borderId="1" xfId="1" applyNumberFormat="1" applyFont="1" applyBorder="1" applyAlignment="1" applyProtection="1">
      <alignment horizontal="center" vertical="center" wrapText="1"/>
      <protection locked="0"/>
    </xf>
    <xf numFmtId="1" fontId="29" fillId="0" borderId="2" xfId="1" applyNumberFormat="1" applyFont="1" applyBorder="1" applyAlignment="1" applyProtection="1">
      <alignment horizontal="center" vertical="top" wrapText="1"/>
      <protection locked="0"/>
    </xf>
    <xf numFmtId="1" fontId="29" fillId="0" borderId="13"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67" fontId="6" fillId="0" borderId="1" xfId="9" applyNumberFormat="1" applyFont="1" applyFill="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1"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6" fillId="0" borderId="1" xfId="1" applyFont="1" applyFill="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6" fillId="0" borderId="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6" fillId="0" borderId="14"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7" fillId="0" borderId="7"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9" fontId="6" fillId="0" borderId="14" xfId="8" applyFont="1" applyFill="1" applyBorder="1" applyAlignment="1" applyProtection="1">
      <alignment horizontal="center" vertical="center" wrapText="1"/>
      <protection locked="0"/>
    </xf>
    <xf numFmtId="9" fontId="6" fillId="0" borderId="15" xfId="8" applyFont="1" applyFill="1" applyBorder="1" applyAlignment="1" applyProtection="1">
      <alignment horizontal="center" vertical="center" wrapText="1"/>
      <protection locked="0"/>
    </xf>
    <xf numFmtId="9" fontId="6" fillId="0" borderId="20" xfId="8" applyFont="1" applyFill="1" applyBorder="1" applyAlignment="1" applyProtection="1">
      <alignment horizontal="center" vertical="center" wrapText="1"/>
      <protection locked="0"/>
    </xf>
    <xf numFmtId="9" fontId="6" fillId="0" borderId="21" xfId="8" applyFont="1" applyFill="1" applyBorder="1" applyAlignment="1" applyProtection="1">
      <alignment horizontal="center" vertical="center" wrapText="1"/>
      <protection locked="0"/>
    </xf>
    <xf numFmtId="9" fontId="6" fillId="0" borderId="23" xfId="8" applyFont="1" applyFill="1" applyBorder="1" applyAlignment="1" applyProtection="1">
      <alignment horizontal="center" vertical="center" wrapText="1"/>
      <protection locked="0"/>
    </xf>
    <xf numFmtId="9" fontId="6" fillId="0" borderId="24" xfId="8" applyFont="1" applyFill="1" applyBorder="1" applyAlignment="1" applyProtection="1">
      <alignment horizontal="center" vertical="center" wrapText="1"/>
      <protection locked="0"/>
    </xf>
    <xf numFmtId="9" fontId="6" fillId="0" borderId="22" xfId="8" applyFont="1" applyFill="1" applyBorder="1" applyAlignment="1" applyProtection="1">
      <alignment horizontal="center" vertical="center" wrapText="1"/>
      <protection locked="0"/>
    </xf>
    <xf numFmtId="9" fontId="6" fillId="0" borderId="9" xfId="8" applyFont="1" applyFill="1" applyBorder="1" applyAlignment="1" applyProtection="1">
      <alignment horizontal="center" vertical="center" wrapText="1"/>
      <protection locked="0"/>
    </xf>
    <xf numFmtId="9" fontId="6" fillId="0" borderId="11" xfId="8" applyFont="1" applyFill="1" applyBorder="1" applyAlignment="1" applyProtection="1">
      <alignment horizontal="center" vertical="center" wrapText="1"/>
      <protection locked="0"/>
    </xf>
    <xf numFmtId="0" fontId="6" fillId="0" borderId="0" xfId="1" applyFont="1" applyAlignment="1">
      <alignment horizontal="center" vertical="center"/>
    </xf>
    <xf numFmtId="1" fontId="6" fillId="0" borderId="1" xfId="0" applyNumberFormat="1" applyFont="1" applyBorder="1" applyAlignment="1" applyProtection="1">
      <alignment horizontal="center" vertical="center"/>
      <protection locked="0"/>
    </xf>
    <xf numFmtId="0" fontId="25"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7" fillId="0" borderId="27" xfId="0" applyNumberFormat="1" applyFont="1" applyBorder="1" applyAlignment="1" applyProtection="1">
      <alignment horizontal="center" vertical="top" wrapText="1"/>
      <protection locked="0"/>
    </xf>
    <xf numFmtId="1" fontId="7" fillId="0" borderId="28" xfId="0" applyNumberFormat="1" applyFont="1" applyBorder="1" applyAlignment="1" applyProtection="1">
      <alignment horizontal="center" vertical="top" wrapText="1"/>
      <protection locked="0"/>
    </xf>
    <xf numFmtId="0" fontId="5" fillId="0" borderId="7" xfId="1" applyFont="1" applyBorder="1" applyAlignment="1" applyProtection="1">
      <alignment vertical="top" wrapText="1"/>
      <protection locked="0"/>
    </xf>
    <xf numFmtId="0" fontId="5" fillId="0" borderId="18"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0" fontId="9" fillId="0" borderId="7" xfId="1" applyFont="1" applyFill="1" applyBorder="1" applyAlignment="1" applyProtection="1">
      <alignment horizontal="left" vertical="top"/>
      <protection locked="0"/>
    </xf>
    <xf numFmtId="0" fontId="9" fillId="0" borderId="18" xfId="1" applyFont="1" applyFill="1" applyBorder="1" applyAlignment="1" applyProtection="1">
      <alignment horizontal="left" vertical="top"/>
      <protection locked="0"/>
    </xf>
    <xf numFmtId="0" fontId="9" fillId="0" borderId="8" xfId="1" applyFont="1" applyFill="1" applyBorder="1" applyAlignment="1" applyProtection="1">
      <alignment horizontal="left" vertical="top"/>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9" fillId="0" borderId="1" xfId="1" applyFont="1" applyBorder="1" applyAlignment="1" applyProtection="1">
      <alignment horizontal="left" vertical="top"/>
      <protection locked="0"/>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0" fontId="7" fillId="0" borderId="13" xfId="1" applyFont="1" applyBorder="1" applyAlignment="1" applyProtection="1">
      <alignment horizontal="center" vertical="top"/>
      <protection locked="0"/>
    </xf>
    <xf numFmtId="1" fontId="6" fillId="0" borderId="18" xfId="1" applyNumberFormat="1" applyFont="1" applyBorder="1" applyAlignment="1" applyProtection="1">
      <alignment horizontal="center" vertical="center" wrapText="1"/>
      <protection locked="0"/>
    </xf>
    <xf numFmtId="1" fontId="9" fillId="0" borderId="14"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1" fontId="9" fillId="0" borderId="27" xfId="0" applyNumberFormat="1" applyFont="1" applyBorder="1" applyAlignment="1" applyProtection="1">
      <alignment horizontal="center" vertical="center"/>
      <protection locked="0"/>
    </xf>
    <xf numFmtId="1" fontId="9" fillId="0" borderId="27" xfId="0" applyNumberFormat="1" applyFont="1" applyBorder="1" applyAlignment="1" applyProtection="1">
      <alignment horizontal="center" vertical="top" wrapText="1"/>
      <protection locked="0"/>
    </xf>
    <xf numFmtId="1" fontId="7" fillId="0" borderId="7" xfId="1" applyNumberFormat="1" applyFont="1" applyBorder="1" applyAlignment="1" applyProtection="1">
      <alignment horizontal="center" vertical="center" wrapText="1"/>
      <protection locked="0"/>
    </xf>
    <xf numFmtId="1" fontId="7" fillId="0" borderId="18"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left" vertical="top" wrapText="1"/>
      <protection locked="0"/>
    </xf>
    <xf numFmtId="1" fontId="9" fillId="0" borderId="1" xfId="0" applyNumberFormat="1" applyFont="1" applyBorder="1" applyAlignment="1" applyProtection="1">
      <alignment vertical="top" wrapText="1"/>
      <protection locked="0"/>
    </xf>
    <xf numFmtId="0" fontId="8"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207868</xdr:colOff>
      <xdr:row>286</xdr:row>
      <xdr:rowOff>38659</xdr:rowOff>
    </xdr:from>
    <xdr:to>
      <xdr:col>7</xdr:col>
      <xdr:colOff>493058</xdr:colOff>
      <xdr:row>305</xdr:row>
      <xdr:rowOff>107017</xdr:rowOff>
    </xdr:to>
    <xdr:pic>
      <xdr:nvPicPr>
        <xdr:cNvPr id="2" name="Picture 1"/>
        <xdr:cNvPicPr>
          <a:picLocks noChangeAspect="1"/>
        </xdr:cNvPicPr>
      </xdr:nvPicPr>
      <xdr:blipFill>
        <a:blip xmlns:r="http://schemas.openxmlformats.org/officeDocument/2006/relationships" r:embed="rId1"/>
        <a:stretch>
          <a:fillRect/>
        </a:stretch>
      </xdr:blipFill>
      <xdr:spPr>
        <a:xfrm>
          <a:off x="207868" y="53557953"/>
          <a:ext cx="5865719" cy="3900769"/>
        </a:xfrm>
        <a:prstGeom prst="rect">
          <a:avLst/>
        </a:prstGeom>
        <a:ln>
          <a:solidFill>
            <a:schemeClr val="tx1"/>
          </a:solidFill>
        </a:ln>
      </xdr:spPr>
    </xdr:pic>
    <xdr:clientData/>
  </xdr:twoCellAnchor>
  <xdr:twoCellAnchor editAs="oneCell">
    <xdr:from>
      <xdr:col>0</xdr:col>
      <xdr:colOff>401730</xdr:colOff>
      <xdr:row>267</xdr:row>
      <xdr:rowOff>130547</xdr:rowOff>
    </xdr:from>
    <xdr:to>
      <xdr:col>7</xdr:col>
      <xdr:colOff>120450</xdr:colOff>
      <xdr:row>285</xdr:row>
      <xdr:rowOff>99841</xdr:rowOff>
    </xdr:to>
    <xdr:pic>
      <xdr:nvPicPr>
        <xdr:cNvPr id="4" name="Picture 3"/>
        <xdr:cNvPicPr>
          <a:picLocks noChangeAspect="1"/>
        </xdr:cNvPicPr>
      </xdr:nvPicPr>
      <xdr:blipFill>
        <a:blip xmlns:r="http://schemas.openxmlformats.org/officeDocument/2006/relationships" r:embed="rId2"/>
        <a:stretch>
          <a:fillRect/>
        </a:stretch>
      </xdr:blipFill>
      <xdr:spPr>
        <a:xfrm>
          <a:off x="401730" y="49817429"/>
          <a:ext cx="5299249" cy="3600000"/>
        </a:xfrm>
        <a:prstGeom prst="rect">
          <a:avLst/>
        </a:prstGeom>
        <a:ln>
          <a:solidFill>
            <a:schemeClr val="tx1"/>
          </a:solidFill>
        </a:ln>
      </xdr:spPr>
    </xdr:pic>
    <xdr:clientData/>
  </xdr:twoCellAnchor>
  <xdr:twoCellAnchor editAs="oneCell">
    <xdr:from>
      <xdr:col>8</xdr:col>
      <xdr:colOff>271742</xdr:colOff>
      <xdr:row>48</xdr:row>
      <xdr:rowOff>237005</xdr:rowOff>
    </xdr:from>
    <xdr:to>
      <xdr:col>13</xdr:col>
      <xdr:colOff>537866</xdr:colOff>
      <xdr:row>51</xdr:row>
      <xdr:rowOff>262062</xdr:rowOff>
    </xdr:to>
    <xdr:pic>
      <xdr:nvPicPr>
        <xdr:cNvPr id="3" name="Picture 2"/>
        <xdr:cNvPicPr>
          <a:picLocks noChangeAspect="1"/>
        </xdr:cNvPicPr>
      </xdr:nvPicPr>
      <xdr:blipFill>
        <a:blip xmlns:r="http://schemas.openxmlformats.org/officeDocument/2006/relationships" r:embed="rId3"/>
        <a:stretch>
          <a:fillRect/>
        </a:stretch>
      </xdr:blipFill>
      <xdr:spPr>
        <a:xfrm>
          <a:off x="6586817" y="10685930"/>
          <a:ext cx="4609524" cy="1253782"/>
        </a:xfrm>
        <a:prstGeom prst="rect">
          <a:avLst/>
        </a:prstGeom>
      </xdr:spPr>
    </xdr:pic>
    <xdr:clientData/>
  </xdr:twoCellAnchor>
  <xdr:twoCellAnchor editAs="oneCell">
    <xdr:from>
      <xdr:col>8</xdr:col>
      <xdr:colOff>347383</xdr:colOff>
      <xdr:row>38</xdr:row>
      <xdr:rowOff>76840</xdr:rowOff>
    </xdr:from>
    <xdr:to>
      <xdr:col>13</xdr:col>
      <xdr:colOff>635275</xdr:colOff>
      <xdr:row>48</xdr:row>
      <xdr:rowOff>47612</xdr:rowOff>
    </xdr:to>
    <xdr:pic>
      <xdr:nvPicPr>
        <xdr:cNvPr id="5" name="Picture 4"/>
        <xdr:cNvPicPr>
          <a:picLocks noChangeAspect="1"/>
        </xdr:cNvPicPr>
      </xdr:nvPicPr>
      <xdr:blipFill>
        <a:blip xmlns:r="http://schemas.openxmlformats.org/officeDocument/2006/relationships" r:embed="rId4"/>
        <a:stretch>
          <a:fillRect/>
        </a:stretch>
      </xdr:blipFill>
      <xdr:spPr>
        <a:xfrm>
          <a:off x="6656295" y="8761399"/>
          <a:ext cx="4635774" cy="1987831"/>
        </a:xfrm>
        <a:prstGeom prst="rect">
          <a:avLst/>
        </a:prstGeom>
      </xdr:spPr>
    </xdr:pic>
    <xdr:clientData/>
  </xdr:twoCellAnchor>
  <xdr:twoCellAnchor>
    <xdr:from>
      <xdr:col>2</xdr:col>
      <xdr:colOff>347613</xdr:colOff>
      <xdr:row>289</xdr:row>
      <xdr:rowOff>186459</xdr:rowOff>
    </xdr:from>
    <xdr:to>
      <xdr:col>3</xdr:col>
      <xdr:colOff>11430</xdr:colOff>
      <xdr:row>294</xdr:row>
      <xdr:rowOff>138212</xdr:rowOff>
    </xdr:to>
    <xdr:sp macro="" textlink="">
      <xdr:nvSpPr>
        <xdr:cNvPr id="6" name="Rectangle 5"/>
        <xdr:cNvSpPr/>
      </xdr:nvSpPr>
      <xdr:spPr>
        <a:xfrm rot="19605203">
          <a:off x="1905231" y="54310871"/>
          <a:ext cx="515464" cy="960282"/>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0</xdr:col>
      <xdr:colOff>504265</xdr:colOff>
      <xdr:row>287</xdr:row>
      <xdr:rowOff>190500</xdr:rowOff>
    </xdr:from>
    <xdr:to>
      <xdr:col>7</xdr:col>
      <xdr:colOff>493059</xdr:colOff>
      <xdr:row>305</xdr:row>
      <xdr:rowOff>67235</xdr:rowOff>
    </xdr:to>
    <xdr:cxnSp macro="">
      <xdr:nvCxnSpPr>
        <xdr:cNvPr id="8" name="Straight Connector 7"/>
        <xdr:cNvCxnSpPr/>
      </xdr:nvCxnSpPr>
      <xdr:spPr>
        <a:xfrm flipV="1">
          <a:off x="504265" y="53911500"/>
          <a:ext cx="5569323" cy="350744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17368</xdr:colOff>
      <xdr:row>288</xdr:row>
      <xdr:rowOff>168088</xdr:rowOff>
    </xdr:from>
    <xdr:to>
      <xdr:col>7</xdr:col>
      <xdr:colOff>481853</xdr:colOff>
      <xdr:row>305</xdr:row>
      <xdr:rowOff>117099</xdr:rowOff>
    </xdr:to>
    <xdr:cxnSp macro="">
      <xdr:nvCxnSpPr>
        <xdr:cNvPr id="9" name="Straight Connector 8"/>
        <xdr:cNvCxnSpPr/>
      </xdr:nvCxnSpPr>
      <xdr:spPr>
        <a:xfrm flipV="1">
          <a:off x="779368" y="54090794"/>
          <a:ext cx="5283014" cy="337801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400610</xdr:colOff>
      <xdr:row>290</xdr:row>
      <xdr:rowOff>44823</xdr:rowOff>
    </xdr:from>
    <xdr:to>
      <xdr:col>7</xdr:col>
      <xdr:colOff>481853</xdr:colOff>
      <xdr:row>305</xdr:row>
      <xdr:rowOff>119340</xdr:rowOff>
    </xdr:to>
    <xdr:cxnSp macro="">
      <xdr:nvCxnSpPr>
        <xdr:cNvPr id="11" name="Straight Connector 10"/>
        <xdr:cNvCxnSpPr/>
      </xdr:nvCxnSpPr>
      <xdr:spPr>
        <a:xfrm flipV="1">
          <a:off x="1162610" y="54370941"/>
          <a:ext cx="4899772" cy="310010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672354</xdr:colOff>
      <xdr:row>287</xdr:row>
      <xdr:rowOff>168088</xdr:rowOff>
    </xdr:from>
    <xdr:to>
      <xdr:col>2</xdr:col>
      <xdr:colOff>739588</xdr:colOff>
      <xdr:row>290</xdr:row>
      <xdr:rowOff>56029</xdr:rowOff>
    </xdr:to>
    <xdr:sp macro="" textlink="">
      <xdr:nvSpPr>
        <xdr:cNvPr id="15" name="TextBox 14"/>
        <xdr:cNvSpPr txBox="1"/>
      </xdr:nvSpPr>
      <xdr:spPr>
        <a:xfrm rot="19720691">
          <a:off x="1434354" y="53889088"/>
          <a:ext cx="862852" cy="493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a:solidFill>
                <a:srgbClr val="FFFF00"/>
              </a:solidFill>
            </a:rPr>
            <a:t>Site</a:t>
          </a:r>
        </a:p>
      </xdr:txBody>
    </xdr:sp>
    <xdr:clientData/>
  </xdr:twoCellAnchor>
  <xdr:twoCellAnchor>
    <xdr:from>
      <xdr:col>3</xdr:col>
      <xdr:colOff>246530</xdr:colOff>
      <xdr:row>295</xdr:row>
      <xdr:rowOff>134472</xdr:rowOff>
    </xdr:from>
    <xdr:to>
      <xdr:col>6</xdr:col>
      <xdr:colOff>56030</xdr:colOff>
      <xdr:row>298</xdr:row>
      <xdr:rowOff>22413</xdr:rowOff>
    </xdr:to>
    <xdr:sp macro="" textlink="">
      <xdr:nvSpPr>
        <xdr:cNvPr id="16" name="TextBox 15"/>
        <xdr:cNvSpPr txBox="1"/>
      </xdr:nvSpPr>
      <xdr:spPr>
        <a:xfrm rot="19718199">
          <a:off x="2655795" y="55469119"/>
          <a:ext cx="2252382" cy="493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solidFill>
                <a:schemeClr val="accent4">
                  <a:lumMod val="20000"/>
                  <a:lumOff val="80000"/>
                </a:schemeClr>
              </a:solidFill>
            </a:rPr>
            <a:t>Railway</a:t>
          </a:r>
          <a:r>
            <a:rPr lang="en-IN" sz="2000" b="1" baseline="0">
              <a:solidFill>
                <a:schemeClr val="accent4">
                  <a:lumMod val="20000"/>
                  <a:lumOff val="80000"/>
                </a:schemeClr>
              </a:solidFill>
            </a:rPr>
            <a:t> Track</a:t>
          </a:r>
          <a:endParaRPr lang="en-IN" sz="2000" b="1">
            <a:solidFill>
              <a:schemeClr val="accent4">
                <a:lumMod val="20000"/>
                <a:lumOff val="80000"/>
              </a:schemeClr>
            </a:solidFill>
          </a:endParaRPr>
        </a:p>
      </xdr:txBody>
    </xdr:sp>
    <xdr:clientData/>
  </xdr:twoCellAnchor>
  <xdr:twoCellAnchor editAs="oneCell">
    <xdr:from>
      <xdr:col>2</xdr:col>
      <xdr:colOff>18396</xdr:colOff>
      <xdr:row>224</xdr:row>
      <xdr:rowOff>41536</xdr:rowOff>
    </xdr:from>
    <xdr:to>
      <xdr:col>5</xdr:col>
      <xdr:colOff>473055</xdr:colOff>
      <xdr:row>243</xdr:row>
      <xdr:rowOff>169123</xdr:rowOff>
    </xdr:to>
    <xdr:pic>
      <xdr:nvPicPr>
        <xdr:cNvPr id="17" name="Picture 16"/>
        <xdr:cNvPicPr>
          <a:picLocks noChangeAspect="1"/>
        </xdr:cNvPicPr>
      </xdr:nvPicPr>
      <xdr:blipFill>
        <a:blip xmlns:r="http://schemas.openxmlformats.org/officeDocument/2006/relationships" r:embed="rId5"/>
        <a:stretch>
          <a:fillRect/>
        </a:stretch>
      </xdr:blipFill>
      <xdr:spPr>
        <a:xfrm>
          <a:off x="1576014" y="40853360"/>
          <a:ext cx="3009600" cy="3960000"/>
        </a:xfrm>
        <a:prstGeom prst="rect">
          <a:avLst/>
        </a:prstGeom>
        <a:ln>
          <a:solidFill>
            <a:schemeClr val="tx1"/>
          </a:solidFill>
        </a:ln>
      </xdr:spPr>
    </xdr:pic>
    <xdr:clientData/>
  </xdr:twoCellAnchor>
  <xdr:twoCellAnchor editAs="oneCell">
    <xdr:from>
      <xdr:col>2</xdr:col>
      <xdr:colOff>212912</xdr:colOff>
      <xdr:row>244</xdr:row>
      <xdr:rowOff>78441</xdr:rowOff>
    </xdr:from>
    <xdr:to>
      <xdr:col>5</xdr:col>
      <xdr:colOff>388617</xdr:colOff>
      <xdr:row>265</xdr:row>
      <xdr:rowOff>31750</xdr:rowOff>
    </xdr:to>
    <xdr:pic>
      <xdr:nvPicPr>
        <xdr:cNvPr id="18" name="Picture 17"/>
        <xdr:cNvPicPr>
          <a:picLocks noChangeAspect="1"/>
        </xdr:cNvPicPr>
      </xdr:nvPicPr>
      <xdr:blipFill>
        <a:blip xmlns:r="http://schemas.openxmlformats.org/officeDocument/2006/relationships" r:embed="rId6"/>
        <a:stretch>
          <a:fillRect/>
        </a:stretch>
      </xdr:blipFill>
      <xdr:spPr>
        <a:xfrm>
          <a:off x="1851212" y="44090291"/>
          <a:ext cx="2842705" cy="4087159"/>
        </a:xfrm>
        <a:prstGeom prst="rect">
          <a:avLst/>
        </a:prstGeom>
        <a:ln>
          <a:solidFill>
            <a:schemeClr val="tx1"/>
          </a:solidFill>
        </a:ln>
      </xdr:spPr>
    </xdr:pic>
    <xdr:clientData/>
  </xdr:twoCellAnchor>
  <xdr:oneCellAnchor>
    <xdr:from>
      <xdr:col>8</xdr:col>
      <xdr:colOff>539523</xdr:colOff>
      <xdr:row>183</xdr:row>
      <xdr:rowOff>31750</xdr:rowOff>
    </xdr:from>
    <xdr:ext cx="571888" cy="311496"/>
    <xdr:sp macro="" textlink="">
      <xdr:nvSpPr>
        <xdr:cNvPr id="31" name="TextBox 30"/>
        <xdr:cNvSpPr txBox="1"/>
      </xdr:nvSpPr>
      <xdr:spPr>
        <a:xfrm>
          <a:off x="7162573" y="32042100"/>
          <a:ext cx="571888" cy="31149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Part I</a:t>
          </a:r>
        </a:p>
      </xdr:txBody>
    </xdr:sp>
    <xdr:clientData/>
  </xdr:oneCellAnchor>
  <xdr:oneCellAnchor>
    <xdr:from>
      <xdr:col>9</xdr:col>
      <xdr:colOff>643620</xdr:colOff>
      <xdr:row>182</xdr:row>
      <xdr:rowOff>57150</xdr:rowOff>
    </xdr:from>
    <xdr:ext cx="617092" cy="311496"/>
    <xdr:sp macro="" textlink="">
      <xdr:nvSpPr>
        <xdr:cNvPr id="32" name="TextBox 31"/>
        <xdr:cNvSpPr txBox="1"/>
      </xdr:nvSpPr>
      <xdr:spPr>
        <a:xfrm>
          <a:off x="8485870" y="31870650"/>
          <a:ext cx="617092" cy="31149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Part II</a:t>
          </a:r>
        </a:p>
      </xdr:txBody>
    </xdr:sp>
    <xdr:clientData/>
  </xdr:oneCellAnchor>
  <xdr:twoCellAnchor>
    <xdr:from>
      <xdr:col>8</xdr:col>
      <xdr:colOff>755650</xdr:colOff>
      <xdr:row>184</xdr:row>
      <xdr:rowOff>146396</xdr:rowOff>
    </xdr:from>
    <xdr:to>
      <xdr:col>8</xdr:col>
      <xdr:colOff>825467</xdr:colOff>
      <xdr:row>186</xdr:row>
      <xdr:rowOff>76200</xdr:rowOff>
    </xdr:to>
    <xdr:cxnSp macro="">
      <xdr:nvCxnSpPr>
        <xdr:cNvPr id="12" name="Straight Arrow Connector 11"/>
        <xdr:cNvCxnSpPr>
          <a:stCxn id="31" idx="2"/>
        </xdr:cNvCxnSpPr>
      </xdr:nvCxnSpPr>
      <xdr:spPr>
        <a:xfrm flipH="1">
          <a:off x="7378700" y="32353596"/>
          <a:ext cx="69817" cy="31715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152066</xdr:colOff>
      <xdr:row>183</xdr:row>
      <xdr:rowOff>171796</xdr:rowOff>
    </xdr:from>
    <xdr:to>
      <xdr:col>10</xdr:col>
      <xdr:colOff>361950</xdr:colOff>
      <xdr:row>186</xdr:row>
      <xdr:rowOff>120650</xdr:rowOff>
    </xdr:to>
    <xdr:cxnSp macro="">
      <xdr:nvCxnSpPr>
        <xdr:cNvPr id="34" name="Straight Arrow Connector 33"/>
        <xdr:cNvCxnSpPr>
          <a:stCxn id="32" idx="2"/>
        </xdr:cNvCxnSpPr>
      </xdr:nvCxnSpPr>
      <xdr:spPr>
        <a:xfrm>
          <a:off x="8794416" y="32182146"/>
          <a:ext cx="209884" cy="53305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85725</xdr:colOff>
      <xdr:row>183</xdr:row>
      <xdr:rowOff>17462</xdr:rowOff>
    </xdr:from>
    <xdr:to>
      <xdr:col>7</xdr:col>
      <xdr:colOff>657225</xdr:colOff>
      <xdr:row>217</xdr:row>
      <xdr:rowOff>7350</xdr:rowOff>
    </xdr:to>
    <xdr:grpSp>
      <xdr:nvGrpSpPr>
        <xdr:cNvPr id="13" name="Group 12"/>
        <xdr:cNvGrpSpPr/>
      </xdr:nvGrpSpPr>
      <xdr:grpSpPr>
        <a:xfrm>
          <a:off x="85725" y="29528397"/>
          <a:ext cx="6153978" cy="6740214"/>
          <a:chOff x="85725" y="29249687"/>
          <a:chExt cx="6153150" cy="6781213"/>
        </a:xfrm>
      </xdr:grpSpPr>
      <xdr:grpSp>
        <xdr:nvGrpSpPr>
          <xdr:cNvPr id="10" name="Group 9"/>
          <xdr:cNvGrpSpPr/>
        </xdr:nvGrpSpPr>
        <xdr:grpSpPr>
          <a:xfrm>
            <a:off x="85725" y="29249687"/>
            <a:ext cx="6140158" cy="6781213"/>
            <a:chOff x="85725" y="29249687"/>
            <a:chExt cx="6140158" cy="6781213"/>
          </a:xfrm>
        </xdr:grpSpPr>
        <xdr:pic>
          <xdr:nvPicPr>
            <xdr:cNvPr id="26" name="Picture 25" descr="https://vsjcllp.vsjadon.com/upload/insp-243251-152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143375" y="338709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43251-843.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190875" y="29259212"/>
              <a:ext cx="3035008" cy="227806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43251-845.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723900" y="338518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3251-862.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2428875" y="338709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3251-87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85725" y="316230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43251-877.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85725" y="29249687"/>
              <a:ext cx="3035008" cy="227806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43251-880.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1781175" y="316039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pic>
        <xdr:nvPicPr>
          <xdr:cNvPr id="52" name="Picture 51" descr="https://vsjcllp.vsjadon.com/upload/insp-243251-931.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3495675" y="31603950"/>
            <a:ext cx="27432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F9VBAZUbrDfZyy25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67"/>
  <sheetViews>
    <sheetView tabSelected="1" view="pageBreakPreview" zoomScale="115" zoomScaleNormal="100" zoomScaleSheetLayoutView="115" zoomScalePageLayoutView="85" workbookViewId="0">
      <selection activeCell="I15" sqref="I15:P15"/>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50" t="s">
        <v>164</v>
      </c>
      <c r="B1" s="150"/>
      <c r="C1" s="150"/>
      <c r="D1" s="150"/>
      <c r="E1" s="150"/>
      <c r="F1" s="150"/>
      <c r="G1" s="150"/>
      <c r="H1" s="150"/>
    </row>
    <row r="2" spans="1:26" ht="16.5" customHeight="1" x14ac:dyDescent="0.25">
      <c r="A2" s="151" t="s">
        <v>0</v>
      </c>
      <c r="B2" s="151"/>
      <c r="C2" s="151"/>
      <c r="D2" s="151"/>
      <c r="E2" s="151"/>
      <c r="F2" s="151"/>
      <c r="G2" s="151"/>
      <c r="H2" s="151"/>
    </row>
    <row r="3" spans="1:26" x14ac:dyDescent="0.25">
      <c r="A3" s="152" t="s">
        <v>1</v>
      </c>
      <c r="B3" s="152"/>
      <c r="C3" s="152"/>
      <c r="D3" s="152"/>
      <c r="E3" s="152" t="str">
        <f ca="1">TEXT(TODAY(),"DD/MM/YYYY")</f>
        <v>13/08/2025</v>
      </c>
      <c r="F3" s="152"/>
      <c r="G3" s="152"/>
      <c r="H3" s="152"/>
      <c r="K3" s="48" t="s">
        <v>235</v>
      </c>
      <c r="L3" s="45" t="s">
        <v>233</v>
      </c>
      <c r="M3" s="45" t="s">
        <v>238</v>
      </c>
      <c r="N3" s="45" t="s">
        <v>236</v>
      </c>
      <c r="O3" s="45" t="s">
        <v>237</v>
      </c>
      <c r="P3" s="45" t="s">
        <v>239</v>
      </c>
    </row>
    <row r="4" spans="1:26" ht="15" customHeight="1" x14ac:dyDescent="0.25">
      <c r="A4" s="152" t="s">
        <v>232</v>
      </c>
      <c r="B4" s="152"/>
      <c r="C4" s="152"/>
      <c r="D4" s="152"/>
      <c r="E4" s="84" t="s">
        <v>233</v>
      </c>
      <c r="F4" s="84"/>
      <c r="G4" s="84"/>
      <c r="H4" s="84"/>
      <c r="K4" s="44" t="s">
        <v>234</v>
      </c>
      <c r="L4" s="45" t="s">
        <v>170</v>
      </c>
      <c r="M4" s="45" t="s">
        <v>243</v>
      </c>
      <c r="N4" s="45" t="s">
        <v>245</v>
      </c>
      <c r="O4" s="45" t="s">
        <v>247</v>
      </c>
      <c r="P4" s="45"/>
    </row>
    <row r="5" spans="1:26" ht="15" customHeight="1" x14ac:dyDescent="0.25">
      <c r="A5" s="152" t="s">
        <v>2</v>
      </c>
      <c r="B5" s="152"/>
      <c r="C5" s="152"/>
      <c r="D5" s="152"/>
      <c r="E5" s="84" t="s">
        <v>240</v>
      </c>
      <c r="F5" s="84"/>
      <c r="G5" s="84"/>
      <c r="H5" s="84"/>
      <c r="K5" s="44"/>
      <c r="L5" s="45" t="s">
        <v>240</v>
      </c>
      <c r="M5" s="45" t="s">
        <v>244</v>
      </c>
      <c r="N5" s="45" t="s">
        <v>246</v>
      </c>
      <c r="O5" s="45" t="s">
        <v>248</v>
      </c>
      <c r="P5" s="45"/>
    </row>
    <row r="6" spans="1:26" x14ac:dyDescent="0.25">
      <c r="A6" s="152" t="s">
        <v>3</v>
      </c>
      <c r="B6" s="152"/>
      <c r="C6" s="152"/>
      <c r="D6" s="152"/>
      <c r="E6" s="155" t="s">
        <v>349</v>
      </c>
      <c r="F6" s="152"/>
      <c r="G6" s="152"/>
      <c r="H6" s="152"/>
      <c r="K6" s="44"/>
      <c r="L6" s="45" t="s">
        <v>241</v>
      </c>
      <c r="M6" s="45"/>
      <c r="N6" s="45"/>
      <c r="O6" s="45" t="s">
        <v>249</v>
      </c>
      <c r="P6" s="45"/>
    </row>
    <row r="7" spans="1:26" ht="16.5" customHeight="1" x14ac:dyDescent="0.25">
      <c r="A7" s="152" t="s">
        <v>4</v>
      </c>
      <c r="B7" s="152"/>
      <c r="C7" s="152"/>
      <c r="D7" s="152"/>
      <c r="E7" s="148" t="s">
        <v>300</v>
      </c>
      <c r="F7" s="152"/>
      <c r="G7" s="152"/>
      <c r="H7" s="152"/>
      <c r="K7" s="44"/>
      <c r="L7" s="45" t="s">
        <v>242</v>
      </c>
      <c r="M7" s="45"/>
      <c r="N7" s="45"/>
      <c r="O7" s="45" t="s">
        <v>249</v>
      </c>
      <c r="P7" s="45"/>
    </row>
    <row r="8" spans="1:26" ht="15" customHeight="1" x14ac:dyDescent="0.25">
      <c r="A8" s="152" t="s">
        <v>5</v>
      </c>
      <c r="B8" s="152"/>
      <c r="C8" s="152"/>
      <c r="D8" s="152"/>
      <c r="E8" s="152" t="str">
        <f>E7</f>
        <v xml:space="preserve">Icon Construction Builders &amp; Developers
</v>
      </c>
      <c r="F8" s="152"/>
      <c r="G8" s="152"/>
      <c r="H8" s="152"/>
      <c r="K8" s="44"/>
      <c r="L8" s="45"/>
      <c r="M8" s="45"/>
      <c r="N8" s="45"/>
      <c r="O8" s="45" t="s">
        <v>250</v>
      </c>
      <c r="P8" s="45"/>
    </row>
    <row r="9" spans="1:26" x14ac:dyDescent="0.25">
      <c r="A9" s="152" t="s">
        <v>6</v>
      </c>
      <c r="B9" s="152"/>
      <c r="C9" s="152"/>
      <c r="D9" s="152"/>
      <c r="E9" s="153" t="s">
        <v>301</v>
      </c>
      <c r="F9" s="154"/>
      <c r="G9" s="154"/>
      <c r="H9" s="154"/>
      <c r="K9" s="44"/>
      <c r="L9" s="45"/>
      <c r="M9" s="45"/>
      <c r="N9" s="45"/>
      <c r="O9" s="45" t="s">
        <v>251</v>
      </c>
      <c r="P9" s="45"/>
    </row>
    <row r="10" spans="1:26" x14ac:dyDescent="0.25">
      <c r="A10" s="152" t="s">
        <v>167</v>
      </c>
      <c r="B10" s="152"/>
      <c r="C10" s="152"/>
      <c r="D10" s="152"/>
      <c r="E10" s="148" t="s">
        <v>302</v>
      </c>
      <c r="F10" s="152"/>
      <c r="G10" s="152"/>
      <c r="H10" s="152"/>
      <c r="I10" s="59"/>
      <c r="K10" s="44"/>
      <c r="L10" s="45"/>
      <c r="M10" s="45"/>
      <c r="N10" s="45"/>
      <c r="O10" s="45"/>
      <c r="P10" s="45"/>
    </row>
    <row r="11" spans="1:26" x14ac:dyDescent="0.25">
      <c r="A11" s="152" t="s">
        <v>168</v>
      </c>
      <c r="B11" s="152"/>
      <c r="C11" s="152"/>
      <c r="D11" s="152"/>
      <c r="E11" s="148" t="s">
        <v>302</v>
      </c>
      <c r="F11" s="152"/>
      <c r="G11" s="152"/>
      <c r="H11" s="152"/>
    </row>
    <row r="12" spans="1:26" x14ac:dyDescent="0.25">
      <c r="A12" s="152" t="s">
        <v>7</v>
      </c>
      <c r="B12" s="152"/>
      <c r="C12" s="152"/>
      <c r="D12" s="152"/>
      <c r="E12" s="152" t="s">
        <v>117</v>
      </c>
      <c r="F12" s="152"/>
      <c r="G12" s="152"/>
      <c r="H12" s="152"/>
    </row>
    <row r="13" spans="1:26" x14ac:dyDescent="0.25">
      <c r="A13" s="152" t="s">
        <v>171</v>
      </c>
      <c r="B13" s="152"/>
      <c r="C13" s="152"/>
      <c r="D13" s="152"/>
      <c r="E13" s="152" t="s">
        <v>28</v>
      </c>
      <c r="F13" s="152"/>
      <c r="G13" s="152"/>
      <c r="H13" s="152"/>
      <c r="S13" s="45" t="s">
        <v>177</v>
      </c>
      <c r="T13" s="45" t="s">
        <v>187</v>
      </c>
      <c r="U13" s="45" t="s">
        <v>172</v>
      </c>
      <c r="V13" s="45" t="s">
        <v>192</v>
      </c>
      <c r="W13" s="45" t="s">
        <v>210</v>
      </c>
      <c r="X13"/>
      <c r="Y13" t="s">
        <v>192</v>
      </c>
      <c r="Z13" t="e">
        <f ca="1">OFFSET($S$13,1,MATCH($G20,$S$13:$W$13,0)-1,15,1)</f>
        <v>#VALUE!</v>
      </c>
    </row>
    <row r="14" spans="1:26" x14ac:dyDescent="0.25">
      <c r="A14" s="92" t="s">
        <v>278</v>
      </c>
      <c r="B14" s="92"/>
      <c r="C14" s="92"/>
      <c r="D14" s="92"/>
      <c r="E14" s="156" t="s">
        <v>339</v>
      </c>
      <c r="F14" s="156"/>
      <c r="G14" s="156"/>
      <c r="H14" s="156"/>
      <c r="S14" s="45" t="s">
        <v>178</v>
      </c>
      <c r="T14" s="45" t="s">
        <v>185</v>
      </c>
      <c r="U14" s="45" t="s">
        <v>207</v>
      </c>
      <c r="V14" s="45" t="s">
        <v>193</v>
      </c>
      <c r="W14" s="45" t="s">
        <v>211</v>
      </c>
      <c r="X14"/>
      <c r="Y14"/>
      <c r="Z14"/>
    </row>
    <row r="15" spans="1:26" x14ac:dyDescent="0.25">
      <c r="A15" s="92" t="s">
        <v>8</v>
      </c>
      <c r="B15" s="92"/>
      <c r="C15" s="92"/>
      <c r="D15" s="92"/>
      <c r="E15" s="79" t="s">
        <v>304</v>
      </c>
      <c r="F15" s="84"/>
      <c r="G15" s="84"/>
      <c r="H15" s="84"/>
      <c r="I15" s="100" t="e">
        <f ca="1">OFFSET($D$5,1,MATCH($J13,$D$5:$H$5,0)-1,15,1)</f>
        <v>#N/A</v>
      </c>
      <c r="J15" s="101"/>
      <c r="K15" s="101"/>
      <c r="L15" s="101"/>
      <c r="M15" s="101"/>
      <c r="N15" s="101"/>
      <c r="O15" s="101"/>
      <c r="P15" s="101"/>
      <c r="S15" s="45" t="s">
        <v>179</v>
      </c>
      <c r="T15" s="45" t="s">
        <v>186</v>
      </c>
      <c r="U15" s="45" t="s">
        <v>208</v>
      </c>
      <c r="V15" s="45" t="s">
        <v>194</v>
      </c>
      <c r="W15" s="45" t="s">
        <v>224</v>
      </c>
      <c r="X15"/>
      <c r="Y15"/>
      <c r="Z15"/>
    </row>
    <row r="16" spans="1:26" ht="36" customHeight="1" x14ac:dyDescent="0.25">
      <c r="A16" s="88" t="s">
        <v>9</v>
      </c>
      <c r="B16" s="88"/>
      <c r="C16" s="88" t="str">
        <f>CONCATENATE((IF(OR(E9="",E9="NA"),"",E9)),", ",(IF(OR(A17="",A17="NA"),"",A17)),".",(IF(OR(C17="",C17="NA"),"",C17)),", near ",(IF(OR(C22="",C22="NA"),"",C22)),", ",(IF(OR(C19="",C19="NA"),"",C19)),", ",(IF(OR(C18="",C18="NA"),"",C18)),", ",(IF(OR(G19="",G19="NA"),"",G19)),", ",(IF(OR(C20="",C20="NA"),"",C20)),", ",(IF(OR(C21="",C21="NA"),"",C21)),", ",(IF(OR(G20="",G20="NA"),"",G20))," - ",(IF(OR(G21="",G21="NA"),"",G21)),".")</f>
        <v>Icon Apartment, Survey No.76 A, 190A/2 &amp; Plot No.21, near Khardi Railway Station, Internal Road, Khardi, Khardi, Khardi West, Shahpur, Thane  - 421601.</v>
      </c>
      <c r="D16" s="88"/>
      <c r="E16" s="88"/>
      <c r="F16" s="88"/>
      <c r="G16" s="88"/>
      <c r="H16" s="88"/>
      <c r="S16" s="45" t="s">
        <v>180</v>
      </c>
      <c r="T16" s="45" t="s">
        <v>188</v>
      </c>
      <c r="U16" s="45" t="s">
        <v>209</v>
      </c>
      <c r="V16" s="45" t="s">
        <v>195</v>
      </c>
      <c r="W16" s="45" t="s">
        <v>212</v>
      </c>
      <c r="X16"/>
      <c r="Y16"/>
      <c r="Z16"/>
    </row>
    <row r="17" spans="1:26" x14ac:dyDescent="0.25">
      <c r="A17" s="79" t="s">
        <v>305</v>
      </c>
      <c r="B17" s="79"/>
      <c r="C17" s="79" t="s">
        <v>306</v>
      </c>
      <c r="D17" s="79"/>
      <c r="E17" s="79"/>
      <c r="F17" s="79"/>
      <c r="G17" s="79"/>
      <c r="H17" s="79"/>
      <c r="S17" s="45" t="s">
        <v>181</v>
      </c>
      <c r="T17" s="45" t="s">
        <v>189</v>
      </c>
      <c r="U17" s="45" t="s">
        <v>172</v>
      </c>
      <c r="V17" s="45" t="s">
        <v>196</v>
      </c>
      <c r="W17" s="45" t="s">
        <v>213</v>
      </c>
      <c r="X17"/>
      <c r="Y17"/>
      <c r="Z17"/>
    </row>
    <row r="18" spans="1:26" ht="15.75" customHeight="1" x14ac:dyDescent="0.25">
      <c r="A18" s="148" t="s">
        <v>162</v>
      </c>
      <c r="B18" s="148"/>
      <c r="C18" s="79" t="s">
        <v>307</v>
      </c>
      <c r="D18" s="79"/>
      <c r="E18" s="79"/>
      <c r="F18" s="79"/>
      <c r="G18" s="79"/>
      <c r="H18" s="79"/>
      <c r="S18" s="45" t="s">
        <v>182</v>
      </c>
      <c r="T18" s="45" t="s">
        <v>187</v>
      </c>
      <c r="U18" s="45"/>
      <c r="V18" s="45" t="s">
        <v>197</v>
      </c>
      <c r="W18" s="45" t="s">
        <v>214</v>
      </c>
      <c r="X18"/>
      <c r="Y18"/>
      <c r="Z18"/>
    </row>
    <row r="19" spans="1:26" ht="15.75" customHeight="1" x14ac:dyDescent="0.25">
      <c r="A19" s="88" t="s">
        <v>10</v>
      </c>
      <c r="B19" s="88"/>
      <c r="C19" s="84" t="s">
        <v>308</v>
      </c>
      <c r="D19" s="84"/>
      <c r="E19" s="79" t="s">
        <v>70</v>
      </c>
      <c r="F19" s="79"/>
      <c r="G19" s="79" t="s">
        <v>307</v>
      </c>
      <c r="H19" s="79"/>
      <c r="S19" s="45" t="s">
        <v>183</v>
      </c>
      <c r="T19" s="45" t="s">
        <v>190</v>
      </c>
      <c r="U19" s="45"/>
      <c r="V19" s="45" t="s">
        <v>198</v>
      </c>
      <c r="W19" s="45" t="s">
        <v>215</v>
      </c>
      <c r="X19"/>
      <c r="Y19"/>
      <c r="Z19"/>
    </row>
    <row r="20" spans="1:26" x14ac:dyDescent="0.25">
      <c r="A20" s="92" t="s">
        <v>12</v>
      </c>
      <c r="B20" s="92"/>
      <c r="C20" s="79" t="s">
        <v>309</v>
      </c>
      <c r="D20" s="79"/>
      <c r="E20" s="79" t="s">
        <v>11</v>
      </c>
      <c r="F20" s="79"/>
      <c r="G20" s="80" t="s">
        <v>177</v>
      </c>
      <c r="H20" s="80"/>
      <c r="S20" s="45" t="s">
        <v>184</v>
      </c>
      <c r="T20" s="45" t="s">
        <v>191</v>
      </c>
      <c r="U20" s="45"/>
      <c r="V20" s="45" t="s">
        <v>199</v>
      </c>
      <c r="W20" s="45" t="s">
        <v>216</v>
      </c>
      <c r="X20"/>
      <c r="Y20"/>
      <c r="Z20"/>
    </row>
    <row r="21" spans="1:26" x14ac:dyDescent="0.25">
      <c r="A21" s="92" t="s">
        <v>71</v>
      </c>
      <c r="B21" s="92"/>
      <c r="C21" s="79" t="s">
        <v>179</v>
      </c>
      <c r="D21" s="79"/>
      <c r="E21" s="79" t="s">
        <v>13</v>
      </c>
      <c r="F21" s="79"/>
      <c r="G21" s="79">
        <v>421601</v>
      </c>
      <c r="H21" s="79"/>
      <c r="S21" s="45"/>
      <c r="T21" s="45"/>
      <c r="U21" s="45"/>
      <c r="V21" s="45" t="s">
        <v>200</v>
      </c>
      <c r="W21" s="45" t="s">
        <v>217</v>
      </c>
      <c r="X21"/>
      <c r="Y21"/>
      <c r="Z21"/>
    </row>
    <row r="22" spans="1:26" ht="32.25" customHeight="1" x14ac:dyDescent="0.25">
      <c r="A22" s="92" t="s">
        <v>118</v>
      </c>
      <c r="B22" s="92"/>
      <c r="C22" s="79" t="s">
        <v>310</v>
      </c>
      <c r="D22" s="79"/>
      <c r="E22" s="79" t="s">
        <v>14</v>
      </c>
      <c r="F22" s="79"/>
      <c r="G22" s="79" t="s">
        <v>311</v>
      </c>
      <c r="H22" s="79"/>
      <c r="S22" s="45"/>
      <c r="T22" s="45"/>
      <c r="U22" s="45"/>
      <c r="V22" s="45" t="s">
        <v>201</v>
      </c>
      <c r="W22" s="45" t="s">
        <v>218</v>
      </c>
      <c r="X22"/>
      <c r="Y22"/>
      <c r="Z22"/>
    </row>
    <row r="23" spans="1:26" ht="15" customHeight="1" x14ac:dyDescent="0.25">
      <c r="A23" s="88" t="s">
        <v>73</v>
      </c>
      <c r="B23" s="88"/>
      <c r="C23" s="88"/>
      <c r="D23" s="88"/>
      <c r="E23" s="152" t="s">
        <v>15</v>
      </c>
      <c r="F23" s="152"/>
      <c r="G23" s="152"/>
      <c r="H23" s="152"/>
      <c r="S23" s="45"/>
      <c r="T23" s="45"/>
      <c r="U23" s="45"/>
      <c r="V23" s="45" t="s">
        <v>202</v>
      </c>
      <c r="W23" s="45" t="s">
        <v>219</v>
      </c>
      <c r="X23"/>
      <c r="Y23"/>
      <c r="Z23"/>
    </row>
    <row r="24" spans="1:26" ht="18.75" customHeight="1" x14ac:dyDescent="0.25">
      <c r="A24" s="88"/>
      <c r="B24" s="88"/>
      <c r="C24" s="88"/>
      <c r="D24" s="88"/>
      <c r="E24" s="152"/>
      <c r="F24" s="152"/>
      <c r="G24" s="152"/>
      <c r="H24" s="152"/>
      <c r="S24" s="45"/>
      <c r="T24" s="45"/>
      <c r="U24" s="45"/>
      <c r="V24" s="45" t="s">
        <v>203</v>
      </c>
      <c r="W24" s="45" t="s">
        <v>220</v>
      </c>
      <c r="X24"/>
      <c r="Y24"/>
      <c r="Z24"/>
    </row>
    <row r="25" spans="1:26" ht="15" customHeight="1" x14ac:dyDescent="0.25">
      <c r="A25" s="88" t="s">
        <v>16</v>
      </c>
      <c r="B25" s="88"/>
      <c r="C25" s="88"/>
      <c r="D25" s="88"/>
      <c r="E25" s="148" t="s">
        <v>17</v>
      </c>
      <c r="F25" s="148"/>
      <c r="G25" s="148"/>
      <c r="H25" s="148"/>
      <c r="S25" s="45"/>
      <c r="T25" s="45"/>
      <c r="U25" s="45"/>
      <c r="V25" s="45" t="s">
        <v>204</v>
      </c>
      <c r="W25" s="45" t="s">
        <v>221</v>
      </c>
      <c r="X25"/>
      <c r="Y25"/>
      <c r="Z25"/>
    </row>
    <row r="26" spans="1:26" ht="15" customHeight="1" x14ac:dyDescent="0.25">
      <c r="A26" s="92" t="s">
        <v>18</v>
      </c>
      <c r="B26" s="92"/>
      <c r="C26" s="92"/>
      <c r="D26" s="92"/>
      <c r="E26" s="148" t="str">
        <f>IF(AND(G20="Mumbai"),"Upper Class","Middle Class")</f>
        <v>Middle Class</v>
      </c>
      <c r="F26" s="148"/>
      <c r="G26" s="148"/>
      <c r="H26" s="148"/>
      <c r="S26" s="45"/>
      <c r="T26" s="45"/>
      <c r="U26" s="45"/>
      <c r="V26" s="45" t="s">
        <v>205</v>
      </c>
      <c r="W26" s="45" t="s">
        <v>222</v>
      </c>
      <c r="X26"/>
      <c r="Y26"/>
      <c r="Z26"/>
    </row>
    <row r="27" spans="1:26" x14ac:dyDescent="0.25">
      <c r="A27" s="92" t="s">
        <v>19</v>
      </c>
      <c r="B27" s="92"/>
      <c r="C27" s="92"/>
      <c r="D27" s="92"/>
      <c r="E27" s="148" t="s">
        <v>20</v>
      </c>
      <c r="F27" s="148"/>
      <c r="G27" s="148"/>
      <c r="H27" s="148"/>
      <c r="S27" s="45"/>
      <c r="T27" s="45"/>
      <c r="U27" s="45"/>
      <c r="V27" s="45" t="s">
        <v>206</v>
      </c>
      <c r="W27" s="45" t="s">
        <v>223</v>
      </c>
      <c r="X27"/>
      <c r="Y27"/>
      <c r="Z27"/>
    </row>
    <row r="28" spans="1:26" ht="15.75" customHeight="1" x14ac:dyDescent="0.25">
      <c r="A28" s="92" t="s">
        <v>21</v>
      </c>
      <c r="B28" s="92"/>
      <c r="C28" s="92"/>
      <c r="D28" s="92"/>
      <c r="E28" s="148" t="str">
        <f>IF(AND(G20="Mumbai"),"Developed","Developing")</f>
        <v>Developing</v>
      </c>
      <c r="F28" s="148"/>
      <c r="G28" s="148"/>
      <c r="H28" s="148"/>
    </row>
    <row r="29" spans="1:26" x14ac:dyDescent="0.25">
      <c r="A29" s="92" t="s">
        <v>22</v>
      </c>
      <c r="B29" s="92"/>
      <c r="C29" s="92"/>
      <c r="D29" s="92"/>
      <c r="E29" s="148" t="s">
        <v>23</v>
      </c>
      <c r="F29" s="148"/>
      <c r="G29" s="148"/>
      <c r="H29" s="148"/>
    </row>
    <row r="30" spans="1:26" ht="15.75" customHeight="1" x14ac:dyDescent="0.25">
      <c r="A30" s="92" t="s">
        <v>78</v>
      </c>
      <c r="B30" s="92"/>
      <c r="C30" s="92"/>
      <c r="D30" s="92"/>
      <c r="E30" s="148" t="s">
        <v>79</v>
      </c>
      <c r="F30" s="148"/>
      <c r="G30" s="148"/>
      <c r="H30" s="148"/>
    </row>
    <row r="31" spans="1:26" ht="15" customHeight="1" x14ac:dyDescent="0.25">
      <c r="A31" s="92" t="s">
        <v>30</v>
      </c>
      <c r="B31" s="92"/>
      <c r="C31" s="92"/>
      <c r="D31" s="92"/>
      <c r="E31" s="14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48"/>
      <c r="G31" s="148"/>
      <c r="H31" s="148"/>
    </row>
    <row r="32" spans="1:26" ht="15.75" customHeight="1" x14ac:dyDescent="0.25">
      <c r="A32" s="92" t="s">
        <v>90</v>
      </c>
      <c r="B32" s="92"/>
      <c r="C32" s="92"/>
      <c r="D32" s="92"/>
      <c r="E32" s="148" t="s">
        <v>31</v>
      </c>
      <c r="F32" s="148"/>
      <c r="G32" s="148"/>
      <c r="H32" s="148"/>
    </row>
    <row r="33" spans="1:19" s="19" customFormat="1" x14ac:dyDescent="0.25">
      <c r="A33" s="160" t="s">
        <v>91</v>
      </c>
      <c r="B33" s="160"/>
      <c r="C33" s="159" t="s">
        <v>173</v>
      </c>
      <c r="D33" s="159"/>
      <c r="E33" s="159"/>
      <c r="F33" s="159" t="s">
        <v>29</v>
      </c>
      <c r="G33" s="159"/>
      <c r="H33" s="159"/>
      <c r="S33" s="19" t="e">
        <f ca="1">OFFSET($S$13,1,MATCH($G20,$S$13:$W$13,0)-1,15,1)</f>
        <v>#VALUE!</v>
      </c>
    </row>
    <row r="34" spans="1:19" s="19" customFormat="1" x14ac:dyDescent="0.25">
      <c r="A34" s="157" t="s">
        <v>24</v>
      </c>
      <c r="B34" s="157" t="s">
        <v>28</v>
      </c>
      <c r="C34" s="158" t="s">
        <v>313</v>
      </c>
      <c r="D34" s="158"/>
      <c r="E34" s="158"/>
      <c r="F34" s="158" t="s">
        <v>316</v>
      </c>
      <c r="G34" s="158"/>
      <c r="H34" s="158"/>
    </row>
    <row r="35" spans="1:19" x14ac:dyDescent="0.25">
      <c r="A35" s="157" t="s">
        <v>25</v>
      </c>
      <c r="B35" s="157" t="s">
        <v>28</v>
      </c>
      <c r="C35" s="158" t="s">
        <v>314</v>
      </c>
      <c r="D35" s="158"/>
      <c r="E35" s="158"/>
      <c r="F35" s="158" t="s">
        <v>317</v>
      </c>
      <c r="G35" s="158"/>
      <c r="H35" s="158"/>
    </row>
    <row r="36" spans="1:19" s="19" customFormat="1" x14ac:dyDescent="0.25">
      <c r="A36" s="157" t="s">
        <v>27</v>
      </c>
      <c r="B36" s="157" t="s">
        <v>28</v>
      </c>
      <c r="C36" s="158" t="s">
        <v>312</v>
      </c>
      <c r="D36" s="158"/>
      <c r="E36" s="158"/>
      <c r="F36" s="158" t="s">
        <v>10</v>
      </c>
      <c r="G36" s="158"/>
      <c r="H36" s="158"/>
    </row>
    <row r="37" spans="1:19" x14ac:dyDescent="0.25">
      <c r="A37" s="157" t="s">
        <v>26</v>
      </c>
      <c r="B37" s="157" t="s">
        <v>28</v>
      </c>
      <c r="C37" s="158" t="s">
        <v>315</v>
      </c>
      <c r="D37" s="158"/>
      <c r="E37" s="158"/>
      <c r="F37" s="158" t="s">
        <v>310</v>
      </c>
      <c r="G37" s="158"/>
      <c r="H37" s="158"/>
    </row>
    <row r="38" spans="1:19" x14ac:dyDescent="0.25">
      <c r="A38" s="92" t="s">
        <v>279</v>
      </c>
      <c r="B38" s="92"/>
      <c r="C38" s="92"/>
      <c r="D38" s="92"/>
      <c r="E38" s="92"/>
      <c r="F38" s="92"/>
      <c r="G38" s="92"/>
      <c r="H38" s="92"/>
    </row>
    <row r="39" spans="1:19" ht="15.75" customHeight="1" x14ac:dyDescent="0.25">
      <c r="A39" s="92" t="s">
        <v>165</v>
      </c>
      <c r="B39" s="92"/>
      <c r="C39" s="146" t="s">
        <v>342</v>
      </c>
      <c r="D39" s="146"/>
      <c r="E39" s="146"/>
      <c r="F39" s="146"/>
      <c r="G39" s="146"/>
      <c r="H39" s="146"/>
    </row>
    <row r="40" spans="1:19" x14ac:dyDescent="0.25">
      <c r="A40" s="92" t="s">
        <v>161</v>
      </c>
      <c r="B40" s="92"/>
      <c r="C40" s="193" t="s">
        <v>303</v>
      </c>
      <c r="D40" s="148"/>
      <c r="E40" s="148"/>
      <c r="F40" s="148"/>
      <c r="G40" s="148"/>
      <c r="H40" s="148"/>
    </row>
    <row r="41" spans="1:19" x14ac:dyDescent="0.25">
      <c r="A41" s="146" t="s">
        <v>32</v>
      </c>
      <c r="B41" s="146"/>
      <c r="C41" s="146"/>
      <c r="D41" s="146"/>
      <c r="E41" s="146"/>
      <c r="F41" s="146"/>
      <c r="G41" s="146"/>
      <c r="H41" s="146"/>
    </row>
    <row r="42" spans="1:19" x14ac:dyDescent="0.25">
      <c r="A42" s="92" t="s">
        <v>33</v>
      </c>
      <c r="B42" s="92"/>
      <c r="C42" s="92"/>
      <c r="D42" s="92"/>
      <c r="E42" s="161">
        <v>566.91</v>
      </c>
      <c r="F42" s="161"/>
      <c r="G42" s="161"/>
      <c r="H42" s="161"/>
    </row>
    <row r="43" spans="1:19" x14ac:dyDescent="0.25">
      <c r="A43" s="92" t="s">
        <v>34</v>
      </c>
      <c r="B43" s="92"/>
      <c r="C43" s="92"/>
      <c r="D43" s="92"/>
      <c r="E43" s="102">
        <f>566.91/E42</f>
        <v>1</v>
      </c>
      <c r="F43" s="102"/>
      <c r="G43" s="102"/>
      <c r="H43" s="102"/>
    </row>
    <row r="44" spans="1:19" x14ac:dyDescent="0.25">
      <c r="A44" s="92" t="s">
        <v>35</v>
      </c>
      <c r="B44" s="92"/>
      <c r="C44" s="92"/>
      <c r="D44" s="92"/>
      <c r="E44" s="102">
        <f>E46/E42-E43</f>
        <v>8.6786262369689116E-3</v>
      </c>
      <c r="F44" s="102"/>
      <c r="G44" s="102"/>
      <c r="H44" s="102"/>
    </row>
    <row r="45" spans="1:19" x14ac:dyDescent="0.25">
      <c r="A45" s="92" t="s">
        <v>36</v>
      </c>
      <c r="B45" s="92"/>
      <c r="C45" s="92"/>
      <c r="D45" s="92"/>
      <c r="E45" s="102">
        <f>E43+E44</f>
        <v>1.0086786262369689</v>
      </c>
      <c r="F45" s="102"/>
      <c r="G45" s="102"/>
      <c r="H45" s="102"/>
    </row>
    <row r="46" spans="1:19" x14ac:dyDescent="0.25">
      <c r="A46" s="92" t="s">
        <v>89</v>
      </c>
      <c r="B46" s="92"/>
      <c r="C46" s="92"/>
      <c r="D46" s="92"/>
      <c r="E46" s="164">
        <f>571.83</f>
        <v>571.83000000000004</v>
      </c>
      <c r="F46" s="164"/>
      <c r="G46" s="164"/>
      <c r="H46" s="164"/>
    </row>
    <row r="47" spans="1:19" x14ac:dyDescent="0.25">
      <c r="A47" s="152" t="s">
        <v>37</v>
      </c>
      <c r="B47" s="152"/>
      <c r="C47" s="152"/>
      <c r="D47" s="152"/>
      <c r="E47" s="84" t="s">
        <v>117</v>
      </c>
      <c r="F47" s="84"/>
      <c r="G47" s="84"/>
      <c r="H47" s="84"/>
    </row>
    <row r="48" spans="1:19" x14ac:dyDescent="0.25">
      <c r="A48" s="146" t="s">
        <v>38</v>
      </c>
      <c r="B48" s="146"/>
      <c r="C48" s="146"/>
      <c r="D48" s="146"/>
      <c r="E48" s="146"/>
      <c r="F48" s="146"/>
      <c r="G48" s="146"/>
      <c r="H48" s="146"/>
    </row>
    <row r="49" spans="1:24" ht="33.75" customHeight="1" x14ac:dyDescent="0.25">
      <c r="A49" s="103" t="s">
        <v>150</v>
      </c>
      <c r="B49" s="104"/>
      <c r="C49" s="201" t="s">
        <v>265</v>
      </c>
      <c r="D49" s="202"/>
      <c r="E49" s="202"/>
      <c r="F49" s="202"/>
      <c r="G49" s="202"/>
      <c r="H49" s="203"/>
      <c r="R49" t="s">
        <v>252</v>
      </c>
      <c r="S49" t="s">
        <v>172</v>
      </c>
      <c r="T49" t="s">
        <v>177</v>
      </c>
      <c r="U49" t="s">
        <v>192</v>
      </c>
      <c r="V49" t="s">
        <v>187</v>
      </c>
    </row>
    <row r="50" spans="1:24" ht="30.75" customHeight="1" x14ac:dyDescent="0.25">
      <c r="A50" s="103" t="s">
        <v>39</v>
      </c>
      <c r="B50" s="104"/>
      <c r="C50" s="165" t="s">
        <v>334</v>
      </c>
      <c r="D50" s="166"/>
      <c r="E50" s="167"/>
      <c r="F50" s="15" t="s">
        <v>40</v>
      </c>
      <c r="G50" s="105" t="s">
        <v>350</v>
      </c>
      <c r="H50" s="104"/>
      <c r="R50"/>
      <c r="S50" t="s">
        <v>253</v>
      </c>
      <c r="T50" t="s">
        <v>258</v>
      </c>
      <c r="U50" t="s">
        <v>269</v>
      </c>
      <c r="V50" t="s">
        <v>274</v>
      </c>
    </row>
    <row r="51" spans="1:24" ht="32.25" customHeight="1" x14ac:dyDescent="0.25">
      <c r="A51" s="103" t="s">
        <v>41</v>
      </c>
      <c r="B51" s="104"/>
      <c r="C51" s="165" t="s">
        <v>332</v>
      </c>
      <c r="D51" s="166"/>
      <c r="E51" s="167"/>
      <c r="F51" s="15" t="s">
        <v>40</v>
      </c>
      <c r="G51" s="105" t="s">
        <v>350</v>
      </c>
      <c r="H51" s="104"/>
      <c r="R51"/>
      <c r="S51" t="s">
        <v>254</v>
      </c>
      <c r="T51" t="s">
        <v>259</v>
      </c>
      <c r="U51" t="s">
        <v>267</v>
      </c>
      <c r="V51" t="s">
        <v>275</v>
      </c>
    </row>
    <row r="52" spans="1:24" s="20" customFormat="1" ht="31.5" customHeight="1" x14ac:dyDescent="0.25">
      <c r="A52" s="168" t="s">
        <v>154</v>
      </c>
      <c r="B52" s="169"/>
      <c r="C52" s="103" t="s">
        <v>326</v>
      </c>
      <c r="D52" s="118"/>
      <c r="E52" s="104"/>
      <c r="F52" s="15" t="s">
        <v>40</v>
      </c>
      <c r="G52" s="105" t="s">
        <v>351</v>
      </c>
      <c r="H52" s="104"/>
      <c r="R52"/>
      <c r="S52" t="s">
        <v>255</v>
      </c>
      <c r="T52" t="s">
        <v>260</v>
      </c>
      <c r="U52" t="s">
        <v>257</v>
      </c>
      <c r="V52" t="s">
        <v>276</v>
      </c>
    </row>
    <row r="53" spans="1:24" s="20" customFormat="1" x14ac:dyDescent="0.25">
      <c r="A53" s="170"/>
      <c r="B53" s="171"/>
      <c r="C53" s="103" t="s">
        <v>327</v>
      </c>
      <c r="D53" s="118"/>
      <c r="E53" s="118"/>
      <c r="F53" s="118"/>
      <c r="G53" s="118"/>
      <c r="H53" s="104"/>
      <c r="R53"/>
      <c r="S53" t="s">
        <v>256</v>
      </c>
      <c r="T53" t="s">
        <v>263</v>
      </c>
      <c r="U53" t="s">
        <v>270</v>
      </c>
    </row>
    <row r="54" spans="1:24" s="20" customFormat="1" x14ac:dyDescent="0.25">
      <c r="A54" s="106" t="s">
        <v>344</v>
      </c>
      <c r="B54" s="107"/>
      <c r="C54" s="110" t="s">
        <v>345</v>
      </c>
      <c r="D54" s="111"/>
      <c r="E54" s="112"/>
      <c r="F54" s="71" t="s">
        <v>40</v>
      </c>
      <c r="G54" s="113" t="s">
        <v>352</v>
      </c>
      <c r="H54" s="112"/>
      <c r="R54" s="72"/>
      <c r="S54" s="72" t="s">
        <v>255</v>
      </c>
      <c r="T54" s="72" t="s">
        <v>260</v>
      </c>
      <c r="U54" s="72" t="s">
        <v>257</v>
      </c>
      <c r="V54" s="72" t="s">
        <v>276</v>
      </c>
    </row>
    <row r="55" spans="1:24" s="20" customFormat="1" ht="32.25" hidden="1" customHeight="1" x14ac:dyDescent="0.25">
      <c r="A55" s="108"/>
      <c r="B55" s="109"/>
      <c r="C55" s="198"/>
      <c r="D55" s="199"/>
      <c r="E55" s="199"/>
      <c r="F55" s="199"/>
      <c r="G55" s="199"/>
      <c r="H55" s="200"/>
      <c r="R55"/>
      <c r="S55" t="s">
        <v>257</v>
      </c>
      <c r="T55" t="s">
        <v>261</v>
      </c>
      <c r="U55" t="s">
        <v>271</v>
      </c>
      <c r="V55" s="18"/>
      <c r="W55" s="18"/>
      <c r="X55" s="18"/>
    </row>
    <row r="56" spans="1:24" s="20" customFormat="1" ht="34.5" hidden="1" customHeight="1" x14ac:dyDescent="0.25">
      <c r="A56" s="114" t="s">
        <v>280</v>
      </c>
      <c r="B56" s="115"/>
      <c r="C56" s="103">
        <f>C55</f>
        <v>0</v>
      </c>
      <c r="D56" s="118"/>
      <c r="E56" s="104"/>
      <c r="F56" s="15" t="s">
        <v>40</v>
      </c>
      <c r="G56" s="103">
        <f>G55</f>
        <v>0</v>
      </c>
      <c r="H56" s="104"/>
      <c r="R56"/>
      <c r="S56" s="18"/>
      <c r="T56" t="s">
        <v>262</v>
      </c>
      <c r="U56" t="s">
        <v>272</v>
      </c>
      <c r="V56" s="18"/>
      <c r="W56" s="18"/>
      <c r="X56" s="18"/>
    </row>
    <row r="57" spans="1:24" s="20" customFormat="1" ht="41.25" hidden="1" customHeight="1" x14ac:dyDescent="0.25">
      <c r="A57" s="116"/>
      <c r="B57" s="117"/>
      <c r="C57" s="103"/>
      <c r="D57" s="118"/>
      <c r="E57" s="118"/>
      <c r="F57" s="118"/>
      <c r="G57" s="118"/>
      <c r="H57" s="104"/>
      <c r="R57"/>
      <c r="S57" s="18"/>
      <c r="T57" t="s">
        <v>264</v>
      </c>
      <c r="U57" t="s">
        <v>273</v>
      </c>
      <c r="V57" s="18"/>
      <c r="W57" s="18"/>
      <c r="X57" s="18"/>
    </row>
    <row r="58" spans="1:24" s="20" customFormat="1" ht="15.75" hidden="1" customHeight="1" x14ac:dyDescent="0.25">
      <c r="A58" s="114" t="s">
        <v>281</v>
      </c>
      <c r="B58" s="115"/>
      <c r="C58" s="103">
        <f>C57</f>
        <v>0</v>
      </c>
      <c r="D58" s="118"/>
      <c r="E58" s="104"/>
      <c r="F58" s="15" t="s">
        <v>40</v>
      </c>
      <c r="G58" s="103">
        <f>G57</f>
        <v>0</v>
      </c>
      <c r="H58" s="104"/>
      <c r="R58"/>
      <c r="S58" s="18"/>
      <c r="T58" t="s">
        <v>265</v>
      </c>
      <c r="U58" s="18" t="s">
        <v>295</v>
      </c>
      <c r="V58" s="18"/>
      <c r="W58" s="18"/>
      <c r="X58" s="18"/>
    </row>
    <row r="59" spans="1:24" s="20" customFormat="1" ht="33.75" hidden="1" customHeight="1" x14ac:dyDescent="0.25">
      <c r="A59" s="116"/>
      <c r="B59" s="117"/>
      <c r="C59" s="103"/>
      <c r="D59" s="118"/>
      <c r="E59" s="118"/>
      <c r="F59" s="118"/>
      <c r="G59" s="118"/>
      <c r="H59" s="104"/>
      <c r="R59"/>
      <c r="S59" s="18"/>
      <c r="T59" t="s">
        <v>266</v>
      </c>
      <c r="U59" s="18"/>
      <c r="V59" s="18"/>
      <c r="W59" s="18"/>
      <c r="X59" s="18"/>
    </row>
    <row r="60" spans="1:24" x14ac:dyDescent="0.25">
      <c r="A60" s="172" t="s">
        <v>42</v>
      </c>
      <c r="B60" s="173"/>
      <c r="C60" s="172" t="s">
        <v>101</v>
      </c>
      <c r="D60" s="174"/>
      <c r="E60" s="173"/>
      <c r="F60" s="40" t="s">
        <v>40</v>
      </c>
      <c r="G60" s="180" t="s">
        <v>28</v>
      </c>
      <c r="H60" s="181"/>
      <c r="R60"/>
      <c r="T60" t="s">
        <v>268</v>
      </c>
    </row>
    <row r="61" spans="1:24" x14ac:dyDescent="0.25">
      <c r="A61" s="147" t="s">
        <v>44</v>
      </c>
      <c r="B61" s="147"/>
      <c r="C61" s="147"/>
      <c r="D61" s="147"/>
      <c r="E61" s="147"/>
      <c r="F61" s="147"/>
      <c r="G61" s="147"/>
      <c r="H61" s="147"/>
      <c r="T61" t="s">
        <v>277</v>
      </c>
    </row>
    <row r="62" spans="1:24" x14ac:dyDescent="0.25">
      <c r="A62" s="88" t="s">
        <v>88</v>
      </c>
      <c r="B62" s="88"/>
      <c r="C62" s="88"/>
      <c r="D62" s="92">
        <f>E46</f>
        <v>571.83000000000004</v>
      </c>
      <c r="E62" s="92"/>
      <c r="F62" s="92"/>
      <c r="G62" s="92"/>
      <c r="H62" s="92"/>
      <c r="R62"/>
    </row>
    <row r="63" spans="1:24" x14ac:dyDescent="0.25">
      <c r="A63" s="79" t="s">
        <v>45</v>
      </c>
      <c r="B63" s="84"/>
      <c r="C63" s="84"/>
      <c r="D63" s="84" t="s">
        <v>329</v>
      </c>
      <c r="E63" s="84"/>
      <c r="F63" s="84"/>
      <c r="G63" s="84"/>
      <c r="H63" s="84"/>
      <c r="I63" s="21"/>
      <c r="R63"/>
    </row>
    <row r="64" spans="1:24" ht="18" customHeight="1" x14ac:dyDescent="0.25">
      <c r="A64" s="177" t="s">
        <v>46</v>
      </c>
      <c r="B64" s="178"/>
      <c r="C64" s="179"/>
      <c r="D64" s="175" t="s">
        <v>328</v>
      </c>
      <c r="E64" s="176"/>
      <c r="F64" s="176"/>
      <c r="G64" s="176"/>
      <c r="H64" s="176"/>
      <c r="R64"/>
    </row>
    <row r="65" spans="1:19" ht="15.75" customHeight="1" x14ac:dyDescent="0.25">
      <c r="A65" s="177" t="s">
        <v>86</v>
      </c>
      <c r="B65" s="178"/>
      <c r="C65" s="178"/>
      <c r="D65" s="97" t="s">
        <v>328</v>
      </c>
      <c r="E65" s="98"/>
      <c r="F65" s="98"/>
      <c r="G65" s="98"/>
      <c r="H65" s="99"/>
      <c r="R65"/>
    </row>
    <row r="66" spans="1:19" ht="15.75" customHeight="1" x14ac:dyDescent="0.25">
      <c r="A66" s="84" t="s">
        <v>43</v>
      </c>
      <c r="B66" s="84"/>
      <c r="C66" s="84"/>
      <c r="D66" s="162" t="s">
        <v>347</v>
      </c>
      <c r="E66" s="162"/>
      <c r="F66" s="162"/>
      <c r="G66" s="162"/>
      <c r="H66" s="162"/>
      <c r="J66" s="22"/>
      <c r="K66" s="21"/>
      <c r="N66" s="21"/>
      <c r="S66"/>
    </row>
    <row r="67" spans="1:19" ht="15.75" customHeight="1" x14ac:dyDescent="0.25">
      <c r="A67" s="84" t="s">
        <v>84</v>
      </c>
      <c r="B67" s="84"/>
      <c r="C67" s="84"/>
      <c r="D67" s="163" t="str">
        <f>(IF(G60="NA","60 Years After Completion",IF(G60&lt;&gt;"NA",""&amp;60-ROUNDDOWN((E3-G60)/360,0)&amp;" Years"," ")))</f>
        <v>60 Years After Completion</v>
      </c>
      <c r="E67" s="163"/>
      <c r="F67" s="163"/>
      <c r="G67" s="163"/>
      <c r="H67" s="163"/>
      <c r="N67" s="21"/>
      <c r="S67"/>
    </row>
    <row r="68" spans="1:19" ht="15.75" customHeight="1" x14ac:dyDescent="0.25">
      <c r="A68" s="84" t="s">
        <v>85</v>
      </c>
      <c r="B68" s="84"/>
      <c r="C68" s="84"/>
      <c r="D68" s="79" t="s">
        <v>23</v>
      </c>
      <c r="E68" s="79"/>
      <c r="F68" s="79"/>
      <c r="G68" s="79"/>
      <c r="H68" s="79"/>
      <c r="J68" s="23"/>
      <c r="K68" s="23"/>
      <c r="S68"/>
    </row>
    <row r="69" spans="1:19" ht="33.75" customHeight="1" x14ac:dyDescent="0.25">
      <c r="A69" s="84" t="s">
        <v>338</v>
      </c>
      <c r="B69" s="84"/>
      <c r="C69" s="84"/>
      <c r="D69" s="79" t="s">
        <v>335</v>
      </c>
      <c r="E69" s="79"/>
      <c r="F69" s="79"/>
      <c r="G69" s="79"/>
      <c r="H69" s="79"/>
      <c r="S69"/>
    </row>
    <row r="70" spans="1:19" x14ac:dyDescent="0.25">
      <c r="A70" s="88" t="s">
        <v>146</v>
      </c>
      <c r="B70" s="88"/>
      <c r="C70" s="88"/>
      <c r="D70" s="88" t="s">
        <v>28</v>
      </c>
      <c r="E70" s="88"/>
      <c r="F70" s="88"/>
      <c r="G70" s="88"/>
      <c r="H70" s="88"/>
      <c r="I70" s="24"/>
      <c r="J70" s="24"/>
      <c r="K70" s="24"/>
      <c r="L70" s="24"/>
      <c r="M70" s="24"/>
      <c r="N70" s="24"/>
    </row>
    <row r="71" spans="1:19" ht="15.75" customHeight="1" x14ac:dyDescent="0.25">
      <c r="A71" s="92" t="s">
        <v>83</v>
      </c>
      <c r="B71" s="92"/>
      <c r="C71" s="92"/>
      <c r="D71" s="148" t="str">
        <f ca="1">(IF(G77&gt;95%,"Nothing",IF(G77&gt;0%,"Cement, Aggregate, Steel, etc",IF(G77=0%,"Work not yet Started"))))</f>
        <v>Cement, Aggregate, Steel, etc</v>
      </c>
      <c r="E71" s="148"/>
      <c r="F71" s="148"/>
      <c r="G71" s="148"/>
      <c r="H71" s="148"/>
      <c r="J71" s="23"/>
      <c r="S71"/>
    </row>
    <row r="72" spans="1:19" ht="33.75" customHeight="1" thickBot="1" x14ac:dyDescent="0.3">
      <c r="A72" s="88" t="s">
        <v>114</v>
      </c>
      <c r="B72" s="88"/>
      <c r="C72" s="88"/>
      <c r="D72" s="148" t="str">
        <f ca="1">(IF(D71="Nothing","Yes",IF(D71="Cement, Aggregate, Steel, etc","Under Construction",IF(D71="Work not yet Started","Work not yet Started"))))</f>
        <v>Under Construction</v>
      </c>
      <c r="E72" s="148"/>
      <c r="F72" s="148" t="str">
        <f ca="1">(IF(D71="Nothing","Yes",IF(D71="Cement, Aggregate, Steel, etc","Under Construction",IF(D71="Work not yet Started","Work not yet Started"))))</f>
        <v>Under Construction</v>
      </c>
      <c r="G72" s="148"/>
      <c r="H72" s="148"/>
      <c r="S72"/>
    </row>
    <row r="73" spans="1:19" ht="15.75" customHeight="1" x14ac:dyDescent="0.25">
      <c r="A73" s="85" t="s">
        <v>136</v>
      </c>
      <c r="B73" s="85"/>
      <c r="C73" s="85" t="s">
        <v>328</v>
      </c>
      <c r="D73" s="85"/>
      <c r="E73" s="85"/>
      <c r="F73" s="85"/>
      <c r="G73" s="85"/>
      <c r="H73" s="85"/>
      <c r="I73" s="74" t="str">
        <f ca="1">IF(D86=100%,"All work Completed. Possession granted to the Building.",IF(D85=100%,"All work Completed, Waiting for OC",I74&amp;""&amp;I75&amp;""&amp;J74&amp;""&amp;J73&amp;" "&amp;J75))</f>
        <v>Excavation, Plinth, RCC Slab Completed, Brickwork upto 2 Floor, Internal Plaster upto 1 Floor, External Plaster upto 0.2 Floor Completed</v>
      </c>
      <c r="J73" s="42"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Brickwork upto 2 Floor, Internal Plaster upto 1 Floor, External Plaster upto 0.2 Floor</v>
      </c>
      <c r="S73"/>
    </row>
    <row r="74" spans="1:19" x14ac:dyDescent="0.25">
      <c r="A74" s="69" t="s">
        <v>138</v>
      </c>
      <c r="B74" s="69">
        <f>IF(AND(ISNUMBER(SEARCH("1B",C73))),1,IF(AND(ISNUMBER(SEARCH("2B",C73))),2,IF(AND(ISNUMBER(SEARCH("3B",C73))),3,IF(AND(ISNUMBER(SEARCH("4B",C73))),4,IF(ISNUMBER(SEARCH("5B",C73)),5,0)))))</f>
        <v>0</v>
      </c>
      <c r="C74" s="69" t="s">
        <v>69</v>
      </c>
      <c r="D74" s="69">
        <v>1</v>
      </c>
      <c r="E74" s="69" t="s">
        <v>68</v>
      </c>
      <c r="F74" s="69">
        <v>0</v>
      </c>
      <c r="G74" s="69" t="s">
        <v>77</v>
      </c>
      <c r="H74" s="69">
        <f ca="1">--TRIM(RIGHT(SUBSTITUTE(LEFT(C73,_xlfn.AGGREGATE(16,6,FIND({0,1,2,3,4,5,6,7,8,9},C73,ROW(INDIRECT("1:"&amp;LEN(C73)))),1))," ",REPT(" ",LEN(C73))),LEN(C73)))</f>
        <v>3</v>
      </c>
      <c r="I74" s="75" t="str">
        <f ca="1">IF(D77=100%,"Excavation","")&amp;IF(D78=100%,", Plinth","")&amp;IF(D79=100%,", RCC Slab","")&amp;IF(D80=100%,", Brickwork","")&amp;IF(D81=100%,", Internal Plaster","")&amp;IF(D82=100%,", External Plaster","")&amp;IF(D83=100%,", Flooring","")&amp;IF(D84=100%,", Painting","")&amp;IF(D85=100%,", Building common Amenities","")</f>
        <v>Excavation, Plinth, RCC Slab</v>
      </c>
      <c r="J74" s="43"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0.95" customHeight="1" x14ac:dyDescent="0.25">
      <c r="A75" s="206" t="s">
        <v>87</v>
      </c>
      <c r="B75" s="206"/>
      <c r="C75" s="85" t="str">
        <f ca="1">I73</f>
        <v>Excavation, Plinth, RCC Slab Completed, Brickwork upto 2 Floor, Internal Plaster upto 1 Floor, External Plaster upto 0.2 Floor Completed</v>
      </c>
      <c r="D75" s="85"/>
      <c r="E75" s="85"/>
      <c r="F75" s="85"/>
      <c r="G75" s="85"/>
      <c r="H75" s="85"/>
      <c r="I75" s="75" t="str">
        <f ca="1">IF(I74&lt;&gt;""," Completed","")</f>
        <v xml:space="preserve"> Completed</v>
      </c>
      <c r="J75" s="43" t="str">
        <f ca="1">IF(J73&lt;&gt;"","Completed","")</f>
        <v>Completed</v>
      </c>
      <c r="S75"/>
    </row>
    <row r="76" spans="1:19" ht="15.75" customHeight="1" x14ac:dyDescent="0.25">
      <c r="A76" s="86" t="s">
        <v>47</v>
      </c>
      <c r="B76" s="87"/>
      <c r="C76" s="63" t="s">
        <v>135</v>
      </c>
      <c r="D76" s="63" t="s">
        <v>80</v>
      </c>
      <c r="E76" s="87" t="s">
        <v>82</v>
      </c>
      <c r="F76" s="87"/>
      <c r="G76" s="87" t="s">
        <v>81</v>
      </c>
      <c r="H76" s="149"/>
      <c r="I76" s="13" t="s">
        <v>137</v>
      </c>
      <c r="J76" s="25">
        <f ca="1">H74*25%</f>
        <v>0.75</v>
      </c>
      <c r="S76"/>
    </row>
    <row r="77" spans="1:19" x14ac:dyDescent="0.25">
      <c r="A77" s="86" t="s">
        <v>124</v>
      </c>
      <c r="B77" s="87"/>
      <c r="C77" s="63">
        <f ca="1">J78</f>
        <v>3</v>
      </c>
      <c r="D77" s="16">
        <f ca="1">((100/H74)*C77)/100</f>
        <v>1</v>
      </c>
      <c r="E77" s="182">
        <f ca="1">(((C78/H74*10)+(40/(D74+F74+H74)*C79)+(7.5/(H74)*C80)+(7.5/(H74)*C81)+(10/H74*C82)+(10/H74*C83)+(5/H74*C84)+(5/H74*C85)+(5/H74*C86))/100)</f>
        <v>0.58166666666666667</v>
      </c>
      <c r="F77" s="183"/>
      <c r="G77" s="182">
        <f ca="1">((((C77/H74)*20)+((C78/H74)*25)+(30/(H74+F74+D74)*C79)+(5/H74*C80)+(5/H74*C81)+(5/H74*C82)+(5/H74*C83)+(0/H74*C84)+(0/H74*C85)+(5/H74*C86))/100)</f>
        <v>0.80333333333333323</v>
      </c>
      <c r="H77" s="188"/>
      <c r="I77" s="13" t="s">
        <v>96</v>
      </c>
      <c r="J77" s="26">
        <f ca="1">H74*50%</f>
        <v>1.5</v>
      </c>
    </row>
    <row r="78" spans="1:19" x14ac:dyDescent="0.25">
      <c r="A78" s="86" t="s">
        <v>48</v>
      </c>
      <c r="B78" s="87"/>
      <c r="C78" s="63">
        <f ca="1">J86</f>
        <v>3</v>
      </c>
      <c r="D78" s="16">
        <f ca="1">((100/H74)*C78)/100</f>
        <v>1</v>
      </c>
      <c r="E78" s="184"/>
      <c r="F78" s="185"/>
      <c r="G78" s="184"/>
      <c r="H78" s="189"/>
      <c r="I78" s="13" t="s">
        <v>97</v>
      </c>
      <c r="J78" s="26">
        <f ca="1">H74</f>
        <v>3</v>
      </c>
      <c r="S78"/>
    </row>
    <row r="79" spans="1:19" ht="15.75" customHeight="1" x14ac:dyDescent="0.25">
      <c r="A79" s="86" t="s">
        <v>125</v>
      </c>
      <c r="B79" s="87"/>
      <c r="C79" s="63">
        <v>4</v>
      </c>
      <c r="D79" s="16">
        <f ca="1">((100/(D74+F74+H74))*C79)/100</f>
        <v>1</v>
      </c>
      <c r="E79" s="184"/>
      <c r="F79" s="185"/>
      <c r="G79" s="184"/>
      <c r="H79" s="189"/>
      <c r="I79" s="13" t="s">
        <v>98</v>
      </c>
      <c r="J79" s="27">
        <f ca="1">(IF(B74&gt;1,(H74/(B74+2)),H74/4))</f>
        <v>0.75</v>
      </c>
      <c r="S79"/>
    </row>
    <row r="80" spans="1:19" ht="15.75" customHeight="1" x14ac:dyDescent="0.25">
      <c r="A80" s="86" t="s">
        <v>132</v>
      </c>
      <c r="B80" s="87" t="s">
        <v>126</v>
      </c>
      <c r="C80" s="63">
        <v>2</v>
      </c>
      <c r="D80" s="16">
        <f ca="1">((100/H74)*C80)/100</f>
        <v>0.66666666666666674</v>
      </c>
      <c r="E80" s="184"/>
      <c r="F80" s="185"/>
      <c r="G80" s="184"/>
      <c r="H80" s="189"/>
      <c r="I80" s="13" t="s">
        <v>99</v>
      </c>
      <c r="J80" s="27">
        <f ca="1">(IF(B74&gt;1,(H74/(B74+2)+J79),H74/4+J79))</f>
        <v>1.5</v>
      </c>
    </row>
    <row r="81" spans="1:22" ht="15.75" customHeight="1" x14ac:dyDescent="0.25">
      <c r="A81" s="86" t="s">
        <v>133</v>
      </c>
      <c r="B81" s="87" t="s">
        <v>126</v>
      </c>
      <c r="C81" s="63">
        <v>1</v>
      </c>
      <c r="D81" s="16">
        <f ca="1">((100/H74)*C81)/100</f>
        <v>0.33333333333333337</v>
      </c>
      <c r="E81" s="184"/>
      <c r="F81" s="185"/>
      <c r="G81" s="184"/>
      <c r="H81" s="189"/>
      <c r="I81" s="13" t="s">
        <v>144</v>
      </c>
      <c r="J81" s="27">
        <f>(IF(B74&gt;1,(H74/(B74+2)+J80),0))</f>
        <v>0</v>
      </c>
    </row>
    <row r="82" spans="1:22" ht="15" customHeight="1" x14ac:dyDescent="0.25">
      <c r="A82" s="86" t="s">
        <v>131</v>
      </c>
      <c r="B82" s="87" t="s">
        <v>128</v>
      </c>
      <c r="C82" s="63">
        <v>0.2</v>
      </c>
      <c r="D82" s="16">
        <f ca="1">((100/(H74))*C82)/100</f>
        <v>6.666666666666668E-2</v>
      </c>
      <c r="E82" s="184"/>
      <c r="F82" s="185"/>
      <c r="G82" s="184"/>
      <c r="H82" s="189"/>
      <c r="I82" s="13" t="s">
        <v>139</v>
      </c>
      <c r="J82" s="27">
        <f>(IF(B74&gt;2,(H74/(B74+2)+J81),0))</f>
        <v>0</v>
      </c>
    </row>
    <row r="83" spans="1:22" ht="15.75" customHeight="1" x14ac:dyDescent="0.25">
      <c r="A83" s="86" t="s">
        <v>127</v>
      </c>
      <c r="B83" s="87" t="s">
        <v>127</v>
      </c>
      <c r="C83" s="63">
        <v>0</v>
      </c>
      <c r="D83" s="16">
        <f ca="1">((100/H74)*C83)/100</f>
        <v>0</v>
      </c>
      <c r="E83" s="184"/>
      <c r="F83" s="185"/>
      <c r="G83" s="184"/>
      <c r="H83" s="189"/>
      <c r="I83" s="13" t="s">
        <v>140</v>
      </c>
      <c r="J83" s="28">
        <f>(IF(B74&gt;3,(H74/(B74+2)+J82),0))</f>
        <v>0</v>
      </c>
    </row>
    <row r="84" spans="1:22" ht="15.75" customHeight="1" x14ac:dyDescent="0.25">
      <c r="A84" s="86" t="s">
        <v>134</v>
      </c>
      <c r="B84" s="87"/>
      <c r="C84" s="63">
        <v>0</v>
      </c>
      <c r="D84" s="16">
        <f ca="1">((100/H74)*C84)/100</f>
        <v>0</v>
      </c>
      <c r="E84" s="184"/>
      <c r="F84" s="185"/>
      <c r="G84" s="184"/>
      <c r="H84" s="189"/>
      <c r="I84" s="13" t="s">
        <v>141</v>
      </c>
      <c r="J84" s="27">
        <f>(IF(B74&gt;4,(H74/(B74+2)+J83),0))</f>
        <v>0</v>
      </c>
    </row>
    <row r="85" spans="1:22" ht="15.75" customHeight="1" x14ac:dyDescent="0.25">
      <c r="A85" s="86" t="s">
        <v>129</v>
      </c>
      <c r="B85" s="87" t="s">
        <v>129</v>
      </c>
      <c r="C85" s="63">
        <v>0</v>
      </c>
      <c r="D85" s="16">
        <f ca="1">((100/(H74))*C85)/100</f>
        <v>0</v>
      </c>
      <c r="E85" s="184"/>
      <c r="F85" s="185"/>
      <c r="G85" s="184"/>
      <c r="H85" s="189"/>
      <c r="I85" s="13" t="s">
        <v>145</v>
      </c>
      <c r="J85" s="27">
        <f ca="1">(IF(B74=1,(H74/(B74+3)+J80),IF(B74=0,(H74/4+J80),IF(B74&gt;1,0))))</f>
        <v>2.25</v>
      </c>
    </row>
    <row r="86" spans="1:22" ht="16.5" thickBot="1" x14ac:dyDescent="0.3">
      <c r="A86" s="204" t="s">
        <v>130</v>
      </c>
      <c r="B86" s="205"/>
      <c r="C86" s="61">
        <v>0</v>
      </c>
      <c r="D86" s="17">
        <f ca="1">((100/(H74))*C86)/100</f>
        <v>0</v>
      </c>
      <c r="E86" s="186"/>
      <c r="F86" s="187"/>
      <c r="G86" s="186"/>
      <c r="H86" s="190"/>
      <c r="I86" s="14" t="s">
        <v>100</v>
      </c>
      <c r="J86" s="29">
        <f ca="1">(IF(B74&gt;1.5,(H74/(B74+2)+J80+MAX(0,J81-J80)+MAX(0,J82-J81)+MAX(0,J83-J82)+MAX(0,J84-J83)+MAX(0,J85-J84)),IF(B74=1,(H74/(B74+3)+J85),IF(B74=0,H74/4+J85))))</f>
        <v>3</v>
      </c>
    </row>
    <row r="87" spans="1:22" x14ac:dyDescent="0.25">
      <c r="A87" s="93" t="s">
        <v>156</v>
      </c>
      <c r="B87" s="93"/>
      <c r="C87" s="93"/>
      <c r="D87" s="93"/>
      <c r="E87" s="93"/>
      <c r="F87" s="209" t="s">
        <v>160</v>
      </c>
      <c r="G87" s="209"/>
      <c r="H87" s="209"/>
      <c r="R87" t="s">
        <v>252</v>
      </c>
      <c r="S87" t="s">
        <v>172</v>
      </c>
      <c r="T87" t="s">
        <v>177</v>
      </c>
      <c r="U87" t="s">
        <v>192</v>
      </c>
      <c r="V87" t="s">
        <v>187</v>
      </c>
    </row>
    <row r="88" spans="1:22" x14ac:dyDescent="0.25">
      <c r="A88" s="92" t="s">
        <v>158</v>
      </c>
      <c r="B88" s="92"/>
      <c r="C88" s="92"/>
      <c r="D88" s="92"/>
      <c r="E88" s="92"/>
      <c r="F88" s="94">
        <v>3000</v>
      </c>
      <c r="G88" s="94"/>
      <c r="H88" s="94"/>
      <c r="I88" s="18" t="s">
        <v>343</v>
      </c>
      <c r="R88"/>
      <c r="S88">
        <v>800000</v>
      </c>
      <c r="T88">
        <v>100000</v>
      </c>
      <c r="U88">
        <v>100000</v>
      </c>
      <c r="V88">
        <v>100000</v>
      </c>
    </row>
    <row r="89" spans="1:22" hidden="1" x14ac:dyDescent="0.25">
      <c r="A89" s="92" t="s">
        <v>157</v>
      </c>
      <c r="B89" s="92"/>
      <c r="C89" s="92"/>
      <c r="D89" s="92"/>
      <c r="E89" s="92"/>
      <c r="F89" s="94"/>
      <c r="G89" s="94"/>
      <c r="H89" s="94"/>
      <c r="R89"/>
      <c r="S89">
        <v>900000</v>
      </c>
      <c r="T89">
        <v>200000</v>
      </c>
      <c r="U89">
        <v>150000</v>
      </c>
      <c r="V89">
        <v>150000</v>
      </c>
    </row>
    <row r="90" spans="1:22" hidden="1" x14ac:dyDescent="0.25">
      <c r="A90" s="92" t="s">
        <v>159</v>
      </c>
      <c r="B90" s="92"/>
      <c r="C90" s="92"/>
      <c r="D90" s="92"/>
      <c r="E90" s="92"/>
      <c r="F90" s="94"/>
      <c r="G90" s="94"/>
      <c r="H90" s="94"/>
      <c r="R90"/>
      <c r="S90">
        <v>1000000</v>
      </c>
      <c r="T90">
        <v>250000</v>
      </c>
      <c r="U90">
        <v>200000</v>
      </c>
      <c r="V90">
        <v>200000</v>
      </c>
    </row>
    <row r="91" spans="1:22" s="30" customFormat="1" hidden="1" x14ac:dyDescent="0.25">
      <c r="A91" s="92" t="s">
        <v>174</v>
      </c>
      <c r="B91" s="92"/>
      <c r="C91" s="92"/>
      <c r="D91" s="92"/>
      <c r="E91" s="92"/>
      <c r="F91" s="94"/>
      <c r="G91" s="94"/>
      <c r="H91" s="94"/>
      <c r="R91"/>
      <c r="S91">
        <v>1100000</v>
      </c>
      <c r="T91">
        <v>300000</v>
      </c>
      <c r="U91">
        <v>250000</v>
      </c>
      <c r="V91" s="20">
        <v>250000</v>
      </c>
    </row>
    <row r="92" spans="1:22" s="30" customFormat="1" hidden="1" x14ac:dyDescent="0.25">
      <c r="A92" s="92" t="s">
        <v>92</v>
      </c>
      <c r="B92" s="92"/>
      <c r="C92" s="92"/>
      <c r="D92" s="92"/>
      <c r="E92" s="92"/>
      <c r="F92" s="94"/>
      <c r="G92" s="94"/>
      <c r="H92" s="94"/>
      <c r="R92"/>
      <c r="S92">
        <v>1200000</v>
      </c>
      <c r="T92">
        <v>350000</v>
      </c>
      <c r="U92">
        <v>300000</v>
      </c>
      <c r="V92">
        <v>300000</v>
      </c>
    </row>
    <row r="93" spans="1:22" s="30" customFormat="1" hidden="1" x14ac:dyDescent="0.25">
      <c r="A93" s="92" t="s">
        <v>93</v>
      </c>
      <c r="B93" s="92"/>
      <c r="C93" s="92"/>
      <c r="D93" s="92"/>
      <c r="E93" s="92"/>
      <c r="F93" s="94"/>
      <c r="G93" s="94"/>
      <c r="H93" s="94"/>
      <c r="R93"/>
      <c r="S93">
        <v>1300000</v>
      </c>
      <c r="T93">
        <v>400000</v>
      </c>
      <c r="U93">
        <v>350000</v>
      </c>
      <c r="V93" s="20">
        <v>400000</v>
      </c>
    </row>
    <row r="94" spans="1:22" s="30" customFormat="1" hidden="1" x14ac:dyDescent="0.25">
      <c r="A94" s="92" t="s">
        <v>94</v>
      </c>
      <c r="B94" s="92"/>
      <c r="C94" s="92"/>
      <c r="D94" s="92"/>
      <c r="E94" s="92"/>
      <c r="F94" s="94"/>
      <c r="G94" s="94"/>
      <c r="H94" s="94"/>
      <c r="R94"/>
      <c r="S94">
        <v>1400000</v>
      </c>
      <c r="T94">
        <v>500000</v>
      </c>
      <c r="U94">
        <v>400000</v>
      </c>
      <c r="V94"/>
    </row>
    <row r="95" spans="1:22" s="30" customFormat="1" x14ac:dyDescent="0.25">
      <c r="A95" s="92" t="s">
        <v>340</v>
      </c>
      <c r="B95" s="92"/>
      <c r="C95" s="92"/>
      <c r="D95" s="92"/>
      <c r="E95" s="92"/>
      <c r="F95" s="94">
        <v>70000</v>
      </c>
      <c r="G95" s="94"/>
      <c r="H95" s="94"/>
      <c r="R95"/>
      <c r="S95">
        <v>1500000</v>
      </c>
      <c r="T95">
        <v>600000</v>
      </c>
      <c r="U95">
        <v>500000</v>
      </c>
      <c r="V95" s="20"/>
    </row>
    <row r="96" spans="1:22" s="30" customFormat="1" x14ac:dyDescent="0.25">
      <c r="A96" s="92" t="s">
        <v>341</v>
      </c>
      <c r="B96" s="92"/>
      <c r="C96" s="92"/>
      <c r="D96" s="92"/>
      <c r="E96" s="92"/>
      <c r="F96" s="94">
        <v>30000</v>
      </c>
      <c r="G96" s="94"/>
      <c r="H96" s="94"/>
      <c r="R96"/>
      <c r="S96">
        <v>1600000</v>
      </c>
      <c r="T96">
        <v>700000</v>
      </c>
      <c r="U96">
        <v>600000</v>
      </c>
      <c r="V96"/>
    </row>
    <row r="97" spans="1:22" s="30" customFormat="1" hidden="1" x14ac:dyDescent="0.25">
      <c r="A97" s="92" t="s">
        <v>95</v>
      </c>
      <c r="B97" s="92"/>
      <c r="C97" s="92"/>
      <c r="D97" s="92"/>
      <c r="E97" s="92"/>
      <c r="F97" s="94"/>
      <c r="G97" s="94"/>
      <c r="H97" s="94"/>
      <c r="R97"/>
      <c r="S97">
        <v>1700000</v>
      </c>
      <c r="T97">
        <v>800000</v>
      </c>
      <c r="U97"/>
      <c r="V97" s="20"/>
    </row>
    <row r="98" spans="1:22" x14ac:dyDescent="0.25">
      <c r="A98" s="92" t="s">
        <v>49</v>
      </c>
      <c r="B98" s="92"/>
      <c r="C98" s="92"/>
      <c r="D98" s="92"/>
      <c r="E98" s="92"/>
      <c r="F98" s="145">
        <v>100000</v>
      </c>
      <c r="G98" s="145"/>
      <c r="H98" s="145"/>
      <c r="R98"/>
      <c r="S98">
        <v>1800000</v>
      </c>
      <c r="T98">
        <v>900000</v>
      </c>
      <c r="U98"/>
    </row>
    <row r="99" spans="1:22" s="31" customFormat="1" x14ac:dyDescent="0.25">
      <c r="A99" s="146" t="s">
        <v>50</v>
      </c>
      <c r="B99" s="146"/>
      <c r="C99" s="146"/>
      <c r="D99" s="146"/>
      <c r="E99" s="146"/>
      <c r="F99" s="94">
        <f>F88*0.8</f>
        <v>2400</v>
      </c>
      <c r="G99" s="94"/>
      <c r="H99" s="94"/>
      <c r="R99" s="18"/>
      <c r="S99" s="18"/>
      <c r="T99">
        <v>1000000</v>
      </c>
      <c r="U99"/>
      <c r="V99" s="18"/>
    </row>
    <row r="100" spans="1:22" s="32" customFormat="1" ht="15.75" hidden="1" customHeight="1" x14ac:dyDescent="0.25">
      <c r="A100" s="144" t="s">
        <v>72</v>
      </c>
      <c r="B100" s="144"/>
      <c r="C100" s="144"/>
      <c r="D100" s="144"/>
      <c r="E100" s="144"/>
      <c r="F100" s="144"/>
      <c r="G100" s="144"/>
      <c r="H100" s="144"/>
      <c r="R100"/>
      <c r="S100" s="18"/>
      <c r="T100"/>
      <c r="U100"/>
      <c r="V100" s="18"/>
    </row>
    <row r="101" spans="1:22" s="32" customFormat="1" ht="15.75" hidden="1" customHeight="1" x14ac:dyDescent="0.25">
      <c r="A101" s="120" t="s">
        <v>51</v>
      </c>
      <c r="B101" s="120"/>
      <c r="C101" s="124" t="s">
        <v>75</v>
      </c>
      <c r="D101" s="124"/>
      <c r="E101" s="134" t="s">
        <v>52</v>
      </c>
      <c r="F101" s="134"/>
      <c r="G101" s="120" t="s">
        <v>53</v>
      </c>
      <c r="H101" s="120"/>
      <c r="R101"/>
      <c r="S101" s="18"/>
      <c r="T101"/>
      <c r="U101" s="18"/>
      <c r="V101" s="18"/>
    </row>
    <row r="102" spans="1:22" s="32" customFormat="1" hidden="1" x14ac:dyDescent="0.25">
      <c r="A102" s="135"/>
      <c r="B102" s="135"/>
      <c r="C102" s="194"/>
      <c r="D102" s="194"/>
      <c r="E102" s="195"/>
      <c r="F102" s="195"/>
      <c r="G102" s="123"/>
      <c r="H102" s="123"/>
      <c r="R102"/>
      <c r="S102" s="18"/>
      <c r="T102"/>
      <c r="U102" s="18"/>
      <c r="V102" s="18"/>
    </row>
    <row r="103" spans="1:22" s="32" customFormat="1" hidden="1" x14ac:dyDescent="0.25">
      <c r="A103" s="135"/>
      <c r="B103" s="135"/>
      <c r="C103" s="194"/>
      <c r="D103" s="194"/>
      <c r="E103" s="195"/>
      <c r="F103" s="195"/>
      <c r="G103" s="123"/>
      <c r="H103" s="123"/>
      <c r="R103"/>
      <c r="S103" s="18"/>
      <c r="T103"/>
      <c r="U103" s="18"/>
      <c r="V103" s="18"/>
    </row>
    <row r="104" spans="1:22" s="32" customFormat="1" hidden="1" x14ac:dyDescent="0.25">
      <c r="A104" s="144" t="s">
        <v>149</v>
      </c>
      <c r="B104" s="144"/>
      <c r="C104" s="124"/>
      <c r="D104" s="124"/>
      <c r="E104" s="134"/>
      <c r="F104" s="134"/>
      <c r="G104" s="120"/>
      <c r="H104" s="120"/>
      <c r="R104"/>
      <c r="S104" s="18"/>
      <c r="T104"/>
      <c r="U104" s="18"/>
      <c r="V104" s="18"/>
    </row>
    <row r="105" spans="1:22" s="32" customFormat="1" x14ac:dyDescent="0.25">
      <c r="A105" s="144" t="s">
        <v>67</v>
      </c>
      <c r="B105" s="144"/>
      <c r="C105" s="144"/>
      <c r="D105" s="144"/>
      <c r="E105" s="144"/>
      <c r="F105" s="144"/>
      <c r="G105" s="144"/>
      <c r="H105" s="144"/>
      <c r="T105"/>
    </row>
    <row r="106" spans="1:22" s="32" customFormat="1" ht="15.75" customHeight="1" x14ac:dyDescent="0.25">
      <c r="A106" s="120" t="s">
        <v>51</v>
      </c>
      <c r="B106" s="120"/>
      <c r="C106" s="124" t="s">
        <v>75</v>
      </c>
      <c r="D106" s="124"/>
      <c r="E106" s="134" t="s">
        <v>52</v>
      </c>
      <c r="F106" s="134"/>
      <c r="G106" s="120" t="s">
        <v>53</v>
      </c>
      <c r="H106" s="120"/>
      <c r="T106"/>
    </row>
    <row r="107" spans="1:22" s="32" customFormat="1" x14ac:dyDescent="0.25">
      <c r="A107" s="135" t="s">
        <v>325</v>
      </c>
      <c r="B107" s="135"/>
      <c r="C107" s="192">
        <f>COUNT(D123)+COUNT(D125:D128)*2+COUNT(D130:D132)</f>
        <v>12</v>
      </c>
      <c r="D107" s="192"/>
      <c r="E107" s="192">
        <f t="shared" ref="E107" si="0">SUM(F123)+SUM(F125:F128)*2+SUM(F130:F132)</f>
        <v>5622.5753999999997</v>
      </c>
      <c r="F107" s="192"/>
      <c r="G107" s="192">
        <f t="shared" ref="G107" si="1">SUM(H123)+SUM(H125:H128)*2+SUM(H130:H132)</f>
        <v>8152.7343299999984</v>
      </c>
      <c r="H107" s="192"/>
      <c r="T107"/>
    </row>
    <row r="108" spans="1:22" s="32" customFormat="1" ht="16.5" thickBot="1" x14ac:dyDescent="0.3">
      <c r="A108" s="218" t="s">
        <v>149</v>
      </c>
      <c r="B108" s="218"/>
      <c r="C108" s="125">
        <f>SUM(C107)</f>
        <v>12</v>
      </c>
      <c r="D108" s="126"/>
      <c r="E108" s="125">
        <f t="shared" ref="E108" si="2">SUM(E107)</f>
        <v>5622.5753999999997</v>
      </c>
      <c r="F108" s="126"/>
      <c r="G108" s="125">
        <f t="shared" ref="G108" si="3">SUM(G107)</f>
        <v>8152.7343299999984</v>
      </c>
      <c r="H108" s="126"/>
      <c r="T108"/>
    </row>
    <row r="109" spans="1:22" s="32" customFormat="1" ht="16.5" thickBot="1" x14ac:dyDescent="0.3">
      <c r="A109" s="89" t="s">
        <v>166</v>
      </c>
      <c r="B109" s="90"/>
      <c r="C109" s="213">
        <f>C104+C108</f>
        <v>12</v>
      </c>
      <c r="D109" s="213"/>
      <c r="E109" s="214">
        <f>E104+E108</f>
        <v>5622.5753999999997</v>
      </c>
      <c r="F109" s="214"/>
      <c r="G109" s="196">
        <f>G104+G108</f>
        <v>8152.7343299999984</v>
      </c>
      <c r="H109" s="197"/>
      <c r="T109"/>
    </row>
    <row r="110" spans="1:22" s="31" customFormat="1" x14ac:dyDescent="0.25">
      <c r="A110" s="209" t="s">
        <v>54</v>
      </c>
      <c r="B110" s="209"/>
      <c r="C110" s="209"/>
      <c r="D110" s="209"/>
      <c r="E110" s="209"/>
      <c r="F110" s="209"/>
      <c r="G110" s="209"/>
      <c r="H110" s="209"/>
      <c r="T110" s="32"/>
    </row>
    <row r="111" spans="1:22" x14ac:dyDescent="0.25">
      <c r="A111" s="136" t="s">
        <v>324</v>
      </c>
      <c r="B111" s="136"/>
      <c r="C111" s="136"/>
      <c r="D111" s="136"/>
      <c r="E111" s="136"/>
      <c r="F111" s="136"/>
      <c r="G111" s="136"/>
      <c r="H111" s="136"/>
      <c r="T111" s="32"/>
    </row>
    <row r="112" spans="1:22" ht="47.25" hidden="1" customHeight="1" x14ac:dyDescent="0.25">
      <c r="A112" s="121" t="s">
        <v>336</v>
      </c>
      <c r="B112" s="121" t="s">
        <v>175</v>
      </c>
      <c r="C112" s="121" t="s">
        <v>55</v>
      </c>
      <c r="D112" s="121" t="s">
        <v>231</v>
      </c>
      <c r="E112" s="139" t="s">
        <v>155</v>
      </c>
      <c r="F112" s="121" t="s">
        <v>56</v>
      </c>
      <c r="G112" s="139" t="s">
        <v>57</v>
      </c>
      <c r="H112" s="65" t="s">
        <v>147</v>
      </c>
      <c r="T112" s="32"/>
    </row>
    <row r="113" spans="1:20" s="34" customFormat="1" hidden="1" x14ac:dyDescent="0.25">
      <c r="A113" s="122"/>
      <c r="B113" s="122"/>
      <c r="C113" s="122"/>
      <c r="D113" s="122"/>
      <c r="E113" s="140"/>
      <c r="F113" s="122"/>
      <c r="G113" s="140"/>
      <c r="H113" s="66">
        <v>0.45</v>
      </c>
      <c r="T113" s="32"/>
    </row>
    <row r="114" spans="1:20" s="34" customFormat="1" hidden="1" x14ac:dyDescent="0.25">
      <c r="A114" s="127" t="s">
        <v>115</v>
      </c>
      <c r="B114" s="128"/>
      <c r="C114" s="128"/>
      <c r="D114" s="128"/>
      <c r="E114" s="128"/>
      <c r="F114" s="128"/>
      <c r="G114" s="128"/>
      <c r="H114" s="129"/>
      <c r="J114" s="33"/>
      <c r="T114" s="32"/>
    </row>
    <row r="115" spans="1:20" s="34" customFormat="1" ht="15.75" hidden="1" customHeight="1" x14ac:dyDescent="0.25">
      <c r="A115" s="95">
        <v>1</v>
      </c>
      <c r="B115" s="96"/>
      <c r="C115" s="67"/>
      <c r="D115" s="67">
        <v>0</v>
      </c>
      <c r="E115" s="67">
        <v>0</v>
      </c>
      <c r="F115" s="67">
        <f>D115+(IF(E115&lt;201,E115,IF(E115&lt;301,E115/2,E115/3)))</f>
        <v>0</v>
      </c>
      <c r="G115" s="68">
        <v>0</v>
      </c>
      <c r="H115" s="67">
        <f>(F115+(IF(G115&lt;101,G115,IF(G115&lt;201,G115/2,IF(G115&lt;=301,G115/3,G115/4)))))*(($H$113)+1)</f>
        <v>0</v>
      </c>
      <c r="I115" s="33"/>
      <c r="L115" s="191"/>
      <c r="M115" s="191"/>
      <c r="N115" s="33"/>
      <c r="T115" s="32"/>
    </row>
    <row r="116" spans="1:20" s="34" customFormat="1" ht="15.75" hidden="1" customHeight="1" x14ac:dyDescent="0.25">
      <c r="A116" s="95">
        <f>A115+1</f>
        <v>2</v>
      </c>
      <c r="B116" s="96"/>
      <c r="C116" s="67"/>
      <c r="D116" s="67"/>
      <c r="E116" s="67">
        <v>0</v>
      </c>
      <c r="F116" s="67">
        <f t="shared" ref="F116:F118" si="4">D116+(IF(E116&lt;201,E116,IF(E116&lt;301,E116/2,E116/3)))</f>
        <v>0</v>
      </c>
      <c r="G116" s="67">
        <v>0</v>
      </c>
      <c r="H116" s="67">
        <f t="shared" ref="H116:H118" si="5">(F116+(IF(G116&lt;101,G116,IF(G116&lt;201,G116/2,IF(G116&lt;=301,G116/3,G116/4)))))*(($H$113)+1)</f>
        <v>0</v>
      </c>
      <c r="I116" s="33"/>
      <c r="L116" s="191"/>
      <c r="M116" s="191"/>
      <c r="N116" s="33"/>
      <c r="T116" s="31"/>
    </row>
    <row r="117" spans="1:20" s="34" customFormat="1" ht="15.75" hidden="1" customHeight="1" x14ac:dyDescent="0.25">
      <c r="A117" s="95">
        <f>A116+1</f>
        <v>3</v>
      </c>
      <c r="B117" s="96"/>
      <c r="C117" s="67"/>
      <c r="D117" s="67"/>
      <c r="E117" s="67">
        <v>0</v>
      </c>
      <c r="F117" s="67">
        <f t="shared" si="4"/>
        <v>0</v>
      </c>
      <c r="G117" s="67">
        <v>0</v>
      </c>
      <c r="H117" s="67">
        <f t="shared" si="5"/>
        <v>0</v>
      </c>
      <c r="I117" s="33"/>
      <c r="L117" s="191"/>
      <c r="M117" s="191"/>
      <c r="N117" s="33"/>
      <c r="T117" s="18"/>
    </row>
    <row r="118" spans="1:20" s="34" customFormat="1" ht="15.75" hidden="1" customHeight="1" x14ac:dyDescent="0.25">
      <c r="A118" s="95">
        <f>A117+1</f>
        <v>4</v>
      </c>
      <c r="B118" s="96"/>
      <c r="C118" s="67"/>
      <c r="D118" s="67"/>
      <c r="E118" s="67">
        <v>0</v>
      </c>
      <c r="F118" s="67">
        <f t="shared" si="4"/>
        <v>0</v>
      </c>
      <c r="G118" s="67">
        <v>0</v>
      </c>
      <c r="H118" s="67">
        <f t="shared" si="5"/>
        <v>0</v>
      </c>
      <c r="I118" s="33"/>
      <c r="L118" s="191"/>
      <c r="M118" s="191"/>
      <c r="N118" s="33"/>
      <c r="T118" s="18"/>
    </row>
    <row r="119" spans="1:20" s="34" customFormat="1" hidden="1" x14ac:dyDescent="0.25">
      <c r="A119" s="95"/>
      <c r="B119" s="210"/>
      <c r="C119" s="210"/>
      <c r="D119" s="210"/>
      <c r="E119" s="210"/>
      <c r="F119" s="210"/>
      <c r="G119" s="210"/>
      <c r="H119" s="96"/>
      <c r="I119" s="33"/>
      <c r="N119" s="33"/>
    </row>
    <row r="120" spans="1:20" ht="47.25" customHeight="1" x14ac:dyDescent="0.25">
      <c r="A120" s="211" t="s">
        <v>337</v>
      </c>
      <c r="B120" s="121" t="s">
        <v>176</v>
      </c>
      <c r="C120" s="121" t="s">
        <v>55</v>
      </c>
      <c r="D120" s="121" t="s">
        <v>231</v>
      </c>
      <c r="E120" s="121" t="s">
        <v>230</v>
      </c>
      <c r="F120" s="121" t="s">
        <v>56</v>
      </c>
      <c r="G120" s="139" t="s">
        <v>57</v>
      </c>
      <c r="H120" s="65" t="s">
        <v>333</v>
      </c>
      <c r="I120" s="33"/>
      <c r="T120" s="34"/>
    </row>
    <row r="121" spans="1:20" s="34" customFormat="1" x14ac:dyDescent="0.25">
      <c r="A121" s="212"/>
      <c r="B121" s="122"/>
      <c r="C121" s="122"/>
      <c r="D121" s="122"/>
      <c r="E121" s="122"/>
      <c r="F121" s="122"/>
      <c r="G121" s="140"/>
      <c r="H121" s="66">
        <v>0.45</v>
      </c>
      <c r="I121" s="33"/>
    </row>
    <row r="122" spans="1:20" s="34" customFormat="1" x14ac:dyDescent="0.25">
      <c r="A122" s="127" t="s">
        <v>318</v>
      </c>
      <c r="B122" s="128"/>
      <c r="C122" s="128"/>
      <c r="D122" s="128"/>
      <c r="E122" s="128"/>
      <c r="F122" s="128"/>
      <c r="G122" s="128"/>
      <c r="H122" s="129"/>
      <c r="J122" s="33">
        <f>10.764</f>
        <v>10.763999999999999</v>
      </c>
      <c r="L122" s="64"/>
      <c r="M122" s="64">
        <v>3000</v>
      </c>
    </row>
    <row r="123" spans="1:20" s="34" customFormat="1" ht="15.75" customHeight="1" x14ac:dyDescent="0.25">
      <c r="A123" s="207">
        <v>1</v>
      </c>
      <c r="B123" s="208"/>
      <c r="C123" s="39" t="s">
        <v>319</v>
      </c>
      <c r="D123" s="60">
        <f>(62.7)*(10.764)</f>
        <v>674.90279999999996</v>
      </c>
      <c r="E123" s="39">
        <v>0</v>
      </c>
      <c r="F123" s="39">
        <f>D123+E123</f>
        <v>674.90279999999996</v>
      </c>
      <c r="G123" s="46">
        <v>0</v>
      </c>
      <c r="H123" s="46">
        <f>F123*(($H$121)+1)+(IF(G123&lt;101,G123,IF(G123&lt;201,G123/2,IF(G123&lt;=301,G123/3,G123/4))))</f>
        <v>978.60905999999989</v>
      </c>
      <c r="I123" s="33">
        <f>(3.43*4.33+3.2*2.4+3.2*3.8+3.43*2.74+2.13*1.1+2.13*1.1+7.2*1.22+2.2*1.22+1.2*0.9+1.1*1)</f>
        <v>62.42410000000001</v>
      </c>
      <c r="J123" s="33">
        <f>F123*1.45</f>
        <v>978.60905999999989</v>
      </c>
      <c r="K123" s="34">
        <f>910/F123</f>
        <v>1.3483423094407077</v>
      </c>
      <c r="L123" s="70">
        <f>H123/F123</f>
        <v>1.45</v>
      </c>
      <c r="M123" s="70">
        <f>M$122*H123</f>
        <v>2935827.1799999997</v>
      </c>
      <c r="N123" s="33"/>
    </row>
    <row r="124" spans="1:20" s="58" customFormat="1" x14ac:dyDescent="0.25">
      <c r="A124" s="215" t="s">
        <v>320</v>
      </c>
      <c r="B124" s="216"/>
      <c r="C124" s="216"/>
      <c r="D124" s="216"/>
      <c r="E124" s="216"/>
      <c r="F124" s="216"/>
      <c r="G124" s="216"/>
      <c r="H124" s="217"/>
      <c r="I124" s="33"/>
      <c r="J124" s="33">
        <f t="shared" ref="J124:J132" si="6">F124*1.45</f>
        <v>0</v>
      </c>
      <c r="L124" s="64"/>
      <c r="M124" s="70">
        <f t="shared" ref="M124:M132" si="7">M$122*H124</f>
        <v>0</v>
      </c>
    </row>
    <row r="125" spans="1:20" s="58" customFormat="1" ht="15.75" customHeight="1" x14ac:dyDescent="0.25">
      <c r="A125" s="207" t="str">
        <f ca="1">(SUMPRODUCT(MID(0&amp;(LEFT(A124,SUM(LEN(A124)-LEN(SUBSTITUTE(A124,{"0","1","2"},""))))), LARGE(INDEX(ISNUMBER(--MID((LEFT(A124,SUM(LEN(A124)-LEN(SUBSTITUTE(A124,{"0","1","2"},""))))), ROW(INDIRECT("1:"&amp;LEN((LEFT(A124,SUM(LEN(A124)-LEN(SUBSTITUTE(A124,{"0","1","2"},"")))))))), 1)) * ROW(INDIRECT("1:"&amp;LEN((LEFT(A124,SUM(LEN(A124)-LEN(SUBSTITUTE(A124,{"0","1","2"},"")))))))), 0), ROW(INDIRECT("1:"&amp;LEN((LEFT(A124,SUM(LEN(A124)-LEN(SUBSTITUTE(A124,{"0","1","2"},"")))))))))+1, 1) * 10^ROW(INDIRECT("1:"&amp;LEN((LEFT(A124,SUM(LEN(A124)-LEN(SUBSTITUTE(A124,{"0","1","2"},""))))))))/10))*100+1&amp;""&amp;" &amp; "&amp;""&amp;(SUMPRODUCT(MID(0&amp;(--TRIM(RIGHT(SUBSTITUTE(LEFT(A124,_xlfn.AGGREGATE(16,6,FIND({0,1,2,3,4,5,6,7,8,9},A124,ROW(INDIRECT("1:"&amp;LEN(A124)))),1))," ",REPT(" ",LEN(A124))),LEN(A124)))), LARGE(INDEX(ISNUMBER(--MID((--TRIM(RIGHT(SUBSTITUTE(LEFT(A124,_xlfn.AGGREGATE(16,6,FIND({0,1,2,3,4,5,6,7,8,9},A124,ROW(INDIRECT("1:"&amp;LEN(A124)))),1))," ",REPT(" ",LEN(A124))),LEN(A124)))), ROW(INDIRECT("1:"&amp;LEN((--TRIM(RIGHT(SUBSTITUTE(LEFT(A124,_xlfn.AGGREGATE(16,6,FIND({0,1,2,3,4,5,6,7,8,9},A124,ROW(INDIRECT("1:"&amp;LEN(A124)))),1))," ",REPT(" ",LEN(A124))),LEN(A124))))))), 1)) * ROW(INDIRECT("1:"&amp;LEN((--TRIM(RIGHT(SUBSTITUTE(LEFT(A124,_xlfn.AGGREGATE(16,6,FIND({0,1,2,3,4,5,6,7,8,9},A124,ROW(INDIRECT("1:"&amp;LEN(A124)))),1))," ",REPT(" ",LEN(A124))),LEN(A124))))))), 0), ROW(INDIRECT("1:"&amp;LEN((--TRIM(RIGHT(SUBSTITUTE(LEFT(A124,_xlfn.AGGREGATE(16,6,FIND({0,1,2,3,4,5,6,7,8,9},A124,ROW(INDIRECT("1:"&amp;LEN(A124)))),1))," ",REPT(" ",LEN(A124))),LEN(A124))))))))+1, 1) * 10^ROW(INDIRECT("1:"&amp;LEN((--TRIM(RIGHT(SUBSTITUTE(LEFT(A124,_xlfn.AGGREGATE(16,6,FIND({0,1,2,3,4,5,6,7,8,9},A124,ROW(INDIRECT("1:"&amp;LEN(A124)))),1))," ",REPT(" ",LEN(A124))),LEN(A124)))))))/10))*100+1</f>
        <v>101 &amp; 201</v>
      </c>
      <c r="B125" s="208"/>
      <c r="C125" s="57" t="s">
        <v>321</v>
      </c>
      <c r="D125" s="60">
        <f>(28.14)*(10.764)</f>
        <v>302.89895999999999</v>
      </c>
      <c r="E125" s="60">
        <f>(1*(2.7+2.45+3.43))*(10.764)</f>
        <v>92.355119999999999</v>
      </c>
      <c r="F125" s="57">
        <f>D125+E125</f>
        <v>395.25407999999999</v>
      </c>
      <c r="G125" s="57">
        <v>0</v>
      </c>
      <c r="H125" s="62">
        <f t="shared" ref="H125:H128" si="8">F125*(($H$121)+1)+(IF(G125&lt;101,G125,IF(G125&lt;201,G125/2,IF(G125&lt;=301,G125/3,G125/4))))</f>
        <v>573.11841599999991</v>
      </c>
      <c r="I125" s="33">
        <f>(3.43*2.7+3.43*1.83+3.43*2.45+2.3*1.1+0.9*1.2)</f>
        <v>27.551400000000001</v>
      </c>
      <c r="J125" s="33">
        <f t="shared" si="6"/>
        <v>573.11841599999991</v>
      </c>
      <c r="K125" s="58">
        <f>535/F125</f>
        <v>1.3535597153102126</v>
      </c>
      <c r="L125" s="64"/>
      <c r="M125" s="70">
        <f t="shared" si="7"/>
        <v>1719355.2479999997</v>
      </c>
    </row>
    <row r="126" spans="1:20" s="58" customFormat="1" ht="15.75" customHeight="1" x14ac:dyDescent="0.25">
      <c r="A126" s="207" t="str">
        <f ca="1">(SUMPRODUCT(MID(0&amp;(LEFT(A125,SUM(LEN(A125)-LEN(SUBSTITUTE(A125,{"0","1","2"},""))))), LARGE(INDEX(ISNUMBER(--MID((LEFT(A125,SUM(LEN(A125)-LEN(SUBSTITUTE(A125,{"0","1","2"},""))))), ROW(INDIRECT("1:"&amp;LEN((LEFT(A125,SUM(LEN(A125)-LEN(SUBSTITUTE(A125,{"0","1","2"},"")))))))), 1)) * ROW(INDIRECT("1:"&amp;LEN((LEFT(A125,SUM(LEN(A125)-LEN(SUBSTITUTE(A125,{"0","1","2"},"")))))))), 0), ROW(INDIRECT("1:"&amp;LEN((LEFT(A125,SUM(LEN(A125)-LEN(SUBSTITUTE(A125,{"0","1","2"},"")))))))))+1, 1) * 10^ROW(INDIRECT("1:"&amp;LEN((LEFT(A125,SUM(LEN(A125)-LEN(SUBSTITUTE(A125,{"0","1","2"},""))))))))/10))*1+1&amp;""&amp;" &amp; "&amp;""&amp;(SUMPRODUCT(MID(0&amp;(--TRIM(RIGHT(SUBSTITUTE(LEFT(A125,_xlfn.AGGREGATE(16,6,FIND({0,1,2,3,4,5,6,7,8,9},A125,ROW(INDIRECT("1:"&amp;LEN(A125)))),1))," ",REPT(" ",LEN(A125))),LEN(A125)))), LARGE(INDEX(ISNUMBER(--MID((--TRIM(RIGHT(SUBSTITUTE(LEFT(A125,_xlfn.AGGREGATE(16,6,FIND({0,1,2,3,4,5,6,7,8,9},A125,ROW(INDIRECT("1:"&amp;LEN(A125)))),1))," ",REPT(" ",LEN(A125))),LEN(A125)))), ROW(INDIRECT("1:"&amp;LEN((--TRIM(RIGHT(SUBSTITUTE(LEFT(A125,_xlfn.AGGREGATE(16,6,FIND({0,1,2,3,4,5,6,7,8,9},A125,ROW(INDIRECT("1:"&amp;LEN(A125)))),1))," ",REPT(" ",LEN(A125))),LEN(A125))))))), 1)) * ROW(INDIRECT("1:"&amp;LEN((--TRIM(RIGHT(SUBSTITUTE(LEFT(A125,_xlfn.AGGREGATE(16,6,FIND({0,1,2,3,4,5,6,7,8,9},A125,ROW(INDIRECT("1:"&amp;LEN(A125)))),1))," ",REPT(" ",LEN(A125))),LEN(A125))))))), 0), ROW(INDIRECT("1:"&amp;LEN((--TRIM(RIGHT(SUBSTITUTE(LEFT(A125,_xlfn.AGGREGATE(16,6,FIND({0,1,2,3,4,5,6,7,8,9},A125,ROW(INDIRECT("1:"&amp;LEN(A125)))),1))," ",REPT(" ",LEN(A125))),LEN(A125))))))))+1, 1) * 10^ROW(INDIRECT("1:"&amp;LEN((--TRIM(RIGHT(SUBSTITUTE(LEFT(A125,_xlfn.AGGREGATE(16,6,FIND({0,1,2,3,4,5,6,7,8,9},A125,ROW(INDIRECT("1:"&amp;LEN(A125)))),1))," ",REPT(" ",LEN(A125))),LEN(A125)))))))/10))*1+1</f>
        <v>102 &amp; 202</v>
      </c>
      <c r="B126" s="208"/>
      <c r="C126" s="57" t="s">
        <v>321</v>
      </c>
      <c r="D126" s="60">
        <f>(31.02)*(10.764)</f>
        <v>333.89927999999998</v>
      </c>
      <c r="E126" s="60">
        <f>(1*(3.05+2.45+3.2))*(10.764)</f>
        <v>93.646799999999985</v>
      </c>
      <c r="F126" s="57">
        <f>D126+E126</f>
        <v>427.54607999999996</v>
      </c>
      <c r="G126" s="57">
        <v>0</v>
      </c>
      <c r="H126" s="62">
        <f t="shared" si="8"/>
        <v>619.9418159999999</v>
      </c>
      <c r="I126" s="33"/>
      <c r="J126" s="33">
        <f t="shared" si="6"/>
        <v>619.9418159999999</v>
      </c>
      <c r="K126" s="58">
        <f>575/F126</f>
        <v>1.3448842753978707</v>
      </c>
      <c r="L126" s="64"/>
      <c r="M126" s="70">
        <f t="shared" si="7"/>
        <v>1859825.4479999996</v>
      </c>
    </row>
    <row r="127" spans="1:20" s="58" customFormat="1" ht="15.75" customHeight="1" x14ac:dyDescent="0.25">
      <c r="A127" s="207" t="str">
        <f ca="1">(SUMPRODUCT(MID(0&amp;(LEFT(A126,SUM(LEN(A126)-LEN(SUBSTITUTE(A126,{"0","1","2"},""))))), LARGE(INDEX(ISNUMBER(--MID((LEFT(A126,SUM(LEN(A126)-LEN(SUBSTITUTE(A126,{"0","1","2"},""))))), ROW(INDIRECT("1:"&amp;LEN((LEFT(A126,SUM(LEN(A126)-LEN(SUBSTITUTE(A126,{"0","1","2"},"")))))))), 1)) * ROW(INDIRECT("1:"&amp;LEN((LEFT(A126,SUM(LEN(A126)-LEN(SUBSTITUTE(A126,{"0","1","2"},"")))))))), 0), ROW(INDIRECT("1:"&amp;LEN((LEFT(A126,SUM(LEN(A126)-LEN(SUBSTITUTE(A126,{"0","1","2"},"")))))))))+1, 1) * 10^ROW(INDIRECT("1:"&amp;LEN((LEFT(A126,SUM(LEN(A126)-LEN(SUBSTITUTE(A126,{"0","1","2"},""))))))))/10))*1+1&amp;""&amp;" &amp; "&amp;""&amp;(SUMPRODUCT(MID(0&amp;(--TRIM(RIGHT(SUBSTITUTE(LEFT(A126,_xlfn.AGGREGATE(16,6,FIND({0,1,2,3,4,5,6,7,8,9},A126,ROW(INDIRECT("1:"&amp;LEN(A126)))),1))," ",REPT(" ",LEN(A126))),LEN(A126)))), LARGE(INDEX(ISNUMBER(--MID((--TRIM(RIGHT(SUBSTITUTE(LEFT(A126,_xlfn.AGGREGATE(16,6,FIND({0,1,2,3,4,5,6,7,8,9},A126,ROW(INDIRECT("1:"&amp;LEN(A126)))),1))," ",REPT(" ",LEN(A126))),LEN(A126)))), ROW(INDIRECT("1:"&amp;LEN((--TRIM(RIGHT(SUBSTITUTE(LEFT(A126,_xlfn.AGGREGATE(16,6,FIND({0,1,2,3,4,5,6,7,8,9},A126,ROW(INDIRECT("1:"&amp;LEN(A126)))),1))," ",REPT(" ",LEN(A126))),LEN(A126))))))), 1)) * ROW(INDIRECT("1:"&amp;LEN((--TRIM(RIGHT(SUBSTITUTE(LEFT(A126,_xlfn.AGGREGATE(16,6,FIND({0,1,2,3,4,5,6,7,8,9},A126,ROW(INDIRECT("1:"&amp;LEN(A126)))),1))," ",REPT(" ",LEN(A126))),LEN(A126))))))), 0), ROW(INDIRECT("1:"&amp;LEN((--TRIM(RIGHT(SUBSTITUTE(LEFT(A126,_xlfn.AGGREGATE(16,6,FIND({0,1,2,3,4,5,6,7,8,9},A126,ROW(INDIRECT("1:"&amp;LEN(A126)))),1))," ",REPT(" ",LEN(A126))),LEN(A126))))))))+1, 1) * 10^ROW(INDIRECT("1:"&amp;LEN((--TRIM(RIGHT(SUBSTITUTE(LEFT(A126,_xlfn.AGGREGATE(16,6,FIND({0,1,2,3,4,5,6,7,8,9},A126,ROW(INDIRECT("1:"&amp;LEN(A126)))),1))," ",REPT(" ",LEN(A126))),LEN(A126)))))))/10))*1+1</f>
        <v>103 &amp; 203</v>
      </c>
      <c r="B127" s="208"/>
      <c r="C127" s="57" t="s">
        <v>321</v>
      </c>
      <c r="D127" s="60">
        <f>(28.98)*(10.764)</f>
        <v>311.94072</v>
      </c>
      <c r="E127" s="60">
        <f>(1*3.05)*(10.764)</f>
        <v>32.830199999999998</v>
      </c>
      <c r="F127" s="57">
        <f>D127+E127</f>
        <v>344.77091999999999</v>
      </c>
      <c r="G127" s="57">
        <v>0</v>
      </c>
      <c r="H127" s="62">
        <f t="shared" si="8"/>
        <v>499.91783399999997</v>
      </c>
      <c r="I127" s="33"/>
      <c r="J127" s="33">
        <f t="shared" si="6"/>
        <v>499.91783399999997</v>
      </c>
      <c r="K127" s="58">
        <f>465/F127</f>
        <v>1.3487216381242362</v>
      </c>
      <c r="L127" s="64"/>
      <c r="M127" s="70">
        <f t="shared" si="7"/>
        <v>1499753.5019999999</v>
      </c>
    </row>
    <row r="128" spans="1:20" s="58" customFormat="1" ht="15.75" customHeight="1" x14ac:dyDescent="0.25">
      <c r="A128" s="207" t="str">
        <f ca="1">(SUMPRODUCT(MID(0&amp;(LEFT(A127,SUM(LEN(A127)-LEN(SUBSTITUTE(A127,{"0","1","2"},""))))), LARGE(INDEX(ISNUMBER(--MID((LEFT(A127,SUM(LEN(A127)-LEN(SUBSTITUTE(A127,{"0","1","2"},""))))), ROW(INDIRECT("1:"&amp;LEN((LEFT(A127,SUM(LEN(A127)-LEN(SUBSTITUTE(A127,{"0","1","2"},"")))))))), 1)) * ROW(INDIRECT("1:"&amp;LEN((LEFT(A127,SUM(LEN(A127)-LEN(SUBSTITUTE(A127,{"0","1","2"},"")))))))), 0), ROW(INDIRECT("1:"&amp;LEN((LEFT(A127,SUM(LEN(A127)-LEN(SUBSTITUTE(A127,{"0","1","2"},"")))))))))+1, 1) * 10^ROW(INDIRECT("1:"&amp;LEN((LEFT(A127,SUM(LEN(A127)-LEN(SUBSTITUTE(A127,{"0","1","2"},""))))))))/10))*1+1&amp;""&amp;" &amp; "&amp;""&amp;(SUMPRODUCT(MID(0&amp;(--TRIM(RIGHT(SUBSTITUTE(LEFT(A127,_xlfn.AGGREGATE(16,6,FIND({0,1,2,3,4,5,6,7,8,9},A127,ROW(INDIRECT("1:"&amp;LEN(A127)))),1))," ",REPT(" ",LEN(A127))),LEN(A127)))), LARGE(INDEX(ISNUMBER(--MID((--TRIM(RIGHT(SUBSTITUTE(LEFT(A127,_xlfn.AGGREGATE(16,6,FIND({0,1,2,3,4,5,6,7,8,9},A127,ROW(INDIRECT("1:"&amp;LEN(A127)))),1))," ",REPT(" ",LEN(A127))),LEN(A127)))), ROW(INDIRECT("1:"&amp;LEN((--TRIM(RIGHT(SUBSTITUTE(LEFT(A127,_xlfn.AGGREGATE(16,6,FIND({0,1,2,3,4,5,6,7,8,9},A127,ROW(INDIRECT("1:"&amp;LEN(A127)))),1))," ",REPT(" ",LEN(A127))),LEN(A127))))))), 1)) * ROW(INDIRECT("1:"&amp;LEN((--TRIM(RIGHT(SUBSTITUTE(LEFT(A127,_xlfn.AGGREGATE(16,6,FIND({0,1,2,3,4,5,6,7,8,9},A127,ROW(INDIRECT("1:"&amp;LEN(A127)))),1))," ",REPT(" ",LEN(A127))),LEN(A127))))))), 0), ROW(INDIRECT("1:"&amp;LEN((--TRIM(RIGHT(SUBSTITUTE(LEFT(A127,_xlfn.AGGREGATE(16,6,FIND({0,1,2,3,4,5,6,7,8,9},A127,ROW(INDIRECT("1:"&amp;LEN(A127)))),1))," ",REPT(" ",LEN(A127))),LEN(A127))))))))+1, 1) * 10^ROW(INDIRECT("1:"&amp;LEN((--TRIM(RIGHT(SUBSTITUTE(LEFT(A127,_xlfn.AGGREGATE(16,6,FIND({0,1,2,3,4,5,6,7,8,9},A127,ROW(INDIRECT("1:"&amp;LEN(A127)))),1))," ",REPT(" ",LEN(A127))),LEN(A127)))))))/10))*1+1</f>
        <v>104 &amp; 204</v>
      </c>
      <c r="B128" s="208"/>
      <c r="C128" s="57" t="s">
        <v>319</v>
      </c>
      <c r="D128" s="60">
        <f>(62.7)*(10.764)</f>
        <v>674.90279999999996</v>
      </c>
      <c r="E128" s="60">
        <f>(1*(2.21+2.21))*(10.764)</f>
        <v>47.576879999999996</v>
      </c>
      <c r="F128" s="57">
        <f>D128+E128</f>
        <v>722.47967999999992</v>
      </c>
      <c r="G128" s="57">
        <v>0</v>
      </c>
      <c r="H128" s="62">
        <f t="shared" si="8"/>
        <v>1047.5955359999998</v>
      </c>
      <c r="I128" s="33"/>
      <c r="J128" s="33">
        <f t="shared" si="6"/>
        <v>1047.5955359999998</v>
      </c>
      <c r="K128" s="58">
        <f>975/F128</f>
        <v>1.3495189234941529</v>
      </c>
      <c r="L128" s="64"/>
      <c r="M128" s="70">
        <f t="shared" si="7"/>
        <v>3142786.6079999995</v>
      </c>
    </row>
    <row r="129" spans="1:14" s="58" customFormat="1" x14ac:dyDescent="0.25">
      <c r="A129" s="138" t="s">
        <v>322</v>
      </c>
      <c r="B129" s="138"/>
      <c r="C129" s="138"/>
      <c r="D129" s="138"/>
      <c r="E129" s="138"/>
      <c r="F129" s="138"/>
      <c r="G129" s="138"/>
      <c r="H129" s="138"/>
      <c r="I129" s="33"/>
      <c r="J129" s="33">
        <f t="shared" si="6"/>
        <v>0</v>
      </c>
      <c r="L129" s="70"/>
      <c r="M129" s="70">
        <f t="shared" si="7"/>
        <v>0</v>
      </c>
    </row>
    <row r="130" spans="1:14" s="58" customFormat="1" x14ac:dyDescent="0.25">
      <c r="A130" s="91">
        <f>LEFT(A129,SUM(LEN(A129)-LEN(SUBSTITUTE(A129,{"0","1","2","3","4","5","6","7","8","9"},""))))*100+1</f>
        <v>301</v>
      </c>
      <c r="B130" s="91"/>
      <c r="C130" s="76" t="s">
        <v>321</v>
      </c>
      <c r="D130" s="60">
        <f>(28.14)*(10.764)</f>
        <v>302.89895999999999</v>
      </c>
      <c r="E130" s="60">
        <f>(1*(2.7+2.45+3.43))*(10.764)</f>
        <v>92.355119999999999</v>
      </c>
      <c r="F130" s="76">
        <f>D130+E130</f>
        <v>395.25407999999999</v>
      </c>
      <c r="G130" s="76">
        <v>0</v>
      </c>
      <c r="H130" s="76">
        <f t="shared" ref="H130:H132" si="9">F130*(($H$121)+1)+(IF(G130&lt;101,G130,IF(G130&lt;201,G130/2,IF(G130&lt;=301,G130/3,G130/4))))</f>
        <v>573.11841599999991</v>
      </c>
      <c r="I130" s="33"/>
      <c r="J130" s="33">
        <f t="shared" si="6"/>
        <v>573.11841599999991</v>
      </c>
      <c r="L130" s="64"/>
      <c r="M130" s="70">
        <f t="shared" si="7"/>
        <v>1719355.2479999997</v>
      </c>
      <c r="N130" s="33"/>
    </row>
    <row r="131" spans="1:14" s="58" customFormat="1" x14ac:dyDescent="0.25">
      <c r="A131" s="91">
        <f>A130+1</f>
        <v>302</v>
      </c>
      <c r="B131" s="91"/>
      <c r="C131" s="76" t="s">
        <v>321</v>
      </c>
      <c r="D131" s="60">
        <f>(31.02)*(10.764)</f>
        <v>333.89927999999998</v>
      </c>
      <c r="E131" s="60">
        <f>(1*(3.05+2.45+3.2))*(10.764)</f>
        <v>93.646799999999985</v>
      </c>
      <c r="F131" s="76">
        <f>D131+E131</f>
        <v>427.54607999999996</v>
      </c>
      <c r="G131" s="76">
        <v>0</v>
      </c>
      <c r="H131" s="76">
        <f t="shared" si="9"/>
        <v>619.9418159999999</v>
      </c>
      <c r="I131" s="33"/>
      <c r="J131" s="33">
        <f t="shared" si="6"/>
        <v>619.9418159999999</v>
      </c>
      <c r="M131" s="70">
        <f t="shared" si="7"/>
        <v>1859825.4479999996</v>
      </c>
      <c r="N131" s="33"/>
    </row>
    <row r="132" spans="1:14" s="58" customFormat="1" x14ac:dyDescent="0.25">
      <c r="A132" s="91">
        <f>A131+1</f>
        <v>303</v>
      </c>
      <c r="B132" s="91"/>
      <c r="C132" s="76" t="s">
        <v>321</v>
      </c>
      <c r="D132" s="60">
        <f>(28.98)*(10.764)</f>
        <v>311.94072</v>
      </c>
      <c r="E132" s="60">
        <f>(1*3.05)*(10.764)</f>
        <v>32.830199999999998</v>
      </c>
      <c r="F132" s="76">
        <f>D132+E132</f>
        <v>344.77091999999999</v>
      </c>
      <c r="G132" s="76">
        <v>0</v>
      </c>
      <c r="H132" s="76">
        <f t="shared" si="9"/>
        <v>499.91783399999997</v>
      </c>
      <c r="I132" s="33">
        <f>(3.2*3.05+3.2*1.91+3.2*2.74+2.13*1.22+0.9*1.3)</f>
        <v>28.408600000000003</v>
      </c>
      <c r="J132" s="33">
        <f t="shared" si="6"/>
        <v>499.91783399999997</v>
      </c>
      <c r="M132" s="70">
        <f t="shared" si="7"/>
        <v>1499753.5019999999</v>
      </c>
      <c r="N132" s="33"/>
    </row>
    <row r="133" spans="1:14" s="58" customFormat="1" ht="15" customHeight="1" x14ac:dyDescent="0.25">
      <c r="A133" s="91">
        <f>A132+1</f>
        <v>304</v>
      </c>
      <c r="B133" s="91"/>
      <c r="C133" s="91" t="s">
        <v>323</v>
      </c>
      <c r="D133" s="91"/>
      <c r="E133" s="91"/>
      <c r="F133" s="91"/>
      <c r="G133" s="91"/>
      <c r="H133" s="91"/>
      <c r="I133" s="33"/>
      <c r="N133" s="33"/>
    </row>
    <row r="134" spans="1:14" s="34" customFormat="1" hidden="1" x14ac:dyDescent="0.25">
      <c r="A134" s="138" t="s">
        <v>116</v>
      </c>
      <c r="B134" s="138"/>
      <c r="C134" s="138"/>
      <c r="D134" s="138"/>
      <c r="E134" s="138"/>
      <c r="F134" s="138"/>
      <c r="G134" s="138"/>
      <c r="H134" s="138"/>
      <c r="I134" s="33"/>
      <c r="L134" s="191"/>
      <c r="M134" s="191"/>
    </row>
    <row r="135" spans="1:14" s="34" customFormat="1" hidden="1" x14ac:dyDescent="0.25">
      <c r="A135" s="91">
        <f>LEFT(A134,SUM(LEN(A134)-LEN(SUBSTITUTE(A134,{"0","1","2","3","4","5","6","7","8","9"},""))))*100+1</f>
        <v>201</v>
      </c>
      <c r="B135" s="91"/>
      <c r="C135" s="76"/>
      <c r="D135" s="76"/>
      <c r="E135" s="76">
        <v>0</v>
      </c>
      <c r="F135" s="76">
        <f>D135+E135</f>
        <v>0</v>
      </c>
      <c r="G135" s="76">
        <v>0</v>
      </c>
      <c r="H135" s="76">
        <f>F135*(($H$121)+1)+(IF(G135&lt;101,G135,IF(G135&lt;201,G135/2,IF(G135&lt;=301,G135/3,G135/4))))</f>
        <v>0</v>
      </c>
      <c r="I135" s="33"/>
      <c r="N135" s="33"/>
    </row>
    <row r="136" spans="1:14" s="34" customFormat="1" hidden="1" x14ac:dyDescent="0.25">
      <c r="A136" s="91">
        <f>A135+1</f>
        <v>202</v>
      </c>
      <c r="B136" s="91"/>
      <c r="C136" s="76"/>
      <c r="D136" s="76"/>
      <c r="E136" s="76">
        <v>0</v>
      </c>
      <c r="F136" s="76">
        <f>D136+E136</f>
        <v>0</v>
      </c>
      <c r="G136" s="76">
        <v>0</v>
      </c>
      <c r="H136" s="76">
        <f>F136*(($H$121)+1)+(IF(G136&lt;101,G136,IF(G136&lt;201,G136/2,IF(G136&lt;=301,G136/3,G136/4))))</f>
        <v>0</v>
      </c>
      <c r="I136" s="33"/>
      <c r="N136" s="33"/>
    </row>
    <row r="137" spans="1:14" s="34" customFormat="1" hidden="1" x14ac:dyDescent="0.25">
      <c r="A137" s="91">
        <f>A136+1</f>
        <v>203</v>
      </c>
      <c r="B137" s="91"/>
      <c r="C137" s="76"/>
      <c r="D137" s="76"/>
      <c r="E137" s="76">
        <v>0</v>
      </c>
      <c r="F137" s="76">
        <f>D137+E137</f>
        <v>0</v>
      </c>
      <c r="G137" s="76">
        <v>0</v>
      </c>
      <c r="H137" s="76">
        <f>F137*(($H$121)+1)+(IF(G137&lt;101,G137,IF(G137&lt;201,G137/2,IF(G137&lt;=301,G137/3,G137/4))))</f>
        <v>0</v>
      </c>
      <c r="I137" s="33"/>
      <c r="N137" s="33"/>
    </row>
    <row r="138" spans="1:14" s="34" customFormat="1" hidden="1" x14ac:dyDescent="0.25">
      <c r="A138" s="91">
        <f>A137+1</f>
        <v>204</v>
      </c>
      <c r="B138" s="91"/>
      <c r="C138" s="76"/>
      <c r="D138" s="76"/>
      <c r="E138" s="76">
        <v>0</v>
      </c>
      <c r="F138" s="76">
        <f>D138+E138</f>
        <v>0</v>
      </c>
      <c r="G138" s="76">
        <v>0</v>
      </c>
      <c r="H138" s="76">
        <f>F138*(($H$121)+1)+(IF(G138&lt;101,G138,IF(G138&lt;201,G138/2,IF(G138&lt;=301,G138/3,G138/4))))</f>
        <v>0</v>
      </c>
      <c r="I138" s="33"/>
      <c r="N138" s="33"/>
    </row>
    <row r="139" spans="1:14" s="34" customFormat="1" hidden="1" x14ac:dyDescent="0.25">
      <c r="A139" s="91">
        <f>A138+1</f>
        <v>205</v>
      </c>
      <c r="B139" s="91"/>
      <c r="C139" s="76"/>
      <c r="D139" s="76"/>
      <c r="E139" s="76">
        <v>0</v>
      </c>
      <c r="F139" s="76">
        <f>D139+E139</f>
        <v>0</v>
      </c>
      <c r="G139" s="76">
        <v>0</v>
      </c>
      <c r="H139" s="76">
        <f>F139*(($H$121)+1)+(IF(G139&lt;101,G139,IF(G139&lt;201,G139/2,IF(G139&lt;=301,G139/3,G139/4))))</f>
        <v>0</v>
      </c>
      <c r="I139" s="33"/>
      <c r="N139" s="33"/>
    </row>
    <row r="140" spans="1:14" s="34" customFormat="1" ht="15.75" hidden="1" customHeight="1" x14ac:dyDescent="0.25">
      <c r="A140" s="138" t="s">
        <v>148</v>
      </c>
      <c r="B140" s="138"/>
      <c r="C140" s="138"/>
      <c r="D140" s="138"/>
      <c r="E140" s="138"/>
      <c r="F140" s="138"/>
      <c r="G140" s="138"/>
      <c r="H140" s="138"/>
      <c r="I140" s="33"/>
    </row>
    <row r="141" spans="1:14" s="34" customFormat="1" ht="15.75" hidden="1" customHeight="1" x14ac:dyDescent="0.25">
      <c r="A141" s="91" t="str">
        <f ca="1">(SUMPRODUCT(MID(0&amp;(LEFT(A140,SUM(LEN(A140)-LEN(SUBSTITUTE(A140,{"0","1","2"},""))))), LARGE(INDEX(ISNUMBER(--MID((LEFT(A140,SUM(LEN(A140)-LEN(SUBSTITUTE(A140,{"0","1","2"},""))))), ROW(INDIRECT("1:"&amp;LEN((LEFT(A140,SUM(LEN(A140)-LEN(SUBSTITUTE(A140,{"0","1","2"},"")))))))), 1)) * ROW(INDIRECT("1:"&amp;LEN((LEFT(A140,SUM(LEN(A140)-LEN(SUBSTITUTE(A140,{"0","1","2"},"")))))))), 0), ROW(INDIRECT("1:"&amp;LEN((LEFT(A140,SUM(LEN(A140)-LEN(SUBSTITUTE(A140,{"0","1","2"},"")))))))))+1, 1) * 10^ROW(INDIRECT("1:"&amp;LEN((LEFT(A140,SUM(LEN(A140)-LEN(SUBSTITUTE(A140,{"0","1","2"},""))))))))/10))*100+1&amp;""&amp;" ,.., "&amp;""&amp;(SUMPRODUCT(MID(0&amp;(--TRIM(RIGHT(SUBSTITUTE(LEFT(A140,_xlfn.AGGREGATE(16,6,FIND({0,1,2,3,4,5,6,7,8,9},A140,ROW(INDIRECT("1:"&amp;LEN(A140)))),1))," ",REPT(" ",LEN(A140))),LEN(A140)))), LARGE(INDEX(ISNUMBER(--MID((--TRIM(RIGHT(SUBSTITUTE(LEFT(A140,_xlfn.AGGREGATE(16,6,FIND({0,1,2,3,4,5,6,7,8,9},A140,ROW(INDIRECT("1:"&amp;LEN(A140)))),1))," ",REPT(" ",LEN(A140))),LEN(A140)))), ROW(INDIRECT("1:"&amp;LEN((--TRIM(RIGHT(SUBSTITUTE(LEFT(A140,_xlfn.AGGREGATE(16,6,FIND({0,1,2,3,4,5,6,7,8,9},A140,ROW(INDIRECT("1:"&amp;LEN(A140)))),1))," ",REPT(" ",LEN(A140))),LEN(A140))))))), 1)) * ROW(INDIRECT("1:"&amp;LEN((--TRIM(RIGHT(SUBSTITUTE(LEFT(A140,_xlfn.AGGREGATE(16,6,FIND({0,1,2,3,4,5,6,7,8,9},A140,ROW(INDIRECT("1:"&amp;LEN(A140)))),1))," ",REPT(" ",LEN(A140))),LEN(A140))))))), 0), ROW(INDIRECT("1:"&amp;LEN((--TRIM(RIGHT(SUBSTITUTE(LEFT(A140,_xlfn.AGGREGATE(16,6,FIND({0,1,2,3,4,5,6,7,8,9},A140,ROW(INDIRECT("1:"&amp;LEN(A140)))),1))," ",REPT(" ",LEN(A140))),LEN(A140))))))))+1, 1) * 10^ROW(INDIRECT("1:"&amp;LEN((--TRIM(RIGHT(SUBSTITUTE(LEFT(A140,_xlfn.AGGREGATE(16,6,FIND({0,1,2,3,4,5,6,7,8,9},A140,ROW(INDIRECT("1:"&amp;LEN(A140)))),1))," ",REPT(" ",LEN(A140))),LEN(A140)))))))/10))*100+1</f>
        <v>301 ,.., 1501</v>
      </c>
      <c r="B141" s="91"/>
      <c r="C141" s="76"/>
      <c r="D141" s="76"/>
      <c r="E141" s="76">
        <v>0</v>
      </c>
      <c r="F141" s="76">
        <f>D141+E141</f>
        <v>0</v>
      </c>
      <c r="G141" s="76">
        <v>0</v>
      </c>
      <c r="H141" s="76">
        <f>F141*(($H$121)+1)+(IF(G141&lt;101,G141,IF(G141&lt;201,G141/2,IF(G141&lt;=301,G141/3,G141/4))))</f>
        <v>0</v>
      </c>
      <c r="I141" s="33"/>
    </row>
    <row r="142" spans="1:14" s="34" customFormat="1" ht="15.75" hidden="1" customHeight="1" x14ac:dyDescent="0.25">
      <c r="A142" s="91" t="str">
        <f ca="1">(SUMPRODUCT(MID(0&amp;(LEFT(A141,SUM(LEN(A141)-LEN(SUBSTITUTE(A141,{"0","1","2"},""))))), LARGE(INDEX(ISNUMBER(--MID((LEFT(A141,SUM(LEN(A141)-LEN(SUBSTITUTE(A141,{"0","1","2"},""))))), ROW(INDIRECT("1:"&amp;LEN((LEFT(A141,SUM(LEN(A141)-LEN(SUBSTITUTE(A141,{"0","1","2"},"")))))))), 1)) * ROW(INDIRECT("1:"&amp;LEN((LEFT(A141,SUM(LEN(A141)-LEN(SUBSTITUTE(A141,{"0","1","2"},"")))))))), 0), ROW(INDIRECT("1:"&amp;LEN((LEFT(A141,SUM(LEN(A141)-LEN(SUBSTITUTE(A141,{"0","1","2"},"")))))))))+1, 1) * 10^ROW(INDIRECT("1:"&amp;LEN((LEFT(A141,SUM(LEN(A141)-LEN(SUBSTITUTE(A141,{"0","1","2"},""))))))))/10))*1+1&amp;""&amp;" ,.., "&amp;""&amp;(SUMPRODUCT(MID(0&amp;(--TRIM(RIGHT(SUBSTITUTE(LEFT(A141,_xlfn.AGGREGATE(16,6,FIND({0,1,2,3,4,5,6,7,8,9},A141,ROW(INDIRECT("1:"&amp;LEN(A141)))),1))," ",REPT(" ",LEN(A141))),LEN(A141)))), LARGE(INDEX(ISNUMBER(--MID((--TRIM(RIGHT(SUBSTITUTE(LEFT(A141,_xlfn.AGGREGATE(16,6,FIND({0,1,2,3,4,5,6,7,8,9},A141,ROW(INDIRECT("1:"&amp;LEN(A141)))),1))," ",REPT(" ",LEN(A141))),LEN(A141)))), ROW(INDIRECT("1:"&amp;LEN((--TRIM(RIGHT(SUBSTITUTE(LEFT(A141,_xlfn.AGGREGATE(16,6,FIND({0,1,2,3,4,5,6,7,8,9},A141,ROW(INDIRECT("1:"&amp;LEN(A141)))),1))," ",REPT(" ",LEN(A141))),LEN(A141))))))), 1)) * ROW(INDIRECT("1:"&amp;LEN((--TRIM(RIGHT(SUBSTITUTE(LEFT(A141,_xlfn.AGGREGATE(16,6,FIND({0,1,2,3,4,5,6,7,8,9},A141,ROW(INDIRECT("1:"&amp;LEN(A141)))),1))," ",REPT(" ",LEN(A141))),LEN(A141))))))), 0), ROW(INDIRECT("1:"&amp;LEN((--TRIM(RIGHT(SUBSTITUTE(LEFT(A141,_xlfn.AGGREGATE(16,6,FIND({0,1,2,3,4,5,6,7,8,9},A141,ROW(INDIRECT("1:"&amp;LEN(A141)))),1))," ",REPT(" ",LEN(A141))),LEN(A141))))))))+1, 1) * 10^ROW(INDIRECT("1:"&amp;LEN((--TRIM(RIGHT(SUBSTITUTE(LEFT(A141,_xlfn.AGGREGATE(16,6,FIND({0,1,2,3,4,5,6,7,8,9},A141,ROW(INDIRECT("1:"&amp;LEN(A141)))),1))," ",REPT(" ",LEN(A141))),LEN(A141)))))))/10))*1+1</f>
        <v>302 ,.., 1502</v>
      </c>
      <c r="B142" s="91"/>
      <c r="C142" s="76"/>
      <c r="D142" s="76"/>
      <c r="E142" s="76">
        <v>0</v>
      </c>
      <c r="F142" s="76">
        <f>D142+E142</f>
        <v>0</v>
      </c>
      <c r="G142" s="76">
        <v>0</v>
      </c>
      <c r="H142" s="76">
        <f>F142*(($H$121)+1)+(IF(G142&lt;101,G142,IF(G142&lt;201,G142/2,IF(G142&lt;=301,G142/3,G142/4))))</f>
        <v>0</v>
      </c>
      <c r="I142" s="33"/>
    </row>
    <row r="143" spans="1:14" s="34" customFormat="1" ht="15.75" hidden="1" customHeight="1" x14ac:dyDescent="0.25">
      <c r="A143" s="91" t="str">
        <f ca="1">(SUMPRODUCT(MID(0&amp;(LEFT(A142,SUM(LEN(A142)-LEN(SUBSTITUTE(A142,{"0","1","2"},""))))), LARGE(INDEX(ISNUMBER(--MID((LEFT(A142,SUM(LEN(A142)-LEN(SUBSTITUTE(A142,{"0","1","2"},""))))), ROW(INDIRECT("1:"&amp;LEN((LEFT(A142,SUM(LEN(A142)-LEN(SUBSTITUTE(A142,{"0","1","2"},"")))))))), 1)) * ROW(INDIRECT("1:"&amp;LEN((LEFT(A142,SUM(LEN(A142)-LEN(SUBSTITUTE(A142,{"0","1","2"},"")))))))), 0), ROW(INDIRECT("1:"&amp;LEN((LEFT(A142,SUM(LEN(A142)-LEN(SUBSTITUTE(A142,{"0","1","2"},"")))))))))+1, 1) * 10^ROW(INDIRECT("1:"&amp;LEN((LEFT(A142,SUM(LEN(A142)-LEN(SUBSTITUTE(A142,{"0","1","2"},""))))))))/10))*1+1&amp;""&amp;" ,.., "&amp;""&amp;(SUMPRODUCT(MID(0&amp;(--TRIM(RIGHT(SUBSTITUTE(LEFT(A142,_xlfn.AGGREGATE(16,6,FIND({0,1,2,3,4,5,6,7,8,9},A142,ROW(INDIRECT("1:"&amp;LEN(A142)))),1))," ",REPT(" ",LEN(A142))),LEN(A142)))), LARGE(INDEX(ISNUMBER(--MID((--TRIM(RIGHT(SUBSTITUTE(LEFT(A142,_xlfn.AGGREGATE(16,6,FIND({0,1,2,3,4,5,6,7,8,9},A142,ROW(INDIRECT("1:"&amp;LEN(A142)))),1))," ",REPT(" ",LEN(A142))),LEN(A142)))), ROW(INDIRECT("1:"&amp;LEN((--TRIM(RIGHT(SUBSTITUTE(LEFT(A142,_xlfn.AGGREGATE(16,6,FIND({0,1,2,3,4,5,6,7,8,9},A142,ROW(INDIRECT("1:"&amp;LEN(A142)))),1))," ",REPT(" ",LEN(A142))),LEN(A142))))))), 1)) * ROW(INDIRECT("1:"&amp;LEN((--TRIM(RIGHT(SUBSTITUTE(LEFT(A142,_xlfn.AGGREGATE(16,6,FIND({0,1,2,3,4,5,6,7,8,9},A142,ROW(INDIRECT("1:"&amp;LEN(A142)))),1))," ",REPT(" ",LEN(A142))),LEN(A142))))))), 0), ROW(INDIRECT("1:"&amp;LEN((--TRIM(RIGHT(SUBSTITUTE(LEFT(A142,_xlfn.AGGREGATE(16,6,FIND({0,1,2,3,4,5,6,7,8,9},A142,ROW(INDIRECT("1:"&amp;LEN(A142)))),1))," ",REPT(" ",LEN(A142))),LEN(A142))))))))+1, 1) * 10^ROW(INDIRECT("1:"&amp;LEN((--TRIM(RIGHT(SUBSTITUTE(LEFT(A142,_xlfn.AGGREGATE(16,6,FIND({0,1,2,3,4,5,6,7,8,9},A142,ROW(INDIRECT("1:"&amp;LEN(A142)))),1))," ",REPT(" ",LEN(A142))),LEN(A142)))))))/10))*1+1</f>
        <v>303 ,.., 1503</v>
      </c>
      <c r="B143" s="91"/>
      <c r="C143" s="76"/>
      <c r="D143" s="76"/>
      <c r="E143" s="76">
        <v>0</v>
      </c>
      <c r="F143" s="76">
        <f>D143+E143</f>
        <v>0</v>
      </c>
      <c r="G143" s="76">
        <v>0</v>
      </c>
      <c r="H143" s="76">
        <f>F143*(($H$121)+1)+(IF(G143&lt;101,G143,IF(G143&lt;201,G143/2,IF(G143&lt;=301,G143/3,G143/4))))</f>
        <v>0</v>
      </c>
      <c r="I143" s="33"/>
    </row>
    <row r="144" spans="1:14" s="34" customFormat="1" ht="15.75" hidden="1" customHeight="1" x14ac:dyDescent="0.25">
      <c r="A144" s="91" t="str">
        <f ca="1">(SUMPRODUCT(MID(0&amp;(LEFT(A143,SUM(LEN(A143)-LEN(SUBSTITUTE(A143,{"0","1","2"},""))))), LARGE(INDEX(ISNUMBER(--MID((LEFT(A143,SUM(LEN(A143)-LEN(SUBSTITUTE(A143,{"0","1","2"},""))))), ROW(INDIRECT("1:"&amp;LEN((LEFT(A143,SUM(LEN(A143)-LEN(SUBSTITUTE(A143,{"0","1","2"},"")))))))), 1)) * ROW(INDIRECT("1:"&amp;LEN((LEFT(A143,SUM(LEN(A143)-LEN(SUBSTITUTE(A143,{"0","1","2"},"")))))))), 0), ROW(INDIRECT("1:"&amp;LEN((LEFT(A143,SUM(LEN(A143)-LEN(SUBSTITUTE(A143,{"0","1","2"},"")))))))))+1, 1) * 10^ROW(INDIRECT("1:"&amp;LEN((LEFT(A143,SUM(LEN(A143)-LEN(SUBSTITUTE(A143,{"0","1","2"},""))))))))/10))*1+1&amp;""&amp;" ,.., "&amp;""&amp;(SUMPRODUCT(MID(0&amp;(--TRIM(RIGHT(SUBSTITUTE(LEFT(A143,_xlfn.AGGREGATE(16,6,FIND({0,1,2,3,4,5,6,7,8,9},A143,ROW(INDIRECT("1:"&amp;LEN(A143)))),1))," ",REPT(" ",LEN(A143))),LEN(A143)))), LARGE(INDEX(ISNUMBER(--MID((--TRIM(RIGHT(SUBSTITUTE(LEFT(A143,_xlfn.AGGREGATE(16,6,FIND({0,1,2,3,4,5,6,7,8,9},A143,ROW(INDIRECT("1:"&amp;LEN(A143)))),1))," ",REPT(" ",LEN(A143))),LEN(A143)))), ROW(INDIRECT("1:"&amp;LEN((--TRIM(RIGHT(SUBSTITUTE(LEFT(A143,_xlfn.AGGREGATE(16,6,FIND({0,1,2,3,4,5,6,7,8,9},A143,ROW(INDIRECT("1:"&amp;LEN(A143)))),1))," ",REPT(" ",LEN(A143))),LEN(A143))))))), 1)) * ROW(INDIRECT("1:"&amp;LEN((--TRIM(RIGHT(SUBSTITUTE(LEFT(A143,_xlfn.AGGREGATE(16,6,FIND({0,1,2,3,4,5,6,7,8,9},A143,ROW(INDIRECT("1:"&amp;LEN(A143)))),1))," ",REPT(" ",LEN(A143))),LEN(A143))))))), 0), ROW(INDIRECT("1:"&amp;LEN((--TRIM(RIGHT(SUBSTITUTE(LEFT(A143,_xlfn.AGGREGATE(16,6,FIND({0,1,2,3,4,5,6,7,8,9},A143,ROW(INDIRECT("1:"&amp;LEN(A143)))),1))," ",REPT(" ",LEN(A143))),LEN(A143))))))))+1, 1) * 10^ROW(INDIRECT("1:"&amp;LEN((--TRIM(RIGHT(SUBSTITUTE(LEFT(A143,_xlfn.AGGREGATE(16,6,FIND({0,1,2,3,4,5,6,7,8,9},A143,ROW(INDIRECT("1:"&amp;LEN(A143)))),1))," ",REPT(" ",LEN(A143))),LEN(A143)))))))/10))*1+1</f>
        <v>304 ,.., 1504</v>
      </c>
      <c r="B144" s="91"/>
      <c r="C144" s="76"/>
      <c r="D144" s="76"/>
      <c r="E144" s="76">
        <v>0</v>
      </c>
      <c r="F144" s="76">
        <f>D144+E144</f>
        <v>0</v>
      </c>
      <c r="G144" s="76">
        <v>0</v>
      </c>
      <c r="H144" s="76">
        <f>F144*(($H$121)+1)+(IF(G144&lt;101,G144,IF(G144&lt;201,G144/2,IF(G144&lt;=301,G144/3,G144/4))))</f>
        <v>0</v>
      </c>
      <c r="I144" s="33"/>
    </row>
    <row r="145" spans="1:20" s="34" customFormat="1" ht="15.75" hidden="1" customHeight="1" x14ac:dyDescent="0.25">
      <c r="A145" s="91" t="str">
        <f ca="1">(SUMPRODUCT(MID(0&amp;(LEFT(A144,SUM(LEN(A144)-LEN(SUBSTITUTE(A144,{"0","1","2"},""))))), LARGE(INDEX(ISNUMBER(--MID((LEFT(A144,SUM(LEN(A144)-LEN(SUBSTITUTE(A144,{"0","1","2"},""))))), ROW(INDIRECT("1:"&amp;LEN((LEFT(A144,SUM(LEN(A144)-LEN(SUBSTITUTE(A144,{"0","1","2"},"")))))))), 1)) * ROW(INDIRECT("1:"&amp;LEN((LEFT(A144,SUM(LEN(A144)-LEN(SUBSTITUTE(A144,{"0","1","2"},"")))))))), 0), ROW(INDIRECT("1:"&amp;LEN((LEFT(A144,SUM(LEN(A144)-LEN(SUBSTITUTE(A144,{"0","1","2"},"")))))))))+1, 1) * 10^ROW(INDIRECT("1:"&amp;LEN((LEFT(A144,SUM(LEN(A144)-LEN(SUBSTITUTE(A144,{"0","1","2"},""))))))))/10))*1+1&amp;""&amp;" ,.., "&amp;""&amp;(SUMPRODUCT(MID(0&amp;(--TRIM(RIGHT(SUBSTITUTE(LEFT(A144,_xlfn.AGGREGATE(16,6,FIND({0,1,2,3,4,5,6,7,8,9},A144,ROW(INDIRECT("1:"&amp;LEN(A144)))),1))," ",REPT(" ",LEN(A144))),LEN(A144)))), LARGE(INDEX(ISNUMBER(--MID((--TRIM(RIGHT(SUBSTITUTE(LEFT(A144,_xlfn.AGGREGATE(16,6,FIND({0,1,2,3,4,5,6,7,8,9},A144,ROW(INDIRECT("1:"&amp;LEN(A144)))),1))," ",REPT(" ",LEN(A144))),LEN(A144)))), ROW(INDIRECT("1:"&amp;LEN((--TRIM(RIGHT(SUBSTITUTE(LEFT(A144,_xlfn.AGGREGATE(16,6,FIND({0,1,2,3,4,5,6,7,8,9},A144,ROW(INDIRECT("1:"&amp;LEN(A144)))),1))," ",REPT(" ",LEN(A144))),LEN(A144))))))), 1)) * ROW(INDIRECT("1:"&amp;LEN((--TRIM(RIGHT(SUBSTITUTE(LEFT(A144,_xlfn.AGGREGATE(16,6,FIND({0,1,2,3,4,5,6,7,8,9},A144,ROW(INDIRECT("1:"&amp;LEN(A144)))),1))," ",REPT(" ",LEN(A144))),LEN(A144))))))), 0), ROW(INDIRECT("1:"&amp;LEN((--TRIM(RIGHT(SUBSTITUTE(LEFT(A144,_xlfn.AGGREGATE(16,6,FIND({0,1,2,3,4,5,6,7,8,9},A144,ROW(INDIRECT("1:"&amp;LEN(A144)))),1))," ",REPT(" ",LEN(A144))),LEN(A144))))))))+1, 1) * 10^ROW(INDIRECT("1:"&amp;LEN((--TRIM(RIGHT(SUBSTITUTE(LEFT(A144,_xlfn.AGGREGATE(16,6,FIND({0,1,2,3,4,5,6,7,8,9},A144,ROW(INDIRECT("1:"&amp;LEN(A144)))),1))," ",REPT(" ",LEN(A144))),LEN(A144)))))))/10))*1+1</f>
        <v>305 ,.., 1505</v>
      </c>
      <c r="B145" s="91"/>
      <c r="C145" s="76"/>
      <c r="D145" s="76"/>
      <c r="E145" s="76">
        <v>0</v>
      </c>
      <c r="F145" s="76">
        <f>D145+E145</f>
        <v>0</v>
      </c>
      <c r="G145" s="76">
        <v>0</v>
      </c>
      <c r="H145" s="76">
        <f>F145*(($H$121)+1)+(IF(G145&lt;101,G145,IF(G145&lt;201,G145/2,IF(G145&lt;=301,G145/3,G145/4))))</f>
        <v>0</v>
      </c>
      <c r="I145" s="33"/>
    </row>
    <row r="146" spans="1:20" s="34" customFormat="1" hidden="1" x14ac:dyDescent="0.25">
      <c r="A146" s="138" t="s">
        <v>142</v>
      </c>
      <c r="B146" s="138"/>
      <c r="C146" s="138"/>
      <c r="D146" s="138"/>
      <c r="E146" s="138"/>
      <c r="F146" s="138"/>
      <c r="G146" s="138"/>
      <c r="H146" s="138"/>
      <c r="I146" s="33"/>
    </row>
    <row r="147" spans="1:20" s="34" customFormat="1" ht="15.75" hidden="1" customHeight="1" x14ac:dyDescent="0.25">
      <c r="A147" s="91" t="str">
        <f ca="1">(SUMPRODUCT(MID(0&amp;(LEFT(A146,SUM(LEN(A146)-LEN(SUBSTITUTE(A146,{"0","1","2"},""))))), LARGE(INDEX(ISNUMBER(--MID((LEFT(A146,SUM(LEN(A146)-LEN(SUBSTITUTE(A146,{"0","1","2"},""))))), ROW(INDIRECT("1:"&amp;LEN((LEFT(A146,SUM(LEN(A146)-LEN(SUBSTITUTE(A146,{"0","1","2"},"")))))))), 1)) * ROW(INDIRECT("1:"&amp;LEN((LEFT(A146,SUM(LEN(A146)-LEN(SUBSTITUTE(A146,{"0","1","2"},"")))))))), 0), ROW(INDIRECT("1:"&amp;LEN((LEFT(A146,SUM(LEN(A146)-LEN(SUBSTITUTE(A146,{"0","1","2"},"")))))))))+1, 1) * 10^ROW(INDIRECT("1:"&amp;LEN((LEFT(A146,SUM(LEN(A146)-LEN(SUBSTITUTE(A146,{"0","1","2"},""))))))))/10))*100+1&amp;""&amp;" to "&amp;""&amp;(SUMPRODUCT(MID(0&amp;(--TRIM(RIGHT(SUBSTITUTE(LEFT(A146,_xlfn.AGGREGATE(16,6,FIND({0,1,2,3,4,5,6,7,8,9},A146,ROW(INDIRECT("1:"&amp;LEN(A146)))),1))," ",REPT(" ",LEN(A146))),LEN(A146)))), LARGE(INDEX(ISNUMBER(--MID((--TRIM(RIGHT(SUBSTITUTE(LEFT(A146,_xlfn.AGGREGATE(16,6,FIND({0,1,2,3,4,5,6,7,8,9},A146,ROW(INDIRECT("1:"&amp;LEN(A146)))),1))," ",REPT(" ",LEN(A146))),LEN(A146)))), ROW(INDIRECT("1:"&amp;LEN((--TRIM(RIGHT(SUBSTITUTE(LEFT(A146,_xlfn.AGGREGATE(16,6,FIND({0,1,2,3,4,5,6,7,8,9},A146,ROW(INDIRECT("1:"&amp;LEN(A146)))),1))," ",REPT(" ",LEN(A146))),LEN(A146))))))), 1)) * ROW(INDIRECT("1:"&amp;LEN((--TRIM(RIGHT(SUBSTITUTE(LEFT(A146,_xlfn.AGGREGATE(16,6,FIND({0,1,2,3,4,5,6,7,8,9},A146,ROW(INDIRECT("1:"&amp;LEN(A146)))),1))," ",REPT(" ",LEN(A146))),LEN(A146))))))), 0), ROW(INDIRECT("1:"&amp;LEN((--TRIM(RIGHT(SUBSTITUTE(LEFT(A146,_xlfn.AGGREGATE(16,6,FIND({0,1,2,3,4,5,6,7,8,9},A146,ROW(INDIRECT("1:"&amp;LEN(A146)))),1))," ",REPT(" ",LEN(A146))),LEN(A146))))))))+1, 1) * 10^ROW(INDIRECT("1:"&amp;LEN((--TRIM(RIGHT(SUBSTITUTE(LEFT(A146,_xlfn.AGGREGATE(16,6,FIND({0,1,2,3,4,5,6,7,8,9},A146,ROW(INDIRECT("1:"&amp;LEN(A146)))),1))," ",REPT(" ",LEN(A146))),LEN(A146)))))))/10))*100+1</f>
        <v>201 to 501</v>
      </c>
      <c r="B147" s="91"/>
      <c r="C147" s="76"/>
      <c r="D147" s="76"/>
      <c r="E147" s="76">
        <v>0</v>
      </c>
      <c r="F147" s="76">
        <f>D147+E147</f>
        <v>0</v>
      </c>
      <c r="G147" s="76">
        <v>0</v>
      </c>
      <c r="H147" s="76">
        <f>F147*(($H$121)+1)+(IF(G147&lt;101,G147,IF(G147&lt;201,G147/2,IF(G147&lt;=301,G147/3,G147/4))))</f>
        <v>0</v>
      </c>
      <c r="I147" s="33"/>
    </row>
    <row r="148" spans="1:20" s="34" customFormat="1" ht="15.75" hidden="1" customHeight="1" x14ac:dyDescent="0.25">
      <c r="A148" s="91" t="str">
        <f ca="1">(SUMPRODUCT(MID(0&amp;(LEFT(A147,SUM(LEN(A147)-LEN(SUBSTITUTE(A147,{"0","1","2"},""))))), LARGE(INDEX(ISNUMBER(--MID((LEFT(A147,SUM(LEN(A147)-LEN(SUBSTITUTE(A147,{"0","1","2"},""))))), ROW(INDIRECT("1:"&amp;LEN((LEFT(A147,SUM(LEN(A147)-LEN(SUBSTITUTE(A147,{"0","1","2"},"")))))))), 1)) * ROW(INDIRECT("1:"&amp;LEN((LEFT(A147,SUM(LEN(A147)-LEN(SUBSTITUTE(A147,{"0","1","2"},"")))))))), 0), ROW(INDIRECT("1:"&amp;LEN((LEFT(A147,SUM(LEN(A147)-LEN(SUBSTITUTE(A147,{"0","1","2"},"")))))))))+1, 1) * 10^ROW(INDIRECT("1:"&amp;LEN((LEFT(A147,SUM(LEN(A147)-LEN(SUBSTITUTE(A147,{"0","1","2"},""))))))))/10))*1+1&amp;""&amp;" to "&amp;""&amp;(SUMPRODUCT(MID(0&amp;(--TRIM(RIGHT(SUBSTITUTE(LEFT(A147,_xlfn.AGGREGATE(16,6,FIND({0,1,2,3,4,5,6,7,8,9},A147,ROW(INDIRECT("1:"&amp;LEN(A147)))),1))," ",REPT(" ",LEN(A147))),LEN(A147)))), LARGE(INDEX(ISNUMBER(--MID((--TRIM(RIGHT(SUBSTITUTE(LEFT(A147,_xlfn.AGGREGATE(16,6,FIND({0,1,2,3,4,5,6,7,8,9},A147,ROW(INDIRECT("1:"&amp;LEN(A147)))),1))," ",REPT(" ",LEN(A147))),LEN(A147)))), ROW(INDIRECT("1:"&amp;LEN((--TRIM(RIGHT(SUBSTITUTE(LEFT(A147,_xlfn.AGGREGATE(16,6,FIND({0,1,2,3,4,5,6,7,8,9},A147,ROW(INDIRECT("1:"&amp;LEN(A147)))),1))," ",REPT(" ",LEN(A147))),LEN(A147))))))), 1)) * ROW(INDIRECT("1:"&amp;LEN((--TRIM(RIGHT(SUBSTITUTE(LEFT(A147,_xlfn.AGGREGATE(16,6,FIND({0,1,2,3,4,5,6,7,8,9},A147,ROW(INDIRECT("1:"&amp;LEN(A147)))),1))," ",REPT(" ",LEN(A147))),LEN(A147))))))), 0), ROW(INDIRECT("1:"&amp;LEN((--TRIM(RIGHT(SUBSTITUTE(LEFT(A147,_xlfn.AGGREGATE(16,6,FIND({0,1,2,3,4,5,6,7,8,9},A147,ROW(INDIRECT("1:"&amp;LEN(A147)))),1))," ",REPT(" ",LEN(A147))),LEN(A147))))))))+1, 1) * 10^ROW(INDIRECT("1:"&amp;LEN((--TRIM(RIGHT(SUBSTITUTE(LEFT(A147,_xlfn.AGGREGATE(16,6,FIND({0,1,2,3,4,5,6,7,8,9},A147,ROW(INDIRECT("1:"&amp;LEN(A147)))),1))," ",REPT(" ",LEN(A147))),LEN(A147)))))))/10))*1+1</f>
        <v>202 to 502</v>
      </c>
      <c r="B148" s="91"/>
      <c r="C148" s="76"/>
      <c r="D148" s="76"/>
      <c r="E148" s="76">
        <v>0</v>
      </c>
      <c r="F148" s="76">
        <f>D148+E148</f>
        <v>0</v>
      </c>
      <c r="G148" s="76">
        <v>0</v>
      </c>
      <c r="H148" s="76">
        <f>F148*(($H$121)+1)+(IF(G148&lt;101,G148,IF(G148&lt;201,G148/2,IF(G148&lt;=301,G148/3,G148/4))))</f>
        <v>0</v>
      </c>
      <c r="I148" s="33"/>
    </row>
    <row r="149" spans="1:20" s="34" customFormat="1" ht="15.75" hidden="1" customHeight="1" x14ac:dyDescent="0.25">
      <c r="A149" s="91" t="str">
        <f ca="1">(SUMPRODUCT(MID(0&amp;(LEFT(A148,SUM(LEN(A148)-LEN(SUBSTITUTE(A148,{"0","1","2"},""))))), LARGE(INDEX(ISNUMBER(--MID((LEFT(A148,SUM(LEN(A148)-LEN(SUBSTITUTE(A148,{"0","1","2"},""))))), ROW(INDIRECT("1:"&amp;LEN((LEFT(A148,SUM(LEN(A148)-LEN(SUBSTITUTE(A148,{"0","1","2"},"")))))))), 1)) * ROW(INDIRECT("1:"&amp;LEN((LEFT(A148,SUM(LEN(A148)-LEN(SUBSTITUTE(A148,{"0","1","2"},"")))))))), 0), ROW(INDIRECT("1:"&amp;LEN((LEFT(A148,SUM(LEN(A148)-LEN(SUBSTITUTE(A148,{"0","1","2"},"")))))))))+1, 1) * 10^ROW(INDIRECT("1:"&amp;LEN((LEFT(A148,SUM(LEN(A148)-LEN(SUBSTITUTE(A148,{"0","1","2"},""))))))))/10))*1+1&amp;""&amp;" to "&amp;""&amp;(SUMPRODUCT(MID(0&amp;(--TRIM(RIGHT(SUBSTITUTE(LEFT(A148,_xlfn.AGGREGATE(16,6,FIND({0,1,2,3,4,5,6,7,8,9},A148,ROW(INDIRECT("1:"&amp;LEN(A148)))),1))," ",REPT(" ",LEN(A148))),LEN(A148)))), LARGE(INDEX(ISNUMBER(--MID((--TRIM(RIGHT(SUBSTITUTE(LEFT(A148,_xlfn.AGGREGATE(16,6,FIND({0,1,2,3,4,5,6,7,8,9},A148,ROW(INDIRECT("1:"&amp;LEN(A148)))),1))," ",REPT(" ",LEN(A148))),LEN(A148)))), ROW(INDIRECT("1:"&amp;LEN((--TRIM(RIGHT(SUBSTITUTE(LEFT(A148,_xlfn.AGGREGATE(16,6,FIND({0,1,2,3,4,5,6,7,8,9},A148,ROW(INDIRECT("1:"&amp;LEN(A148)))),1))," ",REPT(" ",LEN(A148))),LEN(A148))))))), 1)) * ROW(INDIRECT("1:"&amp;LEN((--TRIM(RIGHT(SUBSTITUTE(LEFT(A148,_xlfn.AGGREGATE(16,6,FIND({0,1,2,3,4,5,6,7,8,9},A148,ROW(INDIRECT("1:"&amp;LEN(A148)))),1))," ",REPT(" ",LEN(A148))),LEN(A148))))))), 0), ROW(INDIRECT("1:"&amp;LEN((--TRIM(RIGHT(SUBSTITUTE(LEFT(A148,_xlfn.AGGREGATE(16,6,FIND({0,1,2,3,4,5,6,7,8,9},A148,ROW(INDIRECT("1:"&amp;LEN(A148)))),1))," ",REPT(" ",LEN(A148))),LEN(A148))))))))+1, 1) * 10^ROW(INDIRECT("1:"&amp;LEN((--TRIM(RIGHT(SUBSTITUTE(LEFT(A148,_xlfn.AGGREGATE(16,6,FIND({0,1,2,3,4,5,6,7,8,9},A148,ROW(INDIRECT("1:"&amp;LEN(A148)))),1))," ",REPT(" ",LEN(A148))),LEN(A148)))))))/10))*1+1</f>
        <v>203 to 503</v>
      </c>
      <c r="B149" s="91"/>
      <c r="C149" s="76"/>
      <c r="D149" s="76"/>
      <c r="E149" s="76">
        <v>0</v>
      </c>
      <c r="F149" s="76">
        <f>D149+E149</f>
        <v>0</v>
      </c>
      <c r="G149" s="76">
        <v>0</v>
      </c>
      <c r="H149" s="76">
        <f>F149*(($H$121)+1)+(IF(G149&lt;101,G149,IF(G149&lt;201,G149/2,IF(G149&lt;=301,G149/3,G149/4))))</f>
        <v>0</v>
      </c>
      <c r="I149" s="33"/>
    </row>
    <row r="150" spans="1:20" s="34" customFormat="1" ht="15.75" hidden="1" customHeight="1" x14ac:dyDescent="0.25">
      <c r="A150" s="91" t="str">
        <f ca="1">(SUMPRODUCT(MID(0&amp;(LEFT(A149,SUM(LEN(A149)-LEN(SUBSTITUTE(A149,{"0","1","2"},""))))), LARGE(INDEX(ISNUMBER(--MID((LEFT(A149,SUM(LEN(A149)-LEN(SUBSTITUTE(A149,{"0","1","2"},""))))), ROW(INDIRECT("1:"&amp;LEN((LEFT(A149,SUM(LEN(A149)-LEN(SUBSTITUTE(A149,{"0","1","2"},"")))))))), 1)) * ROW(INDIRECT("1:"&amp;LEN((LEFT(A149,SUM(LEN(A149)-LEN(SUBSTITUTE(A149,{"0","1","2"},"")))))))), 0), ROW(INDIRECT("1:"&amp;LEN((LEFT(A149,SUM(LEN(A149)-LEN(SUBSTITUTE(A149,{"0","1","2"},"")))))))))+1, 1) * 10^ROW(INDIRECT("1:"&amp;LEN((LEFT(A149,SUM(LEN(A149)-LEN(SUBSTITUTE(A149,{"0","1","2"},""))))))))/10))*1+1&amp;""&amp;" to "&amp;""&amp;(SUMPRODUCT(MID(0&amp;(--TRIM(RIGHT(SUBSTITUTE(LEFT(A149,_xlfn.AGGREGATE(16,6,FIND({0,1,2,3,4,5,6,7,8,9},A149,ROW(INDIRECT("1:"&amp;LEN(A149)))),1))," ",REPT(" ",LEN(A149))),LEN(A149)))), LARGE(INDEX(ISNUMBER(--MID((--TRIM(RIGHT(SUBSTITUTE(LEFT(A149,_xlfn.AGGREGATE(16,6,FIND({0,1,2,3,4,5,6,7,8,9},A149,ROW(INDIRECT("1:"&amp;LEN(A149)))),1))," ",REPT(" ",LEN(A149))),LEN(A149)))), ROW(INDIRECT("1:"&amp;LEN((--TRIM(RIGHT(SUBSTITUTE(LEFT(A149,_xlfn.AGGREGATE(16,6,FIND({0,1,2,3,4,5,6,7,8,9},A149,ROW(INDIRECT("1:"&amp;LEN(A149)))),1))," ",REPT(" ",LEN(A149))),LEN(A149))))))), 1)) * ROW(INDIRECT("1:"&amp;LEN((--TRIM(RIGHT(SUBSTITUTE(LEFT(A149,_xlfn.AGGREGATE(16,6,FIND({0,1,2,3,4,5,6,7,8,9},A149,ROW(INDIRECT("1:"&amp;LEN(A149)))),1))," ",REPT(" ",LEN(A149))),LEN(A149))))))), 0), ROW(INDIRECT("1:"&amp;LEN((--TRIM(RIGHT(SUBSTITUTE(LEFT(A149,_xlfn.AGGREGATE(16,6,FIND({0,1,2,3,4,5,6,7,8,9},A149,ROW(INDIRECT("1:"&amp;LEN(A149)))),1))," ",REPT(" ",LEN(A149))),LEN(A149))))))))+1, 1) * 10^ROW(INDIRECT("1:"&amp;LEN((--TRIM(RIGHT(SUBSTITUTE(LEFT(A149,_xlfn.AGGREGATE(16,6,FIND({0,1,2,3,4,5,6,7,8,9},A149,ROW(INDIRECT("1:"&amp;LEN(A149)))),1))," ",REPT(" ",LEN(A149))),LEN(A149)))))))/10))*1+1</f>
        <v>204 to 504</v>
      </c>
      <c r="B150" s="91"/>
      <c r="C150" s="76"/>
      <c r="D150" s="76"/>
      <c r="E150" s="76">
        <v>0</v>
      </c>
      <c r="F150" s="76">
        <f>D150+E150</f>
        <v>0</v>
      </c>
      <c r="G150" s="76">
        <v>0</v>
      </c>
      <c r="H150" s="76">
        <f>F150*(($H$121)+1)+(IF(G150&lt;101,G150,IF(G150&lt;201,G150/2,IF(G150&lt;=301,G150/3,G150/4))))</f>
        <v>0</v>
      </c>
      <c r="I150" s="33"/>
    </row>
    <row r="151" spans="1:20" s="34" customFormat="1" ht="15.75" hidden="1" customHeight="1" x14ac:dyDescent="0.25">
      <c r="A151" s="91" t="str">
        <f ca="1">(SUMPRODUCT(MID(0&amp;(LEFT(A150,SUM(LEN(A150)-LEN(SUBSTITUTE(A150,{"0","1","2"},""))))), LARGE(INDEX(ISNUMBER(--MID((LEFT(A150,SUM(LEN(A150)-LEN(SUBSTITUTE(A150,{"0","1","2"},""))))), ROW(INDIRECT("1:"&amp;LEN((LEFT(A150,SUM(LEN(A150)-LEN(SUBSTITUTE(A150,{"0","1","2"},"")))))))), 1)) * ROW(INDIRECT("1:"&amp;LEN((LEFT(A150,SUM(LEN(A150)-LEN(SUBSTITUTE(A150,{"0","1","2"},"")))))))), 0), ROW(INDIRECT("1:"&amp;LEN((LEFT(A150,SUM(LEN(A150)-LEN(SUBSTITUTE(A150,{"0","1","2"},"")))))))))+1, 1) * 10^ROW(INDIRECT("1:"&amp;LEN((LEFT(A150,SUM(LEN(A150)-LEN(SUBSTITUTE(A150,{"0","1","2"},""))))))))/10))*1+1&amp;""&amp;" to "&amp;""&amp;(SUMPRODUCT(MID(0&amp;(--TRIM(RIGHT(SUBSTITUTE(LEFT(A150,_xlfn.AGGREGATE(16,6,FIND({0,1,2,3,4,5,6,7,8,9},A150,ROW(INDIRECT("1:"&amp;LEN(A150)))),1))," ",REPT(" ",LEN(A150))),LEN(A150)))), LARGE(INDEX(ISNUMBER(--MID((--TRIM(RIGHT(SUBSTITUTE(LEFT(A150,_xlfn.AGGREGATE(16,6,FIND({0,1,2,3,4,5,6,7,8,9},A150,ROW(INDIRECT("1:"&amp;LEN(A150)))),1))," ",REPT(" ",LEN(A150))),LEN(A150)))), ROW(INDIRECT("1:"&amp;LEN((--TRIM(RIGHT(SUBSTITUTE(LEFT(A150,_xlfn.AGGREGATE(16,6,FIND({0,1,2,3,4,5,6,7,8,9},A150,ROW(INDIRECT("1:"&amp;LEN(A150)))),1))," ",REPT(" ",LEN(A150))),LEN(A150))))))), 1)) * ROW(INDIRECT("1:"&amp;LEN((--TRIM(RIGHT(SUBSTITUTE(LEFT(A150,_xlfn.AGGREGATE(16,6,FIND({0,1,2,3,4,5,6,7,8,9},A150,ROW(INDIRECT("1:"&amp;LEN(A150)))),1))," ",REPT(" ",LEN(A150))),LEN(A150))))))), 0), ROW(INDIRECT("1:"&amp;LEN((--TRIM(RIGHT(SUBSTITUTE(LEFT(A150,_xlfn.AGGREGATE(16,6,FIND({0,1,2,3,4,5,6,7,8,9},A150,ROW(INDIRECT("1:"&amp;LEN(A150)))),1))," ",REPT(" ",LEN(A150))),LEN(A150))))))))+1, 1) * 10^ROW(INDIRECT("1:"&amp;LEN((--TRIM(RIGHT(SUBSTITUTE(LEFT(A150,_xlfn.AGGREGATE(16,6,FIND({0,1,2,3,4,5,6,7,8,9},A150,ROW(INDIRECT("1:"&amp;LEN(A150)))),1))," ",REPT(" ",LEN(A150))),LEN(A150)))))))/10))*1+1</f>
        <v>205 to 505</v>
      </c>
      <c r="B151" s="91"/>
      <c r="C151" s="76"/>
      <c r="D151" s="76"/>
      <c r="E151" s="76">
        <v>0</v>
      </c>
      <c r="F151" s="76">
        <f>D151+E151</f>
        <v>0</v>
      </c>
      <c r="G151" s="76">
        <v>0</v>
      </c>
      <c r="H151" s="76">
        <f>F151*(($H$121)+1)+(IF(G151&lt;101,G151,IF(G151&lt;201,G151/2,IF(G151&lt;=301,G151/3,G151/4))))</f>
        <v>0</v>
      </c>
      <c r="I151" s="33"/>
    </row>
    <row r="152" spans="1:20" s="34" customFormat="1" hidden="1" x14ac:dyDescent="0.25">
      <c r="A152" s="138" t="s">
        <v>143</v>
      </c>
      <c r="B152" s="138"/>
      <c r="C152" s="138"/>
      <c r="D152" s="138"/>
      <c r="E152" s="138"/>
      <c r="F152" s="138"/>
      <c r="G152" s="138"/>
      <c r="H152" s="138"/>
      <c r="I152" s="33"/>
    </row>
    <row r="153" spans="1:20" s="34" customFormat="1" ht="15.75" hidden="1" customHeight="1" x14ac:dyDescent="0.25">
      <c r="A153" s="91" t="str">
        <f ca="1">(SUMPRODUCT(MID(0&amp;(LEFT(A152,SUM(LEN(A152)-LEN(SUBSTITUTE(A152,{"0","1","2"},""))))), LARGE(INDEX(ISNUMBER(--MID((LEFT(A152,SUM(LEN(A152)-LEN(SUBSTITUTE(A152,{"0","1","2"},""))))), ROW(INDIRECT("1:"&amp;LEN((LEFT(A152,SUM(LEN(A152)-LEN(SUBSTITUTE(A152,{"0","1","2"},"")))))))), 1)) * ROW(INDIRECT("1:"&amp;LEN((LEFT(A152,SUM(LEN(A152)-LEN(SUBSTITUTE(A152,{"0","1","2"},"")))))))), 0), ROW(INDIRECT("1:"&amp;LEN((LEFT(A152,SUM(LEN(A152)-LEN(SUBSTITUTE(A152,{"0","1","2"},"")))))))))+1, 1) * 10^ROW(INDIRECT("1:"&amp;LEN((LEFT(A152,SUM(LEN(A152)-LEN(SUBSTITUTE(A152,{"0","1","2"},""))))))))/10))*100+1&amp;""&amp;" &amp; "&amp;""&amp;(SUMPRODUCT(MID(0&amp;(--TRIM(RIGHT(SUBSTITUTE(LEFT(A152,_xlfn.AGGREGATE(16,6,FIND({0,1,2,3,4,5,6,7,8,9},A152,ROW(INDIRECT("1:"&amp;LEN(A152)))),1))," ",REPT(" ",LEN(A152))),LEN(A152)))), LARGE(INDEX(ISNUMBER(--MID((--TRIM(RIGHT(SUBSTITUTE(LEFT(A152,_xlfn.AGGREGATE(16,6,FIND({0,1,2,3,4,5,6,7,8,9},A152,ROW(INDIRECT("1:"&amp;LEN(A152)))),1))," ",REPT(" ",LEN(A152))),LEN(A152)))), ROW(INDIRECT("1:"&amp;LEN((--TRIM(RIGHT(SUBSTITUTE(LEFT(A152,_xlfn.AGGREGATE(16,6,FIND({0,1,2,3,4,5,6,7,8,9},A152,ROW(INDIRECT("1:"&amp;LEN(A152)))),1))," ",REPT(" ",LEN(A152))),LEN(A152))))))), 1)) * ROW(INDIRECT("1:"&amp;LEN((--TRIM(RIGHT(SUBSTITUTE(LEFT(A152,_xlfn.AGGREGATE(16,6,FIND({0,1,2,3,4,5,6,7,8,9},A152,ROW(INDIRECT("1:"&amp;LEN(A152)))),1))," ",REPT(" ",LEN(A152))),LEN(A152))))))), 0), ROW(INDIRECT("1:"&amp;LEN((--TRIM(RIGHT(SUBSTITUTE(LEFT(A152,_xlfn.AGGREGATE(16,6,FIND({0,1,2,3,4,5,6,7,8,9},A152,ROW(INDIRECT("1:"&amp;LEN(A152)))),1))," ",REPT(" ",LEN(A152))),LEN(A152))))))))+1, 1) * 10^ROW(INDIRECT("1:"&amp;LEN((--TRIM(RIGHT(SUBSTITUTE(LEFT(A152,_xlfn.AGGREGATE(16,6,FIND({0,1,2,3,4,5,6,7,8,9},A152,ROW(INDIRECT("1:"&amp;LEN(A152)))),1))," ",REPT(" ",LEN(A152))),LEN(A152)))))))/10))*100+1</f>
        <v>201 &amp; 501</v>
      </c>
      <c r="B153" s="91"/>
      <c r="C153" s="76"/>
      <c r="D153" s="76"/>
      <c r="E153" s="76">
        <v>0</v>
      </c>
      <c r="F153" s="76">
        <f>D153+E153</f>
        <v>0</v>
      </c>
      <c r="G153" s="76">
        <v>0</v>
      </c>
      <c r="H153" s="76">
        <f>F153*(($H$121)+1)+(IF(G153&lt;101,G153,IF(G153&lt;201,G153/2,IF(G153&lt;=301,G153/3,G153/4))))</f>
        <v>0</v>
      </c>
      <c r="I153" s="33"/>
    </row>
    <row r="154" spans="1:20" s="34" customFormat="1" ht="15.75" hidden="1" customHeight="1" x14ac:dyDescent="0.25">
      <c r="A154" s="91" t="str">
        <f ca="1">(SUMPRODUCT(MID(0&amp;(LEFT(A153,SUM(LEN(A153)-LEN(SUBSTITUTE(A153,{"0","1","2"},""))))), LARGE(INDEX(ISNUMBER(--MID((LEFT(A153,SUM(LEN(A153)-LEN(SUBSTITUTE(A153,{"0","1","2"},""))))), ROW(INDIRECT("1:"&amp;LEN((LEFT(A153,SUM(LEN(A153)-LEN(SUBSTITUTE(A153,{"0","1","2"},"")))))))), 1)) * ROW(INDIRECT("1:"&amp;LEN((LEFT(A153,SUM(LEN(A153)-LEN(SUBSTITUTE(A153,{"0","1","2"},"")))))))), 0), ROW(INDIRECT("1:"&amp;LEN((LEFT(A153,SUM(LEN(A153)-LEN(SUBSTITUTE(A153,{"0","1","2"},"")))))))))+1, 1) * 10^ROW(INDIRECT("1:"&amp;LEN((LEFT(A153,SUM(LEN(A153)-LEN(SUBSTITUTE(A153,{"0","1","2"},""))))))))/10))*1+1&amp;""&amp;" &amp; "&amp;""&amp;(SUMPRODUCT(MID(0&amp;(--TRIM(RIGHT(SUBSTITUTE(LEFT(A153,_xlfn.AGGREGATE(16,6,FIND({0,1,2,3,4,5,6,7,8,9},A153,ROW(INDIRECT("1:"&amp;LEN(A153)))),1))," ",REPT(" ",LEN(A153))),LEN(A153)))), LARGE(INDEX(ISNUMBER(--MID((--TRIM(RIGHT(SUBSTITUTE(LEFT(A153,_xlfn.AGGREGATE(16,6,FIND({0,1,2,3,4,5,6,7,8,9},A153,ROW(INDIRECT("1:"&amp;LEN(A153)))),1))," ",REPT(" ",LEN(A153))),LEN(A153)))), ROW(INDIRECT("1:"&amp;LEN((--TRIM(RIGHT(SUBSTITUTE(LEFT(A153,_xlfn.AGGREGATE(16,6,FIND({0,1,2,3,4,5,6,7,8,9},A153,ROW(INDIRECT("1:"&amp;LEN(A153)))),1))," ",REPT(" ",LEN(A153))),LEN(A153))))))), 1)) * ROW(INDIRECT("1:"&amp;LEN((--TRIM(RIGHT(SUBSTITUTE(LEFT(A153,_xlfn.AGGREGATE(16,6,FIND({0,1,2,3,4,5,6,7,8,9},A153,ROW(INDIRECT("1:"&amp;LEN(A153)))),1))," ",REPT(" ",LEN(A153))),LEN(A153))))))), 0), ROW(INDIRECT("1:"&amp;LEN((--TRIM(RIGHT(SUBSTITUTE(LEFT(A153,_xlfn.AGGREGATE(16,6,FIND({0,1,2,3,4,5,6,7,8,9},A153,ROW(INDIRECT("1:"&amp;LEN(A153)))),1))," ",REPT(" ",LEN(A153))),LEN(A153))))))))+1, 1) * 10^ROW(INDIRECT("1:"&amp;LEN((--TRIM(RIGHT(SUBSTITUTE(LEFT(A153,_xlfn.AGGREGATE(16,6,FIND({0,1,2,3,4,5,6,7,8,9},A153,ROW(INDIRECT("1:"&amp;LEN(A153)))),1))," ",REPT(" ",LEN(A153))),LEN(A153)))))))/10))*1+1</f>
        <v>202 &amp; 502</v>
      </c>
      <c r="B154" s="91"/>
      <c r="C154" s="76"/>
      <c r="D154" s="76"/>
      <c r="E154" s="76">
        <v>0</v>
      </c>
      <c r="F154" s="76">
        <f>D154+E154</f>
        <v>0</v>
      </c>
      <c r="G154" s="76">
        <v>0</v>
      </c>
      <c r="H154" s="76">
        <f>F154*(($H$121)+1)+(IF(G154&lt;101,G154,IF(G154&lt;201,G154/2,IF(G154&lt;=301,G154/3,G154/4))))</f>
        <v>0</v>
      </c>
      <c r="I154" s="33"/>
    </row>
    <row r="155" spans="1:20" s="34" customFormat="1" ht="15.75" hidden="1" customHeight="1" x14ac:dyDescent="0.25">
      <c r="A155" s="91" t="str">
        <f ca="1">(SUMPRODUCT(MID(0&amp;(LEFT(A154,SUM(LEN(A154)-LEN(SUBSTITUTE(A154,{"0","1","2"},""))))), LARGE(INDEX(ISNUMBER(--MID((LEFT(A154,SUM(LEN(A154)-LEN(SUBSTITUTE(A154,{"0","1","2"},""))))), ROW(INDIRECT("1:"&amp;LEN((LEFT(A154,SUM(LEN(A154)-LEN(SUBSTITUTE(A154,{"0","1","2"},"")))))))), 1)) * ROW(INDIRECT("1:"&amp;LEN((LEFT(A154,SUM(LEN(A154)-LEN(SUBSTITUTE(A154,{"0","1","2"},"")))))))), 0), ROW(INDIRECT("1:"&amp;LEN((LEFT(A154,SUM(LEN(A154)-LEN(SUBSTITUTE(A154,{"0","1","2"},"")))))))))+1, 1) * 10^ROW(INDIRECT("1:"&amp;LEN((LEFT(A154,SUM(LEN(A154)-LEN(SUBSTITUTE(A154,{"0","1","2"},""))))))))/10))*1+1&amp;""&amp;" &amp; "&amp;""&amp;(SUMPRODUCT(MID(0&amp;(--TRIM(RIGHT(SUBSTITUTE(LEFT(A154,_xlfn.AGGREGATE(16,6,FIND({0,1,2,3,4,5,6,7,8,9},A154,ROW(INDIRECT("1:"&amp;LEN(A154)))),1))," ",REPT(" ",LEN(A154))),LEN(A154)))), LARGE(INDEX(ISNUMBER(--MID((--TRIM(RIGHT(SUBSTITUTE(LEFT(A154,_xlfn.AGGREGATE(16,6,FIND({0,1,2,3,4,5,6,7,8,9},A154,ROW(INDIRECT("1:"&amp;LEN(A154)))),1))," ",REPT(" ",LEN(A154))),LEN(A154)))), ROW(INDIRECT("1:"&amp;LEN((--TRIM(RIGHT(SUBSTITUTE(LEFT(A154,_xlfn.AGGREGATE(16,6,FIND({0,1,2,3,4,5,6,7,8,9},A154,ROW(INDIRECT("1:"&amp;LEN(A154)))),1))," ",REPT(" ",LEN(A154))),LEN(A154))))))), 1)) * ROW(INDIRECT("1:"&amp;LEN((--TRIM(RIGHT(SUBSTITUTE(LEFT(A154,_xlfn.AGGREGATE(16,6,FIND({0,1,2,3,4,5,6,7,8,9},A154,ROW(INDIRECT("1:"&amp;LEN(A154)))),1))," ",REPT(" ",LEN(A154))),LEN(A154))))))), 0), ROW(INDIRECT("1:"&amp;LEN((--TRIM(RIGHT(SUBSTITUTE(LEFT(A154,_xlfn.AGGREGATE(16,6,FIND({0,1,2,3,4,5,6,7,8,9},A154,ROW(INDIRECT("1:"&amp;LEN(A154)))),1))," ",REPT(" ",LEN(A154))),LEN(A154))))))))+1, 1) * 10^ROW(INDIRECT("1:"&amp;LEN((--TRIM(RIGHT(SUBSTITUTE(LEFT(A154,_xlfn.AGGREGATE(16,6,FIND({0,1,2,3,4,5,6,7,8,9},A154,ROW(INDIRECT("1:"&amp;LEN(A154)))),1))," ",REPT(" ",LEN(A154))),LEN(A154)))))))/10))*1+1</f>
        <v>203 &amp; 503</v>
      </c>
      <c r="B155" s="91"/>
      <c r="C155" s="76"/>
      <c r="D155" s="76"/>
      <c r="E155" s="76">
        <v>0</v>
      </c>
      <c r="F155" s="76">
        <f>D155+E155</f>
        <v>0</v>
      </c>
      <c r="G155" s="76">
        <v>0</v>
      </c>
      <c r="H155" s="76">
        <f>F155*(($H$121)+1)+(IF(G155&lt;101,G155,IF(G155&lt;201,G155/2,IF(G155&lt;=301,G155/3,G155/4))))</f>
        <v>0</v>
      </c>
      <c r="I155" s="33"/>
    </row>
    <row r="156" spans="1:20" s="34" customFormat="1" ht="15.75" hidden="1" customHeight="1" x14ac:dyDescent="0.25">
      <c r="A156" s="91" t="str">
        <f ca="1">(SUMPRODUCT(MID(0&amp;(LEFT(A155,SUM(LEN(A155)-LEN(SUBSTITUTE(A155,{"0","1","2"},""))))), LARGE(INDEX(ISNUMBER(--MID((LEFT(A155,SUM(LEN(A155)-LEN(SUBSTITUTE(A155,{"0","1","2"},""))))), ROW(INDIRECT("1:"&amp;LEN((LEFT(A155,SUM(LEN(A155)-LEN(SUBSTITUTE(A155,{"0","1","2"},"")))))))), 1)) * ROW(INDIRECT("1:"&amp;LEN((LEFT(A155,SUM(LEN(A155)-LEN(SUBSTITUTE(A155,{"0","1","2"},"")))))))), 0), ROW(INDIRECT("1:"&amp;LEN((LEFT(A155,SUM(LEN(A155)-LEN(SUBSTITUTE(A155,{"0","1","2"},"")))))))))+1, 1) * 10^ROW(INDIRECT("1:"&amp;LEN((LEFT(A155,SUM(LEN(A155)-LEN(SUBSTITUTE(A155,{"0","1","2"},""))))))))/10))*1+1&amp;""&amp;" &amp; "&amp;""&amp;(SUMPRODUCT(MID(0&amp;(--TRIM(RIGHT(SUBSTITUTE(LEFT(A155,_xlfn.AGGREGATE(16,6,FIND({0,1,2,3,4,5,6,7,8,9},A155,ROW(INDIRECT("1:"&amp;LEN(A155)))),1))," ",REPT(" ",LEN(A155))),LEN(A155)))), LARGE(INDEX(ISNUMBER(--MID((--TRIM(RIGHT(SUBSTITUTE(LEFT(A155,_xlfn.AGGREGATE(16,6,FIND({0,1,2,3,4,5,6,7,8,9},A155,ROW(INDIRECT("1:"&amp;LEN(A155)))),1))," ",REPT(" ",LEN(A155))),LEN(A155)))), ROW(INDIRECT("1:"&amp;LEN((--TRIM(RIGHT(SUBSTITUTE(LEFT(A155,_xlfn.AGGREGATE(16,6,FIND({0,1,2,3,4,5,6,7,8,9},A155,ROW(INDIRECT("1:"&amp;LEN(A155)))),1))," ",REPT(" ",LEN(A155))),LEN(A155))))))), 1)) * ROW(INDIRECT("1:"&amp;LEN((--TRIM(RIGHT(SUBSTITUTE(LEFT(A155,_xlfn.AGGREGATE(16,6,FIND({0,1,2,3,4,5,6,7,8,9},A155,ROW(INDIRECT("1:"&amp;LEN(A155)))),1))," ",REPT(" ",LEN(A155))),LEN(A155))))))), 0), ROW(INDIRECT("1:"&amp;LEN((--TRIM(RIGHT(SUBSTITUTE(LEFT(A155,_xlfn.AGGREGATE(16,6,FIND({0,1,2,3,4,5,6,7,8,9},A155,ROW(INDIRECT("1:"&amp;LEN(A155)))),1))," ",REPT(" ",LEN(A155))),LEN(A155))))))))+1, 1) * 10^ROW(INDIRECT("1:"&amp;LEN((--TRIM(RIGHT(SUBSTITUTE(LEFT(A155,_xlfn.AGGREGATE(16,6,FIND({0,1,2,3,4,5,6,7,8,9},A155,ROW(INDIRECT("1:"&amp;LEN(A155)))),1))," ",REPT(" ",LEN(A155))),LEN(A155)))))))/10))*1+1</f>
        <v>204 &amp; 504</v>
      </c>
      <c r="B156" s="91"/>
      <c r="C156" s="76"/>
      <c r="D156" s="76"/>
      <c r="E156" s="76">
        <v>0</v>
      </c>
      <c r="F156" s="76">
        <f>D156+E156</f>
        <v>0</v>
      </c>
      <c r="G156" s="76">
        <v>0</v>
      </c>
      <c r="H156" s="76">
        <f>F156*(($H$121)+1)+(IF(G156&lt;101,G156,IF(G156&lt;201,G156/2,IF(G156&lt;=301,G156/3,G156/4))))</f>
        <v>0</v>
      </c>
      <c r="I156" s="33"/>
    </row>
    <row r="157" spans="1:20" s="34" customFormat="1" ht="15.75" hidden="1" customHeight="1" x14ac:dyDescent="0.25">
      <c r="A157" s="91" t="str">
        <f ca="1">(SUMPRODUCT(MID(0&amp;(LEFT(A156,SUM(LEN(A156)-LEN(SUBSTITUTE(A156,{"0","1","2"},""))))), LARGE(INDEX(ISNUMBER(--MID((LEFT(A156,SUM(LEN(A156)-LEN(SUBSTITUTE(A156,{"0","1","2"},""))))), ROW(INDIRECT("1:"&amp;LEN((LEFT(A156,SUM(LEN(A156)-LEN(SUBSTITUTE(A156,{"0","1","2"},"")))))))), 1)) * ROW(INDIRECT("1:"&amp;LEN((LEFT(A156,SUM(LEN(A156)-LEN(SUBSTITUTE(A156,{"0","1","2"},"")))))))), 0), ROW(INDIRECT("1:"&amp;LEN((LEFT(A156,SUM(LEN(A156)-LEN(SUBSTITUTE(A156,{"0","1","2"},"")))))))))+1, 1) * 10^ROW(INDIRECT("1:"&amp;LEN((LEFT(A156,SUM(LEN(A156)-LEN(SUBSTITUTE(A156,{"0","1","2"},""))))))))/10))*1+1&amp;""&amp;" &amp; "&amp;""&amp;(SUMPRODUCT(MID(0&amp;(--TRIM(RIGHT(SUBSTITUTE(LEFT(A156,_xlfn.AGGREGATE(16,6,FIND({0,1,2,3,4,5,6,7,8,9},A156,ROW(INDIRECT("1:"&amp;LEN(A156)))),1))," ",REPT(" ",LEN(A156))),LEN(A156)))), LARGE(INDEX(ISNUMBER(--MID((--TRIM(RIGHT(SUBSTITUTE(LEFT(A156,_xlfn.AGGREGATE(16,6,FIND({0,1,2,3,4,5,6,7,8,9},A156,ROW(INDIRECT("1:"&amp;LEN(A156)))),1))," ",REPT(" ",LEN(A156))),LEN(A156)))), ROW(INDIRECT("1:"&amp;LEN((--TRIM(RIGHT(SUBSTITUTE(LEFT(A156,_xlfn.AGGREGATE(16,6,FIND({0,1,2,3,4,5,6,7,8,9},A156,ROW(INDIRECT("1:"&amp;LEN(A156)))),1))," ",REPT(" ",LEN(A156))),LEN(A156))))))), 1)) * ROW(INDIRECT("1:"&amp;LEN((--TRIM(RIGHT(SUBSTITUTE(LEFT(A156,_xlfn.AGGREGATE(16,6,FIND({0,1,2,3,4,5,6,7,8,9},A156,ROW(INDIRECT("1:"&amp;LEN(A156)))),1))," ",REPT(" ",LEN(A156))),LEN(A156))))))), 0), ROW(INDIRECT("1:"&amp;LEN((--TRIM(RIGHT(SUBSTITUTE(LEFT(A156,_xlfn.AGGREGATE(16,6,FIND({0,1,2,3,4,5,6,7,8,9},A156,ROW(INDIRECT("1:"&amp;LEN(A156)))),1))," ",REPT(" ",LEN(A156))),LEN(A156))))))))+1, 1) * 10^ROW(INDIRECT("1:"&amp;LEN((--TRIM(RIGHT(SUBSTITUTE(LEFT(A156,_xlfn.AGGREGATE(16,6,FIND({0,1,2,3,4,5,6,7,8,9},A156,ROW(INDIRECT("1:"&amp;LEN(A156)))),1))," ",REPT(" ",LEN(A156))),LEN(A156)))))))/10))*1+1</f>
        <v>205 &amp; 505</v>
      </c>
      <c r="B157" s="91"/>
      <c r="C157" s="76"/>
      <c r="D157" s="76"/>
      <c r="E157" s="76">
        <v>0</v>
      </c>
      <c r="F157" s="76">
        <f>D157+E157</f>
        <v>0</v>
      </c>
      <c r="G157" s="76">
        <v>0</v>
      </c>
      <c r="H157" s="76">
        <f>F157*(($H$121)+1)+(IF(G157&lt;101,G157,IF(G157&lt;201,G157/2,IF(G157&lt;=301,G157/3,G157/4))))</f>
        <v>0</v>
      </c>
      <c r="I157" s="33"/>
    </row>
    <row r="158" spans="1:20" s="32" customFormat="1" x14ac:dyDescent="0.25">
      <c r="A158" s="219" t="s">
        <v>65</v>
      </c>
      <c r="B158" s="219"/>
      <c r="C158" s="219"/>
      <c r="D158" s="219"/>
      <c r="E158" s="219"/>
      <c r="F158" s="219"/>
      <c r="G158" s="219"/>
      <c r="H158" s="219"/>
      <c r="T158" s="34"/>
    </row>
    <row r="159" spans="1:20" s="32" customFormat="1" x14ac:dyDescent="0.25">
      <c r="A159" s="77" t="s">
        <v>152</v>
      </c>
      <c r="B159" s="220" t="s">
        <v>348</v>
      </c>
      <c r="C159" s="220"/>
      <c r="D159" s="220"/>
      <c r="E159" s="220"/>
      <c r="F159" s="220"/>
      <c r="G159" s="220"/>
      <c r="H159" s="220"/>
      <c r="T159" s="34"/>
    </row>
    <row r="160" spans="1:20" s="32" customFormat="1" x14ac:dyDescent="0.25">
      <c r="A160" s="77" t="s">
        <v>152</v>
      </c>
      <c r="B160" s="133" t="str">
        <f>(IF(H120="Saleable area Loading :","We have considered Saleable area of Flats as per our Calculation.","We considered Saleable area of Flat as per Builder area Sheet."))</f>
        <v>We considered Saleable area of Flat as per Builder area Sheet.</v>
      </c>
      <c r="C160" s="133"/>
      <c r="D160" s="133"/>
      <c r="E160" s="133"/>
      <c r="F160" s="133"/>
      <c r="G160" s="133"/>
      <c r="H160" s="133"/>
      <c r="T160" s="34"/>
    </row>
    <row r="161" spans="1:20" s="32" customFormat="1" hidden="1" x14ac:dyDescent="0.25">
      <c r="A161" s="77" t="s">
        <v>152</v>
      </c>
      <c r="B161" s="133" t="str">
        <f>(IF(H112="Saleable area Loading :","We have considered Saleable area of Commercial as per our Calculation.","We considered Saleable area of Commercial as per Builder area Sheet."))</f>
        <v>We have considered Saleable area of Commercial as per our Calculation.</v>
      </c>
      <c r="C161" s="133"/>
      <c r="D161" s="133"/>
      <c r="E161" s="133"/>
      <c r="F161" s="133"/>
      <c r="G161" s="133"/>
      <c r="H161" s="133"/>
      <c r="T161" s="34"/>
    </row>
    <row r="162" spans="1:20" s="32" customFormat="1" x14ac:dyDescent="0.25">
      <c r="A162" s="77" t="s">
        <v>152</v>
      </c>
      <c r="B162" s="137" t="s">
        <v>119</v>
      </c>
      <c r="C162" s="137"/>
      <c r="D162" s="137"/>
      <c r="E162" s="137"/>
      <c r="F162" s="137"/>
      <c r="G162" s="137"/>
      <c r="H162" s="137"/>
      <c r="T162" s="34"/>
    </row>
    <row r="163" spans="1:20" s="32" customFormat="1" x14ac:dyDescent="0.25">
      <c r="A163" s="77" t="s">
        <v>152</v>
      </c>
      <c r="B163" s="137" t="s">
        <v>330</v>
      </c>
      <c r="C163" s="137"/>
      <c r="D163" s="137"/>
      <c r="E163" s="137"/>
      <c r="F163" s="137"/>
      <c r="G163" s="137"/>
      <c r="H163" s="137"/>
      <c r="T163" s="34"/>
    </row>
    <row r="164" spans="1:20" s="32" customFormat="1" x14ac:dyDescent="0.25">
      <c r="A164" s="77" t="s">
        <v>152</v>
      </c>
      <c r="B164" s="137" t="s">
        <v>151</v>
      </c>
      <c r="C164" s="137"/>
      <c r="D164" s="137"/>
      <c r="E164" s="137"/>
      <c r="F164" s="137"/>
      <c r="G164" s="137"/>
      <c r="H164" s="137"/>
    </row>
    <row r="165" spans="1:20" s="32" customFormat="1" x14ac:dyDescent="0.25">
      <c r="A165" s="41" t="s">
        <v>152</v>
      </c>
      <c r="B165" s="130" t="s">
        <v>120</v>
      </c>
      <c r="C165" s="131"/>
      <c r="D165" s="131"/>
      <c r="E165" s="131"/>
      <c r="F165" s="131"/>
      <c r="G165" s="131"/>
      <c r="H165" s="132"/>
    </row>
    <row r="166" spans="1:20" s="32" customFormat="1" ht="34.5" customHeight="1" x14ac:dyDescent="0.25">
      <c r="A166" s="41" t="s">
        <v>152</v>
      </c>
      <c r="B166" s="130" t="s">
        <v>153</v>
      </c>
      <c r="C166" s="131"/>
      <c r="D166" s="131"/>
      <c r="E166" s="131"/>
      <c r="F166" s="131"/>
      <c r="G166" s="131"/>
      <c r="H166" s="132"/>
    </row>
    <row r="167" spans="1:20" s="32" customFormat="1" x14ac:dyDescent="0.25">
      <c r="A167" s="78" t="s">
        <v>152</v>
      </c>
      <c r="B167" s="130" t="s">
        <v>121</v>
      </c>
      <c r="C167" s="131"/>
      <c r="D167" s="131"/>
      <c r="E167" s="131"/>
      <c r="F167" s="131"/>
      <c r="G167" s="131"/>
      <c r="H167" s="132"/>
    </row>
    <row r="168" spans="1:20" s="32" customFormat="1" ht="33" customHeight="1" x14ac:dyDescent="0.25">
      <c r="A168" s="41" t="s">
        <v>152</v>
      </c>
      <c r="B168" s="130" t="s">
        <v>355</v>
      </c>
      <c r="C168" s="131"/>
      <c r="D168" s="131"/>
      <c r="E168" s="131"/>
      <c r="F168" s="131"/>
      <c r="G168" s="131"/>
      <c r="H168" s="132"/>
    </row>
    <row r="169" spans="1:20" s="32" customFormat="1" hidden="1" x14ac:dyDescent="0.25">
      <c r="A169" s="47" t="s">
        <v>152</v>
      </c>
      <c r="B169" s="81" t="s">
        <v>331</v>
      </c>
      <c r="C169" s="82"/>
      <c r="D169" s="82"/>
      <c r="E169" s="82"/>
      <c r="F169" s="82"/>
      <c r="G169" s="82"/>
      <c r="H169" s="83"/>
    </row>
    <row r="170" spans="1:20" s="32" customFormat="1" ht="30.6" hidden="1" customHeight="1" x14ac:dyDescent="0.25">
      <c r="A170" s="73" t="s">
        <v>152</v>
      </c>
      <c r="B170" s="81" t="s">
        <v>346</v>
      </c>
      <c r="C170" s="82"/>
      <c r="D170" s="82"/>
      <c r="E170" s="82"/>
      <c r="F170" s="82"/>
      <c r="G170" s="82"/>
      <c r="H170" s="83"/>
    </row>
    <row r="171" spans="1:20" x14ac:dyDescent="0.25">
      <c r="A171" s="147" t="s">
        <v>58</v>
      </c>
      <c r="B171" s="147"/>
      <c r="C171" s="147"/>
      <c r="D171" s="147"/>
      <c r="E171" s="147"/>
      <c r="F171" s="147"/>
      <c r="G171" s="147"/>
      <c r="H171" s="147"/>
      <c r="T171" s="32"/>
    </row>
    <row r="172" spans="1:20" x14ac:dyDescent="0.25">
      <c r="A172" s="92" t="s">
        <v>59</v>
      </c>
      <c r="B172" s="92"/>
      <c r="C172" s="92"/>
      <c r="D172" s="92"/>
      <c r="E172" s="92"/>
      <c r="F172" s="92"/>
      <c r="G172" s="92"/>
      <c r="H172" s="92"/>
      <c r="T172" s="32"/>
    </row>
    <row r="173" spans="1:20" ht="15.75" customHeight="1" x14ac:dyDescent="0.25">
      <c r="A173" s="119" t="s">
        <v>60</v>
      </c>
      <c r="B173" s="119"/>
      <c r="C173" s="119"/>
      <c r="D173" s="119"/>
      <c r="E173" s="119"/>
      <c r="F173" s="119"/>
      <c r="G173" s="119"/>
      <c r="H173" s="119"/>
      <c r="T173" s="32"/>
    </row>
    <row r="174" spans="1:20" x14ac:dyDescent="0.25">
      <c r="A174" s="92" t="s">
        <v>61</v>
      </c>
      <c r="B174" s="92"/>
      <c r="C174" s="92"/>
      <c r="D174" s="92"/>
      <c r="E174" s="92"/>
      <c r="F174" s="92"/>
      <c r="G174" s="92"/>
      <c r="H174" s="92"/>
      <c r="T174" s="32"/>
    </row>
    <row r="175" spans="1:20" x14ac:dyDescent="0.25">
      <c r="A175" s="92" t="s">
        <v>62</v>
      </c>
      <c r="B175" s="92"/>
      <c r="C175" s="92"/>
      <c r="D175" s="92"/>
      <c r="E175" s="92"/>
      <c r="F175" s="92"/>
      <c r="G175" s="92"/>
      <c r="H175" s="92"/>
      <c r="T175" s="32"/>
    </row>
    <row r="176" spans="1:20" x14ac:dyDescent="0.25">
      <c r="A176" s="92" t="s">
        <v>122</v>
      </c>
      <c r="B176" s="92"/>
      <c r="C176" s="92"/>
      <c r="D176" s="92"/>
      <c r="E176" s="92"/>
      <c r="F176" s="92"/>
      <c r="G176" s="92"/>
      <c r="H176" s="92"/>
      <c r="T176" s="32"/>
    </row>
    <row r="177" spans="1:8" ht="33.950000000000003" customHeight="1" x14ac:dyDescent="0.25">
      <c r="A177" s="88" t="s">
        <v>123</v>
      </c>
      <c r="B177" s="88"/>
      <c r="C177" s="88"/>
      <c r="D177" s="88"/>
      <c r="E177" s="88"/>
      <c r="F177" s="88"/>
      <c r="G177" s="88"/>
      <c r="H177" s="88"/>
    </row>
    <row r="178" spans="1:8" x14ac:dyDescent="0.25">
      <c r="A178" s="142" t="s">
        <v>74</v>
      </c>
      <c r="B178" s="142"/>
      <c r="C178" s="142" t="s">
        <v>354</v>
      </c>
      <c r="D178" s="142"/>
      <c r="E178" s="142" t="s">
        <v>102</v>
      </c>
      <c r="F178" s="142"/>
      <c r="G178" s="143" t="s">
        <v>353</v>
      </c>
      <c r="H178" s="143"/>
    </row>
    <row r="179" spans="1:8" x14ac:dyDescent="0.25">
      <c r="A179" s="141" t="s">
        <v>76</v>
      </c>
      <c r="B179" s="141"/>
      <c r="C179" s="141"/>
      <c r="D179" s="141"/>
      <c r="E179" s="141"/>
      <c r="F179" s="141"/>
      <c r="G179" s="141"/>
      <c r="H179" s="141"/>
    </row>
    <row r="180" spans="1:8" x14ac:dyDescent="0.25">
      <c r="A180" s="141"/>
      <c r="B180" s="141"/>
      <c r="C180" s="141"/>
      <c r="D180" s="141"/>
      <c r="E180" s="141"/>
      <c r="F180" s="141"/>
      <c r="G180" s="141"/>
      <c r="H180" s="141"/>
    </row>
    <row r="181" spans="1:8" x14ac:dyDescent="0.25">
      <c r="A181" s="141"/>
      <c r="B181" s="141"/>
      <c r="C181" s="141"/>
      <c r="D181" s="141"/>
      <c r="E181" s="141"/>
      <c r="F181" s="141"/>
      <c r="G181" s="141"/>
      <c r="H181" s="141"/>
    </row>
    <row r="182" spans="1:8" x14ac:dyDescent="0.25">
      <c r="A182" s="141"/>
      <c r="B182" s="141"/>
      <c r="C182" s="141"/>
      <c r="D182" s="141"/>
      <c r="E182" s="141"/>
      <c r="F182" s="141"/>
      <c r="G182" s="141"/>
      <c r="H182" s="141"/>
    </row>
    <row r="183" spans="1:8" x14ac:dyDescent="0.25">
      <c r="A183" s="35" t="s">
        <v>63</v>
      </c>
      <c r="B183" s="36"/>
      <c r="C183" s="36"/>
      <c r="D183" s="35" t="str">
        <f>E9</f>
        <v>Icon Apartment</v>
      </c>
      <c r="F183" s="36"/>
      <c r="G183" s="36"/>
      <c r="H183" s="36"/>
    </row>
    <row r="184" spans="1:8" x14ac:dyDescent="0.25">
      <c r="A184" s="36"/>
      <c r="B184" s="36"/>
      <c r="C184" s="36"/>
      <c r="D184"/>
      <c r="E184" s="36"/>
      <c r="F184" s="36"/>
      <c r="G184" s="36"/>
      <c r="H184" s="36"/>
    </row>
    <row r="185" spans="1:8" x14ac:dyDescent="0.25">
      <c r="A185" s="36"/>
      <c r="B185" s="36"/>
      <c r="C185" s="36"/>
      <c r="D185" s="36"/>
      <c r="E185" s="36"/>
      <c r="F185" s="36"/>
      <c r="G185" s="36"/>
      <c r="H185" s="36"/>
    </row>
    <row r="186" spans="1:8" ht="15" customHeight="1" x14ac:dyDescent="0.25"/>
    <row r="197" spans="5:5" x14ac:dyDescent="0.25">
      <c r="E197"/>
    </row>
    <row r="224" spans="1:1" x14ac:dyDescent="0.25">
      <c r="A224" s="38" t="s">
        <v>163</v>
      </c>
    </row>
    <row r="267" spans="1:1" x14ac:dyDescent="0.25">
      <c r="A267" s="38" t="s">
        <v>64</v>
      </c>
    </row>
  </sheetData>
  <mergeCells count="321">
    <mergeCell ref="B167:H167"/>
    <mergeCell ref="B169:H169"/>
    <mergeCell ref="A92:E92"/>
    <mergeCell ref="A108:B108"/>
    <mergeCell ref="E108:F108"/>
    <mergeCell ref="A97:E97"/>
    <mergeCell ref="G108:H108"/>
    <mergeCell ref="C103:D103"/>
    <mergeCell ref="E103:F103"/>
    <mergeCell ref="G103:H103"/>
    <mergeCell ref="A104:B104"/>
    <mergeCell ref="C104:D104"/>
    <mergeCell ref="E104:F104"/>
    <mergeCell ref="G104:H104"/>
    <mergeCell ref="B166:H166"/>
    <mergeCell ref="A149:B149"/>
    <mergeCell ref="A138:B138"/>
    <mergeCell ref="B164:H164"/>
    <mergeCell ref="B120:B121"/>
    <mergeCell ref="A158:H158"/>
    <mergeCell ref="A153:B153"/>
    <mergeCell ref="A154:B154"/>
    <mergeCell ref="A157:B157"/>
    <mergeCell ref="A156:B156"/>
    <mergeCell ref="B159:H159"/>
    <mergeCell ref="L134:M134"/>
    <mergeCell ref="A139:B139"/>
    <mergeCell ref="A136:B136"/>
    <mergeCell ref="A137:B137"/>
    <mergeCell ref="A147:B147"/>
    <mergeCell ref="A125:B125"/>
    <mergeCell ref="A126:B126"/>
    <mergeCell ref="F87:H87"/>
    <mergeCell ref="F92:H92"/>
    <mergeCell ref="A123:B123"/>
    <mergeCell ref="A118:B118"/>
    <mergeCell ref="A117:B117"/>
    <mergeCell ref="A119:H119"/>
    <mergeCell ref="E106:F106"/>
    <mergeCell ref="A110:H110"/>
    <mergeCell ref="A120:A121"/>
    <mergeCell ref="C109:D109"/>
    <mergeCell ref="E109:F109"/>
    <mergeCell ref="A124:H124"/>
    <mergeCell ref="A127:B127"/>
    <mergeCell ref="A128:B128"/>
    <mergeCell ref="A129:H129"/>
    <mergeCell ref="F120:F121"/>
    <mergeCell ref="A141:B141"/>
    <mergeCell ref="A40:B40"/>
    <mergeCell ref="C40:H40"/>
    <mergeCell ref="F112:F113"/>
    <mergeCell ref="C102:D102"/>
    <mergeCell ref="E102:F102"/>
    <mergeCell ref="B112:B113"/>
    <mergeCell ref="A112:A113"/>
    <mergeCell ref="C120:C121"/>
    <mergeCell ref="G120:G121"/>
    <mergeCell ref="G109:H109"/>
    <mergeCell ref="C55:H55"/>
    <mergeCell ref="A76:B76"/>
    <mergeCell ref="A49:B49"/>
    <mergeCell ref="C49:H49"/>
    <mergeCell ref="A79:B79"/>
    <mergeCell ref="C53:H53"/>
    <mergeCell ref="A85:B85"/>
    <mergeCell ref="A86:B86"/>
    <mergeCell ref="F89:H89"/>
    <mergeCell ref="A89:E89"/>
    <mergeCell ref="C52:E52"/>
    <mergeCell ref="A65:C65"/>
    <mergeCell ref="A75:B75"/>
    <mergeCell ref="A73:B73"/>
    <mergeCell ref="L118:M118"/>
    <mergeCell ref="L117:M117"/>
    <mergeCell ref="L116:M116"/>
    <mergeCell ref="L115:M115"/>
    <mergeCell ref="A84:B84"/>
    <mergeCell ref="C107:D107"/>
    <mergeCell ref="E107:F107"/>
    <mergeCell ref="G107:H107"/>
    <mergeCell ref="A88:E88"/>
    <mergeCell ref="A114:H114"/>
    <mergeCell ref="E112:E113"/>
    <mergeCell ref="C73:H73"/>
    <mergeCell ref="A81:B81"/>
    <mergeCell ref="A39:B39"/>
    <mergeCell ref="C39:H39"/>
    <mergeCell ref="A46:D46"/>
    <mergeCell ref="A47:D47"/>
    <mergeCell ref="A48:H48"/>
    <mergeCell ref="D64:H64"/>
    <mergeCell ref="A64:C64"/>
    <mergeCell ref="G58:H58"/>
    <mergeCell ref="G51:H51"/>
    <mergeCell ref="G60:H60"/>
    <mergeCell ref="A45:D45"/>
    <mergeCell ref="E77:F86"/>
    <mergeCell ref="G77:H86"/>
    <mergeCell ref="D62:H62"/>
    <mergeCell ref="D70:H70"/>
    <mergeCell ref="A71:C71"/>
    <mergeCell ref="A82:B82"/>
    <mergeCell ref="A61:H61"/>
    <mergeCell ref="A62:C62"/>
    <mergeCell ref="A63:C63"/>
    <mergeCell ref="D63:H63"/>
    <mergeCell ref="D72:H72"/>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F37:H37"/>
    <mergeCell ref="C51:E51"/>
    <mergeCell ref="C50:E50"/>
    <mergeCell ref="G50:H50"/>
    <mergeCell ref="A52:B53"/>
    <mergeCell ref="A60:B60"/>
    <mergeCell ref="C60:E60"/>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26:D26"/>
    <mergeCell ref="E26:H26"/>
    <mergeCell ref="A25:D25"/>
    <mergeCell ref="E25:H25"/>
    <mergeCell ref="A30:D30"/>
    <mergeCell ref="E30:H30"/>
    <mergeCell ref="A27:D27"/>
    <mergeCell ref="A21:B21"/>
    <mergeCell ref="C21:D21"/>
    <mergeCell ref="E21:F21"/>
    <mergeCell ref="G21:H21"/>
    <mergeCell ref="A22:B22"/>
    <mergeCell ref="C22:D22"/>
    <mergeCell ref="E22:F22"/>
    <mergeCell ref="G22:H22"/>
    <mergeCell ref="E27:H27"/>
    <mergeCell ref="A28:D28"/>
    <mergeCell ref="E28:H28"/>
    <mergeCell ref="A29:D29"/>
    <mergeCell ref="E29:H29"/>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72:H172"/>
    <mergeCell ref="A70:C70"/>
    <mergeCell ref="D71:H71"/>
    <mergeCell ref="A77:B77"/>
    <mergeCell ref="G76:H7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B163:H163"/>
    <mergeCell ref="A179:H182"/>
    <mergeCell ref="A178:B178"/>
    <mergeCell ref="E178:F178"/>
    <mergeCell ref="C178:D178"/>
    <mergeCell ref="G178:H178"/>
    <mergeCell ref="A100:H100"/>
    <mergeCell ref="A98:E98"/>
    <mergeCell ref="F98:H98"/>
    <mergeCell ref="A99:E99"/>
    <mergeCell ref="F99:H99"/>
    <mergeCell ref="A134:H134"/>
    <mergeCell ref="A107:B107"/>
    <mergeCell ref="A143:B143"/>
    <mergeCell ref="A102:B102"/>
    <mergeCell ref="A174:H174"/>
    <mergeCell ref="A105:H105"/>
    <mergeCell ref="A177:H177"/>
    <mergeCell ref="A175:H175"/>
    <mergeCell ref="A171:H171"/>
    <mergeCell ref="G106:H106"/>
    <mergeCell ref="A145:B145"/>
    <mergeCell ref="C112:C113"/>
    <mergeCell ref="A155:B155"/>
    <mergeCell ref="A152:H152"/>
    <mergeCell ref="B160:H160"/>
    <mergeCell ref="B162:H162"/>
    <mergeCell ref="A150:B150"/>
    <mergeCell ref="A151:B151"/>
    <mergeCell ref="A146:H146"/>
    <mergeCell ref="A140:H140"/>
    <mergeCell ref="D112:D113"/>
    <mergeCell ref="G112:G113"/>
    <mergeCell ref="A148:B148"/>
    <mergeCell ref="A176:H176"/>
    <mergeCell ref="A173:H173"/>
    <mergeCell ref="A135:B135"/>
    <mergeCell ref="A106:B106"/>
    <mergeCell ref="D120:D121"/>
    <mergeCell ref="E120:E121"/>
    <mergeCell ref="F88:H88"/>
    <mergeCell ref="G102:H102"/>
    <mergeCell ref="F94:H94"/>
    <mergeCell ref="C101:D101"/>
    <mergeCell ref="C108:D108"/>
    <mergeCell ref="A122:H122"/>
    <mergeCell ref="A144:B144"/>
    <mergeCell ref="B168:H168"/>
    <mergeCell ref="B165:H165"/>
    <mergeCell ref="B161:H161"/>
    <mergeCell ref="A116:B116"/>
    <mergeCell ref="F96:H96"/>
    <mergeCell ref="E101:F101"/>
    <mergeCell ref="A101:B101"/>
    <mergeCell ref="A103:B103"/>
    <mergeCell ref="C106:D106"/>
    <mergeCell ref="A111:H111"/>
    <mergeCell ref="G101:H101"/>
    <mergeCell ref="D65:H65"/>
    <mergeCell ref="A83:B83"/>
    <mergeCell ref="I15:P15"/>
    <mergeCell ref="F97:H97"/>
    <mergeCell ref="F95:H95"/>
    <mergeCell ref="E43:H43"/>
    <mergeCell ref="A43:D43"/>
    <mergeCell ref="A50:B50"/>
    <mergeCell ref="G52:H52"/>
    <mergeCell ref="A51:B51"/>
    <mergeCell ref="A54:B55"/>
    <mergeCell ref="C54:E54"/>
    <mergeCell ref="G54:H54"/>
    <mergeCell ref="A56:B57"/>
    <mergeCell ref="C56:E56"/>
    <mergeCell ref="G56:H56"/>
    <mergeCell ref="A58:B59"/>
    <mergeCell ref="C58:E58"/>
    <mergeCell ref="A93:E93"/>
    <mergeCell ref="F93:H93"/>
    <mergeCell ref="A95:E95"/>
    <mergeCell ref="F90:H90"/>
    <mergeCell ref="A94:E94"/>
    <mergeCell ref="A96:E96"/>
    <mergeCell ref="E20:F20"/>
    <mergeCell ref="G20:H20"/>
    <mergeCell ref="B170:H170"/>
    <mergeCell ref="A68:C68"/>
    <mergeCell ref="D68:H68"/>
    <mergeCell ref="C75:H75"/>
    <mergeCell ref="A78:B78"/>
    <mergeCell ref="A80:B80"/>
    <mergeCell ref="E76:F76"/>
    <mergeCell ref="A69:C69"/>
    <mergeCell ref="D69:H69"/>
    <mergeCell ref="A72:C72"/>
    <mergeCell ref="A109:B109"/>
    <mergeCell ref="A130:B130"/>
    <mergeCell ref="A131:B131"/>
    <mergeCell ref="A132:B132"/>
    <mergeCell ref="A133:B133"/>
    <mergeCell ref="C133:H133"/>
    <mergeCell ref="A91:E91"/>
    <mergeCell ref="A90:E90"/>
    <mergeCell ref="A87:E87"/>
    <mergeCell ref="F91:H91"/>
    <mergeCell ref="A115:B115"/>
    <mergeCell ref="A142:B142"/>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2:E113">
      <formula1>"Attached Loft area,Attached Otla area,Attached Mezzanine area"</formula1>
    </dataValidation>
    <dataValidation type="list" allowBlank="1" showInputMessage="1" showErrorMessage="1" sqref="G178:H178">
      <formula1>"Kunal Kadam,Pranita Mhatre,Shruti Fule,Pooja Kawale,Neha Dhokale,Shruti Tathare,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2:B113">
      <formula1>"Shop No. (Sale Plan),Sale / Rehab,Sale / Mhada"</formula1>
    </dataValidation>
    <dataValidation type="list" allowBlank="1" showInputMessage="1" showErrorMessage="1" sqref="B120:B12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0:E121">
      <formula1>"Fungible area,Balcony Area,Chajja Area,Cornice Area,AP Area,WS Area"</formula1>
    </dataValidation>
    <dataValidation type="list" allowBlank="1" showInputMessage="1" showErrorMessage="1" sqref="H113 H12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12 H120">
      <formula1>"Saleable area Loading :,Builder Saleable Area"</formula1>
    </dataValidation>
    <dataValidation type="list" allowBlank="1" showInputMessage="1" showErrorMessage="1" sqref="D112:D113 D120:D121">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2" max="7" man="1"/>
    <brk id="182" max="16383" man="1"/>
    <brk id="223" max="16383" man="1"/>
    <brk id="26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21" t="s">
        <v>103</v>
      </c>
      <c r="C3" s="221"/>
      <c r="D3" s="221"/>
      <c r="E3" s="221"/>
      <c r="F3" s="221"/>
      <c r="G3" s="221"/>
      <c r="H3" s="221"/>
    </row>
    <row r="4" spans="1:9" x14ac:dyDescent="0.25">
      <c r="A4" s="2"/>
      <c r="B4" s="3" t="s">
        <v>104</v>
      </c>
      <c r="C4" s="3" t="s">
        <v>105</v>
      </c>
      <c r="D4" s="3" t="s">
        <v>66</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4"/>
      <c r="C4" s="44" t="s">
        <v>11</v>
      </c>
      <c r="D4" s="45" t="s">
        <v>177</v>
      </c>
      <c r="E4" s="45" t="s">
        <v>187</v>
      </c>
      <c r="F4" s="45" t="s">
        <v>172</v>
      </c>
      <c r="G4" s="45" t="s">
        <v>192</v>
      </c>
      <c r="H4" s="45" t="s">
        <v>210</v>
      </c>
      <c r="J4" t="s">
        <v>192</v>
      </c>
      <c r="K4" t="s">
        <v>208</v>
      </c>
    </row>
    <row r="5" spans="2:11" x14ac:dyDescent="0.25">
      <c r="B5" s="44"/>
      <c r="C5" s="44"/>
      <c r="D5" s="45" t="s">
        <v>178</v>
      </c>
      <c r="E5" s="45" t="s">
        <v>185</v>
      </c>
      <c r="F5" s="45" t="s">
        <v>207</v>
      </c>
      <c r="G5" s="45" t="s">
        <v>193</v>
      </c>
      <c r="H5" s="45" t="s">
        <v>211</v>
      </c>
    </row>
    <row r="6" spans="2:11" x14ac:dyDescent="0.25">
      <c r="B6" s="44"/>
      <c r="C6" s="44"/>
      <c r="D6" s="45" t="s">
        <v>179</v>
      </c>
      <c r="E6" s="45" t="s">
        <v>186</v>
      </c>
      <c r="F6" s="45" t="s">
        <v>208</v>
      </c>
      <c r="G6" s="45" t="s">
        <v>194</v>
      </c>
      <c r="H6" s="45" t="s">
        <v>224</v>
      </c>
    </row>
    <row r="7" spans="2:11" x14ac:dyDescent="0.25">
      <c r="B7" s="44"/>
      <c r="C7" s="44"/>
      <c r="D7" s="45" t="s">
        <v>180</v>
      </c>
      <c r="E7" s="45" t="s">
        <v>188</v>
      </c>
      <c r="F7" s="45" t="s">
        <v>209</v>
      </c>
      <c r="G7" s="45" t="s">
        <v>195</v>
      </c>
      <c r="H7" s="45" t="s">
        <v>212</v>
      </c>
    </row>
    <row r="8" spans="2:11" x14ac:dyDescent="0.25">
      <c r="B8" s="44"/>
      <c r="C8" s="44"/>
      <c r="D8" s="45" t="s">
        <v>181</v>
      </c>
      <c r="E8" s="45" t="s">
        <v>189</v>
      </c>
      <c r="F8" s="45"/>
      <c r="G8" s="45" t="s">
        <v>196</v>
      </c>
      <c r="H8" s="45" t="s">
        <v>213</v>
      </c>
    </row>
    <row r="9" spans="2:11" x14ac:dyDescent="0.25">
      <c r="B9" s="44"/>
      <c r="C9" s="44"/>
      <c r="D9" s="45" t="s">
        <v>182</v>
      </c>
      <c r="E9" s="45" t="s">
        <v>187</v>
      </c>
      <c r="F9" s="45"/>
      <c r="G9" s="45" t="s">
        <v>197</v>
      </c>
      <c r="H9" s="45" t="s">
        <v>214</v>
      </c>
    </row>
    <row r="10" spans="2:11" x14ac:dyDescent="0.25">
      <c r="B10" s="44"/>
      <c r="C10" s="44"/>
      <c r="D10" s="45" t="s">
        <v>183</v>
      </c>
      <c r="E10" s="45" t="s">
        <v>190</v>
      </c>
      <c r="F10" s="45"/>
      <c r="G10" s="45" t="s">
        <v>198</v>
      </c>
      <c r="H10" s="45" t="s">
        <v>215</v>
      </c>
    </row>
    <row r="11" spans="2:11" x14ac:dyDescent="0.25">
      <c r="B11" s="44"/>
      <c r="C11" s="44"/>
      <c r="D11" s="45" t="s">
        <v>184</v>
      </c>
      <c r="E11" s="45" t="s">
        <v>191</v>
      </c>
      <c r="F11" s="45"/>
      <c r="G11" s="45" t="s">
        <v>199</v>
      </c>
      <c r="H11" s="45" t="s">
        <v>216</v>
      </c>
    </row>
    <row r="12" spans="2:11" x14ac:dyDescent="0.25">
      <c r="B12" s="44"/>
      <c r="C12" s="44"/>
      <c r="D12" s="45"/>
      <c r="E12" s="45"/>
      <c r="F12" s="45"/>
      <c r="G12" s="45" t="s">
        <v>200</v>
      </c>
      <c r="H12" s="45" t="s">
        <v>217</v>
      </c>
    </row>
    <row r="13" spans="2:11" x14ac:dyDescent="0.25">
      <c r="B13" s="44"/>
      <c r="C13" s="44"/>
      <c r="D13" s="45"/>
      <c r="E13" s="45"/>
      <c r="F13" s="45"/>
      <c r="G13" s="45" t="s">
        <v>201</v>
      </c>
      <c r="H13" s="45" t="s">
        <v>218</v>
      </c>
    </row>
    <row r="14" spans="2:11" x14ac:dyDescent="0.25">
      <c r="B14" s="44"/>
      <c r="C14" s="44"/>
      <c r="D14" s="45"/>
      <c r="E14" s="45"/>
      <c r="F14" s="45"/>
      <c r="G14" s="45" t="s">
        <v>202</v>
      </c>
      <c r="H14" s="45" t="s">
        <v>219</v>
      </c>
    </row>
    <row r="15" spans="2:11" x14ac:dyDescent="0.25">
      <c r="B15" s="44"/>
      <c r="C15" s="44"/>
      <c r="D15" s="45"/>
      <c r="E15" s="45"/>
      <c r="F15" s="45"/>
      <c r="G15" s="45" t="s">
        <v>203</v>
      </c>
      <c r="H15" s="45" t="s">
        <v>220</v>
      </c>
    </row>
    <row r="16" spans="2:11" x14ac:dyDescent="0.25">
      <c r="B16" s="44"/>
      <c r="C16" s="44"/>
      <c r="D16" s="45"/>
      <c r="E16" s="45"/>
      <c r="F16" s="45"/>
      <c r="G16" s="45" t="s">
        <v>204</v>
      </c>
      <c r="H16" s="45" t="s">
        <v>221</v>
      </c>
    </row>
    <row r="17" spans="2:8" x14ac:dyDescent="0.25">
      <c r="B17" s="44"/>
      <c r="C17" s="44"/>
      <c r="D17" s="45"/>
      <c r="E17" s="45"/>
      <c r="F17" s="45"/>
      <c r="G17" s="45" t="s">
        <v>205</v>
      </c>
      <c r="H17" s="45" t="s">
        <v>222</v>
      </c>
    </row>
    <row r="18" spans="2:8" x14ac:dyDescent="0.25">
      <c r="B18" s="44"/>
      <c r="C18" s="44"/>
      <c r="D18" s="45"/>
      <c r="E18" s="45"/>
      <c r="F18" s="45"/>
      <c r="G18" s="45" t="s">
        <v>206</v>
      </c>
      <c r="H18" s="45" t="s">
        <v>223</v>
      </c>
    </row>
    <row r="24" spans="2:8" x14ac:dyDescent="0.25">
      <c r="C24" t="s">
        <v>169</v>
      </c>
    </row>
    <row r="25" spans="2:8" x14ac:dyDescent="0.25">
      <c r="C25" t="s">
        <v>225</v>
      </c>
    </row>
    <row r="26" spans="2:8" x14ac:dyDescent="0.25">
      <c r="C26" t="s">
        <v>226</v>
      </c>
    </row>
    <row r="27" spans="2:8" x14ac:dyDescent="0.25">
      <c r="C27" t="s">
        <v>227</v>
      </c>
    </row>
    <row r="28" spans="2:8" x14ac:dyDescent="0.25">
      <c r="C28" t="s">
        <v>228</v>
      </c>
    </row>
    <row r="29" spans="2:8" x14ac:dyDescent="0.25">
      <c r="C29" t="s">
        <v>229</v>
      </c>
    </row>
    <row r="30" spans="2:8" x14ac:dyDescent="0.25">
      <c r="C30" t="s">
        <v>169</v>
      </c>
    </row>
    <row r="33" spans="3:11" x14ac:dyDescent="0.25">
      <c r="J33">
        <v>1</v>
      </c>
      <c r="K33">
        <v>2</v>
      </c>
    </row>
    <row r="34" spans="3:11" x14ac:dyDescent="0.25">
      <c r="C34" s="48" t="s">
        <v>235</v>
      </c>
      <c r="D34" s="45" t="s">
        <v>233</v>
      </c>
      <c r="E34" s="45" t="s">
        <v>238</v>
      </c>
      <c r="F34" s="45" t="s">
        <v>236</v>
      </c>
      <c r="G34" s="45" t="s">
        <v>237</v>
      </c>
      <c r="H34" s="45" t="s">
        <v>239</v>
      </c>
      <c r="J34" t="s">
        <v>192</v>
      </c>
      <c r="K34" t="s">
        <v>208</v>
      </c>
    </row>
    <row r="35" spans="3:11" x14ac:dyDescent="0.25">
      <c r="C35" s="44" t="s">
        <v>234</v>
      </c>
      <c r="D35" s="45" t="s">
        <v>170</v>
      </c>
      <c r="E35" s="45" t="s">
        <v>243</v>
      </c>
      <c r="F35" s="45" t="s">
        <v>245</v>
      </c>
      <c r="G35" s="45" t="s">
        <v>247</v>
      </c>
      <c r="H35" s="45"/>
    </row>
    <row r="36" spans="3:11" x14ac:dyDescent="0.25">
      <c r="C36" s="44"/>
      <c r="D36" s="45" t="s">
        <v>240</v>
      </c>
      <c r="E36" s="45" t="s">
        <v>244</v>
      </c>
      <c r="F36" s="45" t="s">
        <v>246</v>
      </c>
      <c r="G36" s="45" t="s">
        <v>248</v>
      </c>
      <c r="H36" s="45"/>
    </row>
    <row r="37" spans="3:11" x14ac:dyDescent="0.25">
      <c r="C37" s="44"/>
      <c r="D37" s="45" t="s">
        <v>241</v>
      </c>
      <c r="E37" s="45"/>
      <c r="F37" s="45"/>
      <c r="G37" s="45" t="s">
        <v>249</v>
      </c>
      <c r="H37" s="45"/>
    </row>
    <row r="38" spans="3:11" x14ac:dyDescent="0.25">
      <c r="C38" s="44"/>
      <c r="D38" s="45" t="s">
        <v>242</v>
      </c>
      <c r="E38" s="45"/>
      <c r="F38" s="45"/>
      <c r="G38" s="45" t="s">
        <v>249</v>
      </c>
      <c r="H38" s="45"/>
    </row>
    <row r="39" spans="3:11" x14ac:dyDescent="0.25">
      <c r="C39" s="44"/>
      <c r="D39" s="45"/>
      <c r="E39" s="45"/>
      <c r="F39" s="45"/>
      <c r="G39" s="45" t="s">
        <v>250</v>
      </c>
      <c r="H39" s="45"/>
    </row>
    <row r="40" spans="3:11" x14ac:dyDescent="0.25">
      <c r="C40" s="44"/>
      <c r="D40" s="45"/>
      <c r="E40" s="45"/>
      <c r="F40" s="45"/>
      <c r="G40" s="45" t="s">
        <v>251</v>
      </c>
      <c r="H40" s="45"/>
    </row>
    <row r="41" spans="3:11" x14ac:dyDescent="0.25">
      <c r="C41" s="44"/>
      <c r="D41" s="45"/>
      <c r="E41" s="45"/>
      <c r="F41" s="45"/>
      <c r="G41" s="45"/>
      <c r="H41" s="45"/>
    </row>
    <row r="43" spans="3:11" x14ac:dyDescent="0.25">
      <c r="C43" t="s">
        <v>252</v>
      </c>
    </row>
    <row r="44" spans="3:11" x14ac:dyDescent="0.25">
      <c r="C44" t="s">
        <v>172</v>
      </c>
      <c r="D44" t="s">
        <v>253</v>
      </c>
    </row>
    <row r="45" spans="3:11" x14ac:dyDescent="0.25">
      <c r="D45" t="s">
        <v>254</v>
      </c>
    </row>
    <row r="46" spans="3:11" x14ac:dyDescent="0.25">
      <c r="D46" t="s">
        <v>255</v>
      </c>
    </row>
    <row r="47" spans="3:11" x14ac:dyDescent="0.25">
      <c r="D47" t="s">
        <v>256</v>
      </c>
    </row>
    <row r="48" spans="3:11" x14ac:dyDescent="0.25">
      <c r="D48" t="s">
        <v>257</v>
      </c>
    </row>
    <row r="49" spans="3:4" x14ac:dyDescent="0.25">
      <c r="C49" t="s">
        <v>177</v>
      </c>
      <c r="D49" t="s">
        <v>258</v>
      </c>
    </row>
    <row r="50" spans="3:4" x14ac:dyDescent="0.25">
      <c r="D50" t="s">
        <v>259</v>
      </c>
    </row>
    <row r="51" spans="3:4" x14ac:dyDescent="0.25">
      <c r="D51" t="s">
        <v>260</v>
      </c>
    </row>
    <row r="52" spans="3:4" x14ac:dyDescent="0.25">
      <c r="D52" t="s">
        <v>263</v>
      </c>
    </row>
    <row r="53" spans="3:4" x14ac:dyDescent="0.25">
      <c r="D53" t="s">
        <v>261</v>
      </c>
    </row>
    <row r="54" spans="3:4" x14ac:dyDescent="0.25">
      <c r="D54" t="s">
        <v>262</v>
      </c>
    </row>
    <row r="55" spans="3:4" x14ac:dyDescent="0.25">
      <c r="D55" t="s">
        <v>264</v>
      </c>
    </row>
    <row r="56" spans="3:4" x14ac:dyDescent="0.25">
      <c r="D56" t="s">
        <v>265</v>
      </c>
    </row>
    <row r="57" spans="3:4" x14ac:dyDescent="0.25">
      <c r="D57" t="s">
        <v>266</v>
      </c>
    </row>
    <row r="58" spans="3:4" x14ac:dyDescent="0.25">
      <c r="D58" t="s">
        <v>268</v>
      </c>
    </row>
    <row r="59" spans="3:4" x14ac:dyDescent="0.25">
      <c r="D59" t="s">
        <v>277</v>
      </c>
    </row>
    <row r="60" spans="3:4" x14ac:dyDescent="0.25">
      <c r="C60" t="s">
        <v>192</v>
      </c>
      <c r="D60" t="s">
        <v>269</v>
      </c>
    </row>
    <row r="61" spans="3:4" x14ac:dyDescent="0.25">
      <c r="D61" t="s">
        <v>267</v>
      </c>
    </row>
    <row r="62" spans="3:4" x14ac:dyDescent="0.25">
      <c r="D62" t="s">
        <v>257</v>
      </c>
    </row>
    <row r="63" spans="3:4" x14ac:dyDescent="0.25">
      <c r="D63" t="s">
        <v>270</v>
      </c>
    </row>
    <row r="64" spans="3:4" x14ac:dyDescent="0.25">
      <c r="D64" t="s">
        <v>271</v>
      </c>
    </row>
    <row r="65" spans="3:4" x14ac:dyDescent="0.25">
      <c r="D65" t="s">
        <v>272</v>
      </c>
    </row>
    <row r="66" spans="3:4" x14ac:dyDescent="0.25">
      <c r="D66" t="s">
        <v>273</v>
      </c>
    </row>
    <row r="67" spans="3:4" x14ac:dyDescent="0.25">
      <c r="C67" t="s">
        <v>187</v>
      </c>
      <c r="D67" t="s">
        <v>274</v>
      </c>
    </row>
    <row r="68" spans="3:4" x14ac:dyDescent="0.25">
      <c r="D68" t="s">
        <v>275</v>
      </c>
    </row>
    <row r="69" spans="3:4" x14ac:dyDescent="0.25">
      <c r="D69" t="s">
        <v>276</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5" x14ac:dyDescent="0.25"/>
  <cols>
    <col min="2" max="2" width="3" bestFit="1" customWidth="1"/>
    <col min="3" max="3" width="130" customWidth="1"/>
  </cols>
  <sheetData>
    <row r="2" spans="2:3" ht="15" customHeight="1" x14ac:dyDescent="0.25">
      <c r="B2" s="49">
        <v>1</v>
      </c>
      <c r="C2" s="52" t="s">
        <v>282</v>
      </c>
    </row>
    <row r="3" spans="2:3" x14ac:dyDescent="0.25">
      <c r="B3" s="49">
        <v>2</v>
      </c>
      <c r="C3" s="50" t="s">
        <v>283</v>
      </c>
    </row>
    <row r="4" spans="2:3" x14ac:dyDescent="0.25">
      <c r="B4" s="49">
        <v>3</v>
      </c>
      <c r="C4" s="51" t="s">
        <v>284</v>
      </c>
    </row>
    <row r="5" spans="2:3" ht="30" x14ac:dyDescent="0.25">
      <c r="B5" s="49">
        <v>4</v>
      </c>
      <c r="C5" s="50" t="s">
        <v>285</v>
      </c>
    </row>
    <row r="6" spans="2:3" x14ac:dyDescent="0.25">
      <c r="B6" s="49">
        <v>5</v>
      </c>
      <c r="C6" s="51" t="s">
        <v>286</v>
      </c>
    </row>
    <row r="7" spans="2:3" ht="30" x14ac:dyDescent="0.25">
      <c r="B7" s="49">
        <v>6</v>
      </c>
      <c r="C7" s="50" t="s">
        <v>287</v>
      </c>
    </row>
    <row r="8" spans="2:3" ht="90" x14ac:dyDescent="0.25">
      <c r="B8" s="49">
        <v>7</v>
      </c>
      <c r="C8" s="50" t="s">
        <v>288</v>
      </c>
    </row>
    <row r="9" spans="2:3" x14ac:dyDescent="0.25">
      <c r="B9" s="49">
        <v>8</v>
      </c>
      <c r="C9" s="51" t="s">
        <v>289</v>
      </c>
    </row>
    <row r="10" spans="2:3" x14ac:dyDescent="0.25">
      <c r="B10" s="49">
        <v>9</v>
      </c>
      <c r="C10" s="51" t="s">
        <v>290</v>
      </c>
    </row>
    <row r="11" spans="2:3" x14ac:dyDescent="0.25">
      <c r="B11" s="49">
        <v>10</v>
      </c>
      <c r="C11" s="51" t="s">
        <v>291</v>
      </c>
    </row>
    <row r="12" spans="2:3" x14ac:dyDescent="0.25">
      <c r="B12" s="49">
        <v>11</v>
      </c>
      <c r="C12" s="51" t="s">
        <v>292</v>
      </c>
    </row>
    <row r="13" spans="2:3" x14ac:dyDescent="0.25">
      <c r="B13" s="49">
        <v>12</v>
      </c>
      <c r="C13" s="51" t="s">
        <v>293</v>
      </c>
    </row>
    <row r="14" spans="2:3" x14ac:dyDescent="0.25">
      <c r="B14" s="49">
        <v>13</v>
      </c>
      <c r="C14" s="51" t="s">
        <v>294</v>
      </c>
    </row>
    <row r="15" spans="2:3" x14ac:dyDescent="0.25">
      <c r="B15" s="49">
        <v>14</v>
      </c>
      <c r="C15" s="51" t="s">
        <v>284</v>
      </c>
    </row>
    <row r="16" spans="2:3" x14ac:dyDescent="0.25">
      <c r="B16" s="49">
        <v>15</v>
      </c>
      <c r="C16" s="51" t="s">
        <v>296</v>
      </c>
    </row>
    <row r="17" spans="2:3" ht="31.5" customHeight="1" x14ac:dyDescent="0.25">
      <c r="B17" s="53">
        <v>16</v>
      </c>
      <c r="C17" s="55" t="s">
        <v>297</v>
      </c>
    </row>
    <row r="18" spans="2:3" x14ac:dyDescent="0.25">
      <c r="B18" s="54">
        <v>17</v>
      </c>
      <c r="C18" s="55" t="s">
        <v>298</v>
      </c>
    </row>
    <row r="19" spans="2:3" x14ac:dyDescent="0.25">
      <c r="B19" s="53">
        <v>18</v>
      </c>
      <c r="C19" s="49" t="s">
        <v>299</v>
      </c>
    </row>
    <row r="20" spans="2:3" x14ac:dyDescent="0.25">
      <c r="B20" s="54">
        <v>19</v>
      </c>
      <c r="C20" s="49"/>
    </row>
    <row r="21" spans="2:3" x14ac:dyDescent="0.25">
      <c r="B21" s="56">
        <v>20</v>
      </c>
      <c r="C21" s="49"/>
    </row>
    <row r="22" spans="2:3" x14ac:dyDescent="0.25">
      <c r="B22" s="49"/>
      <c r="C22" s="49"/>
    </row>
    <row r="23" spans="2:3" x14ac:dyDescent="0.25">
      <c r="B23" s="49"/>
      <c r="C23" s="49"/>
    </row>
    <row r="24" spans="2:3" x14ac:dyDescent="0.25">
      <c r="B24" s="49"/>
      <c r="C24" s="49"/>
    </row>
    <row r="25" spans="2:3" x14ac:dyDescent="0.25">
      <c r="B25" s="49"/>
      <c r="C25" s="49"/>
    </row>
    <row r="26" spans="2:3" x14ac:dyDescent="0.25">
      <c r="B26" s="49"/>
      <c r="C26" s="49"/>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2025-08-13T08:51:35Z</cp:lastPrinted>
  <dcterms:created xsi:type="dcterms:W3CDTF">2019-07-16T09:29:46Z</dcterms:created>
  <dcterms:modified xsi:type="dcterms:W3CDTF">2025-08-13T08:52:10Z</dcterms:modified>
</cp:coreProperties>
</file>