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0" yWindow="0" windowWidth="19200" windowHeight="6645" tabRatio="725"/>
  </bookViews>
  <sheets>
    <sheet name="Report" sheetId="1" r:id="rId1"/>
    <sheet name="Old Plan Report " sheetId="6" r:id="rId2"/>
    <sheet name="Flat detail" sheetId="3" r:id="rId3"/>
    <sheet name="valuation" sheetId="5" r:id="rId4"/>
    <sheet name="Note" sheetId="4" r:id="rId5"/>
  </sheets>
  <definedNames>
    <definedName name="_xlnm.Print_Area" localSheetId="1">'Old Plan Report '!$A$1:$H$417</definedName>
    <definedName name="_xlnm.Print_Area" localSheetId="0">Report!$A$1:$H$467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9" i="1" l="1"/>
  <c r="C75" i="1" l="1"/>
  <c r="K86" i="1"/>
  <c r="K85" i="1"/>
  <c r="K84" i="1"/>
  <c r="H76" i="1"/>
  <c r="K80" i="1" l="1"/>
  <c r="C79" i="1" s="1"/>
  <c r="D79" i="1" s="1"/>
  <c r="K78" i="1"/>
  <c r="D87" i="1"/>
  <c r="D83" i="1"/>
  <c r="K79" i="1"/>
  <c r="D86" i="1"/>
  <c r="D82" i="1"/>
  <c r="D88" i="1"/>
  <c r="D84" i="1"/>
  <c r="K81" i="1"/>
  <c r="K82" i="1" s="1"/>
  <c r="D85" i="1"/>
  <c r="D81" i="1"/>
  <c r="D135" i="1"/>
  <c r="D134" i="1"/>
  <c r="D133" i="1"/>
  <c r="D132" i="1"/>
  <c r="D139" i="1"/>
  <c r="I176" i="1"/>
  <c r="I175" i="1"/>
  <c r="I174" i="1"/>
  <c r="I173" i="1"/>
  <c r="I194" i="1"/>
  <c r="I193" i="1"/>
  <c r="I189" i="1"/>
  <c r="I188" i="1"/>
  <c r="I185" i="1"/>
  <c r="I184" i="1"/>
  <c r="I183" i="1"/>
  <c r="I214" i="1"/>
  <c r="I210" i="1"/>
  <c r="I209" i="1"/>
  <c r="I208" i="1"/>
  <c r="I207" i="1"/>
  <c r="I205" i="1"/>
  <c r="I204" i="1"/>
  <c r="I203" i="1"/>
  <c r="I198" i="1"/>
  <c r="I197" i="1"/>
  <c r="I196" i="1"/>
  <c r="G196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I216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I169" i="1"/>
  <c r="I166" i="1"/>
  <c r="I165" i="1"/>
  <c r="I160" i="1"/>
  <c r="I159" i="1"/>
  <c r="I157" i="1"/>
  <c r="D148" i="1"/>
  <c r="D150" i="1"/>
  <c r="D149" i="1"/>
  <c r="D147" i="1"/>
  <c r="D146" i="1"/>
  <c r="D145" i="1"/>
  <c r="D144" i="1"/>
  <c r="D143" i="1"/>
  <c r="D142" i="1"/>
  <c r="D141" i="1"/>
  <c r="D140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I186" i="1"/>
  <c r="I150" i="1"/>
  <c r="I149" i="1"/>
  <c r="I146" i="1"/>
  <c r="I142" i="1"/>
  <c r="I141" i="1"/>
  <c r="I140" i="1"/>
  <c r="I136" i="1"/>
  <c r="I135" i="1"/>
  <c r="C108" i="1" l="1"/>
  <c r="E108" i="1"/>
  <c r="C109" i="1"/>
  <c r="E109" i="1"/>
  <c r="K83" i="1"/>
  <c r="K87" i="1" s="1"/>
  <c r="K88" i="1" s="1"/>
  <c r="C80" i="1" s="1"/>
  <c r="D136" i="1"/>
  <c r="D131" i="1"/>
  <c r="F214" i="1"/>
  <c r="F209" i="1"/>
  <c r="F206" i="1"/>
  <c r="F204" i="1"/>
  <c r="F201" i="1"/>
  <c r="F198" i="1"/>
  <c r="F167" i="1"/>
  <c r="F164" i="1"/>
  <c r="F162" i="1"/>
  <c r="D156" i="1"/>
  <c r="F156" i="1" s="1"/>
  <c r="D155" i="1"/>
  <c r="D154" i="1"/>
  <c r="F154" i="1" s="1"/>
  <c r="D153" i="1"/>
  <c r="F153" i="1" s="1"/>
  <c r="D152" i="1"/>
  <c r="F152" i="1" s="1"/>
  <c r="F159" i="1"/>
  <c r="F216" i="1"/>
  <c r="F215" i="1"/>
  <c r="F213" i="1"/>
  <c r="F212" i="1"/>
  <c r="F211" i="1"/>
  <c r="F210" i="1"/>
  <c r="F208" i="1"/>
  <c r="F207" i="1"/>
  <c r="F205" i="1"/>
  <c r="F203" i="1"/>
  <c r="F202" i="1"/>
  <c r="F200" i="1"/>
  <c r="F199" i="1"/>
  <c r="F197" i="1"/>
  <c r="F196" i="1"/>
  <c r="F169" i="1"/>
  <c r="F168" i="1"/>
  <c r="F166" i="1"/>
  <c r="F165" i="1"/>
  <c r="F161" i="1"/>
  <c r="F158" i="1"/>
  <c r="F157" i="1"/>
  <c r="F173" i="1"/>
  <c r="F186" i="1"/>
  <c r="F141" i="1"/>
  <c r="F155" i="1"/>
  <c r="F163" i="1"/>
  <c r="F160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8" i="1" s="1"/>
  <c r="A169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G152" i="1"/>
  <c r="F193" i="1"/>
  <c r="F192" i="1"/>
  <c r="F191" i="1"/>
  <c r="F190" i="1"/>
  <c r="F188" i="1"/>
  <c r="F187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49" i="1"/>
  <c r="F148" i="1"/>
  <c r="F147" i="1"/>
  <c r="F146" i="1"/>
  <c r="F145" i="1"/>
  <c r="F144" i="1"/>
  <c r="F142" i="1"/>
  <c r="F140" i="1"/>
  <c r="F139" i="1"/>
  <c r="F189" i="1"/>
  <c r="F194" i="1"/>
  <c r="A174" i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G173" i="1"/>
  <c r="I228" i="1"/>
  <c r="J228" i="1"/>
  <c r="J224" i="1"/>
  <c r="I224" i="1"/>
  <c r="J226" i="1"/>
  <c r="I226" i="1"/>
  <c r="D315" i="1"/>
  <c r="F315" i="1" s="1"/>
  <c r="D314" i="1"/>
  <c r="F314" i="1" s="1"/>
  <c r="D313" i="1"/>
  <c r="D312" i="1"/>
  <c r="D311" i="1"/>
  <c r="D310" i="1"/>
  <c r="D309" i="1"/>
  <c r="D308" i="1"/>
  <c r="D307" i="1"/>
  <c r="D305" i="1"/>
  <c r="F305" i="1" s="1"/>
  <c r="D304" i="1"/>
  <c r="F304" i="1" s="1"/>
  <c r="D303" i="1"/>
  <c r="D302" i="1"/>
  <c r="D301" i="1"/>
  <c r="D300" i="1"/>
  <c r="D299" i="1"/>
  <c r="D298" i="1"/>
  <c r="D297" i="1"/>
  <c r="D295" i="1"/>
  <c r="F295" i="1" s="1"/>
  <c r="K295" i="1" s="1"/>
  <c r="D294" i="1"/>
  <c r="F294" i="1" s="1"/>
  <c r="K294" i="1" s="1"/>
  <c r="D293" i="1"/>
  <c r="D292" i="1"/>
  <c r="D291" i="1"/>
  <c r="D290" i="1"/>
  <c r="D289" i="1"/>
  <c r="D288" i="1"/>
  <c r="D287" i="1"/>
  <c r="D285" i="1"/>
  <c r="F285" i="1" s="1"/>
  <c r="K285" i="1" s="1"/>
  <c r="D284" i="1"/>
  <c r="F284" i="1" s="1"/>
  <c r="K284" i="1" s="1"/>
  <c r="D283" i="1"/>
  <c r="D282" i="1"/>
  <c r="D281" i="1"/>
  <c r="D280" i="1"/>
  <c r="D279" i="1"/>
  <c r="D278" i="1"/>
  <c r="D277" i="1"/>
  <c r="D275" i="1"/>
  <c r="F275" i="1" s="1"/>
  <c r="K275" i="1" s="1"/>
  <c r="D274" i="1"/>
  <c r="F274" i="1" s="1"/>
  <c r="K274" i="1" s="1"/>
  <c r="D270" i="1"/>
  <c r="D269" i="1"/>
  <c r="D271" i="1"/>
  <c r="D273" i="1"/>
  <c r="D272" i="1"/>
  <c r="D268" i="1"/>
  <c r="D267" i="1"/>
  <c r="C116" i="1" l="1"/>
  <c r="E120" i="1"/>
  <c r="G111" i="1"/>
  <c r="E116" i="1"/>
  <c r="C120" i="1"/>
  <c r="K116" i="1" s="1"/>
  <c r="G108" i="1"/>
  <c r="G109" i="1"/>
  <c r="C111" i="1"/>
  <c r="E111" i="1"/>
  <c r="D80" i="1"/>
  <c r="I75" i="1"/>
  <c r="C77" i="1" s="1"/>
  <c r="E79" i="1" s="1"/>
  <c r="G79" i="1"/>
  <c r="F313" i="1"/>
  <c r="L312" i="1"/>
  <c r="F312" i="1"/>
  <c r="K312" i="1" s="1"/>
  <c r="F311" i="1"/>
  <c r="F310" i="1"/>
  <c r="K310" i="1" s="1"/>
  <c r="F309" i="1"/>
  <c r="O308" i="1"/>
  <c r="O309" i="1" s="1"/>
  <c r="F308" i="1"/>
  <c r="G307" i="1"/>
  <c r="F307" i="1"/>
  <c r="F303" i="1"/>
  <c r="L302" i="1"/>
  <c r="F302" i="1"/>
  <c r="K302" i="1" s="1"/>
  <c r="F301" i="1"/>
  <c r="F300" i="1"/>
  <c r="K300" i="1" s="1"/>
  <c r="F299" i="1"/>
  <c r="O298" i="1"/>
  <c r="O299" i="1" s="1"/>
  <c r="O300" i="1" s="1"/>
  <c r="F298" i="1"/>
  <c r="G297" i="1"/>
  <c r="F297" i="1"/>
  <c r="F293" i="1"/>
  <c r="K293" i="1" s="1"/>
  <c r="F292" i="1"/>
  <c r="K292" i="1" s="1"/>
  <c r="F291" i="1"/>
  <c r="K291" i="1" s="1"/>
  <c r="F290" i="1"/>
  <c r="F289" i="1"/>
  <c r="K289" i="1" s="1"/>
  <c r="O288" i="1"/>
  <c r="O289" i="1" s="1"/>
  <c r="O290" i="1" s="1"/>
  <c r="F288" i="1"/>
  <c r="G287" i="1"/>
  <c r="F287" i="1"/>
  <c r="K287" i="1" s="1"/>
  <c r="F283" i="1"/>
  <c r="K283" i="1" s="1"/>
  <c r="F282" i="1"/>
  <c r="K282" i="1" s="1"/>
  <c r="F281" i="1"/>
  <c r="K281" i="1" s="1"/>
  <c r="F280" i="1"/>
  <c r="F279" i="1"/>
  <c r="K279" i="1" s="1"/>
  <c r="O278" i="1"/>
  <c r="O279" i="1" s="1"/>
  <c r="O280" i="1" s="1"/>
  <c r="F278" i="1"/>
  <c r="G277" i="1"/>
  <c r="F277" i="1"/>
  <c r="F273" i="1"/>
  <c r="K273" i="1" s="1"/>
  <c r="F272" i="1"/>
  <c r="K272" i="1" s="1"/>
  <c r="F271" i="1"/>
  <c r="K271" i="1" s="1"/>
  <c r="F270" i="1"/>
  <c r="F269" i="1"/>
  <c r="K269" i="1" s="1"/>
  <c r="O268" i="1"/>
  <c r="O269" i="1" s="1"/>
  <c r="F268" i="1"/>
  <c r="I267" i="1"/>
  <c r="G267" i="1"/>
  <c r="F267" i="1"/>
  <c r="D262" i="1"/>
  <c r="D261" i="1"/>
  <c r="D260" i="1"/>
  <c r="D259" i="1"/>
  <c r="D258" i="1"/>
  <c r="D257" i="1"/>
  <c r="D256" i="1"/>
  <c r="D245" i="1"/>
  <c r="D244" i="1"/>
  <c r="D229" i="1"/>
  <c r="D228" i="1"/>
  <c r="D237" i="1"/>
  <c r="D236" i="1"/>
  <c r="D254" i="1"/>
  <c r="D253" i="1"/>
  <c r="D252" i="1"/>
  <c r="D251" i="1"/>
  <c r="D250" i="1"/>
  <c r="D249" i="1"/>
  <c r="D248" i="1"/>
  <c r="D246" i="1"/>
  <c r="D243" i="1"/>
  <c r="D242" i="1"/>
  <c r="D241" i="1"/>
  <c r="D240" i="1"/>
  <c r="D238" i="1"/>
  <c r="D235" i="1"/>
  <c r="D234" i="1"/>
  <c r="D233" i="1"/>
  <c r="D232" i="1"/>
  <c r="D230" i="1"/>
  <c r="D227" i="1"/>
  <c r="D226" i="1"/>
  <c r="D225" i="1"/>
  <c r="D224" i="1"/>
  <c r="P277" i="1"/>
  <c r="P287" i="1"/>
  <c r="P297" i="1"/>
  <c r="P307" i="1"/>
  <c r="P267" i="1"/>
  <c r="E115" i="1" l="1"/>
  <c r="E117" i="1" s="1"/>
  <c r="C115" i="1"/>
  <c r="E119" i="1"/>
  <c r="E121" i="1" s="1"/>
  <c r="C119" i="1"/>
  <c r="C121" i="1" s="1"/>
  <c r="K277" i="1"/>
  <c r="G120" i="1"/>
  <c r="K267" i="1"/>
  <c r="G116" i="1"/>
  <c r="N277" i="1"/>
  <c r="P278" i="1"/>
  <c r="N297" i="1"/>
  <c r="P298" i="1"/>
  <c r="P299" i="1" s="1"/>
  <c r="P268" i="1"/>
  <c r="P269" i="1" s="1"/>
  <c r="P270" i="1" s="1"/>
  <c r="P271" i="1" s="1"/>
  <c r="P272" i="1" s="1"/>
  <c r="P273" i="1" s="1"/>
  <c r="P274" i="1" s="1"/>
  <c r="N267" i="1"/>
  <c r="P288" i="1"/>
  <c r="N287" i="1"/>
  <c r="N307" i="1"/>
  <c r="P308" i="1"/>
  <c r="O310" i="1"/>
  <c r="O301" i="1"/>
  <c r="O270" i="1"/>
  <c r="O281" i="1"/>
  <c r="O291" i="1"/>
  <c r="F259" i="1"/>
  <c r="K259" i="1" s="1"/>
  <c r="F258" i="1"/>
  <c r="F256" i="1"/>
  <c r="F262" i="1"/>
  <c r="L261" i="1"/>
  <c r="F261" i="1"/>
  <c r="K261" i="1" s="1"/>
  <c r="F260" i="1"/>
  <c r="O257" i="1"/>
  <c r="O258" i="1" s="1"/>
  <c r="F257" i="1"/>
  <c r="G256" i="1"/>
  <c r="F246" i="1"/>
  <c r="K246" i="1" s="1"/>
  <c r="F245" i="1"/>
  <c r="K245" i="1" s="1"/>
  <c r="F244" i="1"/>
  <c r="K244" i="1" s="1"/>
  <c r="F243" i="1"/>
  <c r="F242" i="1"/>
  <c r="K242" i="1" s="1"/>
  <c r="O241" i="1"/>
  <c r="O242" i="1" s="1"/>
  <c r="O243" i="1" s="1"/>
  <c r="F241" i="1"/>
  <c r="G240" i="1"/>
  <c r="F240" i="1"/>
  <c r="K240" i="1" s="1"/>
  <c r="A225" i="1"/>
  <c r="A226" i="1" s="1"/>
  <c r="A227" i="1" s="1"/>
  <c r="A228" i="1" s="1"/>
  <c r="A229" i="1" s="1"/>
  <c r="A230" i="1" s="1"/>
  <c r="F238" i="1"/>
  <c r="K238" i="1" s="1"/>
  <c r="F237" i="1"/>
  <c r="K237" i="1" s="1"/>
  <c r="F236" i="1"/>
  <c r="K236" i="1" s="1"/>
  <c r="F235" i="1"/>
  <c r="F234" i="1"/>
  <c r="K234" i="1" s="1"/>
  <c r="O233" i="1"/>
  <c r="O234" i="1" s="1"/>
  <c r="F233" i="1"/>
  <c r="G232" i="1"/>
  <c r="F232" i="1"/>
  <c r="F133" i="1"/>
  <c r="F132" i="1"/>
  <c r="F131" i="1"/>
  <c r="D130" i="1"/>
  <c r="F129" i="1"/>
  <c r="G129" i="1"/>
  <c r="F136" i="1"/>
  <c r="F135" i="1"/>
  <c r="F134" i="1"/>
  <c r="A130" i="1"/>
  <c r="A131" i="1" s="1"/>
  <c r="A132" i="1" s="1"/>
  <c r="A133" i="1" s="1"/>
  <c r="A134" i="1" s="1"/>
  <c r="A135" i="1" s="1"/>
  <c r="A136" i="1" s="1"/>
  <c r="D52" i="1"/>
  <c r="E40" i="1"/>
  <c r="P232" i="1"/>
  <c r="P240" i="1"/>
  <c r="P256" i="1"/>
  <c r="C117" i="1" l="1"/>
  <c r="K115" i="1"/>
  <c r="K117" i="1" s="1"/>
  <c r="F130" i="1"/>
  <c r="C110" i="1"/>
  <c r="C112" i="1" s="1"/>
  <c r="E110" i="1"/>
  <c r="E112" i="1" s="1"/>
  <c r="K232" i="1"/>
  <c r="N298" i="1"/>
  <c r="N269" i="1"/>
  <c r="P275" i="1"/>
  <c r="N268" i="1"/>
  <c r="O302" i="1"/>
  <c r="P289" i="1"/>
  <c r="N288" i="1"/>
  <c r="O292" i="1"/>
  <c r="O311" i="1"/>
  <c r="O282" i="1"/>
  <c r="N299" i="1"/>
  <c r="P300" i="1"/>
  <c r="O271" i="1"/>
  <c r="N270" i="1"/>
  <c r="N308" i="1"/>
  <c r="P309" i="1"/>
  <c r="P279" i="1"/>
  <c r="N278" i="1"/>
  <c r="N256" i="1"/>
  <c r="P257" i="1"/>
  <c r="O259" i="1"/>
  <c r="N240" i="1"/>
  <c r="P241" i="1"/>
  <c r="O244" i="1"/>
  <c r="N232" i="1"/>
  <c r="P233" i="1"/>
  <c r="P234" i="1" s="1"/>
  <c r="P235" i="1" s="1"/>
  <c r="P236" i="1" s="1"/>
  <c r="P237" i="1" s="1"/>
  <c r="P238" i="1" s="1"/>
  <c r="O235" i="1"/>
  <c r="P310" i="1" l="1"/>
  <c r="N309" i="1"/>
  <c r="O312" i="1"/>
  <c r="O293" i="1"/>
  <c r="O294" i="1" s="1"/>
  <c r="O295" i="1" s="1"/>
  <c r="O272" i="1"/>
  <c r="N271" i="1"/>
  <c r="P301" i="1"/>
  <c r="N300" i="1"/>
  <c r="P290" i="1"/>
  <c r="N289" i="1"/>
  <c r="O283" i="1"/>
  <c r="O284" i="1" s="1"/>
  <c r="O285" i="1" s="1"/>
  <c r="N279" i="1"/>
  <c r="P280" i="1"/>
  <c r="O303" i="1"/>
  <c r="O304" i="1" s="1"/>
  <c r="O305" i="1" s="1"/>
  <c r="P258" i="1"/>
  <c r="N257" i="1"/>
  <c r="O260" i="1"/>
  <c r="O245" i="1"/>
  <c r="P242" i="1"/>
  <c r="N241" i="1"/>
  <c r="N234" i="1"/>
  <c r="N233" i="1"/>
  <c r="O236" i="1"/>
  <c r="N235" i="1"/>
  <c r="K72" i="1"/>
  <c r="K71" i="1"/>
  <c r="K70" i="1"/>
  <c r="E3" i="1"/>
  <c r="G139" i="1"/>
  <c r="H62" i="1"/>
  <c r="O273" i="1" l="1"/>
  <c r="N272" i="1"/>
  <c r="O313" i="1"/>
  <c r="O314" i="1" s="1"/>
  <c r="O315" i="1" s="1"/>
  <c r="P291" i="1"/>
  <c r="N290" i="1"/>
  <c r="P281" i="1"/>
  <c r="N280" i="1"/>
  <c r="P302" i="1"/>
  <c r="N301" i="1"/>
  <c r="P311" i="1"/>
  <c r="N310" i="1"/>
  <c r="O261" i="1"/>
  <c r="P259" i="1"/>
  <c r="N258" i="1"/>
  <c r="N242" i="1"/>
  <c r="P243" i="1"/>
  <c r="O246" i="1"/>
  <c r="O237" i="1"/>
  <c r="N236" i="1"/>
  <c r="K66" i="1"/>
  <c r="C65" i="1" s="1"/>
  <c r="D65" i="1" s="1"/>
  <c r="K64" i="1"/>
  <c r="D74" i="1"/>
  <c r="D72" i="1"/>
  <c r="D70" i="1"/>
  <c r="D68" i="1"/>
  <c r="K67" i="1"/>
  <c r="K68" i="1" s="1"/>
  <c r="K69" i="1" s="1"/>
  <c r="K73" i="1" s="1"/>
  <c r="K74" i="1" s="1"/>
  <c r="C66" i="1" s="1"/>
  <c r="D66" i="1" s="1"/>
  <c r="D73" i="1"/>
  <c r="D71" i="1"/>
  <c r="D69" i="1"/>
  <c r="D67" i="1"/>
  <c r="K65" i="1"/>
  <c r="N273" i="1" l="1"/>
  <c r="O274" i="1"/>
  <c r="P292" i="1"/>
  <c r="N291" i="1"/>
  <c r="P312" i="1"/>
  <c r="N311" i="1"/>
  <c r="P303" i="1"/>
  <c r="N302" i="1"/>
  <c r="P282" i="1"/>
  <c r="N281" i="1"/>
  <c r="P260" i="1"/>
  <c r="N259" i="1"/>
  <c r="O262" i="1"/>
  <c r="P244" i="1"/>
  <c r="N243" i="1"/>
  <c r="O238" i="1"/>
  <c r="N238" i="1" s="1"/>
  <c r="N237" i="1"/>
  <c r="G65" i="1"/>
  <c r="I61" i="1"/>
  <c r="C63" i="1" s="1"/>
  <c r="E65" i="1" s="1"/>
  <c r="D286" i="6"/>
  <c r="A268" i="6"/>
  <c r="A269" i="6" s="1"/>
  <c r="A270" i="6" s="1"/>
  <c r="A271" i="6" s="1"/>
  <c r="A272" i="6" s="1"/>
  <c r="A273" i="6" s="1"/>
  <c r="E265" i="6"/>
  <c r="D265" i="6"/>
  <c r="E264" i="6"/>
  <c r="D264" i="6"/>
  <c r="F264" i="6" s="1"/>
  <c r="E263" i="6"/>
  <c r="D263" i="6"/>
  <c r="E262" i="6"/>
  <c r="D262" i="6"/>
  <c r="E261" i="6"/>
  <c r="D261" i="6"/>
  <c r="F261" i="6" s="1"/>
  <c r="E260" i="6"/>
  <c r="D260" i="6"/>
  <c r="F260" i="6" s="1"/>
  <c r="E259" i="6"/>
  <c r="D259" i="6"/>
  <c r="E258" i="6"/>
  <c r="D258" i="6"/>
  <c r="G257" i="6"/>
  <c r="G258" i="6" s="1"/>
  <c r="G259" i="6" s="1"/>
  <c r="G260" i="6" s="1"/>
  <c r="G261" i="6" s="1"/>
  <c r="G262" i="6" s="1"/>
  <c r="G263" i="6" s="1"/>
  <c r="G264" i="6" s="1"/>
  <c r="G265" i="6" s="1"/>
  <c r="E257" i="6"/>
  <c r="F257" i="6" s="1"/>
  <c r="D257" i="6"/>
  <c r="A257" i="6"/>
  <c r="A258" i="6" s="1"/>
  <c r="A259" i="6" s="1"/>
  <c r="A260" i="6" s="1"/>
  <c r="A261" i="6" s="1"/>
  <c r="A262" i="6" s="1"/>
  <c r="A263" i="6" s="1"/>
  <c r="A264" i="6" s="1"/>
  <c r="A265" i="6" s="1"/>
  <c r="E255" i="6"/>
  <c r="D255" i="6"/>
  <c r="E254" i="6"/>
  <c r="D254" i="6"/>
  <c r="E253" i="6"/>
  <c r="D253" i="6"/>
  <c r="E252" i="6"/>
  <c r="D252" i="6"/>
  <c r="E251" i="6"/>
  <c r="D251" i="6"/>
  <c r="E250" i="6"/>
  <c r="D250" i="6"/>
  <c r="E249" i="6"/>
  <c r="D249" i="6"/>
  <c r="E248" i="6"/>
  <c r="D248" i="6"/>
  <c r="F248" i="6" s="1"/>
  <c r="G247" i="6"/>
  <c r="G248" i="6" s="1"/>
  <c r="G249" i="6" s="1"/>
  <c r="G250" i="6" s="1"/>
  <c r="G251" i="6" s="1"/>
  <c r="G252" i="6" s="1"/>
  <c r="G253" i="6" s="1"/>
  <c r="G254" i="6" s="1"/>
  <c r="G255" i="6" s="1"/>
  <c r="E247" i="6"/>
  <c r="D247" i="6"/>
  <c r="A247" i="6"/>
  <c r="A248" i="6" s="1"/>
  <c r="A249" i="6" s="1"/>
  <c r="A250" i="6" s="1"/>
  <c r="A251" i="6" s="1"/>
  <c r="A252" i="6" s="1"/>
  <c r="A253" i="6" s="1"/>
  <c r="A254" i="6" s="1"/>
  <c r="A255" i="6" s="1"/>
  <c r="E245" i="6"/>
  <c r="D245" i="6"/>
  <c r="E244" i="6"/>
  <c r="D244" i="6"/>
  <c r="E243" i="6"/>
  <c r="D243" i="6"/>
  <c r="E242" i="6"/>
  <c r="D242" i="6"/>
  <c r="E241" i="6"/>
  <c r="D241" i="6"/>
  <c r="E240" i="6"/>
  <c r="D240" i="6"/>
  <c r="F240" i="6" s="1"/>
  <c r="E239" i="6"/>
  <c r="D239" i="6"/>
  <c r="E238" i="6"/>
  <c r="D238" i="6"/>
  <c r="G237" i="6"/>
  <c r="G238" i="6" s="1"/>
  <c r="G239" i="6" s="1"/>
  <c r="G240" i="6" s="1"/>
  <c r="G241" i="6" s="1"/>
  <c r="G242" i="6" s="1"/>
  <c r="G243" i="6" s="1"/>
  <c r="G244" i="6" s="1"/>
  <c r="G245" i="6" s="1"/>
  <c r="E237" i="6"/>
  <c r="D237" i="6"/>
  <c r="A237" i="6"/>
  <c r="A238" i="6" s="1"/>
  <c r="A239" i="6" s="1"/>
  <c r="A240" i="6" s="1"/>
  <c r="A241" i="6" s="1"/>
  <c r="A242" i="6" s="1"/>
  <c r="A243" i="6" s="1"/>
  <c r="A244" i="6" s="1"/>
  <c r="A245" i="6" s="1"/>
  <c r="E235" i="6"/>
  <c r="D235" i="6"/>
  <c r="E234" i="6"/>
  <c r="D234" i="6"/>
  <c r="E233" i="6"/>
  <c r="D233" i="6"/>
  <c r="E232" i="6"/>
  <c r="D232" i="6"/>
  <c r="E231" i="6"/>
  <c r="D231" i="6"/>
  <c r="E230" i="6"/>
  <c r="D230" i="6"/>
  <c r="E229" i="6"/>
  <c r="D229" i="6"/>
  <c r="E228" i="6"/>
  <c r="D228" i="6"/>
  <c r="F228" i="6" s="1"/>
  <c r="G227" i="6"/>
  <c r="G228" i="6" s="1"/>
  <c r="G229" i="6" s="1"/>
  <c r="G230" i="6" s="1"/>
  <c r="G231" i="6" s="1"/>
  <c r="G232" i="6" s="1"/>
  <c r="G233" i="6" s="1"/>
  <c r="G234" i="6" s="1"/>
  <c r="G235" i="6" s="1"/>
  <c r="E227" i="6"/>
  <c r="D227" i="6"/>
  <c r="F227" i="6" s="1"/>
  <c r="A227" i="6"/>
  <c r="A228" i="6" s="1"/>
  <c r="A229" i="6" s="1"/>
  <c r="A230" i="6" s="1"/>
  <c r="A231" i="6" s="1"/>
  <c r="A232" i="6" s="1"/>
  <c r="A233" i="6" s="1"/>
  <c r="A234" i="6" s="1"/>
  <c r="A235" i="6" s="1"/>
  <c r="E224" i="6"/>
  <c r="D224" i="6"/>
  <c r="E223" i="6"/>
  <c r="D223" i="6"/>
  <c r="E222" i="6"/>
  <c r="D222" i="6"/>
  <c r="E221" i="6"/>
  <c r="D221" i="6"/>
  <c r="E220" i="6"/>
  <c r="D220" i="6"/>
  <c r="E219" i="6"/>
  <c r="D219" i="6"/>
  <c r="G218" i="6"/>
  <c r="G219" i="6" s="1"/>
  <c r="G220" i="6" s="1"/>
  <c r="G221" i="6" s="1"/>
  <c r="G222" i="6" s="1"/>
  <c r="G223" i="6" s="1"/>
  <c r="G224" i="6" s="1"/>
  <c r="E218" i="6"/>
  <c r="D218" i="6"/>
  <c r="E216" i="6"/>
  <c r="D216" i="6"/>
  <c r="F216" i="6" s="1"/>
  <c r="I216" i="6" s="1"/>
  <c r="E215" i="6"/>
  <c r="D215" i="6"/>
  <c r="E214" i="6"/>
  <c r="D214" i="6"/>
  <c r="F214" i="6" s="1"/>
  <c r="I214" i="6" s="1"/>
  <c r="E213" i="6"/>
  <c r="D213" i="6"/>
  <c r="E212" i="6"/>
  <c r="D212" i="6"/>
  <c r="F212" i="6" s="1"/>
  <c r="I212" i="6" s="1"/>
  <c r="E211" i="6"/>
  <c r="D211" i="6"/>
  <c r="G210" i="6"/>
  <c r="G211" i="6" s="1"/>
  <c r="G212" i="6" s="1"/>
  <c r="G213" i="6" s="1"/>
  <c r="G214" i="6" s="1"/>
  <c r="G215" i="6" s="1"/>
  <c r="G216" i="6" s="1"/>
  <c r="E210" i="6"/>
  <c r="D210" i="6"/>
  <c r="E208" i="6"/>
  <c r="D208" i="6"/>
  <c r="D207" i="6"/>
  <c r="F207" i="6" s="1"/>
  <c r="D206" i="6"/>
  <c r="F206" i="6" s="1"/>
  <c r="D205" i="6"/>
  <c r="F205" i="6" s="1"/>
  <c r="D204" i="6"/>
  <c r="F204" i="6" s="1"/>
  <c r="G203" i="6"/>
  <c r="G204" i="6" s="1"/>
  <c r="G205" i="6" s="1"/>
  <c r="G206" i="6" s="1"/>
  <c r="G207" i="6" s="1"/>
  <c r="G208" i="6" s="1"/>
  <c r="D203" i="6"/>
  <c r="F203" i="6" s="1"/>
  <c r="G202" i="6"/>
  <c r="E202" i="6"/>
  <c r="D202" i="6"/>
  <c r="F202" i="6" s="1"/>
  <c r="A202" i="6"/>
  <c r="A203" i="6" s="1"/>
  <c r="A204" i="6" s="1"/>
  <c r="A205" i="6" s="1"/>
  <c r="A206" i="6" s="1"/>
  <c r="A207" i="6" s="1"/>
  <c r="A208" i="6" s="1"/>
  <c r="D200" i="6"/>
  <c r="F200" i="6" s="1"/>
  <c r="E199" i="6"/>
  <c r="D199" i="6"/>
  <c r="E198" i="6"/>
  <c r="D198" i="6"/>
  <c r="E197" i="6"/>
  <c r="D197" i="6"/>
  <c r="E196" i="6"/>
  <c r="D196" i="6"/>
  <c r="E195" i="6"/>
  <c r="D195" i="6"/>
  <c r="G194" i="6"/>
  <c r="G195" i="6" s="1"/>
  <c r="G196" i="6" s="1"/>
  <c r="G197" i="6" s="1"/>
  <c r="G198" i="6" s="1"/>
  <c r="G199" i="6" s="1"/>
  <c r="G200" i="6" s="1"/>
  <c r="D194" i="6"/>
  <c r="F194" i="6" s="1"/>
  <c r="A194" i="6"/>
  <c r="A195" i="6" s="1"/>
  <c r="A196" i="6" s="1"/>
  <c r="A197" i="6" s="1"/>
  <c r="A198" i="6" s="1"/>
  <c r="A199" i="6" s="1"/>
  <c r="A200" i="6" s="1"/>
  <c r="D188" i="6"/>
  <c r="F188" i="6" s="1"/>
  <c r="D187" i="6"/>
  <c r="F187" i="6" s="1"/>
  <c r="D186" i="6"/>
  <c r="F186" i="6" s="1"/>
  <c r="D185" i="6"/>
  <c r="F185" i="6" s="1"/>
  <c r="D184" i="6"/>
  <c r="F184" i="6" s="1"/>
  <c r="D183" i="6"/>
  <c r="F183" i="6" s="1"/>
  <c r="D182" i="6"/>
  <c r="F182" i="6" s="1"/>
  <c r="D181" i="6"/>
  <c r="F181" i="6" s="1"/>
  <c r="D180" i="6"/>
  <c r="F180" i="6" s="1"/>
  <c r="D179" i="6"/>
  <c r="F179" i="6" s="1"/>
  <c r="D178" i="6"/>
  <c r="F178" i="6" s="1"/>
  <c r="D177" i="6"/>
  <c r="F177" i="6" s="1"/>
  <c r="D176" i="6"/>
  <c r="F176" i="6" s="1"/>
  <c r="D175" i="6"/>
  <c r="F175" i="6" s="1"/>
  <c r="F174" i="6"/>
  <c r="D174" i="6"/>
  <c r="D173" i="6"/>
  <c r="F173" i="6" s="1"/>
  <c r="D172" i="6"/>
  <c r="F172" i="6" s="1"/>
  <c r="D171" i="6"/>
  <c r="F171" i="6" s="1"/>
  <c r="D170" i="6"/>
  <c r="F170" i="6" s="1"/>
  <c r="D169" i="6"/>
  <c r="F169" i="6" s="1"/>
  <c r="D168" i="6"/>
  <c r="F168" i="6" s="1"/>
  <c r="D167" i="6"/>
  <c r="F167" i="6" s="1"/>
  <c r="D166" i="6"/>
  <c r="F166" i="6" s="1"/>
  <c r="D165" i="6"/>
  <c r="F165" i="6" s="1"/>
  <c r="D164" i="6"/>
  <c r="F164" i="6" s="1"/>
  <c r="D163" i="6"/>
  <c r="F163" i="6" s="1"/>
  <c r="D162" i="6"/>
  <c r="F162" i="6" s="1"/>
  <c r="D161" i="6"/>
  <c r="F161" i="6" s="1"/>
  <c r="D160" i="6"/>
  <c r="F160" i="6" s="1"/>
  <c r="D159" i="6"/>
  <c r="F159" i="6" s="1"/>
  <c r="D158" i="6"/>
  <c r="F158" i="6" s="1"/>
  <c r="D157" i="6"/>
  <c r="F157" i="6" s="1"/>
  <c r="G156" i="6"/>
  <c r="G157" i="6" s="1"/>
  <c r="G158" i="6" s="1"/>
  <c r="G159" i="6" s="1"/>
  <c r="G160" i="6" s="1"/>
  <c r="G161" i="6" s="1"/>
  <c r="G162" i="6" s="1"/>
  <c r="G163" i="6" s="1"/>
  <c r="G164" i="6" s="1"/>
  <c r="G165" i="6" s="1"/>
  <c r="G166" i="6" s="1"/>
  <c r="G167" i="6" s="1"/>
  <c r="G168" i="6" s="1"/>
  <c r="G169" i="6" s="1"/>
  <c r="G170" i="6" s="1"/>
  <c r="G171" i="6" s="1"/>
  <c r="G172" i="6" s="1"/>
  <c r="G173" i="6" s="1"/>
  <c r="G174" i="6" s="1"/>
  <c r="G175" i="6" s="1"/>
  <c r="G176" i="6" s="1"/>
  <c r="G177" i="6" s="1"/>
  <c r="G178" i="6" s="1"/>
  <c r="G179" i="6" s="1"/>
  <c r="G180" i="6" s="1"/>
  <c r="G181" i="6" s="1"/>
  <c r="G182" i="6" s="1"/>
  <c r="G183" i="6" s="1"/>
  <c r="G184" i="6" s="1"/>
  <c r="G185" i="6" s="1"/>
  <c r="G186" i="6" s="1"/>
  <c r="G187" i="6" s="1"/>
  <c r="G188" i="6" s="1"/>
  <c r="D156" i="6"/>
  <c r="F156" i="6" s="1"/>
  <c r="A156" i="6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D154" i="6"/>
  <c r="F154" i="6" s="1"/>
  <c r="D153" i="6"/>
  <c r="F153" i="6" s="1"/>
  <c r="D152" i="6"/>
  <c r="F152" i="6" s="1"/>
  <c r="D151" i="6"/>
  <c r="F151" i="6" s="1"/>
  <c r="D150" i="6"/>
  <c r="F150" i="6" s="1"/>
  <c r="D149" i="6"/>
  <c r="F149" i="6" s="1"/>
  <c r="D148" i="6"/>
  <c r="F148" i="6" s="1"/>
  <c r="D147" i="6"/>
  <c r="F147" i="6" s="1"/>
  <c r="D146" i="6"/>
  <c r="F146" i="6" s="1"/>
  <c r="D145" i="6"/>
  <c r="F145" i="6" s="1"/>
  <c r="D144" i="6"/>
  <c r="F144" i="6" s="1"/>
  <c r="D143" i="6"/>
  <c r="F143" i="6" s="1"/>
  <c r="D142" i="6"/>
  <c r="F142" i="6" s="1"/>
  <c r="D141" i="6"/>
  <c r="F141" i="6" s="1"/>
  <c r="D140" i="6"/>
  <c r="F140" i="6" s="1"/>
  <c r="D139" i="6"/>
  <c r="F139" i="6" s="1"/>
  <c r="D138" i="6"/>
  <c r="F138" i="6" s="1"/>
  <c r="F137" i="6"/>
  <c r="D137" i="6"/>
  <c r="D136" i="6"/>
  <c r="F136" i="6" s="1"/>
  <c r="D135" i="6"/>
  <c r="F135" i="6" s="1"/>
  <c r="D134" i="6"/>
  <c r="F134" i="6" s="1"/>
  <c r="D133" i="6"/>
  <c r="F133" i="6" s="1"/>
  <c r="D132" i="6"/>
  <c r="F132" i="6" s="1"/>
  <c r="D131" i="6"/>
  <c r="F131" i="6" s="1"/>
  <c r="D130" i="6"/>
  <c r="F130" i="6" s="1"/>
  <c r="D129" i="6"/>
  <c r="F129" i="6" s="1"/>
  <c r="D128" i="6"/>
  <c r="F128" i="6" s="1"/>
  <c r="D127" i="6"/>
  <c r="F127" i="6" s="1"/>
  <c r="D126" i="6"/>
  <c r="F126" i="6" s="1"/>
  <c r="D125" i="6"/>
  <c r="F125" i="6" s="1"/>
  <c r="D124" i="6"/>
  <c r="F124" i="6" s="1"/>
  <c r="D123" i="6"/>
  <c r="F123" i="6" s="1"/>
  <c r="D122" i="6"/>
  <c r="G121" i="6"/>
  <c r="G122" i="6" s="1"/>
  <c r="G123" i="6" s="1"/>
  <c r="G124" i="6" s="1"/>
  <c r="G125" i="6" s="1"/>
  <c r="G126" i="6" s="1"/>
  <c r="G127" i="6" s="1"/>
  <c r="G128" i="6" s="1"/>
  <c r="G129" i="6" s="1"/>
  <c r="G130" i="6" s="1"/>
  <c r="G131" i="6" s="1"/>
  <c r="G132" i="6" s="1"/>
  <c r="G133" i="6" s="1"/>
  <c r="G134" i="6" s="1"/>
  <c r="G135" i="6" s="1"/>
  <c r="G136" i="6" s="1"/>
  <c r="G137" i="6" s="1"/>
  <c r="G138" i="6" s="1"/>
  <c r="G139" i="6" s="1"/>
  <c r="G140" i="6" s="1"/>
  <c r="G141" i="6" s="1"/>
  <c r="G142" i="6" s="1"/>
  <c r="G143" i="6" s="1"/>
  <c r="G144" i="6" s="1"/>
  <c r="G145" i="6" s="1"/>
  <c r="G146" i="6" s="1"/>
  <c r="G147" i="6" s="1"/>
  <c r="G148" i="6" s="1"/>
  <c r="G149" i="6" s="1"/>
  <c r="G150" i="6" s="1"/>
  <c r="G151" i="6" s="1"/>
  <c r="G152" i="6" s="1"/>
  <c r="G153" i="6" s="1"/>
  <c r="G154" i="6" s="1"/>
  <c r="D121" i="6"/>
  <c r="F121" i="6" s="1"/>
  <c r="A121" i="6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D120" i="6"/>
  <c r="F120" i="6" s="1"/>
  <c r="F102" i="6"/>
  <c r="K84" i="6"/>
  <c r="K83" i="6"/>
  <c r="K82" i="6"/>
  <c r="C73" i="6"/>
  <c r="K70" i="6"/>
  <c r="K69" i="6"/>
  <c r="K68" i="6"/>
  <c r="C59" i="6"/>
  <c r="D56" i="6"/>
  <c r="D50" i="6"/>
  <c r="G45" i="6"/>
  <c r="G46" i="6" s="1"/>
  <c r="C45" i="6"/>
  <c r="C46" i="6" s="1"/>
  <c r="E39" i="6"/>
  <c r="E40" i="6" s="1"/>
  <c r="E24" i="6"/>
  <c r="E22" i="6"/>
  <c r="C13" i="6"/>
  <c r="E7" i="6"/>
  <c r="E3" i="6"/>
  <c r="H74" i="6"/>
  <c r="O210" i="6"/>
  <c r="H60" i="6"/>
  <c r="P218" i="6"/>
  <c r="P210" i="6"/>
  <c r="O218" i="6"/>
  <c r="F237" i="6" l="1"/>
  <c r="F230" i="6"/>
  <c r="F242" i="6"/>
  <c r="F255" i="6"/>
  <c r="F220" i="6"/>
  <c r="F224" i="6"/>
  <c r="F245" i="6"/>
  <c r="F249" i="6"/>
  <c r="F221" i="6"/>
  <c r="F254" i="6"/>
  <c r="F258" i="6"/>
  <c r="F262" i="6"/>
  <c r="F195" i="6"/>
  <c r="F199" i="6"/>
  <c r="F210" i="6"/>
  <c r="I210" i="6" s="1"/>
  <c r="F222" i="6"/>
  <c r="O275" i="1"/>
  <c r="N275" i="1" s="1"/>
  <c r="N274" i="1"/>
  <c r="N303" i="1"/>
  <c r="P304" i="1"/>
  <c r="P283" i="1"/>
  <c r="N282" i="1"/>
  <c r="P313" i="1"/>
  <c r="N312" i="1"/>
  <c r="P293" i="1"/>
  <c r="N292" i="1"/>
  <c r="P261" i="1"/>
  <c r="N260" i="1"/>
  <c r="P245" i="1"/>
  <c r="N244" i="1"/>
  <c r="F89" i="1"/>
  <c r="D60" i="1"/>
  <c r="F232" i="6"/>
  <c r="E106" i="6"/>
  <c r="F196" i="6"/>
  <c r="F198" i="6"/>
  <c r="F219" i="6"/>
  <c r="F231" i="6"/>
  <c r="F233" i="6"/>
  <c r="F235" i="6"/>
  <c r="F239" i="6"/>
  <c r="F244" i="6"/>
  <c r="F253" i="6"/>
  <c r="F265" i="6"/>
  <c r="F218" i="6"/>
  <c r="F223" i="6"/>
  <c r="F250" i="6"/>
  <c r="F208" i="6"/>
  <c r="F241" i="6"/>
  <c r="F243" i="6"/>
  <c r="F247" i="6"/>
  <c r="F252" i="6"/>
  <c r="C106" i="6"/>
  <c r="E110" i="6"/>
  <c r="E105" i="6"/>
  <c r="F211" i="6"/>
  <c r="F213" i="6"/>
  <c r="F215" i="6"/>
  <c r="I215" i="6" s="1"/>
  <c r="F234" i="6"/>
  <c r="F238" i="6"/>
  <c r="F251" i="6"/>
  <c r="F259" i="6"/>
  <c r="F263" i="6"/>
  <c r="D69" i="6"/>
  <c r="D65" i="6"/>
  <c r="K64" i="6"/>
  <c r="C63" i="6" s="1"/>
  <c r="K62" i="6"/>
  <c r="D72" i="6"/>
  <c r="D68" i="6"/>
  <c r="D71" i="6"/>
  <c r="D67" i="6"/>
  <c r="K63" i="6"/>
  <c r="D70" i="6"/>
  <c r="K65" i="6"/>
  <c r="K66" i="6" s="1"/>
  <c r="D66" i="6"/>
  <c r="D84" i="6"/>
  <c r="D80" i="6"/>
  <c r="K79" i="6"/>
  <c r="K80" i="6" s="1"/>
  <c r="D83" i="6"/>
  <c r="D79" i="6"/>
  <c r="K78" i="6"/>
  <c r="C77" i="6" s="1"/>
  <c r="D77" i="6" s="1"/>
  <c r="K76" i="6"/>
  <c r="D82" i="6"/>
  <c r="D86" i="6"/>
  <c r="D81" i="6"/>
  <c r="K77" i="6"/>
  <c r="D85" i="6"/>
  <c r="P211" i="6"/>
  <c r="P212" i="6" s="1"/>
  <c r="P213" i="6" s="1"/>
  <c r="P214" i="6" s="1"/>
  <c r="P215" i="6" s="1"/>
  <c r="P216" i="6" s="1"/>
  <c r="O219" i="6"/>
  <c r="N218" i="6"/>
  <c r="A218" i="6" s="1"/>
  <c r="P219" i="6"/>
  <c r="P220" i="6" s="1"/>
  <c r="P221" i="6" s="1"/>
  <c r="P222" i="6" s="1"/>
  <c r="P223" i="6" s="1"/>
  <c r="P224" i="6" s="1"/>
  <c r="O211" i="6"/>
  <c r="N210" i="6"/>
  <c r="A210" i="6" s="1"/>
  <c r="C110" i="6"/>
  <c r="F197" i="6"/>
  <c r="E112" i="6"/>
  <c r="C112" i="6"/>
  <c r="F229" i="6"/>
  <c r="G106" i="6"/>
  <c r="C111" i="6"/>
  <c r="E111" i="6"/>
  <c r="F122" i="6"/>
  <c r="G105" i="6" s="1"/>
  <c r="C105" i="6"/>
  <c r="C107" i="6" l="1"/>
  <c r="E107" i="6"/>
  <c r="N313" i="1"/>
  <c r="P314" i="1"/>
  <c r="P305" i="1"/>
  <c r="N305" i="1" s="1"/>
  <c r="N304" i="1"/>
  <c r="N293" i="1"/>
  <c r="P294" i="1"/>
  <c r="N283" i="1"/>
  <c r="P284" i="1"/>
  <c r="P262" i="1"/>
  <c r="N262" i="1" s="1"/>
  <c r="N261" i="1"/>
  <c r="P246" i="1"/>
  <c r="N246" i="1" s="1"/>
  <c r="N245" i="1"/>
  <c r="E113" i="6"/>
  <c r="G112" i="6"/>
  <c r="G111" i="6"/>
  <c r="G107" i="6"/>
  <c r="G110" i="6"/>
  <c r="K67" i="6"/>
  <c r="K71" i="6" s="1"/>
  <c r="K72" i="6" s="1"/>
  <c r="C64" i="6" s="1"/>
  <c r="K81" i="6"/>
  <c r="K85" i="6" s="1"/>
  <c r="K86" i="6" s="1"/>
  <c r="C78" i="6" s="1"/>
  <c r="O220" i="6"/>
  <c r="N219" i="6"/>
  <c r="A219" i="6" s="1"/>
  <c r="C113" i="6"/>
  <c r="D63" i="6"/>
  <c r="N211" i="6"/>
  <c r="A211" i="6" s="1"/>
  <c r="O212" i="6"/>
  <c r="G113" i="6" l="1"/>
  <c r="P315" i="1"/>
  <c r="N315" i="1" s="1"/>
  <c r="N314" i="1"/>
  <c r="P295" i="1"/>
  <c r="N295" i="1" s="1"/>
  <c r="N294" i="1"/>
  <c r="P285" i="1"/>
  <c r="N285" i="1" s="1"/>
  <c r="N284" i="1"/>
  <c r="I59" i="6"/>
  <c r="C61" i="6" s="1"/>
  <c r="E63" i="6" s="1"/>
  <c r="D64" i="6"/>
  <c r="G63" i="6"/>
  <c r="D58" i="6" s="1"/>
  <c r="D78" i="6"/>
  <c r="I73" i="6"/>
  <c r="C75" i="6" s="1"/>
  <c r="E77" i="6" s="1"/>
  <c r="G77" i="6"/>
  <c r="O221" i="6"/>
  <c r="N220" i="6"/>
  <c r="A220" i="6" s="1"/>
  <c r="N212" i="6"/>
  <c r="A212" i="6" s="1"/>
  <c r="O213" i="6"/>
  <c r="F87" i="6" l="1"/>
  <c r="O222" i="6"/>
  <c r="N221" i="6"/>
  <c r="A221" i="6" s="1"/>
  <c r="N213" i="6"/>
  <c r="A213" i="6" s="1"/>
  <c r="O214" i="6"/>
  <c r="O215" i="6" l="1"/>
  <c r="N214" i="6"/>
  <c r="A214" i="6" s="1"/>
  <c r="O223" i="6"/>
  <c r="N222" i="6"/>
  <c r="A222" i="6" s="1"/>
  <c r="O224" i="6" l="1"/>
  <c r="N224" i="6" s="1"/>
  <c r="A224" i="6" s="1"/>
  <c r="N223" i="6"/>
  <c r="A223" i="6" s="1"/>
  <c r="N215" i="6"/>
  <c r="A215" i="6" s="1"/>
  <c r="O216" i="6"/>
  <c r="N216" i="6" s="1"/>
  <c r="A216" i="6" s="1"/>
  <c r="L253" i="1" l="1"/>
  <c r="F250" i="1" l="1"/>
  <c r="G248" i="1"/>
  <c r="F229" i="1"/>
  <c r="K229" i="1" s="1"/>
  <c r="P248" i="1"/>
  <c r="F253" i="1" l="1"/>
  <c r="K253" i="1" s="1"/>
  <c r="F249" i="1"/>
  <c r="F252" i="1"/>
  <c r="F225" i="1"/>
  <c r="F227" i="1"/>
  <c r="F248" i="1"/>
  <c r="G119" i="1" s="1"/>
  <c r="G121" i="1" s="1"/>
  <c r="F251" i="1"/>
  <c r="K251" i="1" s="1"/>
  <c r="F228" i="1"/>
  <c r="K228" i="1" s="1"/>
  <c r="F224" i="1"/>
  <c r="F226" i="1"/>
  <c r="K226" i="1" s="1"/>
  <c r="F254" i="1"/>
  <c r="F230" i="1"/>
  <c r="K230" i="1" s="1"/>
  <c r="P249" i="1"/>
  <c r="P250" i="1" s="1"/>
  <c r="P251" i="1" s="1"/>
  <c r="P252" i="1" s="1"/>
  <c r="P253" i="1" s="1"/>
  <c r="P254" i="1" s="1"/>
  <c r="N248" i="1"/>
  <c r="O249" i="1"/>
  <c r="K224" i="1" l="1"/>
  <c r="G115" i="1"/>
  <c r="G117" i="1" s="1"/>
  <c r="E122" i="1"/>
  <c r="C122" i="1"/>
  <c r="N249" i="1"/>
  <c r="O250" i="1"/>
  <c r="G224" i="1"/>
  <c r="F150" i="1"/>
  <c r="F143" i="1"/>
  <c r="A141" i="1"/>
  <c r="A142" i="1" s="1"/>
  <c r="A143" i="1" s="1"/>
  <c r="A144" i="1" s="1"/>
  <c r="A145" i="1" s="1"/>
  <c r="A146" i="1" s="1"/>
  <c r="P224" i="1"/>
  <c r="G110" i="1" l="1"/>
  <c r="G112" i="1" s="1"/>
  <c r="A147" i="1"/>
  <c r="N250" i="1"/>
  <c r="O251" i="1"/>
  <c r="N224" i="1"/>
  <c r="O225" i="1"/>
  <c r="P225" i="1"/>
  <c r="P226" i="1" s="1"/>
  <c r="P227" i="1" s="1"/>
  <c r="P228" i="1" s="1"/>
  <c r="P229" i="1" s="1"/>
  <c r="P230" i="1" s="1"/>
  <c r="A149" i="1" l="1"/>
  <c r="A150" i="1" s="1"/>
  <c r="N251" i="1"/>
  <c r="O252" i="1"/>
  <c r="N225" i="1"/>
  <c r="O226" i="1"/>
  <c r="N252" i="1" l="1"/>
  <c r="O253" i="1"/>
  <c r="N226" i="1"/>
  <c r="O227" i="1"/>
  <c r="N253" i="1" l="1"/>
  <c r="O254" i="1"/>
  <c r="N254" i="1" s="1"/>
  <c r="N227" i="1"/>
  <c r="O228" i="1"/>
  <c r="N228" i="1" l="1"/>
  <c r="O229" i="1"/>
  <c r="N229" i="1" l="1"/>
  <c r="O230" i="1"/>
  <c r="N230" i="1" s="1"/>
  <c r="G47" i="1"/>
  <c r="G48" i="1" s="1"/>
  <c r="A318" i="1" l="1"/>
  <c r="A319" i="1" s="1"/>
  <c r="A320" i="1" s="1"/>
  <c r="A321" i="1" s="1"/>
  <c r="A322" i="1" s="1"/>
  <c r="A323" i="1" s="1"/>
  <c r="A325" i="1" s="1"/>
  <c r="C14" i="1" l="1"/>
  <c r="E41" i="1" l="1"/>
  <c r="E42" i="1" s="1"/>
  <c r="D58" i="1" l="1"/>
  <c r="E25" i="1" l="1"/>
  <c r="E23" i="1"/>
  <c r="F6" i="5" l="1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G12" i="5" l="1"/>
  <c r="E7" i="1" l="1"/>
  <c r="D338" i="1" l="1"/>
  <c r="F105" i="1"/>
  <c r="C47" i="1"/>
  <c r="C48" i="1" s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  <c r="G122" i="1"/>
</calcChain>
</file>

<file path=xl/sharedStrings.xml><?xml version="1.0" encoding="utf-8"?>
<sst xmlns="http://schemas.openxmlformats.org/spreadsheetml/2006/main" count="1044" uniqueCount="323">
  <si>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</si>
  <si>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</si>
  <si>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</si>
  <si>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</si>
  <si>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</si>
  <si>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</si>
  <si>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</si>
  <si>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</si>
  <si>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</si>
  <si>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</si>
  <si>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</si>
  <si>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</si>
  <si>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</si>
  <si>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</si>
  <si>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</si>
  <si>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</si>
  <si>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</si>
  <si>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</si>
  <si>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</si>
  <si>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</si>
  <si>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</si>
  <si>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</si>
  <si>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</si>
  <si>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</si>
  <si>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</si>
  <si>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</si>
  <si>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</si>
  <si>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</si>
  <si>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</si>
  <si>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</si>
  <si>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</si>
  <si>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</si>
  <si>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</si>
  <si>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</si>
  <si>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</si>
  <si>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</si>
  <si>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</si>
  <si>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</si>
  <si>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</si>
  <si>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</si>
  <si>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</si>
  <si>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</si>
  <si>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</si>
  <si>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</si>
  <si>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</si>
  <si>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</si>
  <si>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</si>
  <si>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</si>
  <si>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</si>
  <si>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</si>
  <si>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</si>
  <si>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</si>
  <si>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</si>
  <si>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</si>
  <si>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</si>
  <si>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</si>
  <si>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</si>
  <si>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</si>
  <si>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</si>
  <si>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</si>
  <si>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</si>
  <si>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</si>
  <si>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</si>
  <si>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</si>
  <si>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</si>
  <si>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</si>
  <si>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</si>
  <si>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</si>
  <si>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</si>
  <si>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</si>
  <si>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</si>
  <si>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</si>
  <si>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</si>
  <si>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</si>
  <si>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</si>
  <si>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</si>
  <si>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</si>
  <si>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</si>
  <si>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</si>
  <si>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</si>
  <si>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</si>
  <si>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</si>
  <si>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</si>
  <si>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</si>
  <si>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</si>
  <si>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</si>
  <si>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</si>
  <si>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</si>
  <si>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</si>
  <si>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</si>
  <si>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</si>
  <si>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</si>
  <si>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</si>
  <si>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</si>
  <si>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</si>
  <si>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</si>
  <si>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</si>
  <si>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</si>
  <si>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</si>
  <si>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</si>
  <si>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</si>
  <si>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</si>
  <si>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</si>
  <si>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</si>
  <si>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</si>
  <si>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</si>
  <si>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</si>
  <si>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</si>
  <si>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</si>
  <si>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Accessibility to the Project from the City: (Proximity to civic amenities like school, hospital, market, etc.)</t>
  </si>
  <si>
    <t>Inspected By :</t>
  </si>
  <si>
    <t>No. of Units</t>
  </si>
  <si>
    <t>1302-ELLORA FIESTA, PLOT NO. 8, SECTOR 11, OPP. JUINAGAR RAILWAY STATION, SANPADA, NAVI MUMBAI 400 706. TEL: 022-27758396/95. FAX :022-27758394.
E mail : axisbank@vsjadon.com. vsjcvaluer@gmail.com. Web site : www.vsjadon.com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</si>
  <si>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</si>
  <si>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</si>
  <si>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</si>
  <si>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</si>
  <si>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</si>
  <si>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</si>
  <si>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</si>
  <si>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</si>
  <si>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</si>
  <si>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</si>
  <si>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</si>
  <si>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</si>
  <si>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</si>
  <si>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</si>
  <si>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</si>
  <si>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</si>
  <si>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</si>
  <si>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</si>
  <si>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</si>
  <si>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</si>
  <si>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</si>
  <si>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</si>
  <si>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</si>
  <si>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</si>
  <si>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</si>
  <si>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</si>
  <si>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</si>
  <si>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</si>
  <si>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</si>
  <si>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</si>
  <si>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</si>
  <si>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</si>
  <si>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</si>
  <si>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</si>
  <si>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</si>
  <si>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</si>
  <si>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</si>
  <si>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</si>
  <si>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</si>
  <si>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</si>
  <si>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</si>
  <si>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</si>
  <si>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</si>
  <si>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>All work Completed. Provide OC.</t>
  </si>
  <si>
    <t xml:space="preserve">Wheather the construction is as per approved Building plan : </t>
  </si>
  <si>
    <t>Saleable area
Loading :</t>
  </si>
  <si>
    <t>Ground Floor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</si>
  <si>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</si>
  <si>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</si>
  <si>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</si>
  <si>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</si>
  <si>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</si>
  <si>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considered Gross carpet area = Net carpet + Enclose balcony + D.B Area + F.B Area.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</si>
  <si>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</si>
  <si>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</si>
  <si>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</si>
  <si>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</si>
  <si>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</si>
  <si>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</si>
  <si>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</si>
  <si>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</si>
  <si>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</si>
  <si>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</si>
  <si>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</si>
  <si>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</si>
  <si>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</si>
  <si>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</si>
  <si>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</si>
  <si>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</si>
  <si>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</si>
  <si>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</si>
  <si>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</si>
  <si>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1</t>
  </si>
  <si>
    <t>Basement 2</t>
  </si>
  <si>
    <t>Basement 3</t>
  </si>
  <si>
    <t>Basement 4</t>
  </si>
  <si>
    <t>02 Wings</t>
  </si>
  <si>
    <t>A &amp; B Wings</t>
  </si>
  <si>
    <t>S No</t>
  </si>
  <si>
    <t>Harshada..</t>
  </si>
  <si>
    <t>Construction work is in process at the time of Visit (labour found).</t>
  </si>
  <si>
    <t>Residential</t>
  </si>
  <si>
    <t>Approved Plans, CC, Sale Plans, Cost Sheet</t>
  </si>
  <si>
    <t>A Wing</t>
  </si>
  <si>
    <t>1st Floor</t>
  </si>
  <si>
    <t>B Wing</t>
  </si>
  <si>
    <t>Mahaavir Pride</t>
  </si>
  <si>
    <t>M/s.Mahaavir Buildcon LLP</t>
  </si>
  <si>
    <t>Axis Sanpada</t>
  </si>
  <si>
    <t>As per RERA - 31/12/2025</t>
  </si>
  <si>
    <t>42/2, 237/5, 259/4</t>
  </si>
  <si>
    <t>Thane</t>
  </si>
  <si>
    <t>Bhopar</t>
  </si>
  <si>
    <t>Kalyan</t>
  </si>
  <si>
    <t>Manpada Road</t>
  </si>
  <si>
    <t>Sarvodaya Anand CHSL</t>
  </si>
  <si>
    <t>Horizon Banquet</t>
  </si>
  <si>
    <t>FDC Limited</t>
  </si>
  <si>
    <t>Bhopar Road</t>
  </si>
  <si>
    <t xml:space="preserve">P51700027307
</t>
  </si>
  <si>
    <t>Valid Up to:  A Wing = LG + G + 1st Podium + 2nd to 11th Floor
B Wing = LG + G + 1st Podium + 2nd to 5th Floor (2nd to 4th for MHADA)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</si>
  <si>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</si>
  <si>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t>Shop No.
(Sale Plan)</t>
  </si>
  <si>
    <t>Ground Floor for Commercial &amp; Parking</t>
  </si>
  <si>
    <t>Shop</t>
  </si>
  <si>
    <t>Office</t>
  </si>
  <si>
    <t>A &amp; B Wing</t>
  </si>
  <si>
    <t>Commercial Area Details :</t>
  </si>
  <si>
    <t>Shops</t>
  </si>
  <si>
    <t>Offices</t>
  </si>
  <si>
    <t>2BHK</t>
  </si>
  <si>
    <t>1BHK</t>
  </si>
  <si>
    <t>4.7KM from Datiwali Railway Station</t>
  </si>
  <si>
    <t>B Wing - Sale</t>
  </si>
  <si>
    <t>A Wing - Sale</t>
  </si>
  <si>
    <t>B Wing - Mhada</t>
  </si>
  <si>
    <t>1BHK - 60,000/- &amp; 2BHK - 70,000/-
3BHK - 80,000/-</t>
  </si>
  <si>
    <t>Recommended rate of the Shop Per Sq. Ft. ( on Saleable area)</t>
  </si>
  <si>
    <t>Recommended rate of the Office Per Sq. Ft. ( on Saleable area)</t>
  </si>
  <si>
    <t>5,00,000/-</t>
  </si>
  <si>
    <t>Society Charges</t>
  </si>
  <si>
    <t>On Site, we meet Mr.Roy(9867311348).</t>
  </si>
  <si>
    <t>We considered  Saleable area as per our calculation.</t>
  </si>
  <si>
    <t>KDMP/NRV/BP/27village/2020-21/05</t>
  </si>
  <si>
    <t>Sale Flats - 79, Mhada Flats - 27, Shops - 35, Offices - 33</t>
  </si>
  <si>
    <t>A Wing = G + 1st Commerical + 2nd to 11th Floor
B Wing = G + 1st Commerical + 2nd to 5th Floor (2nd to 4th for MHADA)</t>
  </si>
  <si>
    <t>A Wing = G + 1st Commerical + 2nd to 28th Floor</t>
  </si>
  <si>
    <t>B Wing = G + 1st Commerical + 2nd to 28th Floor</t>
  </si>
  <si>
    <t>2nd Floor</t>
  </si>
  <si>
    <t>3rd Floor</t>
  </si>
  <si>
    <t>4th, 6th, 8th, 10th Floor</t>
  </si>
  <si>
    <t>5th, 7th, 9th, 11th Floor</t>
  </si>
  <si>
    <t>2nd Floor (For Mhada)</t>
  </si>
  <si>
    <t>3rd Floor (For Mhada)</t>
  </si>
  <si>
    <t>4th Floor (For Mhada)</t>
  </si>
  <si>
    <t>5th Floor</t>
  </si>
  <si>
    <t>Sudhir Bhosale</t>
  </si>
  <si>
    <t>1,00,000/-</t>
  </si>
  <si>
    <t>Floor Rise Rate Per Sq.ft</t>
  </si>
  <si>
    <t>35/- from 6th Floor</t>
  </si>
  <si>
    <t>rate has changes as per disscussed with palas sir on 10/12/2021</t>
  </si>
  <si>
    <t>Sale / Mhada</t>
  </si>
  <si>
    <t>Mhada</t>
  </si>
  <si>
    <t>Sale</t>
  </si>
  <si>
    <t>Location Link</t>
  </si>
  <si>
    <t>A &amp; B Wing = Lower Ground + Ground + 1st Commerical + 2nd to 5th Podium + 6th to 30th Floor</t>
  </si>
  <si>
    <t>Office No. 1031, Wing J, Akshar Business Park, Plot No. 03 Sector 25, Near APMC Market, Vashi, Navi Mumbai, Maharashtra 400703 TEL: 022-46090378/79/80                                                                                                                                    E mail : vsjcapf@gmail.com. Web site : www.vsjadon.com</t>
  </si>
  <si>
    <t>On Site, we meet Mr. Ashwin : 9987299302.</t>
  </si>
  <si>
    <t>7000 to 7300</t>
  </si>
  <si>
    <t xml:space="preserve">smith pal </t>
  </si>
  <si>
    <t>verbal</t>
  </si>
  <si>
    <t>7300 to 7520 by sanket on 17/10/2023 on higher side</t>
  </si>
  <si>
    <t>KDMCC/RB/2023/APL/00023</t>
  </si>
  <si>
    <t>18.00 M. Wide Road</t>
  </si>
  <si>
    <t>30.00 M. Wide Road</t>
  </si>
  <si>
    <t>Other Plot</t>
  </si>
  <si>
    <t>Latitude, Longitude</t>
  </si>
  <si>
    <t>19.192183,73.091722</t>
  </si>
  <si>
    <t>https://maps.app.goo.gl/GAwa17PRWM7vBvwK7</t>
  </si>
  <si>
    <t xml:space="preserve">Party Hall, Indoor games Area, Meditation &amp; yoga area, Gymnasium, Swimming pool, Jacuzzi &amp; kid’s pool, Landscape garden, Kids play area, Outdoor multipurpose court, etc.
</t>
  </si>
  <si>
    <t>http://www.mahaavir-pride-dombivli.in/?gad_source=1&amp;gclid=Cj0KCQjwy4KqBhD0ARIsAEbCt6jdhxKM3kmwXY9oNlfBuhIw5Y0tM28ApHE3Rcmx2F4psfr6GV2_AJ0aAvdIEALw_wcB#amenities</t>
  </si>
  <si>
    <t>Wing B</t>
  </si>
  <si>
    <t>Lower Ground Floor For Commercial &amp; Parking</t>
  </si>
  <si>
    <t>6th Floor For Residential</t>
  </si>
  <si>
    <t>2nd, 3rd, 4th Floor for Podium Parking</t>
  </si>
  <si>
    <t>7th, 9th, 11th, 13th, 15th, 17th &amp; 19th Floor 
(Refuge area at Staircase Mid landing)</t>
  </si>
  <si>
    <t>22nd, 24th, 26th, 28th &amp; 30th Floor</t>
  </si>
  <si>
    <t>21st, 23rd, 25th, 27th &amp; 29th Floor 
(Refuge area at Staircase Mid landing)</t>
  </si>
  <si>
    <t>8th, 10th, 12th, 14th, 16th, 18th &amp; 20thFloor</t>
  </si>
  <si>
    <t>6th &amp; 7th Floor For Residential</t>
  </si>
  <si>
    <t>9th, 11th, 13th, 15th, 17th &amp; 19th Floor 
(Refuge area at Staircase Mid landing)</t>
  </si>
  <si>
    <t>We considered Gross carpet area = Net carpet + Balcony + E.P. Area.</t>
  </si>
  <si>
    <t>2nd to 4th Floor for Podium Parking</t>
  </si>
  <si>
    <t>5th Floor for Recreation Space</t>
  </si>
  <si>
    <t>16A</t>
  </si>
  <si>
    <t>Wing A</t>
  </si>
  <si>
    <t>Ground Floor for Drivers Room, Entrance Lobby &amp; Parking</t>
  </si>
  <si>
    <t>Lower Ground Floor For Parking</t>
  </si>
  <si>
    <t>1st Floor For Commercial &amp; Parking</t>
  </si>
  <si>
    <t>Ground Floor for Entrance Lobby, Commercial &amp; Parking</t>
  </si>
  <si>
    <t>15A</t>
  </si>
  <si>
    <t>Grand Total</t>
  </si>
  <si>
    <t>Residential Area Details (Mhada) :</t>
  </si>
  <si>
    <t>Residential Area Details (Sale) :</t>
  </si>
  <si>
    <t>1+2+3+4+5+6+7+8
(Merged )</t>
  </si>
  <si>
    <t>We have updated revised C.C &amp; Approved Plan (on 01/11/2023).</t>
  </si>
  <si>
    <t xml:space="preserve">Tower A </t>
  </si>
  <si>
    <t xml:space="preserve">Tower B </t>
  </si>
  <si>
    <t>Sale Flats - 375, Mhada Flats - 25, Shops - 42, Offices - 39</t>
  </si>
  <si>
    <t xml:space="preserve">Commencement Certificate No.
</t>
  </si>
  <si>
    <t xml:space="preserve">Valid Up to: </t>
  </si>
  <si>
    <t>Wing A = Lower Ground + Ground + 1st (Commerical + Podium Parking ) + 2nd &amp; 3rd Podium + 4th Podium + 5th Floor + 6th to 30th Floor (6th Floor Part for MHADA)
B Wing =  Lower Ground + Ground + 1st (Commerical + Podium Parking ) + 2nd &amp; 3rd Podium + 4th Podium + 5th Floor + 6th to 30th Floor (6th &amp; 7th Floor Part for MHADA)</t>
  </si>
  <si>
    <t>Wing A 6th Floor For Mhada as per plan</t>
  </si>
  <si>
    <t>Layout :</t>
  </si>
  <si>
    <t>Dombivali East</t>
  </si>
  <si>
    <t>3.60KM from Dombivali Railway Station</t>
  </si>
  <si>
    <t>42/2, 237/5 &amp; 256/1/A</t>
  </si>
  <si>
    <t>B Wing = Lower Ground + Ground + 1st to 4th Podium + 5th Floor + 6th to 30th Floor</t>
  </si>
  <si>
    <t>A Wing = Lower Ground + Ground + 1st to 4th Podium + 5th Floor + 6th to 30th Floor</t>
  </si>
  <si>
    <t>Approved Plans &amp; CC.</t>
  </si>
  <si>
    <t>On the ground floor, shops (1+2+3+4+5+6+7+8+9) are merged into a single shop.</t>
  </si>
  <si>
    <t>As per Approved Plans.</t>
  </si>
  <si>
    <t>Construction % is given extra in previous report</t>
  </si>
  <si>
    <t>Site Person - Contact Details ( Name &amp; Contact No.)</t>
  </si>
  <si>
    <t>Mr. Ashvin 9987299302 / Mr. Janardan 9702670084</t>
  </si>
  <si>
    <r>
      <rPr>
        <b/>
        <sz val="12"/>
        <rFont val="Times New Roman"/>
        <family val="1"/>
      </rPr>
      <t>A Wing</t>
    </r>
    <r>
      <rPr>
        <sz val="12"/>
        <rFont val="Times New Roman"/>
        <family val="1"/>
      </rPr>
      <t xml:space="preserve"> = Lower Ground + Ground + 1st (Commerical + Podium Parking) + 2nd &amp; 3rd Podium + 4th Podium + 5th Floor + 6th to 30th Floor
</t>
    </r>
    <r>
      <rPr>
        <b/>
        <sz val="12"/>
        <rFont val="Times New Roman"/>
        <family val="1"/>
      </rPr>
      <t>B Wing</t>
    </r>
    <r>
      <rPr>
        <sz val="12"/>
        <rFont val="Times New Roman"/>
        <family val="1"/>
      </rPr>
      <t xml:space="preserve"> = Lower Ground + Ground + 1st (Commerical + Podium Parking) + 2nd &amp; 3rd Podium + 4th Podium + 5th Floor + 6th to 30th Floor</t>
    </r>
  </si>
  <si>
    <t>Construction work is in process at the time of Visit. Internal Visit was not allowed (Slow Speed).</t>
  </si>
  <si>
    <t>11/08/2025.</t>
  </si>
  <si>
    <t>Shruti Tathare</t>
  </si>
  <si>
    <t>Mr. Krishna Kambali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</si>
</sst>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6">
    <xf numFmtId="0" fontId="0" fillId="0" borderId="0"/>
    <xf numFmtId="0" fontId="4" fillId="0" borderId="0"/>
    <xf numFmtId="0" fontId="6" fillId="0" borderId="0"/>
    <xf numFmtId="0" fontId="3" fillId="0" borderId="0"/>
    <xf numFmtId="0" fontId="6" fillId="0" borderId="0"/>
    <xf numFmtId="0" fontId="2" fillId="0" borderId="0"/>
    <xf numFmtId="165" fontId="6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0" fontId="2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1" fillId="0" borderId="0"/>
  </cellStyleXfs>
  <cellXfs count="314">
    <xf numFmtId="0" fontId="0" fillId="0" borderId="0" xfId="0"/>
    <xf numFmtId="0" fontId="8" fillId="0" borderId="0" xfId="0" applyFont="1" applyAlignment="1">
      <alignment horizontal="center" vertical="center"/>
    </xf>
    <xf numFmtId="0" fontId="0" fillId="3" borderId="1" xfId="0" applyFill="1" applyBorder="1"/>
    <xf numFmtId="0" fontId="0" fillId="0" borderId="2" xfId="0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0" fillId="0" borderId="1" xfId="0" applyBorder="1"/>
    <xf numFmtId="0" fontId="8" fillId="0" borderId="0" xfId="1" applyFont="1"/>
    <xf numFmtId="0" fontId="7" fillId="0" borderId="0" xfId="2" applyFont="1"/>
    <xf numFmtId="0" fontId="13" fillId="0" borderId="0" xfId="1" applyFont="1"/>
    <xf numFmtId="0" fontId="16" fillId="0" borderId="0" xfId="1" applyFont="1"/>
    <xf numFmtId="0" fontId="17" fillId="0" borderId="0" xfId="1" applyFont="1"/>
    <xf numFmtId="0" fontId="8" fillId="0" borderId="0" xfId="1" applyFont="1" applyProtection="1">
      <protection locked="0"/>
    </xf>
    <xf numFmtId="0" fontId="8" fillId="0" borderId="0" xfId="1" applyFont="1" applyProtection="1">
      <protection hidden="1"/>
    </xf>
    <xf numFmtId="0" fontId="8" fillId="0" borderId="11" xfId="1" applyFont="1" applyBorder="1" applyProtection="1">
      <protection hidden="1"/>
    </xf>
    <xf numFmtId="0" fontId="8" fillId="0" borderId="12" xfId="1" applyFont="1" applyBorder="1" applyProtection="1">
      <protection hidden="1"/>
    </xf>
    <xf numFmtId="0" fontId="8" fillId="0" borderId="13" xfId="1" applyFont="1" applyBorder="1" applyProtection="1">
      <protection hidden="1"/>
    </xf>
    <xf numFmtId="0" fontId="8" fillId="0" borderId="13" xfId="1" applyFont="1" applyBorder="1"/>
    <xf numFmtId="9" fontId="18" fillId="0" borderId="0" xfId="0" applyNumberFormat="1" applyFont="1" applyProtection="1">
      <protection hidden="1"/>
    </xf>
    <xf numFmtId="0" fontId="6" fillId="0" borderId="0" xfId="4"/>
    <xf numFmtId="0" fontId="2" fillId="0" borderId="0" xfId="5"/>
    <xf numFmtId="0" fontId="10" fillId="0" borderId="1" xfId="5" applyFont="1" applyBorder="1" applyAlignment="1">
      <alignment horizontal="center" vertical="top" wrapText="1"/>
    </xf>
    <xf numFmtId="0" fontId="20" fillId="0" borderId="0" xfId="4" applyFont="1"/>
    <xf numFmtId="0" fontId="2" fillId="0" borderId="1" xfId="5" applyBorder="1" applyAlignment="1">
      <alignment horizontal="center" vertical="center"/>
    </xf>
    <xf numFmtId="0" fontId="2" fillId="0" borderId="1" xfId="5" applyBorder="1" applyAlignment="1">
      <alignment horizontal="left" vertical="center"/>
    </xf>
    <xf numFmtId="1" fontId="2" fillId="0" borderId="1" xfId="5" applyNumberFormat="1" applyBorder="1" applyAlignment="1">
      <alignment horizontal="center" vertical="center"/>
    </xf>
    <xf numFmtId="166" fontId="2" fillId="0" borderId="1" xfId="6" applyNumberFormat="1" applyFont="1" applyBorder="1" applyAlignment="1">
      <alignment horizontal="right" vertical="center"/>
    </xf>
    <xf numFmtId="0" fontId="2" fillId="0" borderId="1" xfId="5" applyBorder="1" applyAlignment="1">
      <alignment horizontal="left" vertical="center" wrapText="1"/>
    </xf>
    <xf numFmtId="0" fontId="10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6" fillId="0" borderId="1" xfId="4" applyBorder="1" applyAlignment="1">
      <alignment horizontal="center" vertical="center"/>
    </xf>
    <xf numFmtId="9" fontId="9" fillId="0" borderId="19" xfId="8" applyFont="1" applyFill="1" applyBorder="1" applyAlignment="1" applyProtection="1">
      <alignment horizontal="center" vertical="top" wrapText="1"/>
      <protection locked="0"/>
    </xf>
    <xf numFmtId="1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8" fillId="0" borderId="0" xfId="0" applyFont="1" applyProtection="1">
      <protection hidden="1"/>
    </xf>
    <xf numFmtId="14" fontId="8" fillId="0" borderId="0" xfId="1" applyNumberFormat="1" applyFont="1"/>
    <xf numFmtId="1" fontId="8" fillId="0" borderId="0" xfId="1" applyNumberFormat="1" applyFont="1"/>
    <xf numFmtId="0" fontId="18" fillId="0" borderId="13" xfId="0" applyFont="1" applyBorder="1" applyProtection="1">
      <protection hidden="1"/>
    </xf>
    <xf numFmtId="0" fontId="13" fillId="0" borderId="5" xfId="1" applyFont="1" applyBorder="1" applyAlignment="1" applyProtection="1">
      <alignment horizontal="center" vertical="top"/>
      <protection locked="0"/>
    </xf>
    <xf numFmtId="0" fontId="18" fillId="0" borderId="14" xfId="0" applyFont="1" applyBorder="1" applyProtection="1">
      <protection hidden="1"/>
    </xf>
    <xf numFmtId="9" fontId="18" fillId="0" borderId="14" xfId="0" applyNumberFormat="1" applyFont="1" applyBorder="1" applyProtection="1">
      <protection hidden="1"/>
    </xf>
    <xf numFmtId="164" fontId="0" fillId="0" borderId="0" xfId="0" applyNumberFormat="1"/>
    <xf numFmtId="1" fontId="0" fillId="0" borderId="13" xfId="0" applyNumberFormat="1" applyBorder="1"/>
    <xf numFmtId="1" fontId="0" fillId="0" borderId="13" xfId="0" applyNumberFormat="1" applyBorder="1" applyAlignment="1">
      <alignment horizontal="right"/>
    </xf>
    <xf numFmtId="1" fontId="0" fillId="0" borderId="15" xfId="0" applyNumberFormat="1" applyBorder="1"/>
    <xf numFmtId="0" fontId="13" fillId="0" borderId="4" xfId="1" applyFont="1" applyBorder="1" applyAlignment="1" applyProtection="1">
      <alignment horizontal="center" vertical="top"/>
      <protection locked="0"/>
    </xf>
    <xf numFmtId="0" fontId="0" fillId="0" borderId="13" xfId="0" applyBorder="1"/>
    <xf numFmtId="1" fontId="0" fillId="0" borderId="0" xfId="0" applyNumberFormat="1"/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0" xfId="9" applyFont="1"/>
    <xf numFmtId="0" fontId="16" fillId="0" borderId="0" xfId="9" applyFont="1"/>
    <xf numFmtId="0" fontId="13" fillId="2" borderId="1" xfId="9" applyFont="1" applyFill="1" applyBorder="1" applyAlignment="1" applyProtection="1">
      <alignment horizontal="left" vertical="top"/>
      <protection locked="0"/>
    </xf>
    <xf numFmtId="0" fontId="13" fillId="2" borderId="1" xfId="9" applyFont="1" applyFill="1" applyBorder="1" applyAlignment="1" applyProtection="1">
      <alignment vertical="top"/>
      <protection locked="0"/>
    </xf>
    <xf numFmtId="0" fontId="13" fillId="0" borderId="0" xfId="9" applyFont="1"/>
    <xf numFmtId="0" fontId="14" fillId="2" borderId="1" xfId="9" applyFont="1" applyFill="1" applyBorder="1" applyAlignment="1" applyProtection="1">
      <alignment horizontal="left" vertical="top"/>
      <protection locked="0"/>
    </xf>
    <xf numFmtId="1" fontId="8" fillId="0" borderId="0" xfId="9" applyNumberFormat="1" applyFont="1"/>
    <xf numFmtId="14" fontId="8" fillId="0" borderId="0" xfId="9" applyNumberFormat="1" applyFont="1"/>
    <xf numFmtId="0" fontId="8" fillId="0" borderId="0" xfId="9" applyFont="1" applyProtection="1">
      <protection hidden="1"/>
    </xf>
    <xf numFmtId="0" fontId="8" fillId="0" borderId="11" xfId="9" applyFont="1" applyBorder="1" applyProtection="1">
      <protection hidden="1"/>
    </xf>
    <xf numFmtId="0" fontId="8" fillId="0" borderId="12" xfId="9" applyFont="1" applyBorder="1" applyProtection="1">
      <protection hidden="1"/>
    </xf>
    <xf numFmtId="0" fontId="13" fillId="0" borderId="4" xfId="9" applyFont="1" applyBorder="1" applyAlignment="1" applyProtection="1">
      <alignment horizontal="center" vertical="top"/>
      <protection locked="0"/>
    </xf>
    <xf numFmtId="0" fontId="13" fillId="0" borderId="1" xfId="9" applyFont="1" applyBorder="1" applyAlignment="1" applyProtection="1">
      <alignment horizontal="center" vertical="top"/>
      <protection locked="0"/>
    </xf>
    <xf numFmtId="0" fontId="13" fillId="0" borderId="5" xfId="9" applyFont="1" applyBorder="1" applyAlignment="1" applyProtection="1">
      <alignment horizontal="center" vertical="top"/>
      <protection locked="0"/>
    </xf>
    <xf numFmtId="0" fontId="8" fillId="0" borderId="13" xfId="9" applyFont="1" applyBorder="1" applyProtection="1">
      <protection hidden="1"/>
    </xf>
    <xf numFmtId="0" fontId="13" fillId="0" borderId="1" xfId="9" applyFont="1" applyBorder="1" applyAlignment="1" applyProtection="1">
      <alignment horizontal="center" vertical="top" wrapText="1"/>
      <protection locked="0"/>
    </xf>
    <xf numFmtId="0" fontId="8" fillId="0" borderId="13" xfId="9" applyFont="1" applyBorder="1"/>
    <xf numFmtId="0" fontId="13" fillId="0" borderId="1" xfId="9" applyFont="1" applyBorder="1" applyAlignment="1" applyProtection="1">
      <alignment horizontal="center" wrapText="1"/>
      <protection locked="0"/>
    </xf>
    <xf numFmtId="9" fontId="13" fillId="2" borderId="1" xfId="9" applyNumberFormat="1" applyFont="1" applyFill="1" applyBorder="1" applyAlignment="1" applyProtection="1">
      <alignment horizontal="center" vertical="center" wrapText="1"/>
      <protection hidden="1"/>
    </xf>
    <xf numFmtId="1" fontId="13" fillId="0" borderId="1" xfId="9" applyNumberFormat="1" applyFont="1" applyBorder="1" applyAlignment="1" applyProtection="1">
      <alignment horizontal="center" wrapText="1"/>
      <protection locked="0"/>
    </xf>
    <xf numFmtId="0" fontId="13" fillId="0" borderId="7" xfId="9" applyFont="1" applyBorder="1" applyAlignment="1" applyProtection="1">
      <alignment horizontal="center" wrapText="1"/>
      <protection locked="0"/>
    </xf>
    <xf numFmtId="9" fontId="13" fillId="2" borderId="7" xfId="9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9" applyFont="1"/>
    <xf numFmtId="1" fontId="9" fillId="0" borderId="3" xfId="9" applyNumberFormat="1" applyFont="1" applyBorder="1" applyAlignment="1" applyProtection="1">
      <alignment horizontal="center" vertical="top" wrapText="1"/>
      <protection locked="0"/>
    </xf>
    <xf numFmtId="0" fontId="8" fillId="0" borderId="0" xfId="9" applyFont="1" applyAlignment="1">
      <alignment horizontal="center" vertical="center"/>
    </xf>
    <xf numFmtId="1" fontId="7" fillId="0" borderId="1" xfId="9" applyNumberFormat="1" applyFont="1" applyBorder="1" applyAlignment="1" applyProtection="1">
      <alignment horizontal="center" vertical="center" wrapText="1"/>
      <protection locked="0"/>
    </xf>
    <xf numFmtId="1" fontId="8" fillId="0" borderId="0" xfId="9" applyNumberFormat="1" applyFont="1" applyAlignment="1">
      <alignment horizontal="center" vertical="center"/>
    </xf>
    <xf numFmtId="1" fontId="13" fillId="0" borderId="1" xfId="9" applyNumberFormat="1" applyFont="1" applyBorder="1" applyAlignment="1" applyProtection="1">
      <alignment horizontal="center" vertical="center" wrapText="1"/>
      <protection locked="0"/>
    </xf>
    <xf numFmtId="0" fontId="9" fillId="0" borderId="0" xfId="9" applyFont="1" applyAlignment="1" applyProtection="1">
      <alignment vertical="top"/>
      <protection locked="0"/>
    </xf>
    <xf numFmtId="0" fontId="9" fillId="0" borderId="0" xfId="9" applyFont="1" applyAlignment="1" applyProtection="1">
      <alignment vertical="top" wrapText="1"/>
      <protection locked="0"/>
    </xf>
    <xf numFmtId="0" fontId="8" fillId="0" borderId="0" xfId="9" applyFont="1" applyProtection="1">
      <protection locked="0"/>
    </xf>
    <xf numFmtId="0" fontId="11" fillId="0" borderId="0" xfId="9" applyFont="1" applyProtection="1"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" fontId="9" fillId="0" borderId="3" xfId="1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vertical="top"/>
      <protection locked="0"/>
    </xf>
    <xf numFmtId="0" fontId="13" fillId="0" borderId="1" xfId="1" applyFont="1" applyBorder="1" applyAlignment="1" applyProtection="1">
      <alignment horizontal="center" wrapText="1"/>
      <protection locked="0"/>
    </xf>
    <xf numFmtId="9" fontId="13" fillId="0" borderId="1" xfId="1" applyNumberFormat="1" applyFont="1" applyBorder="1" applyAlignment="1" applyProtection="1">
      <alignment horizontal="center" vertical="center" wrapText="1"/>
      <protection hidden="1"/>
    </xf>
    <xf numFmtId="0" fontId="13" fillId="0" borderId="7" xfId="1" applyFont="1" applyBorder="1" applyAlignment="1" applyProtection="1">
      <alignment horizontal="center" wrapText="1"/>
      <protection locked="0"/>
    </xf>
    <xf numFmtId="9" fontId="13" fillId="0" borderId="7" xfId="1" applyNumberFormat="1" applyFont="1" applyBorder="1" applyAlignment="1" applyProtection="1">
      <alignment horizontal="center" vertical="center" wrapText="1"/>
      <protection hidden="1"/>
    </xf>
    <xf numFmtId="0" fontId="9" fillId="0" borderId="0" xfId="1" applyFont="1" applyAlignment="1" applyProtection="1">
      <alignment vertical="top"/>
      <protection locked="0"/>
    </xf>
    <xf numFmtId="0" fontId="9" fillId="0" borderId="0" xfId="1" applyFont="1" applyAlignment="1" applyProtection="1">
      <alignment vertical="top" wrapText="1"/>
      <protection locked="0"/>
    </xf>
    <xf numFmtId="0" fontId="11" fillId="0" borderId="0" xfId="1" applyFont="1" applyProtection="1">
      <protection locked="0"/>
    </xf>
    <xf numFmtId="0" fontId="11" fillId="0" borderId="0" xfId="0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8" fillId="0" borderId="0" xfId="11" applyFont="1"/>
    <xf numFmtId="14" fontId="8" fillId="0" borderId="0" xfId="11" applyNumberFormat="1" applyFont="1"/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24" fillId="0" borderId="0" xfId="10" applyAlignment="1">
      <alignment vertical="top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1" applyNumberFormat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1" fillId="0" borderId="0" xfId="0" applyNumberFormat="1" applyFont="1" applyAlignment="1">
      <alignment horizontal="center" vertical="center"/>
    </xf>
    <xf numFmtId="0" fontId="13" fillId="0" borderId="0" xfId="1" applyFont="1" applyFill="1" applyProtection="1">
      <protection hidden="1"/>
    </xf>
    <xf numFmtId="0" fontId="16" fillId="0" borderId="0" xfId="1" applyFont="1" applyAlignment="1">
      <alignment vertical="top"/>
    </xf>
    <xf numFmtId="0" fontId="13" fillId="0" borderId="1" xfId="1" applyFont="1" applyBorder="1" applyAlignment="1" applyProtection="1">
      <alignment horizontal="center" vertical="top" wrapText="1"/>
      <protection locked="0"/>
    </xf>
    <xf numFmtId="9" fontId="13" fillId="0" borderId="1" xfId="1" applyNumberFormat="1" applyFont="1" applyBorder="1" applyAlignment="1" applyProtection="1">
      <alignment horizontal="center" vertical="center" wrapText="1"/>
      <protection hidden="1"/>
    </xf>
    <xf numFmtId="9" fontId="13" fillId="0" borderId="7" xfId="1" applyNumberFormat="1" applyFont="1" applyBorder="1" applyAlignment="1" applyProtection="1">
      <alignment horizontal="center" vertical="center" wrapText="1"/>
      <protection hidden="1"/>
    </xf>
    <xf numFmtId="0" fontId="13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Fill="1" applyBorder="1" applyAlignment="1" applyProtection="1">
      <alignment horizontal="center" vertical="center"/>
      <protection locked="0"/>
    </xf>
    <xf numFmtId="1" fontId="13" fillId="0" borderId="1" xfId="1" applyNumberFormat="1" applyFont="1" applyBorder="1" applyAlignment="1" applyProtection="1">
      <alignment horizontal="center" wrapText="1"/>
      <protection locked="0"/>
    </xf>
    <xf numFmtId="0" fontId="8" fillId="0" borderId="0" xfId="1" applyFont="1" applyFill="1" applyAlignment="1">
      <alignment horizontal="center" vertical="center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6" xfId="1" applyFont="1" applyBorder="1" applyAlignment="1" applyProtection="1">
      <alignment horizontal="center" vertical="top" wrapText="1"/>
      <protection locked="0"/>
    </xf>
    <xf numFmtId="0" fontId="13" fillId="0" borderId="7" xfId="1" applyFont="1" applyBorder="1" applyAlignment="1" applyProtection="1">
      <alignment horizontal="center" vertical="top" wrapText="1"/>
      <protection locked="0"/>
    </xf>
    <xf numFmtId="1" fontId="14" fillId="0" borderId="9" xfId="0" applyNumberFormat="1" applyFont="1" applyBorder="1" applyAlignment="1" applyProtection="1">
      <alignment vertical="top" wrapText="1"/>
      <protection locked="0"/>
    </xf>
    <xf numFmtId="1" fontId="14" fillId="0" borderId="24" xfId="0" applyNumberFormat="1" applyFont="1" applyBorder="1" applyAlignment="1" applyProtection="1">
      <alignment vertical="top" wrapText="1"/>
      <protection locked="0"/>
    </xf>
    <xf numFmtId="1" fontId="14" fillId="0" borderId="10" xfId="0" applyNumberFormat="1" applyFont="1" applyBorder="1" applyAlignment="1" applyProtection="1">
      <alignment vertical="top" wrapText="1"/>
      <protection locked="0"/>
    </xf>
    <xf numFmtId="0" fontId="8" fillId="0" borderId="0" xfId="1" applyFont="1" applyAlignment="1">
      <alignment horizontal="center" vertical="center"/>
    </xf>
    <xf numFmtId="1" fontId="7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28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29" xfId="1" applyNumberFormat="1" applyFont="1" applyFill="1" applyBorder="1" applyAlignment="1" applyProtection="1">
      <alignment horizontal="center" vertical="center" wrapText="1"/>
      <protection locked="0"/>
    </xf>
    <xf numFmtId="1" fontId="9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9" fillId="0" borderId="24" xfId="1" applyNumberFormat="1" applyFont="1" applyFill="1" applyBorder="1" applyAlignment="1" applyProtection="1">
      <alignment horizontal="center" vertical="center" wrapText="1"/>
      <protection locked="0"/>
    </xf>
    <xf numFmtId="1" fontId="9" fillId="0" borderId="10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22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23" xfId="1" applyNumberFormat="1" applyFont="1" applyFill="1" applyBorder="1" applyAlignment="1" applyProtection="1">
      <alignment horizontal="center" vertical="center" wrapText="1"/>
      <protection locked="0"/>
    </xf>
    <xf numFmtId="1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9" fillId="0" borderId="20" xfId="1" applyNumberFormat="1" applyFont="1" applyBorder="1" applyAlignment="1" applyProtection="1">
      <alignment horizontal="center" vertical="top" wrapText="1"/>
      <protection locked="0"/>
    </xf>
    <xf numFmtId="1" fontId="9" fillId="0" borderId="22" xfId="1" applyNumberFormat="1" applyFont="1" applyBorder="1" applyAlignment="1" applyProtection="1">
      <alignment horizontal="center" vertical="top" wrapText="1"/>
      <protection locked="0"/>
    </xf>
    <xf numFmtId="0" fontId="7" fillId="0" borderId="9" xfId="1" applyFont="1" applyBorder="1" applyAlignment="1" applyProtection="1">
      <alignment horizontal="left" vertical="top"/>
      <protection locked="0"/>
    </xf>
    <xf numFmtId="0" fontId="7" fillId="0" borderId="24" xfId="1" applyFont="1" applyBorder="1" applyAlignment="1" applyProtection="1">
      <alignment horizontal="left" vertical="top"/>
      <protection locked="0"/>
    </xf>
    <xf numFmtId="0" fontId="7" fillId="0" borderId="10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 wrapText="1"/>
      <protection locked="0"/>
    </xf>
    <xf numFmtId="0" fontId="13" fillId="0" borderId="24" xfId="1" applyFont="1" applyBorder="1" applyAlignment="1" applyProtection="1">
      <alignment horizontal="left" vertical="top" wrapText="1"/>
      <protection locked="0"/>
    </xf>
    <xf numFmtId="0" fontId="13" fillId="0" borderId="10" xfId="1" applyFont="1" applyBorder="1" applyAlignment="1" applyProtection="1">
      <alignment horizontal="left" vertical="top" wrapText="1"/>
      <protection locked="0"/>
    </xf>
    <xf numFmtId="1" fontId="7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9" fillId="0" borderId="1" xfId="1" applyFont="1" applyBorder="1" applyAlignment="1" applyProtection="1">
      <alignment horizontal="center" vertical="top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64" fontId="7" fillId="0" borderId="1" xfId="1" applyNumberFormat="1" applyFont="1" applyBorder="1" applyAlignment="1" applyProtection="1">
      <alignment horizontal="left" vertical="top"/>
      <protection locked="0"/>
    </xf>
    <xf numFmtId="2" fontId="7" fillId="0" borderId="1" xfId="1" applyNumberFormat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left" vertical="top"/>
      <protection locked="0"/>
    </xf>
    <xf numFmtId="1" fontId="11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2" fontId="7" fillId="0" borderId="1" xfId="1" applyNumberFormat="1" applyFont="1" applyBorder="1" applyAlignment="1" applyProtection="1">
      <alignment horizontal="left" vertical="top" wrapText="1"/>
      <protection locked="0"/>
    </xf>
    <xf numFmtId="0" fontId="14" fillId="0" borderId="1" xfId="1" applyFont="1" applyBorder="1" applyAlignment="1" applyProtection="1">
      <alignment horizontal="center" vertical="top"/>
      <protection locked="0"/>
    </xf>
    <xf numFmtId="0" fontId="9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4" fillId="0" borderId="1" xfId="1" applyFont="1" applyBorder="1" applyAlignment="1" applyProtection="1">
      <alignment horizontal="center"/>
      <protection locked="0"/>
    </xf>
    <xf numFmtId="0" fontId="8" fillId="0" borderId="1" xfId="1" applyFont="1" applyBorder="1" applyAlignment="1" applyProtection="1">
      <alignment horizontal="left"/>
      <protection locked="0"/>
    </xf>
    <xf numFmtId="0" fontId="24" fillId="0" borderId="1" xfId="10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67" fontId="7" fillId="0" borderId="1" xfId="1" applyNumberFormat="1" applyFont="1" applyBorder="1" applyAlignment="1" applyProtection="1">
      <alignment horizontal="left" vertical="top" wrapText="1"/>
      <protection locked="0"/>
    </xf>
    <xf numFmtId="167" fontId="7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center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/>
      <protection locked="0"/>
    </xf>
    <xf numFmtId="167" fontId="13" fillId="0" borderId="1" xfId="1" applyNumberFormat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left" vertical="top" wrapText="1"/>
      <protection locked="0"/>
    </xf>
    <xf numFmtId="0" fontId="9" fillId="0" borderId="1" xfId="1" applyFont="1" applyBorder="1" applyAlignment="1" applyProtection="1">
      <alignment vertical="top"/>
      <protection locked="0"/>
    </xf>
    <xf numFmtId="1" fontId="7" fillId="0" borderId="9" xfId="1" applyNumberFormat="1" applyFont="1" applyBorder="1" applyAlignment="1" applyProtection="1">
      <alignment horizontal="center" vertical="center" wrapText="1"/>
      <protection locked="0"/>
    </xf>
    <xf numFmtId="1" fontId="7" fillId="0" borderId="24" xfId="1" applyNumberFormat="1" applyFont="1" applyBorder="1" applyAlignment="1" applyProtection="1">
      <alignment horizontal="center" vertical="center" wrapText="1"/>
      <protection locked="0"/>
    </xf>
    <xf numFmtId="1" fontId="7" fillId="0" borderId="10" xfId="1" applyNumberFormat="1" applyFont="1" applyBorder="1" applyAlignment="1" applyProtection="1">
      <alignment horizontal="center" vertical="center" wrapText="1"/>
      <protection locked="0"/>
    </xf>
    <xf numFmtId="1" fontId="9" fillId="0" borderId="3" xfId="1" applyNumberFormat="1" applyFont="1" applyBorder="1" applyAlignment="1" applyProtection="1">
      <alignment horizontal="center" vertical="top" wrapText="1"/>
      <protection locked="0"/>
    </xf>
    <xf numFmtId="1" fontId="9" fillId="0" borderId="19" xfId="1" applyNumberFormat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/>
      <protection locked="0"/>
    </xf>
    <xf numFmtId="0" fontId="13" fillId="0" borderId="17" xfId="1" applyFont="1" applyBorder="1" applyAlignment="1" applyProtection="1">
      <alignment horizontal="left" vertical="top"/>
      <protection locked="0"/>
    </xf>
    <xf numFmtId="0" fontId="13" fillId="0" borderId="18" xfId="1" applyFont="1" applyBorder="1" applyAlignment="1" applyProtection="1">
      <alignment horizontal="left" vertical="top"/>
      <protection locked="0"/>
    </xf>
    <xf numFmtId="0" fontId="14" fillId="0" borderId="4" xfId="1" applyFont="1" applyBorder="1" applyAlignment="1" applyProtection="1">
      <alignment horizontal="left" vertical="top"/>
      <protection locked="0"/>
    </xf>
    <xf numFmtId="0" fontId="14" fillId="0" borderId="5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3" fillId="0" borderId="5" xfId="1" applyFont="1" applyBorder="1" applyAlignment="1" applyProtection="1">
      <alignment horizontal="center" vertical="top" wrapText="1"/>
      <protection locked="0"/>
    </xf>
    <xf numFmtId="9" fontId="13" fillId="0" borderId="1" xfId="1" applyNumberFormat="1" applyFont="1" applyBorder="1" applyAlignment="1" applyProtection="1">
      <alignment horizontal="center" vertical="center" wrapText="1"/>
      <protection hidden="1"/>
    </xf>
    <xf numFmtId="9" fontId="13" fillId="0" borderId="7" xfId="1" applyNumberFormat="1" applyFont="1" applyBorder="1" applyAlignment="1" applyProtection="1">
      <alignment horizontal="center" vertical="center" wrapText="1"/>
      <protection hidden="1"/>
    </xf>
    <xf numFmtId="9" fontId="13" fillId="0" borderId="5" xfId="1" applyNumberFormat="1" applyFont="1" applyBorder="1" applyAlignment="1" applyProtection="1">
      <alignment horizontal="center" vertical="center" wrapText="1"/>
      <protection hidden="1"/>
    </xf>
    <xf numFmtId="9" fontId="13" fillId="0" borderId="8" xfId="1" applyNumberFormat="1" applyFont="1" applyBorder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top"/>
      <protection locked="0"/>
    </xf>
    <xf numFmtId="1" fontId="5" fillId="0" borderId="3" xfId="1" applyNumberFormat="1" applyFont="1" applyBorder="1" applyAlignment="1" applyProtection="1">
      <alignment horizontal="center" vertical="top" wrapText="1"/>
      <protection locked="0"/>
    </xf>
    <xf numFmtId="1" fontId="5" fillId="0" borderId="19" xfId="1" applyNumberFormat="1" applyFont="1" applyBorder="1" applyAlignment="1" applyProtection="1">
      <alignment horizontal="center" vertical="top" wrapText="1"/>
      <protection locked="0"/>
    </xf>
    <xf numFmtId="1" fontId="9" fillId="0" borderId="21" xfId="1" applyNumberFormat="1" applyFont="1" applyBorder="1" applyAlignment="1" applyProtection="1">
      <alignment horizontal="center" vertical="top" wrapText="1"/>
      <protection locked="0"/>
    </xf>
    <xf numFmtId="1" fontId="9" fillId="0" borderId="23" xfId="1" applyNumberFormat="1" applyFont="1" applyBorder="1" applyAlignment="1" applyProtection="1">
      <alignment horizontal="center" vertical="top" wrapText="1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1" fontId="7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167" fontId="14" fillId="0" borderId="1" xfId="1" applyNumberFormat="1" applyFont="1" applyBorder="1" applyAlignment="1" applyProtection="1">
      <alignment horizontal="left" vertical="top" wrapText="1"/>
      <protection locked="0"/>
    </xf>
    <xf numFmtId="1" fontId="9" fillId="0" borderId="9" xfId="0" applyNumberFormat="1" applyFont="1" applyBorder="1" applyAlignment="1" applyProtection="1">
      <alignment vertical="top" wrapText="1"/>
      <protection locked="0"/>
    </xf>
    <xf numFmtId="1" fontId="9" fillId="0" borderId="24" xfId="0" applyNumberFormat="1" applyFont="1" applyBorder="1" applyAlignment="1" applyProtection="1">
      <alignment vertical="top" wrapText="1"/>
      <protection locked="0"/>
    </xf>
    <xf numFmtId="1" fontId="9" fillId="0" borderId="10" xfId="0" applyNumberFormat="1" applyFont="1" applyBorder="1" applyAlignment="1" applyProtection="1">
      <alignment vertical="top" wrapText="1"/>
      <protection locked="0"/>
    </xf>
    <xf numFmtId="1" fontId="7" fillId="0" borderId="3" xfId="0" applyNumberFormat="1" applyFont="1" applyBorder="1" applyAlignment="1" applyProtection="1">
      <alignment horizontal="center" vertical="center"/>
      <protection locked="0"/>
    </xf>
    <xf numFmtId="1" fontId="7" fillId="0" borderId="19" xfId="0" applyNumberFormat="1" applyFont="1" applyBorder="1" applyAlignment="1" applyProtection="1">
      <alignment horizontal="center" vertical="center"/>
      <protection locked="0"/>
    </xf>
    <xf numFmtId="0" fontId="8" fillId="0" borderId="0" xfId="1" applyFont="1" applyFill="1" applyAlignment="1">
      <alignment horizontal="center" vertical="center"/>
    </xf>
    <xf numFmtId="1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9" xfId="1" applyFont="1" applyFill="1" applyBorder="1" applyAlignment="1">
      <alignment horizontal="center"/>
    </xf>
    <xf numFmtId="0" fontId="8" fillId="4" borderId="24" xfId="1" applyFont="1" applyFill="1" applyBorder="1" applyAlignment="1">
      <alignment horizontal="center"/>
    </xf>
    <xf numFmtId="0" fontId="8" fillId="4" borderId="10" xfId="1" applyFont="1" applyFill="1" applyBorder="1" applyAlignment="1">
      <alignment horizontal="center"/>
    </xf>
    <xf numFmtId="0" fontId="14" fillId="0" borderId="25" xfId="1" applyFont="1" applyBorder="1" applyAlignment="1" applyProtection="1">
      <alignment horizontal="center" vertical="top" wrapText="1"/>
      <protection locked="0"/>
    </xf>
    <xf numFmtId="0" fontId="14" fillId="0" borderId="18" xfId="1" applyFont="1" applyBorder="1" applyAlignment="1" applyProtection="1">
      <alignment horizontal="center" vertical="top" wrapText="1"/>
      <protection locked="0"/>
    </xf>
    <xf numFmtId="0" fontId="14" fillId="0" borderId="16" xfId="1" applyFont="1" applyBorder="1" applyAlignment="1" applyProtection="1">
      <alignment horizontal="left" vertical="top" wrapText="1"/>
      <protection locked="0"/>
    </xf>
    <xf numFmtId="0" fontId="14" fillId="0" borderId="17" xfId="1" applyFont="1" applyBorder="1" applyAlignment="1" applyProtection="1">
      <alignment horizontal="left" vertical="top" wrapText="1"/>
      <protection locked="0"/>
    </xf>
    <xf numFmtId="0" fontId="14" fillId="0" borderId="26" xfId="1" applyFont="1" applyBorder="1" applyAlignment="1" applyProtection="1">
      <alignment horizontal="left" vertical="top" wrapText="1"/>
      <protection locked="0"/>
    </xf>
    <xf numFmtId="0" fontId="14" fillId="0" borderId="1" xfId="9" applyFont="1" applyBorder="1" applyAlignment="1" applyProtection="1">
      <alignment horizontal="center" vertical="top" wrapText="1"/>
      <protection locked="0"/>
    </xf>
    <xf numFmtId="0" fontId="7" fillId="0" borderId="1" xfId="9" applyFont="1" applyBorder="1" applyAlignment="1" applyProtection="1">
      <alignment horizontal="left" vertical="top"/>
      <protection locked="0"/>
    </xf>
    <xf numFmtId="0" fontId="7" fillId="0" borderId="1" xfId="9" applyFont="1" applyBorder="1" applyAlignment="1" applyProtection="1">
      <alignment horizontal="left" vertical="top" wrapText="1"/>
      <protection locked="0"/>
    </xf>
    <xf numFmtId="0" fontId="15" fillId="0" borderId="1" xfId="9" applyFont="1" applyBorder="1" applyAlignment="1" applyProtection="1">
      <alignment horizontal="center" vertical="top" wrapText="1"/>
      <protection locked="0"/>
    </xf>
    <xf numFmtId="0" fontId="9" fillId="0" borderId="1" xfId="9" applyFont="1" applyBorder="1" applyAlignment="1" applyProtection="1">
      <alignment vertical="top"/>
      <protection locked="0"/>
    </xf>
    <xf numFmtId="0" fontId="7" fillId="0" borderId="1" xfId="9" applyFont="1" applyBorder="1" applyAlignment="1" applyProtection="1">
      <alignment vertical="top"/>
      <protection locked="0"/>
    </xf>
    <xf numFmtId="1" fontId="7" fillId="0" borderId="1" xfId="9" applyNumberFormat="1" applyFont="1" applyBorder="1" applyAlignment="1" applyProtection="1">
      <alignment horizontal="center" vertical="center" wrapText="1"/>
      <protection locked="0"/>
    </xf>
    <xf numFmtId="1" fontId="9" fillId="0" borderId="1" xfId="9" applyNumberFormat="1" applyFont="1" applyBorder="1" applyAlignment="1" applyProtection="1">
      <alignment horizontal="center" vertical="center" wrapText="1"/>
      <protection locked="0"/>
    </xf>
    <xf numFmtId="0" fontId="8" fillId="0" borderId="0" xfId="9" applyFont="1" applyAlignment="1">
      <alignment horizontal="center" vertical="center"/>
    </xf>
    <xf numFmtId="1" fontId="7" fillId="0" borderId="9" xfId="9" applyNumberFormat="1" applyFont="1" applyBorder="1" applyAlignment="1" applyProtection="1">
      <alignment horizontal="center" vertical="center" wrapText="1"/>
      <protection locked="0"/>
    </xf>
    <xf numFmtId="1" fontId="7" fillId="0" borderId="10" xfId="9" applyNumberFormat="1" applyFont="1" applyBorder="1" applyAlignment="1" applyProtection="1">
      <alignment horizontal="center" vertical="center" wrapText="1"/>
      <protection locked="0"/>
    </xf>
    <xf numFmtId="1" fontId="9" fillId="0" borderId="9" xfId="9" applyNumberFormat="1" applyFont="1" applyBorder="1" applyAlignment="1" applyProtection="1">
      <alignment horizontal="center" vertical="center" wrapText="1"/>
      <protection locked="0"/>
    </xf>
    <xf numFmtId="1" fontId="9" fillId="0" borderId="24" xfId="9" applyNumberFormat="1" applyFont="1" applyBorder="1" applyAlignment="1" applyProtection="1">
      <alignment horizontal="center" vertical="center" wrapText="1"/>
      <protection locked="0"/>
    </xf>
    <xf numFmtId="1" fontId="9" fillId="0" borderId="10" xfId="9" applyNumberFormat="1" applyFont="1" applyBorder="1" applyAlignment="1" applyProtection="1">
      <alignment horizontal="center" vertical="center" wrapText="1"/>
      <protection locked="0"/>
    </xf>
    <xf numFmtId="1" fontId="9" fillId="0" borderId="20" xfId="9" applyNumberFormat="1" applyFont="1" applyBorder="1" applyAlignment="1" applyProtection="1">
      <alignment horizontal="center" vertical="top" wrapText="1"/>
      <protection locked="0"/>
    </xf>
    <xf numFmtId="1" fontId="9" fillId="0" borderId="21" xfId="9" applyNumberFormat="1" applyFont="1" applyBorder="1" applyAlignment="1" applyProtection="1">
      <alignment horizontal="center" vertical="top" wrapText="1"/>
      <protection locked="0"/>
    </xf>
    <xf numFmtId="1" fontId="9" fillId="0" borderId="22" xfId="9" applyNumberFormat="1" applyFont="1" applyBorder="1" applyAlignment="1" applyProtection="1">
      <alignment horizontal="center" vertical="top" wrapText="1"/>
      <protection locked="0"/>
    </xf>
    <xf numFmtId="1" fontId="9" fillId="0" borderId="23" xfId="9" applyNumberFormat="1" applyFont="1" applyBorder="1" applyAlignment="1" applyProtection="1">
      <alignment horizontal="center" vertical="top" wrapText="1"/>
      <protection locked="0"/>
    </xf>
    <xf numFmtId="1" fontId="7" fillId="0" borderId="24" xfId="9" applyNumberFormat="1" applyFont="1" applyBorder="1" applyAlignment="1" applyProtection="1">
      <alignment horizontal="center" vertical="center" wrapText="1"/>
      <protection locked="0"/>
    </xf>
    <xf numFmtId="1" fontId="9" fillId="0" borderId="3" xfId="9" applyNumberFormat="1" applyFont="1" applyBorder="1" applyAlignment="1" applyProtection="1">
      <alignment horizontal="center" vertical="top" wrapText="1"/>
      <protection locked="0"/>
    </xf>
    <xf numFmtId="1" fontId="9" fillId="0" borderId="19" xfId="9" applyNumberFormat="1" applyFont="1" applyBorder="1" applyAlignment="1" applyProtection="1">
      <alignment horizontal="center" vertical="top" wrapText="1"/>
      <protection locked="0"/>
    </xf>
    <xf numFmtId="1" fontId="5" fillId="0" borderId="3" xfId="9" applyNumberFormat="1" applyFont="1" applyBorder="1" applyAlignment="1" applyProtection="1">
      <alignment horizontal="center" vertical="top" wrapText="1"/>
      <protection locked="0"/>
    </xf>
    <xf numFmtId="1" fontId="5" fillId="0" borderId="19" xfId="9" applyNumberFormat="1" applyFont="1" applyBorder="1" applyAlignment="1" applyProtection="1">
      <alignment horizontal="center" vertical="top" wrapText="1"/>
      <protection locked="0"/>
    </xf>
    <xf numFmtId="0" fontId="9" fillId="0" borderId="1" xfId="9" applyFont="1" applyBorder="1" applyAlignment="1" applyProtection="1">
      <alignment horizontal="center" vertical="top"/>
      <protection locked="0"/>
    </xf>
    <xf numFmtId="0" fontId="13" fillId="2" borderId="1" xfId="9" applyFont="1" applyFill="1" applyBorder="1" applyAlignment="1" applyProtection="1">
      <alignment horizontal="left" vertical="top"/>
      <protection locked="0"/>
    </xf>
    <xf numFmtId="0" fontId="13" fillId="2" borderId="1" xfId="9" applyFont="1" applyFill="1" applyBorder="1" applyAlignment="1" applyProtection="1">
      <alignment horizontal="left" vertical="top" wrapText="1"/>
      <protection locked="0"/>
    </xf>
    <xf numFmtId="0" fontId="9" fillId="0" borderId="1" xfId="9" applyFont="1" applyBorder="1" applyAlignment="1" applyProtection="1">
      <alignment horizontal="left" vertical="top"/>
      <protection locked="0"/>
    </xf>
    <xf numFmtId="0" fontId="13" fillId="0" borderId="4" xfId="9" applyFont="1" applyBorder="1" applyAlignment="1" applyProtection="1">
      <alignment horizontal="center" vertical="top" wrapText="1"/>
      <protection locked="0"/>
    </xf>
    <xf numFmtId="0" fontId="13" fillId="0" borderId="1" xfId="9" applyFont="1" applyBorder="1" applyAlignment="1" applyProtection="1">
      <alignment horizontal="center" vertical="top" wrapText="1"/>
      <protection locked="0"/>
    </xf>
    <xf numFmtId="0" fontId="13" fillId="0" borderId="6" xfId="9" applyFont="1" applyBorder="1" applyAlignment="1" applyProtection="1">
      <alignment horizontal="center" vertical="top" wrapText="1"/>
      <protection locked="0"/>
    </xf>
    <xf numFmtId="0" fontId="13" fillId="0" borderId="7" xfId="9" applyFont="1" applyBorder="1" applyAlignment="1" applyProtection="1">
      <alignment horizontal="center" vertical="top" wrapText="1"/>
      <protection locked="0"/>
    </xf>
    <xf numFmtId="0" fontId="13" fillId="0" borderId="16" xfId="9" applyFont="1" applyBorder="1" applyAlignment="1" applyProtection="1">
      <alignment horizontal="left" vertical="top"/>
      <protection locked="0"/>
    </xf>
    <xf numFmtId="0" fontId="13" fillId="0" borderId="17" xfId="9" applyFont="1" applyBorder="1" applyAlignment="1" applyProtection="1">
      <alignment horizontal="left" vertical="top"/>
      <protection locked="0"/>
    </xf>
    <xf numFmtId="0" fontId="13" fillId="0" borderId="18" xfId="9" applyFont="1" applyBorder="1" applyAlignment="1" applyProtection="1">
      <alignment horizontal="left" vertical="top"/>
      <protection locked="0"/>
    </xf>
    <xf numFmtId="0" fontId="14" fillId="0" borderId="1" xfId="9" applyFont="1" applyBorder="1" applyAlignment="1" applyProtection="1">
      <alignment horizontal="left" vertical="top"/>
      <protection locked="0"/>
    </xf>
    <xf numFmtId="0" fontId="14" fillId="0" borderId="1" xfId="9" applyFont="1" applyBorder="1" applyAlignment="1" applyProtection="1">
      <alignment horizontal="left" vertical="top" wrapText="1"/>
      <protection locked="0"/>
    </xf>
    <xf numFmtId="9" fontId="13" fillId="2" borderId="1" xfId="9" applyNumberFormat="1" applyFont="1" applyFill="1" applyBorder="1" applyAlignment="1" applyProtection="1">
      <alignment horizontal="center" vertical="center" wrapText="1"/>
      <protection hidden="1"/>
    </xf>
    <xf numFmtId="9" fontId="13" fillId="2" borderId="7" xfId="9" applyNumberFormat="1" applyFont="1" applyFill="1" applyBorder="1" applyAlignment="1" applyProtection="1">
      <alignment horizontal="center" vertical="center" wrapText="1"/>
      <protection hidden="1"/>
    </xf>
    <xf numFmtId="9" fontId="13" fillId="2" borderId="5" xfId="9" applyNumberFormat="1" applyFont="1" applyFill="1" applyBorder="1" applyAlignment="1" applyProtection="1">
      <alignment horizontal="center" vertical="center" wrapText="1"/>
      <protection hidden="1"/>
    </xf>
    <xf numFmtId="9" fontId="13" fillId="2" borderId="8" xfId="9" applyNumberFormat="1" applyFont="1" applyFill="1" applyBorder="1" applyAlignment="1" applyProtection="1">
      <alignment horizontal="center" vertical="center" wrapText="1"/>
      <protection hidden="1"/>
    </xf>
    <xf numFmtId="0" fontId="14" fillId="0" borderId="25" xfId="9" applyFont="1" applyBorder="1" applyAlignment="1" applyProtection="1">
      <alignment horizontal="center" vertical="top" wrapText="1"/>
      <protection locked="0"/>
    </xf>
    <xf numFmtId="0" fontId="14" fillId="0" borderId="18" xfId="9" applyFont="1" applyBorder="1" applyAlignment="1" applyProtection="1">
      <alignment horizontal="center" vertical="top" wrapText="1"/>
      <protection locked="0"/>
    </xf>
    <xf numFmtId="0" fontId="14" fillId="0" borderId="16" xfId="9" applyFont="1" applyBorder="1" applyAlignment="1" applyProtection="1">
      <alignment horizontal="left" vertical="top" wrapText="1"/>
      <protection locked="0"/>
    </xf>
    <xf numFmtId="0" fontId="14" fillId="0" borderId="17" xfId="9" applyFont="1" applyBorder="1" applyAlignment="1" applyProtection="1">
      <alignment horizontal="left" vertical="top" wrapText="1"/>
      <protection locked="0"/>
    </xf>
    <xf numFmtId="0" fontId="14" fillId="0" borderId="26" xfId="9" applyFont="1" applyBorder="1" applyAlignment="1" applyProtection="1">
      <alignment horizontal="left" vertical="top" wrapText="1"/>
      <protection locked="0"/>
    </xf>
    <xf numFmtId="0" fontId="14" fillId="0" borderId="4" xfId="9" applyFont="1" applyBorder="1" applyAlignment="1" applyProtection="1">
      <alignment horizontal="left" vertical="top"/>
      <protection locked="0"/>
    </xf>
    <xf numFmtId="0" fontId="14" fillId="0" borderId="5" xfId="9" applyFont="1" applyBorder="1" applyAlignment="1" applyProtection="1">
      <alignment horizontal="left" vertical="top" wrapText="1"/>
      <protection locked="0"/>
    </xf>
    <xf numFmtId="0" fontId="13" fillId="0" borderId="5" xfId="9" applyFont="1" applyBorder="1" applyAlignment="1" applyProtection="1">
      <alignment horizontal="center" vertical="top" wrapText="1"/>
      <protection locked="0"/>
    </xf>
    <xf numFmtId="0" fontId="7" fillId="0" borderId="3" xfId="9" applyFont="1" applyBorder="1" applyAlignment="1" applyProtection="1">
      <alignment horizontal="left" vertical="top"/>
      <protection locked="0"/>
    </xf>
    <xf numFmtId="0" fontId="13" fillId="0" borderId="3" xfId="9" applyFont="1" applyBorder="1" applyAlignment="1" applyProtection="1">
      <alignment horizontal="left" vertical="top" wrapText="1"/>
      <protection locked="0"/>
    </xf>
    <xf numFmtId="0" fontId="13" fillId="0" borderId="20" xfId="9" applyFont="1" applyBorder="1" applyAlignment="1" applyProtection="1">
      <alignment horizontal="left" vertical="top" wrapText="1"/>
      <protection locked="0"/>
    </xf>
    <xf numFmtId="0" fontId="13" fillId="0" borderId="27" xfId="9" applyFont="1" applyBorder="1" applyAlignment="1" applyProtection="1">
      <alignment horizontal="left" vertical="top" wrapText="1"/>
      <protection locked="0"/>
    </xf>
    <xf numFmtId="0" fontId="13" fillId="0" borderId="28" xfId="9" applyFont="1" applyBorder="1" applyAlignment="1" applyProtection="1">
      <alignment horizontal="left" vertical="top" wrapText="1"/>
      <protection locked="0"/>
    </xf>
    <xf numFmtId="0" fontId="13" fillId="0" borderId="0" xfId="9" applyFont="1" applyAlignment="1" applyProtection="1">
      <alignment horizontal="left" vertical="top" wrapText="1"/>
      <protection locked="0"/>
    </xf>
    <xf numFmtId="0" fontId="13" fillId="0" borderId="20" xfId="9" applyFont="1" applyBorder="1" applyAlignment="1" applyProtection="1">
      <alignment horizontal="left" vertical="top"/>
      <protection locked="0"/>
    </xf>
    <xf numFmtId="0" fontId="13" fillId="0" borderId="27" xfId="9" applyFont="1" applyBorder="1" applyAlignment="1" applyProtection="1">
      <alignment horizontal="left" vertical="top"/>
      <protection locked="0"/>
    </xf>
    <xf numFmtId="0" fontId="13" fillId="0" borderId="21" xfId="9" applyFont="1" applyBorder="1" applyAlignment="1" applyProtection="1">
      <alignment horizontal="left" vertical="top"/>
      <protection locked="0"/>
    </xf>
    <xf numFmtId="0" fontId="13" fillId="0" borderId="22" xfId="9" applyFont="1" applyBorder="1" applyAlignment="1" applyProtection="1">
      <alignment horizontal="left" vertical="top"/>
      <protection locked="0"/>
    </xf>
    <xf numFmtId="0" fontId="13" fillId="0" borderId="2" xfId="9" applyFont="1" applyBorder="1" applyAlignment="1" applyProtection="1">
      <alignment horizontal="left" vertical="top"/>
      <protection locked="0"/>
    </xf>
    <xf numFmtId="0" fontId="13" fillId="0" borderId="23" xfId="9" applyFont="1" applyBorder="1" applyAlignment="1" applyProtection="1">
      <alignment horizontal="left" vertical="top"/>
      <protection locked="0"/>
    </xf>
    <xf numFmtId="0" fontId="7" fillId="0" borderId="19" xfId="9" applyFont="1" applyBorder="1" applyAlignment="1" applyProtection="1">
      <alignment horizontal="left" vertical="top" wrapText="1"/>
      <protection locked="0"/>
    </xf>
    <xf numFmtId="1" fontId="7" fillId="0" borderId="1" xfId="9" applyNumberFormat="1" applyFont="1" applyBorder="1" applyAlignment="1" applyProtection="1">
      <alignment horizontal="left" vertical="top" wrapText="1"/>
      <protection locked="0"/>
    </xf>
    <xf numFmtId="0" fontId="13" fillId="0" borderId="1" xfId="9" applyFont="1" applyBorder="1" applyAlignment="1" applyProtection="1">
      <alignment horizontal="left" vertical="top" wrapText="1"/>
      <protection locked="0"/>
    </xf>
    <xf numFmtId="0" fontId="13" fillId="0" borderId="1" xfId="9" applyFont="1" applyBorder="1" applyAlignment="1" applyProtection="1">
      <alignment horizontal="left" vertical="top"/>
      <protection locked="0"/>
    </xf>
    <xf numFmtId="0" fontId="13" fillId="0" borderId="21" xfId="9" applyFont="1" applyBorder="1" applyAlignment="1" applyProtection="1">
      <alignment horizontal="left" vertical="top" wrapText="1"/>
      <protection locked="0"/>
    </xf>
    <xf numFmtId="0" fontId="13" fillId="0" borderId="3" xfId="9" applyFont="1" applyBorder="1" applyAlignment="1" applyProtection="1">
      <alignment horizontal="left" vertical="top"/>
      <protection locked="0"/>
    </xf>
    <xf numFmtId="167" fontId="13" fillId="0" borderId="1" xfId="9" applyNumberFormat="1" applyFont="1" applyBorder="1" applyAlignment="1" applyProtection="1">
      <alignment horizontal="left" vertical="top" wrapText="1"/>
      <protection locked="0"/>
    </xf>
    <xf numFmtId="0" fontId="13" fillId="2" borderId="9" xfId="9" applyFont="1" applyFill="1" applyBorder="1" applyAlignment="1" applyProtection="1">
      <alignment horizontal="left" vertical="top" wrapText="1"/>
      <protection locked="0"/>
    </xf>
    <xf numFmtId="0" fontId="13" fillId="2" borderId="24" xfId="9" applyFont="1" applyFill="1" applyBorder="1" applyAlignment="1" applyProtection="1">
      <alignment horizontal="left" vertical="top" wrapText="1"/>
      <protection locked="0"/>
    </xf>
    <xf numFmtId="0" fontId="13" fillId="2" borderId="10" xfId="9" applyFont="1" applyFill="1" applyBorder="1" applyAlignment="1" applyProtection="1">
      <alignment horizontal="left" vertical="top" wrapText="1"/>
      <protection locked="0"/>
    </xf>
    <xf numFmtId="0" fontId="14" fillId="2" borderId="1" xfId="9" applyFont="1" applyFill="1" applyBorder="1" applyAlignment="1" applyProtection="1">
      <alignment horizontal="left" vertical="top" wrapText="1"/>
      <protection locked="0"/>
    </xf>
    <xf numFmtId="0" fontId="14" fillId="2" borderId="1" xfId="9" applyFont="1" applyFill="1" applyBorder="1" applyAlignment="1" applyProtection="1">
      <alignment horizontal="left" vertical="top"/>
      <protection locked="0"/>
    </xf>
    <xf numFmtId="167" fontId="14" fillId="0" borderId="1" xfId="9" applyNumberFormat="1" applyFont="1" applyBorder="1" applyAlignment="1" applyProtection="1">
      <alignment horizontal="left" vertical="top" wrapText="1"/>
      <protection locked="0"/>
    </xf>
    <xf numFmtId="164" fontId="7" fillId="0" borderId="1" xfId="9" applyNumberFormat="1" applyFont="1" applyBorder="1" applyAlignment="1" applyProtection="1">
      <alignment horizontal="left" vertical="top"/>
      <protection locked="0"/>
    </xf>
    <xf numFmtId="2" fontId="7" fillId="0" borderId="1" xfId="9" applyNumberFormat="1" applyFont="1" applyBorder="1" applyAlignment="1" applyProtection="1">
      <alignment horizontal="left" vertical="top"/>
      <protection locked="0"/>
    </xf>
    <xf numFmtId="2" fontId="7" fillId="0" borderId="1" xfId="9" applyNumberFormat="1" applyFont="1" applyBorder="1" applyAlignment="1" applyProtection="1">
      <alignment horizontal="left" vertical="top" wrapText="1"/>
      <protection locked="0"/>
    </xf>
    <xf numFmtId="0" fontId="8" fillId="0" borderId="1" xfId="9" applyFont="1" applyBorder="1" applyAlignment="1" applyProtection="1">
      <alignment horizontal="center"/>
      <protection locked="0"/>
    </xf>
    <xf numFmtId="0" fontId="7" fillId="0" borderId="1" xfId="9" applyFont="1" applyBorder="1" applyAlignment="1" applyProtection="1">
      <alignment horizontal="center" vertical="top"/>
      <protection locked="0"/>
    </xf>
    <xf numFmtId="0" fontId="13" fillId="0" borderId="1" xfId="9" applyFont="1" applyBorder="1" applyAlignment="1" applyProtection="1">
      <alignment horizontal="center"/>
      <protection locked="0"/>
    </xf>
    <xf numFmtId="0" fontId="13" fillId="0" borderId="1" xfId="9" applyFont="1" applyBorder="1" applyAlignment="1" applyProtection="1">
      <alignment horizontal="center" vertical="top"/>
      <protection locked="0"/>
    </xf>
    <xf numFmtId="0" fontId="13" fillId="0" borderId="1" xfId="9" applyFont="1" applyBorder="1" applyAlignment="1" applyProtection="1">
      <alignment horizontal="left" vertical="center" wrapText="1"/>
      <protection locked="0"/>
    </xf>
    <xf numFmtId="0" fontId="14" fillId="0" borderId="1" xfId="9" applyFont="1" applyBorder="1" applyAlignment="1" applyProtection="1">
      <alignment horizontal="center"/>
      <protection locked="0"/>
    </xf>
    <xf numFmtId="0" fontId="14" fillId="0" borderId="1" xfId="9" applyFont="1" applyBorder="1" applyAlignment="1" applyProtection="1">
      <alignment horizontal="center" vertical="top"/>
      <protection locked="0"/>
    </xf>
    <xf numFmtId="0" fontId="7" fillId="2" borderId="1" xfId="9" applyFont="1" applyFill="1" applyBorder="1" applyAlignment="1" applyProtection="1">
      <alignment horizontal="left" vertical="top" wrapText="1"/>
      <protection locked="0"/>
    </xf>
    <xf numFmtId="0" fontId="13" fillId="0" borderId="1" xfId="9" applyFont="1" applyBorder="1" applyAlignment="1" applyProtection="1">
      <alignment horizontal="left"/>
      <protection locked="0"/>
    </xf>
    <xf numFmtId="167" fontId="7" fillId="0" borderId="1" xfId="9" applyNumberFormat="1" applyFont="1" applyBorder="1" applyAlignment="1" applyProtection="1">
      <alignment horizontal="left" vertical="top"/>
      <protection locked="0"/>
    </xf>
    <xf numFmtId="0" fontId="12" fillId="0" borderId="1" xfId="9" applyFont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0" fillId="0" borderId="1" xfId="5" applyFont="1" applyBorder="1" applyAlignment="1">
      <alignment horizontal="left"/>
    </xf>
  </cellXfs>
  <cellStyles count="16">
    <cellStyle name="Comma 2" xfId="6"/>
    <cellStyle name="Comma 2 2" xfId="14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2 2" xfId="12"/>
    <cellStyle name="Normal 3" xfId="1"/>
    <cellStyle name="Normal 3 2" xfId="9"/>
    <cellStyle name="Normal 3 2 2" xfId="15"/>
    <cellStyle name="Normal 3 3" xfId="7"/>
    <cellStyle name="Normal 3 4" xfId="11"/>
    <cellStyle name="Normal 4" xfId="5"/>
    <cellStyle name="Normal 4 2" xfId="13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jpeg"/><Relationship Id="rId3" Type="http://schemas.openxmlformats.org/officeDocument/2006/relationships/image" Target="../media/image18.jpeg"/><Relationship Id="rId7" Type="http://schemas.openxmlformats.org/officeDocument/2006/relationships/image" Target="../media/image22.jpeg"/><Relationship Id="rId12" Type="http://schemas.openxmlformats.org/officeDocument/2006/relationships/image" Target="../media/image27.png"/><Relationship Id="rId2" Type="http://schemas.openxmlformats.org/officeDocument/2006/relationships/image" Target="../media/image17.jpeg"/><Relationship Id="rId1" Type="http://schemas.openxmlformats.org/officeDocument/2006/relationships/image" Target="../media/image16.jpeg"/><Relationship Id="rId6" Type="http://schemas.openxmlformats.org/officeDocument/2006/relationships/image" Target="../media/image21.jpeg"/><Relationship Id="rId11" Type="http://schemas.openxmlformats.org/officeDocument/2006/relationships/image" Target="../media/image26.png"/><Relationship Id="rId5" Type="http://schemas.openxmlformats.org/officeDocument/2006/relationships/image" Target="../media/image20.jpeg"/><Relationship Id="rId10" Type="http://schemas.openxmlformats.org/officeDocument/2006/relationships/image" Target="../media/image25.jpeg"/><Relationship Id="rId4" Type="http://schemas.openxmlformats.org/officeDocument/2006/relationships/image" Target="../media/image19.jpeg"/><Relationship Id="rId9" Type="http://schemas.openxmlformats.org/officeDocument/2006/relationships/image" Target="../media/image2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2.png"/><Relationship Id="rId2" Type="http://schemas.openxmlformats.org/officeDocument/2006/relationships/image" Target="../media/image31.png"/><Relationship Id="rId1" Type="http://schemas.openxmlformats.org/officeDocument/2006/relationships/image" Target="../media/image30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9.png"/><Relationship Id="rId1" Type="http://schemas.openxmlformats.org/officeDocument/2006/relationships/image" Target="../media/image2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478853</xdr:colOff>
      <xdr:row>423</xdr:row>
      <xdr:rowOff>109171</xdr:rowOff>
    </xdr:from>
    <xdr:to>
      <xdr:col>6</xdr:col>
      <xdr:colOff>378296</xdr:colOff>
      <xdr:row>441</xdr:row>
      <xdr:rowOff>108722</xdr:rowOff>
    </xdr:to>
    <xdr:pic>
      <xdr:nvPicPr>
        <xdr:cNvPr id="23" name="Picture 22"/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43430" y="90149729"/>
          <a:ext cx="4061135" cy="356043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219808</xdr:colOff>
      <xdr:row>442</xdr:row>
      <xdr:rowOff>60628</xdr:rowOff>
    </xdr:from>
    <xdr:to>
      <xdr:col>6</xdr:col>
      <xdr:colOff>596807</xdr:colOff>
      <xdr:row>462</xdr:row>
      <xdr:rowOff>20128</xdr:rowOff>
    </xdr:to>
    <xdr:grpSp>
      <xdr:nvGrpSpPr>
        <xdr:cNvPr id="24" name="Group 23"/>
        <xdr:cNvGrpSpPr/>
      </xdr:nvGrpSpPr>
      <xdr:grpSpPr>
        <a:xfrm>
          <a:off x="1086583" y="91786378"/>
          <a:ext cx="4529899" cy="3960000"/>
          <a:chOff x="1171575" y="81902359"/>
          <a:chExt cx="4834699" cy="3960000"/>
        </a:xfrm>
      </xdr:grpSpPr>
      <xdr:pic>
        <xdr:nvPicPr>
          <xdr:cNvPr id="25" name="Picture 24"/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171575" y="81902359"/>
            <a:ext cx="4834699" cy="3960000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  <xdr:sp macro="" textlink="">
        <xdr:nvSpPr>
          <xdr:cNvPr id="26" name="Rectangle 25"/>
          <xdr:cNvSpPr/>
        </xdr:nvSpPr>
        <xdr:spPr>
          <a:xfrm rot="1706126">
            <a:off x="2558712" y="83436563"/>
            <a:ext cx="2018581" cy="891590"/>
          </a:xfrm>
          <a:prstGeom prst="rect">
            <a:avLst/>
          </a:prstGeom>
          <a:noFill/>
          <a:ln w="5715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</xdr:grpSp>
    <xdr:clientData/>
  </xdr:twoCellAnchor>
  <xdr:twoCellAnchor>
    <xdr:from>
      <xdr:col>0</xdr:col>
      <xdr:colOff>495300</xdr:colOff>
      <xdr:row>382</xdr:row>
      <xdr:rowOff>19050</xdr:rowOff>
    </xdr:from>
    <xdr:to>
      <xdr:col>7</xdr:col>
      <xdr:colOff>385950</xdr:colOff>
      <xdr:row>399</xdr:row>
      <xdr:rowOff>199466</xdr:rowOff>
    </xdr:to>
    <xdr:grpSp>
      <xdr:nvGrpSpPr>
        <xdr:cNvPr id="27" name="Group 26"/>
        <xdr:cNvGrpSpPr/>
      </xdr:nvGrpSpPr>
      <xdr:grpSpPr>
        <a:xfrm>
          <a:off x="495300" y="79743300"/>
          <a:ext cx="5691375" cy="3580841"/>
          <a:chOff x="379563" y="293298"/>
          <a:chExt cx="6120000" cy="3580841"/>
        </a:xfrm>
      </xdr:grpSpPr>
      <xdr:pic>
        <xdr:nvPicPr>
          <xdr:cNvPr id="29" name="Picture 28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379563" y="293298"/>
            <a:ext cx="6120000" cy="358084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0" name="Rectangle 29"/>
          <xdr:cNvSpPr/>
        </xdr:nvSpPr>
        <xdr:spPr>
          <a:xfrm>
            <a:off x="1676400" y="2020218"/>
            <a:ext cx="1638300" cy="824582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31" name="Rectangle 30"/>
          <xdr:cNvSpPr/>
        </xdr:nvSpPr>
        <xdr:spPr>
          <a:xfrm>
            <a:off x="3426862" y="2007518"/>
            <a:ext cx="1411837" cy="837282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42" name="TextBox 5"/>
          <xdr:cNvSpPr txBox="1"/>
        </xdr:nvSpPr>
        <xdr:spPr>
          <a:xfrm>
            <a:off x="2195928" y="2921557"/>
            <a:ext cx="865943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B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43" name="TextBox 8"/>
          <xdr:cNvSpPr txBox="1"/>
        </xdr:nvSpPr>
        <xdr:spPr>
          <a:xfrm>
            <a:off x="3694999" y="2911200"/>
            <a:ext cx="87556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A</a:t>
            </a:r>
          </a:p>
        </xdr:txBody>
      </xdr:sp>
    </xdr:grpSp>
    <xdr:clientData/>
  </xdr:twoCellAnchor>
  <xdr:twoCellAnchor editAs="oneCell">
    <xdr:from>
      <xdr:col>1</xdr:col>
      <xdr:colOff>349910</xdr:colOff>
      <xdr:row>401</xdr:row>
      <xdr:rowOff>48701</xdr:rowOff>
    </xdr:from>
    <xdr:to>
      <xdr:col>6</xdr:col>
      <xdr:colOff>436089</xdr:colOff>
      <xdr:row>420</xdr:row>
      <xdr:rowOff>72930</xdr:rowOff>
    </xdr:to>
    <xdr:pic>
      <xdr:nvPicPr>
        <xdr:cNvPr id="28" name="Picture 27"/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83360" y="85640351"/>
          <a:ext cx="4543879" cy="382470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884464</xdr:colOff>
      <xdr:row>339</xdr:row>
      <xdr:rowOff>86179</xdr:rowOff>
    </xdr:from>
    <xdr:to>
      <xdr:col>14</xdr:col>
      <xdr:colOff>573661</xdr:colOff>
      <xdr:row>374</xdr:row>
      <xdr:rowOff>137436</xdr:rowOff>
    </xdr:to>
    <xdr:grpSp>
      <xdr:nvGrpSpPr>
        <xdr:cNvPr id="2" name="Group 1"/>
        <xdr:cNvGrpSpPr/>
      </xdr:nvGrpSpPr>
      <xdr:grpSpPr>
        <a:xfrm>
          <a:off x="7513864" y="70904554"/>
          <a:ext cx="4908897" cy="7080707"/>
          <a:chOff x="908050" y="69621400"/>
          <a:chExt cx="5162443" cy="6972757"/>
        </a:xfrm>
      </xdr:grpSpPr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52180" y="74434157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54992" y="69621400"/>
            <a:ext cx="3506345" cy="46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8050" y="74434157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80115" y="74434157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266700</xdr:colOff>
      <xdr:row>338</xdr:row>
      <xdr:rowOff>57150</xdr:rowOff>
    </xdr:from>
    <xdr:to>
      <xdr:col>7</xdr:col>
      <xdr:colOff>482680</xdr:colOff>
      <xdr:row>379</xdr:row>
      <xdr:rowOff>107362</xdr:rowOff>
    </xdr:to>
    <xdr:grpSp>
      <xdr:nvGrpSpPr>
        <xdr:cNvPr id="3" name="Group 2"/>
        <xdr:cNvGrpSpPr/>
      </xdr:nvGrpSpPr>
      <xdr:grpSpPr>
        <a:xfrm>
          <a:off x="266700" y="70675500"/>
          <a:ext cx="6016705" cy="8556037"/>
          <a:chOff x="266700" y="70513575"/>
          <a:chExt cx="6016705" cy="8556037"/>
        </a:xfrm>
      </xdr:grpSpPr>
      <xdr:pic>
        <xdr:nvPicPr>
          <xdr:cNvPr id="32" name="Picture 31" descr="https://vsjcllp.vsjadon.com/upload/insp-243257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676400" y="76909612"/>
            <a:ext cx="287733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Picture 32" descr="https://vsjcllp.vsjadon.com/upload/insp-243257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14700" y="70513575"/>
            <a:ext cx="2968705" cy="39624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Picture 33" descr="https://vsjcllp.vsjadon.com/upload/insp-243257-84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695575" y="74556936"/>
            <a:ext cx="3026146" cy="227171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5" name="Picture 34" descr="https://vsjcllp.vsjadon.com/upload/insp-243257-85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895350" y="74552174"/>
            <a:ext cx="1702011" cy="227171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6" name="Picture 35" descr="https://vsjcllp.vsjadon.com/upload/insp-243257-86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66700" y="70523100"/>
            <a:ext cx="2968705" cy="39624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462643</xdr:colOff>
      <xdr:row>286</xdr:row>
      <xdr:rowOff>163286</xdr:rowOff>
    </xdr:from>
    <xdr:to>
      <xdr:col>3</xdr:col>
      <xdr:colOff>753286</xdr:colOff>
      <xdr:row>297</xdr:row>
      <xdr:rowOff>91715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2643" y="58951586"/>
          <a:ext cx="2881443" cy="211917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462643</xdr:colOff>
      <xdr:row>298</xdr:row>
      <xdr:rowOff>38797</xdr:rowOff>
    </xdr:from>
    <xdr:to>
      <xdr:col>3</xdr:col>
      <xdr:colOff>753286</xdr:colOff>
      <xdr:row>308</xdr:row>
      <xdr:rowOff>157726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2643" y="61217872"/>
          <a:ext cx="2881443" cy="211917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931037</xdr:colOff>
      <xdr:row>309</xdr:row>
      <xdr:rowOff>104807</xdr:rowOff>
    </xdr:from>
    <xdr:to>
      <xdr:col>7</xdr:col>
      <xdr:colOff>269180</xdr:colOff>
      <xdr:row>320</xdr:row>
      <xdr:rowOff>19627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1837" y="63484157"/>
          <a:ext cx="2862393" cy="211509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462643</xdr:colOff>
      <xdr:row>309</xdr:row>
      <xdr:rowOff>104807</xdr:rowOff>
    </xdr:from>
    <xdr:to>
      <xdr:col>3</xdr:col>
      <xdr:colOff>753286</xdr:colOff>
      <xdr:row>320</xdr:row>
      <xdr:rowOff>19627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2643" y="63484157"/>
          <a:ext cx="2881443" cy="211509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931037</xdr:colOff>
      <xdr:row>286</xdr:row>
      <xdr:rowOff>163286</xdr:rowOff>
    </xdr:from>
    <xdr:to>
      <xdr:col>7</xdr:col>
      <xdr:colOff>269180</xdr:colOff>
      <xdr:row>297</xdr:row>
      <xdr:rowOff>91715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1837" y="58951586"/>
          <a:ext cx="2862393" cy="211917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931037</xdr:colOff>
      <xdr:row>298</xdr:row>
      <xdr:rowOff>70985</xdr:rowOff>
    </xdr:from>
    <xdr:to>
      <xdr:col>7</xdr:col>
      <xdr:colOff>269180</xdr:colOff>
      <xdr:row>308</xdr:row>
      <xdr:rowOff>189914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1837" y="61250060"/>
          <a:ext cx="2862393" cy="211917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226964</xdr:colOff>
      <xdr:row>288</xdr:row>
      <xdr:rowOff>92324</xdr:rowOff>
    </xdr:from>
    <xdr:to>
      <xdr:col>3</xdr:col>
      <xdr:colOff>269582</xdr:colOff>
      <xdr:row>290</xdr:row>
      <xdr:rowOff>36271</xdr:rowOff>
    </xdr:to>
    <xdr:sp macro="" textlink="">
      <xdr:nvSpPr>
        <xdr:cNvPr id="8" name="TextBox 11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/>
      </xdr:nvSpPr>
      <xdr:spPr>
        <a:xfrm>
          <a:off x="1903364" y="59280674"/>
          <a:ext cx="957018" cy="334472"/>
        </a:xfrm>
        <a:prstGeom prst="rect">
          <a:avLst/>
        </a:prstGeom>
        <a:noFill/>
        <a:ln>
          <a:noFill/>
        </a:ln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6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 Wing</a:t>
          </a:r>
          <a:endParaRPr lang="en-IN" sz="1600" b="1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322396</xdr:colOff>
      <xdr:row>301</xdr:row>
      <xdr:rowOff>16732</xdr:rowOff>
    </xdr:from>
    <xdr:to>
      <xdr:col>3</xdr:col>
      <xdr:colOff>365014</xdr:colOff>
      <xdr:row>302</xdr:row>
      <xdr:rowOff>151179</xdr:rowOff>
    </xdr:to>
    <xdr:sp macro="" textlink="">
      <xdr:nvSpPr>
        <xdr:cNvPr id="9" name="TextBox 12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 txBox="1"/>
      </xdr:nvSpPr>
      <xdr:spPr>
        <a:xfrm>
          <a:off x="1998796" y="61795882"/>
          <a:ext cx="957018" cy="334472"/>
        </a:xfrm>
        <a:prstGeom prst="rect">
          <a:avLst/>
        </a:prstGeom>
        <a:noFill/>
        <a:ln>
          <a:noFill/>
        </a:ln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6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 Wing</a:t>
          </a:r>
          <a:endParaRPr lang="en-IN" sz="1600" b="1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340714</xdr:colOff>
      <xdr:row>287</xdr:row>
      <xdr:rowOff>127154</xdr:rowOff>
    </xdr:from>
    <xdr:to>
      <xdr:col>6</xdr:col>
      <xdr:colOff>451368</xdr:colOff>
      <xdr:row>289</xdr:row>
      <xdr:rowOff>71101</xdr:rowOff>
    </xdr:to>
    <xdr:sp macro="" textlink="">
      <xdr:nvSpPr>
        <xdr:cNvPr id="10" name="TextBox 13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 txBox="1"/>
      </xdr:nvSpPr>
      <xdr:spPr>
        <a:xfrm>
          <a:off x="4779364" y="59115479"/>
          <a:ext cx="948854" cy="334472"/>
        </a:xfrm>
        <a:prstGeom prst="rect">
          <a:avLst/>
        </a:prstGeom>
        <a:noFill/>
        <a:ln>
          <a:noFill/>
        </a:ln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6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 Wing</a:t>
          </a:r>
          <a:endParaRPr lang="en-IN" sz="1600" b="1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436146</xdr:colOff>
      <xdr:row>300</xdr:row>
      <xdr:rowOff>51562</xdr:rowOff>
    </xdr:from>
    <xdr:to>
      <xdr:col>6</xdr:col>
      <xdr:colOff>546800</xdr:colOff>
      <xdr:row>301</xdr:row>
      <xdr:rowOff>186009</xdr:rowOff>
    </xdr:to>
    <xdr:sp macro="" textlink="">
      <xdr:nvSpPr>
        <xdr:cNvPr id="11" name="TextBox 14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 txBox="1"/>
      </xdr:nvSpPr>
      <xdr:spPr>
        <a:xfrm>
          <a:off x="4874796" y="61630687"/>
          <a:ext cx="948854" cy="334472"/>
        </a:xfrm>
        <a:prstGeom prst="rect">
          <a:avLst/>
        </a:prstGeom>
        <a:noFill/>
        <a:ln>
          <a:noFill/>
        </a:ln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6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 Wing</a:t>
          </a:r>
          <a:endParaRPr lang="en-IN" sz="1600" b="1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3</xdr:col>
      <xdr:colOff>917430</xdr:colOff>
      <xdr:row>341</xdr:row>
      <xdr:rowOff>93278</xdr:rowOff>
    </xdr:from>
    <xdr:to>
      <xdr:col>7</xdr:col>
      <xdr:colOff>255573</xdr:colOff>
      <xdr:row>352</xdr:row>
      <xdr:rowOff>8101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08230" y="69873428"/>
          <a:ext cx="2862393" cy="211509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449036</xdr:colOff>
      <xdr:row>330</xdr:row>
      <xdr:rowOff>40822</xdr:rowOff>
    </xdr:from>
    <xdr:to>
      <xdr:col>3</xdr:col>
      <xdr:colOff>739679</xdr:colOff>
      <xdr:row>340</xdr:row>
      <xdr:rowOff>159751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9036" y="67620697"/>
          <a:ext cx="2881443" cy="211917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449036</xdr:colOff>
      <xdr:row>341</xdr:row>
      <xdr:rowOff>93278</xdr:rowOff>
    </xdr:from>
    <xdr:to>
      <xdr:col>3</xdr:col>
      <xdr:colOff>739679</xdr:colOff>
      <xdr:row>352</xdr:row>
      <xdr:rowOff>8101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9036" y="69873428"/>
          <a:ext cx="2881443" cy="211509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917430</xdr:colOff>
      <xdr:row>330</xdr:row>
      <xdr:rowOff>40822</xdr:rowOff>
    </xdr:from>
    <xdr:to>
      <xdr:col>7</xdr:col>
      <xdr:colOff>255573</xdr:colOff>
      <xdr:row>340</xdr:row>
      <xdr:rowOff>159751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08230" y="67620697"/>
          <a:ext cx="2862393" cy="211917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585107</xdr:colOff>
      <xdr:row>374</xdr:row>
      <xdr:rowOff>176893</xdr:rowOff>
    </xdr:from>
    <xdr:to>
      <xdr:col>7</xdr:col>
      <xdr:colOff>192230</xdr:colOff>
      <xdr:row>392</xdr:row>
      <xdr:rowOff>102964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85107" y="76557868"/>
          <a:ext cx="5722173" cy="352652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585107</xdr:colOff>
      <xdr:row>393</xdr:row>
      <xdr:rowOff>146239</xdr:rowOff>
    </xdr:from>
    <xdr:to>
      <xdr:col>7</xdr:col>
      <xdr:colOff>192230</xdr:colOff>
      <xdr:row>411</xdr:row>
      <xdr:rowOff>72310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85107" y="80327689"/>
          <a:ext cx="5722173" cy="352652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2</xdr:col>
      <xdr:colOff>2350696</xdr:colOff>
      <xdr:row>25</xdr:row>
      <xdr:rowOff>64500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9783" y="2675283"/>
          <a:ext cx="3825000" cy="21600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7</xdr:col>
      <xdr:colOff>31565</xdr:colOff>
      <xdr:row>25</xdr:row>
      <xdr:rowOff>64500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22304" y="2675283"/>
          <a:ext cx="3825000" cy="21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2</xdr:col>
      <xdr:colOff>2350696</xdr:colOff>
      <xdr:row>37</xdr:row>
      <xdr:rowOff>64500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9783" y="4961283"/>
          <a:ext cx="3825000" cy="21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haavir-pride-dombivli.in/?gad_source=1&amp;gclid=Cj0KCQjwy4KqBhD0ARIsAEbCt6jdhxKM3kmwXY9oNlfBuhIw5Y0tM28ApHE3Rcmx2F4psfr6GV2_AJ0aAvdIEALw_wcB" TargetMode="External"/><Relationship Id="rId1" Type="http://schemas.openxmlformats.org/officeDocument/2006/relationships/hyperlink" Target="https://maps.app.goo.gl/GAwa17PRWM7vBvwK7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467"/>
  <sheetViews>
    <sheetView tabSelected="1" view="pageBreakPreview" zoomScaleNormal="100" zoomScaleSheetLayoutView="100" workbookViewId="0">
      <selection activeCell="L11" sqref="L11"/>
    </sheetView>
  </sheetViews>
  <sheetFormatPr defaultColWidth="9.140625" defaultRowHeight="15.75" x14ac:dyDescent="0.25"/>
  <cols>
    <col min="1" max="1" width="13" style="12" customWidth="1"/>
    <col min="2" max="2" width="12" style="12" customWidth="1"/>
    <col min="3" max="3" width="12.7109375" style="12" customWidth="1"/>
    <col min="4" max="4" width="14.140625" style="12" customWidth="1"/>
    <col min="5" max="7" width="11.7109375" style="12" customWidth="1"/>
    <col min="8" max="8" width="12.42578125" style="12" customWidth="1"/>
    <col min="9" max="10" width="15.7109375" style="7" customWidth="1"/>
    <col min="11" max="11" width="11.85546875" style="7" customWidth="1"/>
    <col min="12" max="12" width="10.5703125" style="7" customWidth="1"/>
    <col min="13" max="13" width="11.85546875" style="7" customWidth="1"/>
    <col min="14" max="14" width="12.5703125" style="7" customWidth="1"/>
    <col min="15" max="15" width="9.85546875" style="7" customWidth="1"/>
    <col min="16" max="16" width="10.42578125" style="7" customWidth="1"/>
    <col min="17" max="247" width="9.140625" style="7"/>
    <col min="248" max="248" width="8.7109375" style="7" customWidth="1"/>
    <col min="249" max="249" width="9.85546875" style="7" customWidth="1"/>
    <col min="250" max="250" width="14.42578125" style="7" customWidth="1"/>
    <col min="251" max="251" width="7.28515625" style="7" customWidth="1"/>
    <col min="252" max="252" width="5.5703125" style="7" customWidth="1"/>
    <col min="253" max="253" width="9" style="7" customWidth="1"/>
    <col min="254" max="255" width="9.85546875" style="7" customWidth="1"/>
    <col min="256" max="256" width="11.140625" style="7" customWidth="1"/>
    <col min="257" max="257" width="2.85546875" style="7" customWidth="1"/>
    <col min="258" max="258" width="3.5703125" style="7" customWidth="1"/>
    <col min="259" max="503" width="9.140625" style="7"/>
    <col min="504" max="504" width="8.7109375" style="7" customWidth="1"/>
    <col min="505" max="505" width="9.85546875" style="7" customWidth="1"/>
    <col min="506" max="506" width="14.42578125" style="7" customWidth="1"/>
    <col min="507" max="507" width="7.28515625" style="7" customWidth="1"/>
    <col min="508" max="508" width="5.5703125" style="7" customWidth="1"/>
    <col min="509" max="509" width="9" style="7" customWidth="1"/>
    <col min="510" max="511" width="9.85546875" style="7" customWidth="1"/>
    <col min="512" max="512" width="11.140625" style="7" customWidth="1"/>
    <col min="513" max="513" width="2.85546875" style="7" customWidth="1"/>
    <col min="514" max="514" width="3.5703125" style="7" customWidth="1"/>
    <col min="515" max="759" width="9.140625" style="7"/>
    <col min="760" max="760" width="8.7109375" style="7" customWidth="1"/>
    <col min="761" max="761" width="9.85546875" style="7" customWidth="1"/>
    <col min="762" max="762" width="14.42578125" style="7" customWidth="1"/>
    <col min="763" max="763" width="7.28515625" style="7" customWidth="1"/>
    <col min="764" max="764" width="5.5703125" style="7" customWidth="1"/>
    <col min="765" max="765" width="9" style="7" customWidth="1"/>
    <col min="766" max="767" width="9.85546875" style="7" customWidth="1"/>
    <col min="768" max="768" width="11.140625" style="7" customWidth="1"/>
    <col min="769" max="769" width="2.85546875" style="7" customWidth="1"/>
    <col min="770" max="770" width="3.5703125" style="7" customWidth="1"/>
    <col min="771" max="1015" width="9.140625" style="7"/>
    <col min="1016" max="1016" width="8.7109375" style="7" customWidth="1"/>
    <col min="1017" max="1017" width="9.85546875" style="7" customWidth="1"/>
    <col min="1018" max="1018" width="14.42578125" style="7" customWidth="1"/>
    <col min="1019" max="1019" width="7.28515625" style="7" customWidth="1"/>
    <col min="1020" max="1020" width="5.5703125" style="7" customWidth="1"/>
    <col min="1021" max="1021" width="9" style="7" customWidth="1"/>
    <col min="1022" max="1023" width="9.85546875" style="7" customWidth="1"/>
    <col min="1024" max="1024" width="11.140625" style="7" customWidth="1"/>
    <col min="1025" max="1025" width="2.85546875" style="7" customWidth="1"/>
    <col min="1026" max="1026" width="3.5703125" style="7" customWidth="1"/>
    <col min="1027" max="1271" width="9.140625" style="7"/>
    <col min="1272" max="1272" width="8.7109375" style="7" customWidth="1"/>
    <col min="1273" max="1273" width="9.85546875" style="7" customWidth="1"/>
    <col min="1274" max="1274" width="14.42578125" style="7" customWidth="1"/>
    <col min="1275" max="1275" width="7.28515625" style="7" customWidth="1"/>
    <col min="1276" max="1276" width="5.5703125" style="7" customWidth="1"/>
    <col min="1277" max="1277" width="9" style="7" customWidth="1"/>
    <col min="1278" max="1279" width="9.85546875" style="7" customWidth="1"/>
    <col min="1280" max="1280" width="11.140625" style="7" customWidth="1"/>
    <col min="1281" max="1281" width="2.85546875" style="7" customWidth="1"/>
    <col min="1282" max="1282" width="3.5703125" style="7" customWidth="1"/>
    <col min="1283" max="1527" width="9.140625" style="7"/>
    <col min="1528" max="1528" width="8.7109375" style="7" customWidth="1"/>
    <col min="1529" max="1529" width="9.85546875" style="7" customWidth="1"/>
    <col min="1530" max="1530" width="14.42578125" style="7" customWidth="1"/>
    <col min="1531" max="1531" width="7.28515625" style="7" customWidth="1"/>
    <col min="1532" max="1532" width="5.5703125" style="7" customWidth="1"/>
    <col min="1533" max="1533" width="9" style="7" customWidth="1"/>
    <col min="1534" max="1535" width="9.85546875" style="7" customWidth="1"/>
    <col min="1536" max="1536" width="11.140625" style="7" customWidth="1"/>
    <col min="1537" max="1537" width="2.85546875" style="7" customWidth="1"/>
    <col min="1538" max="1538" width="3.5703125" style="7" customWidth="1"/>
    <col min="1539" max="1783" width="9.140625" style="7"/>
    <col min="1784" max="1784" width="8.7109375" style="7" customWidth="1"/>
    <col min="1785" max="1785" width="9.85546875" style="7" customWidth="1"/>
    <col min="1786" max="1786" width="14.42578125" style="7" customWidth="1"/>
    <col min="1787" max="1787" width="7.28515625" style="7" customWidth="1"/>
    <col min="1788" max="1788" width="5.5703125" style="7" customWidth="1"/>
    <col min="1789" max="1789" width="9" style="7" customWidth="1"/>
    <col min="1790" max="1791" width="9.85546875" style="7" customWidth="1"/>
    <col min="1792" max="1792" width="11.140625" style="7" customWidth="1"/>
    <col min="1793" max="1793" width="2.85546875" style="7" customWidth="1"/>
    <col min="1794" max="1794" width="3.5703125" style="7" customWidth="1"/>
    <col min="1795" max="2039" width="9.140625" style="7"/>
    <col min="2040" max="2040" width="8.7109375" style="7" customWidth="1"/>
    <col min="2041" max="2041" width="9.85546875" style="7" customWidth="1"/>
    <col min="2042" max="2042" width="14.42578125" style="7" customWidth="1"/>
    <col min="2043" max="2043" width="7.28515625" style="7" customWidth="1"/>
    <col min="2044" max="2044" width="5.5703125" style="7" customWidth="1"/>
    <col min="2045" max="2045" width="9" style="7" customWidth="1"/>
    <col min="2046" max="2047" width="9.85546875" style="7" customWidth="1"/>
    <col min="2048" max="2048" width="11.140625" style="7" customWidth="1"/>
    <col min="2049" max="2049" width="2.85546875" style="7" customWidth="1"/>
    <col min="2050" max="2050" width="3.5703125" style="7" customWidth="1"/>
    <col min="2051" max="2295" width="9.140625" style="7"/>
    <col min="2296" max="2296" width="8.7109375" style="7" customWidth="1"/>
    <col min="2297" max="2297" width="9.85546875" style="7" customWidth="1"/>
    <col min="2298" max="2298" width="14.42578125" style="7" customWidth="1"/>
    <col min="2299" max="2299" width="7.28515625" style="7" customWidth="1"/>
    <col min="2300" max="2300" width="5.5703125" style="7" customWidth="1"/>
    <col min="2301" max="2301" width="9" style="7" customWidth="1"/>
    <col min="2302" max="2303" width="9.85546875" style="7" customWidth="1"/>
    <col min="2304" max="2304" width="11.140625" style="7" customWidth="1"/>
    <col min="2305" max="2305" width="2.85546875" style="7" customWidth="1"/>
    <col min="2306" max="2306" width="3.5703125" style="7" customWidth="1"/>
    <col min="2307" max="2551" width="9.140625" style="7"/>
    <col min="2552" max="2552" width="8.7109375" style="7" customWidth="1"/>
    <col min="2553" max="2553" width="9.85546875" style="7" customWidth="1"/>
    <col min="2554" max="2554" width="14.42578125" style="7" customWidth="1"/>
    <col min="2555" max="2555" width="7.28515625" style="7" customWidth="1"/>
    <col min="2556" max="2556" width="5.5703125" style="7" customWidth="1"/>
    <col min="2557" max="2557" width="9" style="7" customWidth="1"/>
    <col min="2558" max="2559" width="9.85546875" style="7" customWidth="1"/>
    <col min="2560" max="2560" width="11.140625" style="7" customWidth="1"/>
    <col min="2561" max="2561" width="2.85546875" style="7" customWidth="1"/>
    <col min="2562" max="2562" width="3.5703125" style="7" customWidth="1"/>
    <col min="2563" max="2807" width="9.140625" style="7"/>
    <col min="2808" max="2808" width="8.7109375" style="7" customWidth="1"/>
    <col min="2809" max="2809" width="9.85546875" style="7" customWidth="1"/>
    <col min="2810" max="2810" width="14.42578125" style="7" customWidth="1"/>
    <col min="2811" max="2811" width="7.28515625" style="7" customWidth="1"/>
    <col min="2812" max="2812" width="5.5703125" style="7" customWidth="1"/>
    <col min="2813" max="2813" width="9" style="7" customWidth="1"/>
    <col min="2814" max="2815" width="9.85546875" style="7" customWidth="1"/>
    <col min="2816" max="2816" width="11.140625" style="7" customWidth="1"/>
    <col min="2817" max="2817" width="2.85546875" style="7" customWidth="1"/>
    <col min="2818" max="2818" width="3.5703125" style="7" customWidth="1"/>
    <col min="2819" max="3063" width="9.140625" style="7"/>
    <col min="3064" max="3064" width="8.7109375" style="7" customWidth="1"/>
    <col min="3065" max="3065" width="9.85546875" style="7" customWidth="1"/>
    <col min="3066" max="3066" width="14.42578125" style="7" customWidth="1"/>
    <col min="3067" max="3067" width="7.28515625" style="7" customWidth="1"/>
    <col min="3068" max="3068" width="5.5703125" style="7" customWidth="1"/>
    <col min="3069" max="3069" width="9" style="7" customWidth="1"/>
    <col min="3070" max="3071" width="9.85546875" style="7" customWidth="1"/>
    <col min="3072" max="3072" width="11.140625" style="7" customWidth="1"/>
    <col min="3073" max="3073" width="2.85546875" style="7" customWidth="1"/>
    <col min="3074" max="3074" width="3.5703125" style="7" customWidth="1"/>
    <col min="3075" max="3319" width="9.140625" style="7"/>
    <col min="3320" max="3320" width="8.7109375" style="7" customWidth="1"/>
    <col min="3321" max="3321" width="9.85546875" style="7" customWidth="1"/>
    <col min="3322" max="3322" width="14.42578125" style="7" customWidth="1"/>
    <col min="3323" max="3323" width="7.28515625" style="7" customWidth="1"/>
    <col min="3324" max="3324" width="5.5703125" style="7" customWidth="1"/>
    <col min="3325" max="3325" width="9" style="7" customWidth="1"/>
    <col min="3326" max="3327" width="9.85546875" style="7" customWidth="1"/>
    <col min="3328" max="3328" width="11.140625" style="7" customWidth="1"/>
    <col min="3329" max="3329" width="2.85546875" style="7" customWidth="1"/>
    <col min="3330" max="3330" width="3.5703125" style="7" customWidth="1"/>
    <col min="3331" max="3575" width="9.140625" style="7"/>
    <col min="3576" max="3576" width="8.7109375" style="7" customWidth="1"/>
    <col min="3577" max="3577" width="9.85546875" style="7" customWidth="1"/>
    <col min="3578" max="3578" width="14.42578125" style="7" customWidth="1"/>
    <col min="3579" max="3579" width="7.28515625" style="7" customWidth="1"/>
    <col min="3580" max="3580" width="5.5703125" style="7" customWidth="1"/>
    <col min="3581" max="3581" width="9" style="7" customWidth="1"/>
    <col min="3582" max="3583" width="9.85546875" style="7" customWidth="1"/>
    <col min="3584" max="3584" width="11.140625" style="7" customWidth="1"/>
    <col min="3585" max="3585" width="2.85546875" style="7" customWidth="1"/>
    <col min="3586" max="3586" width="3.5703125" style="7" customWidth="1"/>
    <col min="3587" max="3831" width="9.140625" style="7"/>
    <col min="3832" max="3832" width="8.7109375" style="7" customWidth="1"/>
    <col min="3833" max="3833" width="9.85546875" style="7" customWidth="1"/>
    <col min="3834" max="3834" width="14.42578125" style="7" customWidth="1"/>
    <col min="3835" max="3835" width="7.28515625" style="7" customWidth="1"/>
    <col min="3836" max="3836" width="5.5703125" style="7" customWidth="1"/>
    <col min="3837" max="3837" width="9" style="7" customWidth="1"/>
    <col min="3838" max="3839" width="9.85546875" style="7" customWidth="1"/>
    <col min="3840" max="3840" width="11.140625" style="7" customWidth="1"/>
    <col min="3841" max="3841" width="2.85546875" style="7" customWidth="1"/>
    <col min="3842" max="3842" width="3.5703125" style="7" customWidth="1"/>
    <col min="3843" max="4087" width="9.140625" style="7"/>
    <col min="4088" max="4088" width="8.7109375" style="7" customWidth="1"/>
    <col min="4089" max="4089" width="9.85546875" style="7" customWidth="1"/>
    <col min="4090" max="4090" width="14.42578125" style="7" customWidth="1"/>
    <col min="4091" max="4091" width="7.28515625" style="7" customWidth="1"/>
    <col min="4092" max="4092" width="5.5703125" style="7" customWidth="1"/>
    <col min="4093" max="4093" width="9" style="7" customWidth="1"/>
    <col min="4094" max="4095" width="9.85546875" style="7" customWidth="1"/>
    <col min="4096" max="4096" width="11.140625" style="7" customWidth="1"/>
    <col min="4097" max="4097" width="2.85546875" style="7" customWidth="1"/>
    <col min="4098" max="4098" width="3.5703125" style="7" customWidth="1"/>
    <col min="4099" max="4343" width="9.140625" style="7"/>
    <col min="4344" max="4344" width="8.7109375" style="7" customWidth="1"/>
    <col min="4345" max="4345" width="9.85546875" style="7" customWidth="1"/>
    <col min="4346" max="4346" width="14.42578125" style="7" customWidth="1"/>
    <col min="4347" max="4347" width="7.28515625" style="7" customWidth="1"/>
    <col min="4348" max="4348" width="5.5703125" style="7" customWidth="1"/>
    <col min="4349" max="4349" width="9" style="7" customWidth="1"/>
    <col min="4350" max="4351" width="9.85546875" style="7" customWidth="1"/>
    <col min="4352" max="4352" width="11.140625" style="7" customWidth="1"/>
    <col min="4353" max="4353" width="2.85546875" style="7" customWidth="1"/>
    <col min="4354" max="4354" width="3.5703125" style="7" customWidth="1"/>
    <col min="4355" max="4599" width="9.140625" style="7"/>
    <col min="4600" max="4600" width="8.7109375" style="7" customWidth="1"/>
    <col min="4601" max="4601" width="9.85546875" style="7" customWidth="1"/>
    <col min="4602" max="4602" width="14.42578125" style="7" customWidth="1"/>
    <col min="4603" max="4603" width="7.28515625" style="7" customWidth="1"/>
    <col min="4604" max="4604" width="5.5703125" style="7" customWidth="1"/>
    <col min="4605" max="4605" width="9" style="7" customWidth="1"/>
    <col min="4606" max="4607" width="9.85546875" style="7" customWidth="1"/>
    <col min="4608" max="4608" width="11.140625" style="7" customWidth="1"/>
    <col min="4609" max="4609" width="2.85546875" style="7" customWidth="1"/>
    <col min="4610" max="4610" width="3.5703125" style="7" customWidth="1"/>
    <col min="4611" max="4855" width="9.140625" style="7"/>
    <col min="4856" max="4856" width="8.7109375" style="7" customWidth="1"/>
    <col min="4857" max="4857" width="9.85546875" style="7" customWidth="1"/>
    <col min="4858" max="4858" width="14.42578125" style="7" customWidth="1"/>
    <col min="4859" max="4859" width="7.28515625" style="7" customWidth="1"/>
    <col min="4860" max="4860" width="5.5703125" style="7" customWidth="1"/>
    <col min="4861" max="4861" width="9" style="7" customWidth="1"/>
    <col min="4862" max="4863" width="9.85546875" style="7" customWidth="1"/>
    <col min="4864" max="4864" width="11.140625" style="7" customWidth="1"/>
    <col min="4865" max="4865" width="2.85546875" style="7" customWidth="1"/>
    <col min="4866" max="4866" width="3.5703125" style="7" customWidth="1"/>
    <col min="4867" max="5111" width="9.140625" style="7"/>
    <col min="5112" max="5112" width="8.7109375" style="7" customWidth="1"/>
    <col min="5113" max="5113" width="9.85546875" style="7" customWidth="1"/>
    <col min="5114" max="5114" width="14.42578125" style="7" customWidth="1"/>
    <col min="5115" max="5115" width="7.28515625" style="7" customWidth="1"/>
    <col min="5116" max="5116" width="5.5703125" style="7" customWidth="1"/>
    <col min="5117" max="5117" width="9" style="7" customWidth="1"/>
    <col min="5118" max="5119" width="9.85546875" style="7" customWidth="1"/>
    <col min="5120" max="5120" width="11.140625" style="7" customWidth="1"/>
    <col min="5121" max="5121" width="2.85546875" style="7" customWidth="1"/>
    <col min="5122" max="5122" width="3.5703125" style="7" customWidth="1"/>
    <col min="5123" max="5367" width="9.140625" style="7"/>
    <col min="5368" max="5368" width="8.7109375" style="7" customWidth="1"/>
    <col min="5369" max="5369" width="9.85546875" style="7" customWidth="1"/>
    <col min="5370" max="5370" width="14.42578125" style="7" customWidth="1"/>
    <col min="5371" max="5371" width="7.28515625" style="7" customWidth="1"/>
    <col min="5372" max="5372" width="5.5703125" style="7" customWidth="1"/>
    <col min="5373" max="5373" width="9" style="7" customWidth="1"/>
    <col min="5374" max="5375" width="9.85546875" style="7" customWidth="1"/>
    <col min="5376" max="5376" width="11.140625" style="7" customWidth="1"/>
    <col min="5377" max="5377" width="2.85546875" style="7" customWidth="1"/>
    <col min="5378" max="5378" width="3.5703125" style="7" customWidth="1"/>
    <col min="5379" max="5623" width="9.140625" style="7"/>
    <col min="5624" max="5624" width="8.7109375" style="7" customWidth="1"/>
    <col min="5625" max="5625" width="9.85546875" style="7" customWidth="1"/>
    <col min="5626" max="5626" width="14.42578125" style="7" customWidth="1"/>
    <col min="5627" max="5627" width="7.28515625" style="7" customWidth="1"/>
    <col min="5628" max="5628" width="5.5703125" style="7" customWidth="1"/>
    <col min="5629" max="5629" width="9" style="7" customWidth="1"/>
    <col min="5630" max="5631" width="9.85546875" style="7" customWidth="1"/>
    <col min="5632" max="5632" width="11.140625" style="7" customWidth="1"/>
    <col min="5633" max="5633" width="2.85546875" style="7" customWidth="1"/>
    <col min="5634" max="5634" width="3.5703125" style="7" customWidth="1"/>
    <col min="5635" max="5879" width="9.140625" style="7"/>
    <col min="5880" max="5880" width="8.7109375" style="7" customWidth="1"/>
    <col min="5881" max="5881" width="9.85546875" style="7" customWidth="1"/>
    <col min="5882" max="5882" width="14.42578125" style="7" customWidth="1"/>
    <col min="5883" max="5883" width="7.28515625" style="7" customWidth="1"/>
    <col min="5884" max="5884" width="5.5703125" style="7" customWidth="1"/>
    <col min="5885" max="5885" width="9" style="7" customWidth="1"/>
    <col min="5886" max="5887" width="9.85546875" style="7" customWidth="1"/>
    <col min="5888" max="5888" width="11.140625" style="7" customWidth="1"/>
    <col min="5889" max="5889" width="2.85546875" style="7" customWidth="1"/>
    <col min="5890" max="5890" width="3.5703125" style="7" customWidth="1"/>
    <col min="5891" max="6135" width="9.140625" style="7"/>
    <col min="6136" max="6136" width="8.7109375" style="7" customWidth="1"/>
    <col min="6137" max="6137" width="9.85546875" style="7" customWidth="1"/>
    <col min="6138" max="6138" width="14.42578125" style="7" customWidth="1"/>
    <col min="6139" max="6139" width="7.28515625" style="7" customWidth="1"/>
    <col min="6140" max="6140" width="5.5703125" style="7" customWidth="1"/>
    <col min="6141" max="6141" width="9" style="7" customWidth="1"/>
    <col min="6142" max="6143" width="9.85546875" style="7" customWidth="1"/>
    <col min="6144" max="6144" width="11.140625" style="7" customWidth="1"/>
    <col min="6145" max="6145" width="2.85546875" style="7" customWidth="1"/>
    <col min="6146" max="6146" width="3.5703125" style="7" customWidth="1"/>
    <col min="6147" max="6391" width="9.140625" style="7"/>
    <col min="6392" max="6392" width="8.7109375" style="7" customWidth="1"/>
    <col min="6393" max="6393" width="9.85546875" style="7" customWidth="1"/>
    <col min="6394" max="6394" width="14.42578125" style="7" customWidth="1"/>
    <col min="6395" max="6395" width="7.28515625" style="7" customWidth="1"/>
    <col min="6396" max="6396" width="5.5703125" style="7" customWidth="1"/>
    <col min="6397" max="6397" width="9" style="7" customWidth="1"/>
    <col min="6398" max="6399" width="9.85546875" style="7" customWidth="1"/>
    <col min="6400" max="6400" width="11.140625" style="7" customWidth="1"/>
    <col min="6401" max="6401" width="2.85546875" style="7" customWidth="1"/>
    <col min="6402" max="6402" width="3.5703125" style="7" customWidth="1"/>
    <col min="6403" max="6647" width="9.140625" style="7"/>
    <col min="6648" max="6648" width="8.7109375" style="7" customWidth="1"/>
    <col min="6649" max="6649" width="9.85546875" style="7" customWidth="1"/>
    <col min="6650" max="6650" width="14.42578125" style="7" customWidth="1"/>
    <col min="6651" max="6651" width="7.28515625" style="7" customWidth="1"/>
    <col min="6652" max="6652" width="5.5703125" style="7" customWidth="1"/>
    <col min="6653" max="6653" width="9" style="7" customWidth="1"/>
    <col min="6654" max="6655" width="9.85546875" style="7" customWidth="1"/>
    <col min="6656" max="6656" width="11.140625" style="7" customWidth="1"/>
    <col min="6657" max="6657" width="2.85546875" style="7" customWidth="1"/>
    <col min="6658" max="6658" width="3.5703125" style="7" customWidth="1"/>
    <col min="6659" max="6903" width="9.140625" style="7"/>
    <col min="6904" max="6904" width="8.7109375" style="7" customWidth="1"/>
    <col min="6905" max="6905" width="9.85546875" style="7" customWidth="1"/>
    <col min="6906" max="6906" width="14.42578125" style="7" customWidth="1"/>
    <col min="6907" max="6907" width="7.28515625" style="7" customWidth="1"/>
    <col min="6908" max="6908" width="5.5703125" style="7" customWidth="1"/>
    <col min="6909" max="6909" width="9" style="7" customWidth="1"/>
    <col min="6910" max="6911" width="9.85546875" style="7" customWidth="1"/>
    <col min="6912" max="6912" width="11.140625" style="7" customWidth="1"/>
    <col min="6913" max="6913" width="2.85546875" style="7" customWidth="1"/>
    <col min="6914" max="6914" width="3.5703125" style="7" customWidth="1"/>
    <col min="6915" max="7159" width="9.140625" style="7"/>
    <col min="7160" max="7160" width="8.7109375" style="7" customWidth="1"/>
    <col min="7161" max="7161" width="9.85546875" style="7" customWidth="1"/>
    <col min="7162" max="7162" width="14.42578125" style="7" customWidth="1"/>
    <col min="7163" max="7163" width="7.28515625" style="7" customWidth="1"/>
    <col min="7164" max="7164" width="5.5703125" style="7" customWidth="1"/>
    <col min="7165" max="7165" width="9" style="7" customWidth="1"/>
    <col min="7166" max="7167" width="9.85546875" style="7" customWidth="1"/>
    <col min="7168" max="7168" width="11.140625" style="7" customWidth="1"/>
    <col min="7169" max="7169" width="2.85546875" style="7" customWidth="1"/>
    <col min="7170" max="7170" width="3.5703125" style="7" customWidth="1"/>
    <col min="7171" max="7415" width="9.140625" style="7"/>
    <col min="7416" max="7416" width="8.7109375" style="7" customWidth="1"/>
    <col min="7417" max="7417" width="9.85546875" style="7" customWidth="1"/>
    <col min="7418" max="7418" width="14.42578125" style="7" customWidth="1"/>
    <col min="7419" max="7419" width="7.28515625" style="7" customWidth="1"/>
    <col min="7420" max="7420" width="5.5703125" style="7" customWidth="1"/>
    <col min="7421" max="7421" width="9" style="7" customWidth="1"/>
    <col min="7422" max="7423" width="9.85546875" style="7" customWidth="1"/>
    <col min="7424" max="7424" width="11.140625" style="7" customWidth="1"/>
    <col min="7425" max="7425" width="2.85546875" style="7" customWidth="1"/>
    <col min="7426" max="7426" width="3.5703125" style="7" customWidth="1"/>
    <col min="7427" max="7671" width="9.140625" style="7"/>
    <col min="7672" max="7672" width="8.7109375" style="7" customWidth="1"/>
    <col min="7673" max="7673" width="9.85546875" style="7" customWidth="1"/>
    <col min="7674" max="7674" width="14.42578125" style="7" customWidth="1"/>
    <col min="7675" max="7675" width="7.28515625" style="7" customWidth="1"/>
    <col min="7676" max="7676" width="5.5703125" style="7" customWidth="1"/>
    <col min="7677" max="7677" width="9" style="7" customWidth="1"/>
    <col min="7678" max="7679" width="9.85546875" style="7" customWidth="1"/>
    <col min="7680" max="7680" width="11.140625" style="7" customWidth="1"/>
    <col min="7681" max="7681" width="2.85546875" style="7" customWidth="1"/>
    <col min="7682" max="7682" width="3.5703125" style="7" customWidth="1"/>
    <col min="7683" max="7927" width="9.140625" style="7"/>
    <col min="7928" max="7928" width="8.7109375" style="7" customWidth="1"/>
    <col min="7929" max="7929" width="9.85546875" style="7" customWidth="1"/>
    <col min="7930" max="7930" width="14.42578125" style="7" customWidth="1"/>
    <col min="7931" max="7931" width="7.28515625" style="7" customWidth="1"/>
    <col min="7932" max="7932" width="5.5703125" style="7" customWidth="1"/>
    <col min="7933" max="7933" width="9" style="7" customWidth="1"/>
    <col min="7934" max="7935" width="9.85546875" style="7" customWidth="1"/>
    <col min="7936" max="7936" width="11.140625" style="7" customWidth="1"/>
    <col min="7937" max="7937" width="2.85546875" style="7" customWidth="1"/>
    <col min="7938" max="7938" width="3.5703125" style="7" customWidth="1"/>
    <col min="7939" max="8183" width="9.140625" style="7"/>
    <col min="8184" max="8184" width="8.7109375" style="7" customWidth="1"/>
    <col min="8185" max="8185" width="9.85546875" style="7" customWidth="1"/>
    <col min="8186" max="8186" width="14.42578125" style="7" customWidth="1"/>
    <col min="8187" max="8187" width="7.28515625" style="7" customWidth="1"/>
    <col min="8188" max="8188" width="5.5703125" style="7" customWidth="1"/>
    <col min="8189" max="8189" width="9" style="7" customWidth="1"/>
    <col min="8190" max="8191" width="9.85546875" style="7" customWidth="1"/>
    <col min="8192" max="8192" width="11.140625" style="7" customWidth="1"/>
    <col min="8193" max="8193" width="2.85546875" style="7" customWidth="1"/>
    <col min="8194" max="8194" width="3.5703125" style="7" customWidth="1"/>
    <col min="8195" max="8439" width="9.140625" style="7"/>
    <col min="8440" max="8440" width="8.7109375" style="7" customWidth="1"/>
    <col min="8441" max="8441" width="9.85546875" style="7" customWidth="1"/>
    <col min="8442" max="8442" width="14.42578125" style="7" customWidth="1"/>
    <col min="8443" max="8443" width="7.28515625" style="7" customWidth="1"/>
    <col min="8444" max="8444" width="5.5703125" style="7" customWidth="1"/>
    <col min="8445" max="8445" width="9" style="7" customWidth="1"/>
    <col min="8446" max="8447" width="9.85546875" style="7" customWidth="1"/>
    <col min="8448" max="8448" width="11.140625" style="7" customWidth="1"/>
    <col min="8449" max="8449" width="2.85546875" style="7" customWidth="1"/>
    <col min="8450" max="8450" width="3.5703125" style="7" customWidth="1"/>
    <col min="8451" max="8695" width="9.140625" style="7"/>
    <col min="8696" max="8696" width="8.7109375" style="7" customWidth="1"/>
    <col min="8697" max="8697" width="9.85546875" style="7" customWidth="1"/>
    <col min="8698" max="8698" width="14.42578125" style="7" customWidth="1"/>
    <col min="8699" max="8699" width="7.28515625" style="7" customWidth="1"/>
    <col min="8700" max="8700" width="5.5703125" style="7" customWidth="1"/>
    <col min="8701" max="8701" width="9" style="7" customWidth="1"/>
    <col min="8702" max="8703" width="9.85546875" style="7" customWidth="1"/>
    <col min="8704" max="8704" width="11.140625" style="7" customWidth="1"/>
    <col min="8705" max="8705" width="2.85546875" style="7" customWidth="1"/>
    <col min="8706" max="8706" width="3.5703125" style="7" customWidth="1"/>
    <col min="8707" max="8951" width="9.140625" style="7"/>
    <col min="8952" max="8952" width="8.7109375" style="7" customWidth="1"/>
    <col min="8953" max="8953" width="9.85546875" style="7" customWidth="1"/>
    <col min="8954" max="8954" width="14.42578125" style="7" customWidth="1"/>
    <col min="8955" max="8955" width="7.28515625" style="7" customWidth="1"/>
    <col min="8956" max="8956" width="5.5703125" style="7" customWidth="1"/>
    <col min="8957" max="8957" width="9" style="7" customWidth="1"/>
    <col min="8958" max="8959" width="9.85546875" style="7" customWidth="1"/>
    <col min="8960" max="8960" width="11.140625" style="7" customWidth="1"/>
    <col min="8961" max="8961" width="2.85546875" style="7" customWidth="1"/>
    <col min="8962" max="8962" width="3.5703125" style="7" customWidth="1"/>
    <col min="8963" max="9207" width="9.140625" style="7"/>
    <col min="9208" max="9208" width="8.7109375" style="7" customWidth="1"/>
    <col min="9209" max="9209" width="9.85546875" style="7" customWidth="1"/>
    <col min="9210" max="9210" width="14.42578125" style="7" customWidth="1"/>
    <col min="9211" max="9211" width="7.28515625" style="7" customWidth="1"/>
    <col min="9212" max="9212" width="5.5703125" style="7" customWidth="1"/>
    <col min="9213" max="9213" width="9" style="7" customWidth="1"/>
    <col min="9214" max="9215" width="9.85546875" style="7" customWidth="1"/>
    <col min="9216" max="9216" width="11.140625" style="7" customWidth="1"/>
    <col min="9217" max="9217" width="2.85546875" style="7" customWidth="1"/>
    <col min="9218" max="9218" width="3.5703125" style="7" customWidth="1"/>
    <col min="9219" max="9463" width="9.140625" style="7"/>
    <col min="9464" max="9464" width="8.7109375" style="7" customWidth="1"/>
    <col min="9465" max="9465" width="9.85546875" style="7" customWidth="1"/>
    <col min="9466" max="9466" width="14.42578125" style="7" customWidth="1"/>
    <col min="9467" max="9467" width="7.28515625" style="7" customWidth="1"/>
    <col min="9468" max="9468" width="5.5703125" style="7" customWidth="1"/>
    <col min="9469" max="9469" width="9" style="7" customWidth="1"/>
    <col min="9470" max="9471" width="9.85546875" style="7" customWidth="1"/>
    <col min="9472" max="9472" width="11.140625" style="7" customWidth="1"/>
    <col min="9473" max="9473" width="2.85546875" style="7" customWidth="1"/>
    <col min="9474" max="9474" width="3.5703125" style="7" customWidth="1"/>
    <col min="9475" max="9719" width="9.140625" style="7"/>
    <col min="9720" max="9720" width="8.7109375" style="7" customWidth="1"/>
    <col min="9721" max="9721" width="9.85546875" style="7" customWidth="1"/>
    <col min="9722" max="9722" width="14.42578125" style="7" customWidth="1"/>
    <col min="9723" max="9723" width="7.28515625" style="7" customWidth="1"/>
    <col min="9724" max="9724" width="5.5703125" style="7" customWidth="1"/>
    <col min="9725" max="9725" width="9" style="7" customWidth="1"/>
    <col min="9726" max="9727" width="9.85546875" style="7" customWidth="1"/>
    <col min="9728" max="9728" width="11.140625" style="7" customWidth="1"/>
    <col min="9729" max="9729" width="2.85546875" style="7" customWidth="1"/>
    <col min="9730" max="9730" width="3.5703125" style="7" customWidth="1"/>
    <col min="9731" max="9975" width="9.140625" style="7"/>
    <col min="9976" max="9976" width="8.7109375" style="7" customWidth="1"/>
    <col min="9977" max="9977" width="9.85546875" style="7" customWidth="1"/>
    <col min="9978" max="9978" width="14.42578125" style="7" customWidth="1"/>
    <col min="9979" max="9979" width="7.28515625" style="7" customWidth="1"/>
    <col min="9980" max="9980" width="5.5703125" style="7" customWidth="1"/>
    <col min="9981" max="9981" width="9" style="7" customWidth="1"/>
    <col min="9982" max="9983" width="9.85546875" style="7" customWidth="1"/>
    <col min="9984" max="9984" width="11.140625" style="7" customWidth="1"/>
    <col min="9985" max="9985" width="2.85546875" style="7" customWidth="1"/>
    <col min="9986" max="9986" width="3.5703125" style="7" customWidth="1"/>
    <col min="9987" max="10231" width="9.140625" style="7"/>
    <col min="10232" max="10232" width="8.7109375" style="7" customWidth="1"/>
    <col min="10233" max="10233" width="9.85546875" style="7" customWidth="1"/>
    <col min="10234" max="10234" width="14.42578125" style="7" customWidth="1"/>
    <col min="10235" max="10235" width="7.28515625" style="7" customWidth="1"/>
    <col min="10236" max="10236" width="5.5703125" style="7" customWidth="1"/>
    <col min="10237" max="10237" width="9" style="7" customWidth="1"/>
    <col min="10238" max="10239" width="9.85546875" style="7" customWidth="1"/>
    <col min="10240" max="10240" width="11.140625" style="7" customWidth="1"/>
    <col min="10241" max="10241" width="2.85546875" style="7" customWidth="1"/>
    <col min="10242" max="10242" width="3.5703125" style="7" customWidth="1"/>
    <col min="10243" max="10487" width="9.140625" style="7"/>
    <col min="10488" max="10488" width="8.7109375" style="7" customWidth="1"/>
    <col min="10489" max="10489" width="9.85546875" style="7" customWidth="1"/>
    <col min="10490" max="10490" width="14.42578125" style="7" customWidth="1"/>
    <col min="10491" max="10491" width="7.28515625" style="7" customWidth="1"/>
    <col min="10492" max="10492" width="5.5703125" style="7" customWidth="1"/>
    <col min="10493" max="10493" width="9" style="7" customWidth="1"/>
    <col min="10494" max="10495" width="9.85546875" style="7" customWidth="1"/>
    <col min="10496" max="10496" width="11.140625" style="7" customWidth="1"/>
    <col min="10497" max="10497" width="2.85546875" style="7" customWidth="1"/>
    <col min="10498" max="10498" width="3.5703125" style="7" customWidth="1"/>
    <col min="10499" max="10743" width="9.140625" style="7"/>
    <col min="10744" max="10744" width="8.7109375" style="7" customWidth="1"/>
    <col min="10745" max="10745" width="9.85546875" style="7" customWidth="1"/>
    <col min="10746" max="10746" width="14.42578125" style="7" customWidth="1"/>
    <col min="10747" max="10747" width="7.28515625" style="7" customWidth="1"/>
    <col min="10748" max="10748" width="5.5703125" style="7" customWidth="1"/>
    <col min="10749" max="10749" width="9" style="7" customWidth="1"/>
    <col min="10750" max="10751" width="9.85546875" style="7" customWidth="1"/>
    <col min="10752" max="10752" width="11.140625" style="7" customWidth="1"/>
    <col min="10753" max="10753" width="2.85546875" style="7" customWidth="1"/>
    <col min="10754" max="10754" width="3.5703125" style="7" customWidth="1"/>
    <col min="10755" max="10999" width="9.140625" style="7"/>
    <col min="11000" max="11000" width="8.7109375" style="7" customWidth="1"/>
    <col min="11001" max="11001" width="9.85546875" style="7" customWidth="1"/>
    <col min="11002" max="11002" width="14.42578125" style="7" customWidth="1"/>
    <col min="11003" max="11003" width="7.28515625" style="7" customWidth="1"/>
    <col min="11004" max="11004" width="5.5703125" style="7" customWidth="1"/>
    <col min="11005" max="11005" width="9" style="7" customWidth="1"/>
    <col min="11006" max="11007" width="9.85546875" style="7" customWidth="1"/>
    <col min="11008" max="11008" width="11.140625" style="7" customWidth="1"/>
    <col min="11009" max="11009" width="2.85546875" style="7" customWidth="1"/>
    <col min="11010" max="11010" width="3.5703125" style="7" customWidth="1"/>
    <col min="11011" max="11255" width="9.140625" style="7"/>
    <col min="11256" max="11256" width="8.7109375" style="7" customWidth="1"/>
    <col min="11257" max="11257" width="9.85546875" style="7" customWidth="1"/>
    <col min="11258" max="11258" width="14.42578125" style="7" customWidth="1"/>
    <col min="11259" max="11259" width="7.28515625" style="7" customWidth="1"/>
    <col min="11260" max="11260" width="5.5703125" style="7" customWidth="1"/>
    <col min="11261" max="11261" width="9" style="7" customWidth="1"/>
    <col min="11262" max="11263" width="9.85546875" style="7" customWidth="1"/>
    <col min="11264" max="11264" width="11.140625" style="7" customWidth="1"/>
    <col min="11265" max="11265" width="2.85546875" style="7" customWidth="1"/>
    <col min="11266" max="11266" width="3.5703125" style="7" customWidth="1"/>
    <col min="11267" max="11511" width="9.140625" style="7"/>
    <col min="11512" max="11512" width="8.7109375" style="7" customWidth="1"/>
    <col min="11513" max="11513" width="9.85546875" style="7" customWidth="1"/>
    <col min="11514" max="11514" width="14.42578125" style="7" customWidth="1"/>
    <col min="11515" max="11515" width="7.28515625" style="7" customWidth="1"/>
    <col min="11516" max="11516" width="5.5703125" style="7" customWidth="1"/>
    <col min="11517" max="11517" width="9" style="7" customWidth="1"/>
    <col min="11518" max="11519" width="9.85546875" style="7" customWidth="1"/>
    <col min="11520" max="11520" width="11.140625" style="7" customWidth="1"/>
    <col min="11521" max="11521" width="2.85546875" style="7" customWidth="1"/>
    <col min="11522" max="11522" width="3.5703125" style="7" customWidth="1"/>
    <col min="11523" max="11767" width="9.140625" style="7"/>
    <col min="11768" max="11768" width="8.7109375" style="7" customWidth="1"/>
    <col min="11769" max="11769" width="9.85546875" style="7" customWidth="1"/>
    <col min="11770" max="11770" width="14.42578125" style="7" customWidth="1"/>
    <col min="11771" max="11771" width="7.28515625" style="7" customWidth="1"/>
    <col min="11772" max="11772" width="5.5703125" style="7" customWidth="1"/>
    <col min="11773" max="11773" width="9" style="7" customWidth="1"/>
    <col min="11774" max="11775" width="9.85546875" style="7" customWidth="1"/>
    <col min="11776" max="11776" width="11.140625" style="7" customWidth="1"/>
    <col min="11777" max="11777" width="2.85546875" style="7" customWidth="1"/>
    <col min="11778" max="11778" width="3.5703125" style="7" customWidth="1"/>
    <col min="11779" max="12023" width="9.140625" style="7"/>
    <col min="12024" max="12024" width="8.7109375" style="7" customWidth="1"/>
    <col min="12025" max="12025" width="9.85546875" style="7" customWidth="1"/>
    <col min="12026" max="12026" width="14.42578125" style="7" customWidth="1"/>
    <col min="12027" max="12027" width="7.28515625" style="7" customWidth="1"/>
    <col min="12028" max="12028" width="5.5703125" style="7" customWidth="1"/>
    <col min="12029" max="12029" width="9" style="7" customWidth="1"/>
    <col min="12030" max="12031" width="9.85546875" style="7" customWidth="1"/>
    <col min="12032" max="12032" width="11.140625" style="7" customWidth="1"/>
    <col min="12033" max="12033" width="2.85546875" style="7" customWidth="1"/>
    <col min="12034" max="12034" width="3.5703125" style="7" customWidth="1"/>
    <col min="12035" max="12279" width="9.140625" style="7"/>
    <col min="12280" max="12280" width="8.7109375" style="7" customWidth="1"/>
    <col min="12281" max="12281" width="9.85546875" style="7" customWidth="1"/>
    <col min="12282" max="12282" width="14.42578125" style="7" customWidth="1"/>
    <col min="12283" max="12283" width="7.28515625" style="7" customWidth="1"/>
    <col min="12284" max="12284" width="5.5703125" style="7" customWidth="1"/>
    <col min="12285" max="12285" width="9" style="7" customWidth="1"/>
    <col min="12286" max="12287" width="9.85546875" style="7" customWidth="1"/>
    <col min="12288" max="12288" width="11.140625" style="7" customWidth="1"/>
    <col min="12289" max="12289" width="2.85546875" style="7" customWidth="1"/>
    <col min="12290" max="12290" width="3.5703125" style="7" customWidth="1"/>
    <col min="12291" max="12535" width="9.140625" style="7"/>
    <col min="12536" max="12536" width="8.7109375" style="7" customWidth="1"/>
    <col min="12537" max="12537" width="9.85546875" style="7" customWidth="1"/>
    <col min="12538" max="12538" width="14.42578125" style="7" customWidth="1"/>
    <col min="12539" max="12539" width="7.28515625" style="7" customWidth="1"/>
    <col min="12540" max="12540" width="5.5703125" style="7" customWidth="1"/>
    <col min="12541" max="12541" width="9" style="7" customWidth="1"/>
    <col min="12542" max="12543" width="9.85546875" style="7" customWidth="1"/>
    <col min="12544" max="12544" width="11.140625" style="7" customWidth="1"/>
    <col min="12545" max="12545" width="2.85546875" style="7" customWidth="1"/>
    <col min="12546" max="12546" width="3.5703125" style="7" customWidth="1"/>
    <col min="12547" max="12791" width="9.140625" style="7"/>
    <col min="12792" max="12792" width="8.7109375" style="7" customWidth="1"/>
    <col min="12793" max="12793" width="9.85546875" style="7" customWidth="1"/>
    <col min="12794" max="12794" width="14.42578125" style="7" customWidth="1"/>
    <col min="12795" max="12795" width="7.28515625" style="7" customWidth="1"/>
    <col min="12796" max="12796" width="5.5703125" style="7" customWidth="1"/>
    <col min="12797" max="12797" width="9" style="7" customWidth="1"/>
    <col min="12798" max="12799" width="9.85546875" style="7" customWidth="1"/>
    <col min="12800" max="12800" width="11.140625" style="7" customWidth="1"/>
    <col min="12801" max="12801" width="2.85546875" style="7" customWidth="1"/>
    <col min="12802" max="12802" width="3.5703125" style="7" customWidth="1"/>
    <col min="12803" max="13047" width="9.140625" style="7"/>
    <col min="13048" max="13048" width="8.7109375" style="7" customWidth="1"/>
    <col min="13049" max="13049" width="9.85546875" style="7" customWidth="1"/>
    <col min="13050" max="13050" width="14.42578125" style="7" customWidth="1"/>
    <col min="13051" max="13051" width="7.28515625" style="7" customWidth="1"/>
    <col min="13052" max="13052" width="5.5703125" style="7" customWidth="1"/>
    <col min="13053" max="13053" width="9" style="7" customWidth="1"/>
    <col min="13054" max="13055" width="9.85546875" style="7" customWidth="1"/>
    <col min="13056" max="13056" width="11.140625" style="7" customWidth="1"/>
    <col min="13057" max="13057" width="2.85546875" style="7" customWidth="1"/>
    <col min="13058" max="13058" width="3.5703125" style="7" customWidth="1"/>
    <col min="13059" max="13303" width="9.140625" style="7"/>
    <col min="13304" max="13304" width="8.7109375" style="7" customWidth="1"/>
    <col min="13305" max="13305" width="9.85546875" style="7" customWidth="1"/>
    <col min="13306" max="13306" width="14.42578125" style="7" customWidth="1"/>
    <col min="13307" max="13307" width="7.28515625" style="7" customWidth="1"/>
    <col min="13308" max="13308" width="5.5703125" style="7" customWidth="1"/>
    <col min="13309" max="13309" width="9" style="7" customWidth="1"/>
    <col min="13310" max="13311" width="9.85546875" style="7" customWidth="1"/>
    <col min="13312" max="13312" width="11.140625" style="7" customWidth="1"/>
    <col min="13313" max="13313" width="2.85546875" style="7" customWidth="1"/>
    <col min="13314" max="13314" width="3.5703125" style="7" customWidth="1"/>
    <col min="13315" max="13559" width="9.140625" style="7"/>
    <col min="13560" max="13560" width="8.7109375" style="7" customWidth="1"/>
    <col min="13561" max="13561" width="9.85546875" style="7" customWidth="1"/>
    <col min="13562" max="13562" width="14.42578125" style="7" customWidth="1"/>
    <col min="13563" max="13563" width="7.28515625" style="7" customWidth="1"/>
    <col min="13564" max="13564" width="5.5703125" style="7" customWidth="1"/>
    <col min="13565" max="13565" width="9" style="7" customWidth="1"/>
    <col min="13566" max="13567" width="9.85546875" style="7" customWidth="1"/>
    <col min="13568" max="13568" width="11.140625" style="7" customWidth="1"/>
    <col min="13569" max="13569" width="2.85546875" style="7" customWidth="1"/>
    <col min="13570" max="13570" width="3.5703125" style="7" customWidth="1"/>
    <col min="13571" max="13815" width="9.140625" style="7"/>
    <col min="13816" max="13816" width="8.7109375" style="7" customWidth="1"/>
    <col min="13817" max="13817" width="9.85546875" style="7" customWidth="1"/>
    <col min="13818" max="13818" width="14.42578125" style="7" customWidth="1"/>
    <col min="13819" max="13819" width="7.28515625" style="7" customWidth="1"/>
    <col min="13820" max="13820" width="5.5703125" style="7" customWidth="1"/>
    <col min="13821" max="13821" width="9" style="7" customWidth="1"/>
    <col min="13822" max="13823" width="9.85546875" style="7" customWidth="1"/>
    <col min="13824" max="13824" width="11.140625" style="7" customWidth="1"/>
    <col min="13825" max="13825" width="2.85546875" style="7" customWidth="1"/>
    <col min="13826" max="13826" width="3.5703125" style="7" customWidth="1"/>
    <col min="13827" max="14071" width="9.140625" style="7"/>
    <col min="14072" max="14072" width="8.7109375" style="7" customWidth="1"/>
    <col min="14073" max="14073" width="9.85546875" style="7" customWidth="1"/>
    <col min="14074" max="14074" width="14.42578125" style="7" customWidth="1"/>
    <col min="14075" max="14075" width="7.28515625" style="7" customWidth="1"/>
    <col min="14076" max="14076" width="5.5703125" style="7" customWidth="1"/>
    <col min="14077" max="14077" width="9" style="7" customWidth="1"/>
    <col min="14078" max="14079" width="9.85546875" style="7" customWidth="1"/>
    <col min="14080" max="14080" width="11.140625" style="7" customWidth="1"/>
    <col min="14081" max="14081" width="2.85546875" style="7" customWidth="1"/>
    <col min="14082" max="14082" width="3.5703125" style="7" customWidth="1"/>
    <col min="14083" max="14327" width="9.140625" style="7"/>
    <col min="14328" max="14328" width="8.7109375" style="7" customWidth="1"/>
    <col min="14329" max="14329" width="9.85546875" style="7" customWidth="1"/>
    <col min="14330" max="14330" width="14.42578125" style="7" customWidth="1"/>
    <col min="14331" max="14331" width="7.28515625" style="7" customWidth="1"/>
    <col min="14332" max="14332" width="5.5703125" style="7" customWidth="1"/>
    <col min="14333" max="14333" width="9" style="7" customWidth="1"/>
    <col min="14334" max="14335" width="9.85546875" style="7" customWidth="1"/>
    <col min="14336" max="14336" width="11.140625" style="7" customWidth="1"/>
    <col min="14337" max="14337" width="2.85546875" style="7" customWidth="1"/>
    <col min="14338" max="14338" width="3.5703125" style="7" customWidth="1"/>
    <col min="14339" max="14583" width="9.140625" style="7"/>
    <col min="14584" max="14584" width="8.7109375" style="7" customWidth="1"/>
    <col min="14585" max="14585" width="9.85546875" style="7" customWidth="1"/>
    <col min="14586" max="14586" width="14.42578125" style="7" customWidth="1"/>
    <col min="14587" max="14587" width="7.28515625" style="7" customWidth="1"/>
    <col min="14588" max="14588" width="5.5703125" style="7" customWidth="1"/>
    <col min="14589" max="14589" width="9" style="7" customWidth="1"/>
    <col min="14590" max="14591" width="9.85546875" style="7" customWidth="1"/>
    <col min="14592" max="14592" width="11.140625" style="7" customWidth="1"/>
    <col min="14593" max="14593" width="2.85546875" style="7" customWidth="1"/>
    <col min="14594" max="14594" width="3.5703125" style="7" customWidth="1"/>
    <col min="14595" max="14839" width="9.140625" style="7"/>
    <col min="14840" max="14840" width="8.7109375" style="7" customWidth="1"/>
    <col min="14841" max="14841" width="9.85546875" style="7" customWidth="1"/>
    <col min="14842" max="14842" width="14.42578125" style="7" customWidth="1"/>
    <col min="14843" max="14843" width="7.28515625" style="7" customWidth="1"/>
    <col min="14844" max="14844" width="5.5703125" style="7" customWidth="1"/>
    <col min="14845" max="14845" width="9" style="7" customWidth="1"/>
    <col min="14846" max="14847" width="9.85546875" style="7" customWidth="1"/>
    <col min="14848" max="14848" width="11.140625" style="7" customWidth="1"/>
    <col min="14849" max="14849" width="2.85546875" style="7" customWidth="1"/>
    <col min="14850" max="14850" width="3.5703125" style="7" customWidth="1"/>
    <col min="14851" max="15095" width="9.140625" style="7"/>
    <col min="15096" max="15096" width="8.7109375" style="7" customWidth="1"/>
    <col min="15097" max="15097" width="9.85546875" style="7" customWidth="1"/>
    <col min="15098" max="15098" width="14.42578125" style="7" customWidth="1"/>
    <col min="15099" max="15099" width="7.28515625" style="7" customWidth="1"/>
    <col min="15100" max="15100" width="5.5703125" style="7" customWidth="1"/>
    <col min="15101" max="15101" width="9" style="7" customWidth="1"/>
    <col min="15102" max="15103" width="9.85546875" style="7" customWidth="1"/>
    <col min="15104" max="15104" width="11.140625" style="7" customWidth="1"/>
    <col min="15105" max="15105" width="2.85546875" style="7" customWidth="1"/>
    <col min="15106" max="15106" width="3.5703125" style="7" customWidth="1"/>
    <col min="15107" max="15351" width="9.140625" style="7"/>
    <col min="15352" max="15352" width="8.7109375" style="7" customWidth="1"/>
    <col min="15353" max="15353" width="9.85546875" style="7" customWidth="1"/>
    <col min="15354" max="15354" width="14.42578125" style="7" customWidth="1"/>
    <col min="15355" max="15355" width="7.28515625" style="7" customWidth="1"/>
    <col min="15356" max="15356" width="5.5703125" style="7" customWidth="1"/>
    <col min="15357" max="15357" width="9" style="7" customWidth="1"/>
    <col min="15358" max="15359" width="9.85546875" style="7" customWidth="1"/>
    <col min="15360" max="15360" width="11.140625" style="7" customWidth="1"/>
    <col min="15361" max="15361" width="2.85546875" style="7" customWidth="1"/>
    <col min="15362" max="15362" width="3.5703125" style="7" customWidth="1"/>
    <col min="15363" max="15607" width="9.140625" style="7"/>
    <col min="15608" max="15608" width="8.7109375" style="7" customWidth="1"/>
    <col min="15609" max="15609" width="9.85546875" style="7" customWidth="1"/>
    <col min="15610" max="15610" width="14.42578125" style="7" customWidth="1"/>
    <col min="15611" max="15611" width="7.28515625" style="7" customWidth="1"/>
    <col min="15612" max="15612" width="5.5703125" style="7" customWidth="1"/>
    <col min="15613" max="15613" width="9" style="7" customWidth="1"/>
    <col min="15614" max="15615" width="9.85546875" style="7" customWidth="1"/>
    <col min="15616" max="15616" width="11.140625" style="7" customWidth="1"/>
    <col min="15617" max="15617" width="2.85546875" style="7" customWidth="1"/>
    <col min="15618" max="15618" width="3.5703125" style="7" customWidth="1"/>
    <col min="15619" max="15863" width="9.140625" style="7"/>
    <col min="15864" max="15864" width="8.7109375" style="7" customWidth="1"/>
    <col min="15865" max="15865" width="9.85546875" style="7" customWidth="1"/>
    <col min="15866" max="15866" width="14.42578125" style="7" customWidth="1"/>
    <col min="15867" max="15867" width="7.28515625" style="7" customWidth="1"/>
    <col min="15868" max="15868" width="5.5703125" style="7" customWidth="1"/>
    <col min="15869" max="15869" width="9" style="7" customWidth="1"/>
    <col min="15870" max="15871" width="9.85546875" style="7" customWidth="1"/>
    <col min="15872" max="15872" width="11.140625" style="7" customWidth="1"/>
    <col min="15873" max="15873" width="2.85546875" style="7" customWidth="1"/>
    <col min="15874" max="15874" width="3.5703125" style="7" customWidth="1"/>
    <col min="15875" max="16119" width="9.140625" style="7"/>
    <col min="16120" max="16120" width="8.7109375" style="7" customWidth="1"/>
    <col min="16121" max="16121" width="9.85546875" style="7" customWidth="1"/>
    <col min="16122" max="16122" width="14.42578125" style="7" customWidth="1"/>
    <col min="16123" max="16123" width="7.28515625" style="7" customWidth="1"/>
    <col min="16124" max="16124" width="5.5703125" style="7" customWidth="1"/>
    <col min="16125" max="16125" width="9" style="7" customWidth="1"/>
    <col min="16126" max="16127" width="9.85546875" style="7" customWidth="1"/>
    <col min="16128" max="16128" width="11.140625" style="7" customWidth="1"/>
    <col min="16129" max="16129" width="2.85546875" style="7" customWidth="1"/>
    <col min="16130" max="16130" width="3.5703125" style="7" customWidth="1"/>
    <col min="16131" max="16384" width="9.140625" style="7"/>
  </cols>
  <sheetData>
    <row r="1" spans="1:9" ht="46.5" customHeight="1" x14ac:dyDescent="0.25">
      <c r="A1" s="171" t="s">
        <v>259</v>
      </c>
      <c r="B1" s="171"/>
      <c r="C1" s="171"/>
      <c r="D1" s="171"/>
      <c r="E1" s="171"/>
      <c r="F1" s="171"/>
      <c r="G1" s="171"/>
      <c r="H1" s="171"/>
    </row>
    <row r="2" spans="1:9" ht="16.5" customHeight="1" x14ac:dyDescent="0.25">
      <c r="A2" s="151" t="s">
        <v>0</v>
      </c>
      <c r="B2" s="151"/>
      <c r="C2" s="151"/>
      <c r="D2" s="151"/>
      <c r="E2" s="151"/>
      <c r="F2" s="151"/>
      <c r="G2" s="151"/>
      <c r="H2" s="151"/>
    </row>
    <row r="3" spans="1:9" x14ac:dyDescent="0.25">
      <c r="A3" s="148" t="s">
        <v>1</v>
      </c>
      <c r="B3" s="148"/>
      <c r="C3" s="148"/>
      <c r="D3" s="148"/>
      <c r="E3" s="172" t="str">
        <f ca="1">TEXT(TODAY(),"DD/MM/YYYY")</f>
        <v>13/08/2025</v>
      </c>
      <c r="F3" s="173"/>
      <c r="G3" s="173"/>
      <c r="H3" s="173"/>
    </row>
    <row r="4" spans="1:9" ht="15" customHeight="1" x14ac:dyDescent="0.25">
      <c r="A4" s="148" t="s">
        <v>2</v>
      </c>
      <c r="B4" s="148"/>
      <c r="C4" s="148"/>
      <c r="D4" s="148"/>
      <c r="E4" s="174" t="s">
        <v>201</v>
      </c>
      <c r="F4" s="174"/>
      <c r="G4" s="174"/>
      <c r="H4" s="174"/>
    </row>
    <row r="5" spans="1:9" x14ac:dyDescent="0.25">
      <c r="A5" s="148" t="s">
        <v>3</v>
      </c>
      <c r="B5" s="148"/>
      <c r="C5" s="148"/>
      <c r="D5" s="148"/>
      <c r="E5" s="177" t="s">
        <v>320</v>
      </c>
      <c r="F5" s="177"/>
      <c r="G5" s="177"/>
      <c r="H5" s="177"/>
    </row>
    <row r="6" spans="1:9" ht="16.5" customHeight="1" x14ac:dyDescent="0.25">
      <c r="A6" s="148" t="s">
        <v>4</v>
      </c>
      <c r="B6" s="148"/>
      <c r="C6" s="148"/>
      <c r="D6" s="148"/>
      <c r="E6" s="175" t="s">
        <v>200</v>
      </c>
      <c r="F6" s="175"/>
      <c r="G6" s="175"/>
      <c r="H6" s="175"/>
    </row>
    <row r="7" spans="1:9" ht="15" customHeight="1" x14ac:dyDescent="0.25">
      <c r="A7" s="148" t="s">
        <v>5</v>
      </c>
      <c r="B7" s="148"/>
      <c r="C7" s="148"/>
      <c r="D7" s="148"/>
      <c r="E7" s="175" t="str">
        <f>E6</f>
        <v>M/s.Mahaavir Buildcon LLP</v>
      </c>
      <c r="F7" s="175"/>
      <c r="G7" s="175"/>
      <c r="H7" s="175"/>
    </row>
    <row r="8" spans="1:9" x14ac:dyDescent="0.25">
      <c r="A8" s="148" t="s">
        <v>6</v>
      </c>
      <c r="B8" s="148"/>
      <c r="C8" s="148"/>
      <c r="D8" s="148"/>
      <c r="E8" s="165" t="s">
        <v>199</v>
      </c>
      <c r="F8" s="165"/>
      <c r="G8" s="165"/>
      <c r="H8" s="165"/>
      <c r="I8" s="7" t="s">
        <v>315</v>
      </c>
    </row>
    <row r="9" spans="1:9" x14ac:dyDescent="0.25">
      <c r="A9" s="148" t="s">
        <v>162</v>
      </c>
      <c r="B9" s="148"/>
      <c r="C9" s="148"/>
      <c r="D9" s="148"/>
      <c r="E9" s="147">
        <v>9892509416</v>
      </c>
      <c r="F9" s="147"/>
      <c r="G9" s="147"/>
      <c r="H9" s="147"/>
    </row>
    <row r="10" spans="1:9" x14ac:dyDescent="0.25">
      <c r="A10" s="148" t="s">
        <v>316</v>
      </c>
      <c r="B10" s="148"/>
      <c r="C10" s="148"/>
      <c r="D10" s="148"/>
      <c r="E10" s="161" t="s">
        <v>317</v>
      </c>
      <c r="F10" s="161"/>
      <c r="G10" s="161"/>
      <c r="H10" s="161"/>
    </row>
    <row r="11" spans="1:9" x14ac:dyDescent="0.25">
      <c r="A11" s="147" t="s">
        <v>7</v>
      </c>
      <c r="B11" s="147"/>
      <c r="C11" s="147"/>
      <c r="D11" s="147"/>
      <c r="E11" s="147" t="s">
        <v>190</v>
      </c>
      <c r="F11" s="147"/>
      <c r="G11" s="147"/>
      <c r="H11" s="147"/>
    </row>
    <row r="12" spans="1:9" x14ac:dyDescent="0.25">
      <c r="A12" s="148" t="s">
        <v>8</v>
      </c>
      <c r="B12" s="148"/>
      <c r="C12" s="148"/>
      <c r="D12" s="148"/>
      <c r="E12" s="161" t="s">
        <v>312</v>
      </c>
      <c r="F12" s="161"/>
      <c r="G12" s="161"/>
      <c r="H12" s="161"/>
    </row>
    <row r="13" spans="1:9" x14ac:dyDescent="0.25">
      <c r="A13" s="148" t="s">
        <v>9</v>
      </c>
      <c r="B13" s="148"/>
      <c r="C13" s="148"/>
      <c r="D13" s="148"/>
      <c r="E13" s="161" t="s">
        <v>212</v>
      </c>
      <c r="F13" s="147"/>
      <c r="G13" s="147"/>
      <c r="H13" s="147"/>
    </row>
    <row r="14" spans="1:9" ht="36" customHeight="1" x14ac:dyDescent="0.25">
      <c r="A14" s="175" t="s">
        <v>10</v>
      </c>
      <c r="B14" s="175"/>
      <c r="C14" s="175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",(IF(OR(G17="",G17="NA"),"",G17)),".")</f>
        <v>Mahaavir Pride, S No.42/2, 237/5 &amp; 256/1/A, near Sarvodaya Anand CHSL, Manpada Road, Bhopar, Dombivali East, Kalyan, Thane.</v>
      </c>
      <c r="D14" s="175"/>
      <c r="E14" s="175"/>
      <c r="F14" s="175"/>
      <c r="G14" s="175"/>
      <c r="H14" s="175"/>
    </row>
    <row r="15" spans="1:9" x14ac:dyDescent="0.25">
      <c r="A15" s="161" t="s">
        <v>191</v>
      </c>
      <c r="B15" s="161"/>
      <c r="C15" s="161" t="s">
        <v>309</v>
      </c>
      <c r="D15" s="161"/>
      <c r="E15" s="161"/>
      <c r="F15" s="161"/>
      <c r="G15" s="161"/>
      <c r="H15" s="161"/>
    </row>
    <row r="16" spans="1:9" ht="15.75" customHeight="1" x14ac:dyDescent="0.25">
      <c r="A16" s="175" t="s">
        <v>11</v>
      </c>
      <c r="B16" s="175"/>
      <c r="C16" s="147" t="s">
        <v>207</v>
      </c>
      <c r="D16" s="147"/>
      <c r="E16" s="175" t="s">
        <v>104</v>
      </c>
      <c r="F16" s="175"/>
      <c r="G16" s="161" t="s">
        <v>205</v>
      </c>
      <c r="H16" s="161"/>
    </row>
    <row r="17" spans="1:8" x14ac:dyDescent="0.25">
      <c r="A17" s="148" t="s">
        <v>13</v>
      </c>
      <c r="B17" s="148"/>
      <c r="C17" s="161" t="s">
        <v>307</v>
      </c>
      <c r="D17" s="161"/>
      <c r="E17" s="175" t="s">
        <v>12</v>
      </c>
      <c r="F17" s="175"/>
      <c r="G17" s="176" t="s">
        <v>204</v>
      </c>
      <c r="H17" s="176"/>
    </row>
    <row r="18" spans="1:8" x14ac:dyDescent="0.25">
      <c r="A18" s="148" t="s">
        <v>105</v>
      </c>
      <c r="B18" s="148"/>
      <c r="C18" s="161" t="s">
        <v>206</v>
      </c>
      <c r="D18" s="161"/>
      <c r="E18" s="175" t="s">
        <v>14</v>
      </c>
      <c r="F18" s="175"/>
      <c r="G18" s="161">
        <v>421201</v>
      </c>
      <c r="H18" s="161"/>
    </row>
    <row r="19" spans="1:8" ht="32.25" customHeight="1" x14ac:dyDescent="0.25">
      <c r="A19" s="148" t="s">
        <v>163</v>
      </c>
      <c r="B19" s="148"/>
      <c r="C19" s="175" t="s">
        <v>208</v>
      </c>
      <c r="D19" s="175"/>
      <c r="E19" s="175" t="s">
        <v>15</v>
      </c>
      <c r="F19" s="175"/>
      <c r="G19" s="161" t="s">
        <v>308</v>
      </c>
      <c r="H19" s="161"/>
    </row>
    <row r="20" spans="1:8" ht="15" customHeight="1" x14ac:dyDescent="0.25">
      <c r="A20" s="175" t="s">
        <v>109</v>
      </c>
      <c r="B20" s="175"/>
      <c r="C20" s="175"/>
      <c r="D20" s="175"/>
      <c r="E20" s="147" t="s">
        <v>16</v>
      </c>
      <c r="F20" s="147"/>
      <c r="G20" s="147"/>
      <c r="H20" s="147"/>
    </row>
    <row r="21" spans="1:8" ht="18.75" customHeight="1" x14ac:dyDescent="0.25">
      <c r="A21" s="175"/>
      <c r="B21" s="175"/>
      <c r="C21" s="175"/>
      <c r="D21" s="175"/>
      <c r="E21" s="147"/>
      <c r="F21" s="147"/>
      <c r="G21" s="147"/>
      <c r="H21" s="147"/>
    </row>
    <row r="22" spans="1:8" ht="15" customHeight="1" x14ac:dyDescent="0.25">
      <c r="A22" s="175" t="s">
        <v>17</v>
      </c>
      <c r="B22" s="175"/>
      <c r="C22" s="175"/>
      <c r="D22" s="175"/>
      <c r="E22" s="161" t="s">
        <v>18</v>
      </c>
      <c r="F22" s="161"/>
      <c r="G22" s="161"/>
      <c r="H22" s="161"/>
    </row>
    <row r="23" spans="1:8" ht="15" customHeight="1" x14ac:dyDescent="0.25">
      <c r="A23" s="148" t="s">
        <v>19</v>
      </c>
      <c r="B23" s="148"/>
      <c r="C23" s="148"/>
      <c r="D23" s="148"/>
      <c r="E23" s="161" t="str">
        <f>IF(AND(G17="Mumbai"),"Upper Class","Middle Class")</f>
        <v>Middle Class</v>
      </c>
      <c r="F23" s="161"/>
      <c r="G23" s="161"/>
      <c r="H23" s="161"/>
    </row>
    <row r="24" spans="1:8" x14ac:dyDescent="0.25">
      <c r="A24" s="148" t="s">
        <v>20</v>
      </c>
      <c r="B24" s="148"/>
      <c r="C24" s="148"/>
      <c r="D24" s="148"/>
      <c r="E24" s="161" t="s">
        <v>21</v>
      </c>
      <c r="F24" s="161"/>
      <c r="G24" s="161"/>
      <c r="H24" s="161"/>
    </row>
    <row r="25" spans="1:8" ht="15.75" customHeight="1" x14ac:dyDescent="0.25">
      <c r="A25" s="148" t="s">
        <v>22</v>
      </c>
      <c r="B25" s="148"/>
      <c r="C25" s="148"/>
      <c r="D25" s="148"/>
      <c r="E25" s="161" t="str">
        <f>IF(AND(G17="Mumbai"),"Developed","Developing")</f>
        <v>Developing</v>
      </c>
      <c r="F25" s="161"/>
      <c r="G25" s="161"/>
      <c r="H25" s="161"/>
    </row>
    <row r="26" spans="1:8" x14ac:dyDescent="0.25">
      <c r="A26" s="148" t="s">
        <v>23</v>
      </c>
      <c r="B26" s="148"/>
      <c r="C26" s="148"/>
      <c r="D26" s="148"/>
      <c r="E26" s="161" t="s">
        <v>24</v>
      </c>
      <c r="F26" s="161"/>
      <c r="G26" s="161"/>
      <c r="H26" s="161"/>
    </row>
    <row r="27" spans="1:8" x14ac:dyDescent="0.25">
      <c r="A27" s="148" t="s">
        <v>115</v>
      </c>
      <c r="B27" s="148"/>
      <c r="C27" s="148"/>
      <c r="D27" s="148"/>
      <c r="E27" s="161" t="s">
        <v>116</v>
      </c>
      <c r="F27" s="161"/>
      <c r="G27" s="161"/>
      <c r="H27" s="161"/>
    </row>
    <row r="28" spans="1:8" ht="15" customHeight="1" x14ac:dyDescent="0.25">
      <c r="A28" s="175" t="s">
        <v>35</v>
      </c>
      <c r="B28" s="175"/>
      <c r="C28" s="175"/>
      <c r="D28" s="175"/>
      <c r="E28" s="174" t="s">
        <v>194</v>
      </c>
      <c r="F28" s="174"/>
      <c r="G28" s="174"/>
      <c r="H28" s="174"/>
    </row>
    <row r="29" spans="1:8" x14ac:dyDescent="0.25">
      <c r="A29" s="175" t="s">
        <v>127</v>
      </c>
      <c r="B29" s="175"/>
      <c r="C29" s="175"/>
      <c r="D29" s="175"/>
      <c r="E29" s="175" t="s">
        <v>36</v>
      </c>
      <c r="F29" s="175"/>
      <c r="G29" s="175"/>
      <c r="H29" s="175"/>
    </row>
    <row r="30" spans="1:8" s="10" customFormat="1" x14ac:dyDescent="0.25">
      <c r="A30" s="167" t="s">
        <v>128</v>
      </c>
      <c r="B30" s="167"/>
      <c r="C30" s="164" t="s">
        <v>29</v>
      </c>
      <c r="D30" s="164"/>
      <c r="E30" s="164"/>
      <c r="F30" s="164" t="s">
        <v>31</v>
      </c>
      <c r="G30" s="164"/>
      <c r="H30" s="164"/>
    </row>
    <row r="31" spans="1:8" s="10" customFormat="1" x14ac:dyDescent="0.25">
      <c r="A31" s="166" t="s">
        <v>25</v>
      </c>
      <c r="B31" s="166" t="s">
        <v>30</v>
      </c>
      <c r="C31" s="162" t="s">
        <v>267</v>
      </c>
      <c r="D31" s="162"/>
      <c r="E31" s="162"/>
      <c r="F31" s="162" t="s">
        <v>207</v>
      </c>
      <c r="G31" s="162"/>
      <c r="H31" s="162"/>
    </row>
    <row r="32" spans="1:8" x14ac:dyDescent="0.25">
      <c r="A32" s="166" t="s">
        <v>26</v>
      </c>
      <c r="B32" s="166" t="s">
        <v>30</v>
      </c>
      <c r="C32" s="162" t="s">
        <v>268</v>
      </c>
      <c r="D32" s="162"/>
      <c r="E32" s="162"/>
      <c r="F32" s="162" t="s">
        <v>210</v>
      </c>
      <c r="G32" s="162"/>
      <c r="H32" s="162"/>
    </row>
    <row r="33" spans="1:8" s="10" customFormat="1" x14ac:dyDescent="0.25">
      <c r="A33" s="166" t="s">
        <v>28</v>
      </c>
      <c r="B33" s="166" t="s">
        <v>30</v>
      </c>
      <c r="C33" s="162" t="s">
        <v>266</v>
      </c>
      <c r="D33" s="162"/>
      <c r="E33" s="162"/>
      <c r="F33" s="162" t="s">
        <v>211</v>
      </c>
      <c r="G33" s="162"/>
      <c r="H33" s="162"/>
    </row>
    <row r="34" spans="1:8" x14ac:dyDescent="0.25">
      <c r="A34" s="166" t="s">
        <v>27</v>
      </c>
      <c r="B34" s="166" t="s">
        <v>30</v>
      </c>
      <c r="C34" s="162" t="s">
        <v>268</v>
      </c>
      <c r="D34" s="162"/>
      <c r="E34" s="162"/>
      <c r="F34" s="162" t="s">
        <v>209</v>
      </c>
      <c r="G34" s="162"/>
      <c r="H34" s="162"/>
    </row>
    <row r="35" spans="1:8" x14ac:dyDescent="0.25">
      <c r="A35" s="148" t="s">
        <v>32</v>
      </c>
      <c r="B35" s="148"/>
      <c r="C35" s="148"/>
      <c r="D35" s="148"/>
      <c r="E35" s="148"/>
      <c r="F35" s="148"/>
      <c r="G35" s="148"/>
      <c r="H35" s="148"/>
    </row>
    <row r="36" spans="1:8" ht="15.75" customHeight="1" x14ac:dyDescent="0.25">
      <c r="A36" s="165" t="s">
        <v>269</v>
      </c>
      <c r="B36" s="165"/>
      <c r="C36" s="168" t="s">
        <v>270</v>
      </c>
      <c r="D36" s="168"/>
      <c r="E36" s="168"/>
      <c r="F36" s="168"/>
      <c r="G36" s="168"/>
      <c r="H36" s="168"/>
    </row>
    <row r="37" spans="1:8" ht="15.75" customHeight="1" x14ac:dyDescent="0.25">
      <c r="A37" s="165" t="s">
        <v>257</v>
      </c>
      <c r="B37" s="165"/>
      <c r="C37" s="169" t="s">
        <v>271</v>
      </c>
      <c r="D37" s="170"/>
      <c r="E37" s="170"/>
      <c r="F37" s="170"/>
      <c r="G37" s="170"/>
      <c r="H37" s="170"/>
    </row>
    <row r="38" spans="1:8" x14ac:dyDescent="0.25">
      <c r="A38" s="165" t="s">
        <v>37</v>
      </c>
      <c r="B38" s="165"/>
      <c r="C38" s="165"/>
      <c r="D38" s="165"/>
      <c r="E38" s="165"/>
      <c r="F38" s="165"/>
      <c r="G38" s="165"/>
      <c r="H38" s="165"/>
    </row>
    <row r="39" spans="1:8" x14ac:dyDescent="0.25">
      <c r="A39" s="148" t="s">
        <v>38</v>
      </c>
      <c r="B39" s="148"/>
      <c r="C39" s="148"/>
      <c r="D39" s="148"/>
      <c r="E39" s="163">
        <v>7303.95</v>
      </c>
      <c r="F39" s="163"/>
      <c r="G39" s="163"/>
      <c r="H39" s="163"/>
    </row>
    <row r="40" spans="1:8" x14ac:dyDescent="0.25">
      <c r="A40" s="148" t="s">
        <v>39</v>
      </c>
      <c r="B40" s="148"/>
      <c r="C40" s="148"/>
      <c r="D40" s="148"/>
      <c r="E40" s="155">
        <f>8034.34/E39</f>
        <v>1.0999993154389065</v>
      </c>
      <c r="F40" s="155"/>
      <c r="G40" s="155"/>
      <c r="H40" s="155"/>
    </row>
    <row r="41" spans="1:8" x14ac:dyDescent="0.25">
      <c r="A41" s="148" t="s">
        <v>40</v>
      </c>
      <c r="B41" s="148"/>
      <c r="C41" s="148"/>
      <c r="D41" s="148"/>
      <c r="E41" s="155">
        <f>E43/E39-E40</f>
        <v>3.7813744617638401</v>
      </c>
      <c r="F41" s="155"/>
      <c r="G41" s="155"/>
      <c r="H41" s="155"/>
    </row>
    <row r="42" spans="1:8" x14ac:dyDescent="0.25">
      <c r="A42" s="148" t="s">
        <v>41</v>
      </c>
      <c r="B42" s="148"/>
      <c r="C42" s="148"/>
      <c r="D42" s="148"/>
      <c r="E42" s="155">
        <f>E40+E41</f>
        <v>4.8813737772027466</v>
      </c>
      <c r="F42" s="155"/>
      <c r="G42" s="155"/>
      <c r="H42" s="155"/>
    </row>
    <row r="43" spans="1:8" x14ac:dyDescent="0.25">
      <c r="A43" s="148" t="s">
        <v>126</v>
      </c>
      <c r="B43" s="148"/>
      <c r="C43" s="148"/>
      <c r="D43" s="148"/>
      <c r="E43" s="156">
        <v>35653.31</v>
      </c>
      <c r="F43" s="156"/>
      <c r="G43" s="156"/>
      <c r="H43" s="156"/>
    </row>
    <row r="44" spans="1:8" x14ac:dyDescent="0.25">
      <c r="A44" s="147" t="s">
        <v>42</v>
      </c>
      <c r="B44" s="147"/>
      <c r="C44" s="147"/>
      <c r="D44" s="147"/>
      <c r="E44" s="147" t="s">
        <v>189</v>
      </c>
      <c r="F44" s="147"/>
      <c r="G44" s="147"/>
      <c r="H44" s="147"/>
    </row>
    <row r="45" spans="1:8" x14ac:dyDescent="0.25">
      <c r="A45" s="157" t="s">
        <v>43</v>
      </c>
      <c r="B45" s="157"/>
      <c r="C45" s="157"/>
      <c r="D45" s="157"/>
      <c r="E45" s="157"/>
      <c r="F45" s="157"/>
      <c r="G45" s="157"/>
      <c r="H45" s="157"/>
    </row>
    <row r="46" spans="1:8" x14ac:dyDescent="0.25">
      <c r="A46" s="161" t="s">
        <v>44</v>
      </c>
      <c r="B46" s="161"/>
      <c r="C46" s="161" t="s">
        <v>265</v>
      </c>
      <c r="D46" s="161"/>
      <c r="E46" s="161"/>
      <c r="F46" s="84" t="s">
        <v>45</v>
      </c>
      <c r="G46" s="205">
        <v>45226</v>
      </c>
      <c r="H46" s="205"/>
    </row>
    <row r="47" spans="1:8" x14ac:dyDescent="0.25">
      <c r="A47" s="147" t="s">
        <v>46</v>
      </c>
      <c r="B47" s="147"/>
      <c r="C47" s="161" t="str">
        <f>C46</f>
        <v>KDMCC/RB/2023/APL/00023</v>
      </c>
      <c r="D47" s="161"/>
      <c r="E47" s="161"/>
      <c r="F47" s="84" t="s">
        <v>45</v>
      </c>
      <c r="G47" s="205">
        <f>G46</f>
        <v>45226</v>
      </c>
      <c r="H47" s="205"/>
    </row>
    <row r="48" spans="1:8" s="9" customFormat="1" ht="33.75" customHeight="1" x14ac:dyDescent="0.25">
      <c r="A48" s="142" t="s">
        <v>302</v>
      </c>
      <c r="B48" s="144"/>
      <c r="C48" s="161" t="str">
        <f>C47</f>
        <v>KDMCC/RB/2023/APL/00023</v>
      </c>
      <c r="D48" s="147"/>
      <c r="E48" s="147"/>
      <c r="F48" s="86" t="s">
        <v>45</v>
      </c>
      <c r="G48" s="205">
        <f>G47</f>
        <v>45226</v>
      </c>
      <c r="H48" s="205"/>
    </row>
    <row r="49" spans="1:14" s="9" customFormat="1" ht="96" customHeight="1" x14ac:dyDescent="0.25">
      <c r="A49" s="142" t="s">
        <v>303</v>
      </c>
      <c r="B49" s="144"/>
      <c r="C49" s="142" t="s">
        <v>304</v>
      </c>
      <c r="D49" s="143"/>
      <c r="E49" s="143"/>
      <c r="F49" s="143"/>
      <c r="G49" s="143"/>
      <c r="H49" s="144"/>
      <c r="I49" s="110" t="s">
        <v>305</v>
      </c>
    </row>
    <row r="50" spans="1:14" x14ac:dyDescent="0.25">
      <c r="A50" s="187" t="s">
        <v>48</v>
      </c>
      <c r="B50" s="187"/>
      <c r="C50" s="187" t="s">
        <v>142</v>
      </c>
      <c r="D50" s="157"/>
      <c r="E50" s="157" t="s">
        <v>49</v>
      </c>
      <c r="F50" s="82" t="s">
        <v>45</v>
      </c>
      <c r="G50" s="208" t="s">
        <v>30</v>
      </c>
      <c r="H50" s="208"/>
    </row>
    <row r="51" spans="1:14" x14ac:dyDescent="0.25">
      <c r="A51" s="181" t="s">
        <v>51</v>
      </c>
      <c r="B51" s="181"/>
      <c r="C51" s="181"/>
      <c r="D51" s="181"/>
      <c r="E51" s="181"/>
      <c r="F51" s="181"/>
      <c r="G51" s="181"/>
      <c r="H51" s="181"/>
    </row>
    <row r="52" spans="1:14" x14ac:dyDescent="0.25">
      <c r="A52" s="175" t="s">
        <v>125</v>
      </c>
      <c r="B52" s="175"/>
      <c r="C52" s="175"/>
      <c r="D52" s="156">
        <f>E43</f>
        <v>35653.31</v>
      </c>
      <c r="E52" s="148"/>
      <c r="F52" s="148"/>
      <c r="G52" s="148"/>
      <c r="H52" s="148"/>
    </row>
    <row r="53" spans="1:14" x14ac:dyDescent="0.25">
      <c r="A53" s="161" t="s">
        <v>52</v>
      </c>
      <c r="B53" s="147"/>
      <c r="C53" s="147"/>
      <c r="D53" s="207" t="s">
        <v>301</v>
      </c>
      <c r="E53" s="207"/>
      <c r="F53" s="207"/>
      <c r="G53" s="207"/>
      <c r="H53" s="207"/>
      <c r="I53" s="36"/>
    </row>
    <row r="54" spans="1:14" ht="93.75" customHeight="1" x14ac:dyDescent="0.25">
      <c r="A54" s="161" t="s">
        <v>53</v>
      </c>
      <c r="B54" s="161"/>
      <c r="C54" s="161"/>
      <c r="D54" s="161" t="s">
        <v>318</v>
      </c>
      <c r="E54" s="161"/>
      <c r="F54" s="161"/>
      <c r="G54" s="161"/>
      <c r="H54" s="161"/>
    </row>
    <row r="55" spans="1:14" ht="31.5" customHeight="1" x14ac:dyDescent="0.25">
      <c r="A55" s="161" t="s">
        <v>123</v>
      </c>
      <c r="B55" s="161"/>
      <c r="C55" s="161"/>
      <c r="D55" s="161" t="s">
        <v>311</v>
      </c>
      <c r="E55" s="161"/>
      <c r="F55" s="161"/>
      <c r="G55" s="161"/>
      <c r="H55" s="161"/>
    </row>
    <row r="56" spans="1:14" ht="31.5" customHeight="1" x14ac:dyDescent="0.25">
      <c r="A56" s="161" t="s">
        <v>123</v>
      </c>
      <c r="B56" s="161"/>
      <c r="C56" s="161"/>
      <c r="D56" s="161" t="s">
        <v>310</v>
      </c>
      <c r="E56" s="161"/>
      <c r="F56" s="161"/>
      <c r="G56" s="161"/>
      <c r="H56" s="161"/>
    </row>
    <row r="57" spans="1:14" ht="15.75" customHeight="1" x14ac:dyDescent="0.25">
      <c r="A57" s="148" t="s">
        <v>50</v>
      </c>
      <c r="B57" s="148"/>
      <c r="C57" s="148"/>
      <c r="D57" s="175" t="s">
        <v>202</v>
      </c>
      <c r="E57" s="175"/>
      <c r="F57" s="175"/>
      <c r="G57" s="175"/>
      <c r="H57" s="175"/>
      <c r="J57" s="35"/>
      <c r="K57" s="36"/>
      <c r="N57" s="36"/>
    </row>
    <row r="58" spans="1:14" ht="15.75" customHeight="1" x14ac:dyDescent="0.25">
      <c r="A58" s="148" t="s">
        <v>121</v>
      </c>
      <c r="B58" s="148"/>
      <c r="C58" s="148"/>
      <c r="D58" s="206" t="str">
        <f>(IF(G50="NA","60 Years After Completion",IF(G50&lt;&gt;"NA",""&amp;ROUNDDOWN((E3-G50)/360,0)&amp;" Years"," ")))</f>
        <v>60 Years After Completion</v>
      </c>
      <c r="E58" s="206"/>
      <c r="F58" s="206"/>
      <c r="G58" s="206"/>
      <c r="H58" s="206"/>
      <c r="N58" s="36"/>
    </row>
    <row r="59" spans="1:14" ht="15.75" customHeight="1" x14ac:dyDescent="0.25">
      <c r="A59" s="148" t="s">
        <v>122</v>
      </c>
      <c r="B59" s="148"/>
      <c r="C59" s="148"/>
      <c r="D59" s="175" t="s">
        <v>24</v>
      </c>
      <c r="E59" s="175"/>
      <c r="F59" s="175"/>
      <c r="G59" s="175"/>
      <c r="H59" s="175"/>
      <c r="J59" s="109"/>
      <c r="K59" s="13"/>
    </row>
    <row r="60" spans="1:14" ht="15.75" customHeight="1" thickBot="1" x14ac:dyDescent="0.3">
      <c r="A60" s="148" t="s">
        <v>120</v>
      </c>
      <c r="B60" s="148"/>
      <c r="C60" s="148"/>
      <c r="D60" s="161" t="str">
        <f ca="1">(IF(G65&gt;95%,"Nothing",IF(G65&gt;0%,"Cement, Aggregate, Steel, etc",IF(G65=0%,"Work not yet Started"))))</f>
        <v>Cement, Aggregate, Steel, etc</v>
      </c>
      <c r="E60" s="161"/>
      <c r="F60" s="161"/>
      <c r="G60" s="161"/>
      <c r="H60" s="161"/>
      <c r="J60" s="13"/>
      <c r="K60" s="13"/>
    </row>
    <row r="61" spans="1:14" ht="33.75" customHeight="1" x14ac:dyDescent="0.25">
      <c r="A61" s="178" t="s">
        <v>182</v>
      </c>
      <c r="B61" s="178"/>
      <c r="C61" s="187" t="s">
        <v>258</v>
      </c>
      <c r="D61" s="187"/>
      <c r="E61" s="187"/>
      <c r="F61" s="187"/>
      <c r="G61" s="187"/>
      <c r="H61" s="187"/>
      <c r="I61" s="14" t="str">
        <f ca="1">(IF(C65=0,"Work not yet Started.",IF(D65=25%,"Piling work in process",IF(D65=50%,"Excavation work in process",IF(D65=100%,"Excavation work completed, ","0")))&amp;(IF(C66=0%,"",IF(C66=K67,"Footing work is process",IF(C66=K68,"Footing work Completed",IF(C66=K69,"1st Basement Completed",IF(C66=K70,"1st &amp; 2nd Basement Completed",IF(C66=K71,"1st to 3rd Basement Completed",IF(C66=K72,"1st to 4th Basement Completed",IF(C66=K73,"Plinth work is process",IF(C66=K74,"Plinth work completed","0")))))))))))&amp;(IF(C67&gt;0,", RCC upto "&amp;C67&amp;" Slab completed",""))&amp;(IF(C68&gt;0,", Brickwork upto "&amp;C68&amp;" Floor completed"," "))&amp;(IF(C69&gt;0,", Internal Plaster upto "&amp;C69&amp;" Floor completed"," "))&amp;(IF(C70&gt;0,", External Plaster upto "&amp;C70&amp;" Floor completed"," "))&amp;(IF(C71&gt;0,", Flooring upto "&amp;C71&amp;" Floor completed"," "))&amp;(IF(C72&gt;0,", Painting upto "&amp;C72&amp;" Floor completed"," "))&amp;(IF(C73&gt;0,", Finishing upto "&amp;C73&amp;" Floor completed"," ")))</f>
        <v xml:space="preserve">Excavation work completed, Plinth work completed, RCC upto 28 Slab completed, Brickwork upto 26 Floor completed, Internal Plaster upto 24 Floor completed, External Plaster upto 18 Floor completed, Flooring upto 4 Floor completed  </v>
      </c>
      <c r="J61" s="14"/>
      <c r="K61" s="15"/>
    </row>
    <row r="62" spans="1:14" x14ac:dyDescent="0.25">
      <c r="A62" s="45" t="s">
        <v>184</v>
      </c>
      <c r="B62" s="83">
        <v>1</v>
      </c>
      <c r="C62" s="83" t="s">
        <v>103</v>
      </c>
      <c r="D62" s="83">
        <v>1</v>
      </c>
      <c r="E62" s="83" t="s">
        <v>102</v>
      </c>
      <c r="F62" s="83">
        <v>0</v>
      </c>
      <c r="G62" s="83" t="s">
        <v>114</v>
      </c>
      <c r="H62" s="38">
        <f ca="1">--TRIM(RIGHT(SUBSTITUTE(LEFT(C61,_xlfn.AGGREGATE(16,6,FIND({0,1,2,3,4,5,6,7,8,9},C61,ROW(INDIRECT("1:"&amp;LEN(C61)))),1))," ",REPT(" ",LEN(C61))),LEN(C61)))</f>
        <v>30</v>
      </c>
      <c r="I62" s="13" t="s">
        <v>156</v>
      </c>
      <c r="J62" s="13"/>
      <c r="K62" s="16"/>
    </row>
    <row r="63" spans="1:14" ht="63.75" customHeight="1" x14ac:dyDescent="0.25">
      <c r="A63" s="191" t="s">
        <v>124</v>
      </c>
      <c r="B63" s="157"/>
      <c r="C63" s="187" t="str">
        <f ca="1">I61</f>
        <v xml:space="preserve">Excavation work completed, Plinth work completed, RCC upto 28 Slab completed, Brickwork upto 26 Floor completed, Internal Plaster upto 24 Floor completed, External Plaster upto 18 Floor completed, Flooring upto 4 Floor completed  </v>
      </c>
      <c r="D63" s="187"/>
      <c r="E63" s="187"/>
      <c r="F63" s="187"/>
      <c r="G63" s="187"/>
      <c r="H63" s="192"/>
      <c r="I63" s="13" t="s">
        <v>141</v>
      </c>
      <c r="J63" s="13"/>
      <c r="K63" s="16"/>
    </row>
    <row r="64" spans="1:14" x14ac:dyDescent="0.25">
      <c r="A64" s="193" t="s">
        <v>54</v>
      </c>
      <c r="B64" s="194"/>
      <c r="C64" s="81" t="s">
        <v>181</v>
      </c>
      <c r="D64" s="81" t="s">
        <v>117</v>
      </c>
      <c r="E64" s="194" t="s">
        <v>119</v>
      </c>
      <c r="F64" s="194"/>
      <c r="G64" s="194" t="s">
        <v>118</v>
      </c>
      <c r="H64" s="195"/>
      <c r="I64" s="34" t="s">
        <v>183</v>
      </c>
      <c r="K64" s="17">
        <f ca="1">H62*25%</f>
        <v>7.5</v>
      </c>
    </row>
    <row r="65" spans="1:11" x14ac:dyDescent="0.25">
      <c r="A65" s="193" t="s">
        <v>170</v>
      </c>
      <c r="B65" s="194"/>
      <c r="C65" s="87">
        <f ca="1">K66</f>
        <v>30</v>
      </c>
      <c r="D65" s="88">
        <f ca="1">((100/H62)*C65)/100</f>
        <v>1</v>
      </c>
      <c r="E65" s="196">
        <f ca="1">(IF(C63=I62,"100%",IF(C63=I63,"100%",(((C66/H62*10)+(40/(D62+F62+H62)*C67)+(7.5/(H62)*C68)+(7.5/(H62)*C69)+(10/H62*C70)+(10/H62*C71)+(5/H62*C72)+(5/H62*C73)+(5/H62*C74))/100))))</f>
        <v>0.65962365591397842</v>
      </c>
      <c r="F65" s="196"/>
      <c r="G65" s="196">
        <f ca="1">((((C65/H62)*20)+((C66/H62)*25)+(30/(H62+F62+D62)*C67)+(5/H62*C68)+(5/H62*C69)+(5/H62*C70)+(5/H62*C71)+(0/H62*C72)+(0/H62*C73)+(5/H62*C74))/100)</f>
        <v>0.84096774193548385</v>
      </c>
      <c r="H65" s="198"/>
      <c r="I65" s="34" t="s">
        <v>135</v>
      </c>
      <c r="J65" s="18"/>
      <c r="K65" s="37">
        <f ca="1">H62*50%</f>
        <v>15</v>
      </c>
    </row>
    <row r="66" spans="1:11" x14ac:dyDescent="0.25">
      <c r="A66" s="193" t="s">
        <v>55</v>
      </c>
      <c r="B66" s="194"/>
      <c r="C66" s="116">
        <f ca="1">K74</f>
        <v>30</v>
      </c>
      <c r="D66" s="88">
        <f ca="1">((100/H62)*C66)/100</f>
        <v>1</v>
      </c>
      <c r="E66" s="196"/>
      <c r="F66" s="196"/>
      <c r="G66" s="196"/>
      <c r="H66" s="198"/>
      <c r="I66" s="34" t="s">
        <v>136</v>
      </c>
      <c r="J66" s="18"/>
      <c r="K66" s="37">
        <f ca="1">H62</f>
        <v>30</v>
      </c>
    </row>
    <row r="67" spans="1:11" ht="15.75" customHeight="1" x14ac:dyDescent="0.25">
      <c r="A67" s="193" t="s">
        <v>171</v>
      </c>
      <c r="B67" s="194"/>
      <c r="C67" s="116">
        <v>28</v>
      </c>
      <c r="D67" s="88">
        <f ca="1">((100/(D62+F62+H62))*C67)/100</f>
        <v>0.90322580645161277</v>
      </c>
      <c r="E67" s="196"/>
      <c r="F67" s="196"/>
      <c r="G67" s="196"/>
      <c r="H67" s="198"/>
      <c r="I67" s="34" t="s">
        <v>137</v>
      </c>
      <c r="J67" s="18"/>
      <c r="K67" s="42">
        <f ca="1">(IF(B62=0,H62/4,(H62/(B62+4))))</f>
        <v>6</v>
      </c>
    </row>
    <row r="68" spans="1:11" ht="15.75" customHeight="1" x14ac:dyDescent="0.25">
      <c r="A68" s="193" t="s">
        <v>178</v>
      </c>
      <c r="B68" s="194" t="s">
        <v>172</v>
      </c>
      <c r="C68" s="87">
        <v>26</v>
      </c>
      <c r="D68" s="88">
        <f ca="1">((100/H62)*C68)/100</f>
        <v>0.8666666666666667</v>
      </c>
      <c r="E68" s="196"/>
      <c r="F68" s="196"/>
      <c r="G68" s="196"/>
      <c r="H68" s="198"/>
      <c r="I68" s="34" t="s">
        <v>138</v>
      </c>
      <c r="J68" s="18"/>
      <c r="K68" s="42">
        <f ca="1">(IF(B62=0,H62/4+K67,(H62/(B62+4)+K67)))</f>
        <v>12</v>
      </c>
    </row>
    <row r="69" spans="1:11" ht="15.75" customHeight="1" x14ac:dyDescent="0.25">
      <c r="A69" s="193" t="s">
        <v>179</v>
      </c>
      <c r="B69" s="194" t="s">
        <v>172</v>
      </c>
      <c r="C69" s="87">
        <v>24</v>
      </c>
      <c r="D69" s="88">
        <f ca="1">((100/H62)*C69)/100</f>
        <v>0.8</v>
      </c>
      <c r="E69" s="196"/>
      <c r="F69" s="196"/>
      <c r="G69" s="196"/>
      <c r="H69" s="198"/>
      <c r="I69" s="34" t="s">
        <v>185</v>
      </c>
      <c r="J69" s="47"/>
      <c r="K69" s="42">
        <f ca="1">(IF(B62=0,0,(H62/(B62+4)+K68)))</f>
        <v>18</v>
      </c>
    </row>
    <row r="70" spans="1:11" ht="15" customHeight="1" x14ac:dyDescent="0.25">
      <c r="A70" s="193" t="s">
        <v>177</v>
      </c>
      <c r="B70" s="194" t="s">
        <v>174</v>
      </c>
      <c r="C70" s="87">
        <v>18</v>
      </c>
      <c r="D70" s="88">
        <f ca="1">((100/(H62))*C70)/100</f>
        <v>0.6</v>
      </c>
      <c r="E70" s="196"/>
      <c r="F70" s="196"/>
      <c r="G70" s="196"/>
      <c r="H70" s="198"/>
      <c r="I70" s="34" t="s">
        <v>186</v>
      </c>
      <c r="J70" s="47"/>
      <c r="K70" s="42">
        <f>(IF(B62&gt;1,(H62/(B62+4)+K69),0))</f>
        <v>0</v>
      </c>
    </row>
    <row r="71" spans="1:11" ht="15.75" customHeight="1" x14ac:dyDescent="0.25">
      <c r="A71" s="193" t="s">
        <v>173</v>
      </c>
      <c r="B71" s="194" t="s">
        <v>173</v>
      </c>
      <c r="C71" s="87">
        <v>4</v>
      </c>
      <c r="D71" s="88">
        <f ca="1">((100/H62)*C71)/100</f>
        <v>0.13333333333333333</v>
      </c>
      <c r="E71" s="196"/>
      <c r="F71" s="196"/>
      <c r="G71" s="196"/>
      <c r="H71" s="198"/>
      <c r="I71" s="34" t="s">
        <v>187</v>
      </c>
      <c r="J71" s="41"/>
      <c r="K71" s="43">
        <f>(IF(B62&gt;2,(H62/(B62+4)+K70),0))</f>
        <v>0</v>
      </c>
    </row>
    <row r="72" spans="1:11" ht="15.75" customHeight="1" x14ac:dyDescent="0.25">
      <c r="A72" s="193" t="s">
        <v>180</v>
      </c>
      <c r="B72" s="194"/>
      <c r="C72" s="87">
        <v>0</v>
      </c>
      <c r="D72" s="88">
        <f ca="1">((100/H62)*C72)/100</f>
        <v>0</v>
      </c>
      <c r="E72" s="196"/>
      <c r="F72" s="196"/>
      <c r="G72" s="196"/>
      <c r="H72" s="198"/>
      <c r="I72" s="34" t="s">
        <v>188</v>
      </c>
      <c r="J72"/>
      <c r="K72" s="46">
        <f>(IF(B62&gt;3,(H62/(B62+4)+K71),0))</f>
        <v>0</v>
      </c>
    </row>
    <row r="73" spans="1:11" ht="15.75" customHeight="1" x14ac:dyDescent="0.25">
      <c r="A73" s="193" t="s">
        <v>175</v>
      </c>
      <c r="B73" s="194" t="s">
        <v>175</v>
      </c>
      <c r="C73" s="87">
        <v>0</v>
      </c>
      <c r="D73" s="88">
        <f ca="1">((100/(H62))*C73)/100</f>
        <v>0</v>
      </c>
      <c r="E73" s="196"/>
      <c r="F73" s="196"/>
      <c r="G73" s="196"/>
      <c r="H73" s="198"/>
      <c r="I73" s="34" t="s">
        <v>139</v>
      </c>
      <c r="J73" s="18"/>
      <c r="K73" s="42">
        <f ca="1">(IF(B62=0,H62/4+K68,(H62/(B62+4)+K68+MAX(0,K69-K68)+MAX(0,K70-K69)+MAX(0,K71-K70)+MAX(0,K72-K71))))</f>
        <v>24</v>
      </c>
    </row>
    <row r="74" spans="1:11" ht="16.5" thickBot="1" x14ac:dyDescent="0.3">
      <c r="A74" s="120" t="s">
        <v>176</v>
      </c>
      <c r="B74" s="121"/>
      <c r="C74" s="89">
        <v>0</v>
      </c>
      <c r="D74" s="90">
        <f ca="1">((100/(H62))*C74)/100</f>
        <v>0</v>
      </c>
      <c r="E74" s="197"/>
      <c r="F74" s="197"/>
      <c r="G74" s="197"/>
      <c r="H74" s="199"/>
      <c r="I74" s="39" t="s">
        <v>140</v>
      </c>
      <c r="J74" s="40"/>
      <c r="K74" s="44">
        <f ca="1">(IF(B62=0,H62/4+K73,(H62/(B62+4)+K73)))</f>
        <v>30</v>
      </c>
    </row>
    <row r="75" spans="1:11" ht="33.75" hidden="1" customHeight="1" x14ac:dyDescent="0.25">
      <c r="A75" s="219" t="s">
        <v>182</v>
      </c>
      <c r="B75" s="220"/>
      <c r="C75" s="221" t="str">
        <f>D56</f>
        <v>B Wing = Lower Ground + Ground + 1st to 4th Podium + 5th Floor + 6th to 30th Floor</v>
      </c>
      <c r="D75" s="222"/>
      <c r="E75" s="222"/>
      <c r="F75" s="222"/>
      <c r="G75" s="222"/>
      <c r="H75" s="223"/>
      <c r="I75" s="14" t="str">
        <f ca="1">(IF(C79=0,"Work not yet Started.",IF(D79=25%,"Piling work in process",IF(D79=50%,"Excavation work in process",IF(D79=100%,"Excavation work completed, ","0")))&amp;(IF(C80=0%,"",IF(C80=K81,"Footing work is process",IF(C80=K82,"Footing work Completed",IF(C80=K83,"1st Basement Completed",IF(C80=K84,"1st &amp; 2nd Basement Completed",IF(C80=K85,"1st to 3rd Basement Completed",IF(C80=K86,"1st to 4th Basement Completed",IF(C80=K87,"Plinth work is process",IF(C80=K88,"Plinth work completed","0")))))))))))&amp;(IF(C81&gt;0,", RCC upto "&amp;C81&amp;" Slab completed",""))&amp;(IF(C82&gt;0,", Brickwork upto "&amp;C82&amp;" Floor completed"," "))&amp;(IF(C83&gt;0,", Internal Plaster upto "&amp;C83&amp;" Floor completed"," "))&amp;(IF(C84&gt;0,", External Plaster upto "&amp;C84&amp;" Floor completed"," "))&amp;(IF(C85&gt;0,", Flooring upto "&amp;C85&amp;" Floor completed"," "))&amp;(IF(C86&gt;0,", Painting upto "&amp;C86&amp;" Floor completed"," "))&amp;(IF(C87&gt;0,", Finishing upto "&amp;C87&amp;" Floor completed"," ")))</f>
        <v xml:space="preserve">Excavation work completed, Plinth work completed, RCC upto 24 Slab completed, Brickwork upto 18 Floor completed, Internal Plaster upto 10 Floor completed, External Plaster upto 4 Floor completed   </v>
      </c>
      <c r="J75" s="14"/>
      <c r="K75" s="15"/>
    </row>
    <row r="76" spans="1:11" hidden="1" x14ac:dyDescent="0.25">
      <c r="A76" s="45" t="s">
        <v>184</v>
      </c>
      <c r="B76" s="114">
        <v>1</v>
      </c>
      <c r="C76" s="114" t="s">
        <v>103</v>
      </c>
      <c r="D76" s="114">
        <v>1</v>
      </c>
      <c r="E76" s="114" t="s">
        <v>102</v>
      </c>
      <c r="F76" s="114">
        <v>0</v>
      </c>
      <c r="G76" s="114" t="s">
        <v>114</v>
      </c>
      <c r="H76" s="38">
        <f ca="1">--TRIM(RIGHT(SUBSTITUTE(LEFT(C75,_xlfn.AGGREGATE(16,6,FIND({0,1,2,3,4,5,6,7,8,9},C75,ROW(INDIRECT("1:"&amp;LEN(C75)))),1))," ",REPT(" ",LEN(C75))),LEN(C75)))</f>
        <v>30</v>
      </c>
      <c r="I76" s="13" t="s">
        <v>156</v>
      </c>
      <c r="J76" s="13"/>
      <c r="K76" s="16"/>
    </row>
    <row r="77" spans="1:11" ht="49.5" hidden="1" customHeight="1" x14ac:dyDescent="0.25">
      <c r="A77" s="191" t="s">
        <v>124</v>
      </c>
      <c r="B77" s="157"/>
      <c r="C77" s="187" t="str">
        <f ca="1">I75</f>
        <v xml:space="preserve">Excavation work completed, Plinth work completed, RCC upto 24 Slab completed, Brickwork upto 18 Floor completed, Internal Plaster upto 10 Floor completed, External Plaster upto 4 Floor completed   </v>
      </c>
      <c r="D77" s="187"/>
      <c r="E77" s="187"/>
      <c r="F77" s="187"/>
      <c r="G77" s="187"/>
      <c r="H77" s="192"/>
      <c r="I77" s="13" t="s">
        <v>141</v>
      </c>
      <c r="J77" s="13"/>
      <c r="K77" s="16"/>
    </row>
    <row r="78" spans="1:11" hidden="1" x14ac:dyDescent="0.25">
      <c r="A78" s="193" t="s">
        <v>54</v>
      </c>
      <c r="B78" s="194"/>
      <c r="C78" s="111" t="s">
        <v>181</v>
      </c>
      <c r="D78" s="111" t="s">
        <v>117</v>
      </c>
      <c r="E78" s="194" t="s">
        <v>119</v>
      </c>
      <c r="F78" s="194"/>
      <c r="G78" s="194" t="s">
        <v>118</v>
      </c>
      <c r="H78" s="195"/>
      <c r="I78" s="34" t="s">
        <v>183</v>
      </c>
      <c r="K78" s="17">
        <f ca="1">H76*25%</f>
        <v>7.5</v>
      </c>
    </row>
    <row r="79" spans="1:11" hidden="1" x14ac:dyDescent="0.25">
      <c r="A79" s="193" t="s">
        <v>170</v>
      </c>
      <c r="B79" s="194"/>
      <c r="C79" s="87">
        <f ca="1">K80</f>
        <v>30</v>
      </c>
      <c r="D79" s="112">
        <f ca="1">((100/H76)*C79)/100</f>
        <v>1</v>
      </c>
      <c r="E79" s="196">
        <f ca="1">(IF(C77=I76,"100%",IF(C77=I77,"100%",(((C80/H76*10)+(40/(D76+F76+H76)*C81)+(7.5/(H76)*C82)+(7.5/(H76)*C83)+(10/H76*C84)+(10/H76*C85)+(5/H76*C86)+(5/H76*C87)+(5/H76*C88))/100))))</f>
        <v>0.49301075268817207</v>
      </c>
      <c r="F79" s="196"/>
      <c r="G79" s="196">
        <f ca="1">((((C79/H76)*20)+((C80/H76)*25)+(30/(H76+F76+D76)*C81)+(5/H76*C82)+(5/H76*C83)+(5/H76*C84)+(5/H76*C85)+(0/H76*C86)+(0/H76*C87)+(5/H76*C88))/100)</f>
        <v>0.73559139784946237</v>
      </c>
      <c r="H79" s="198"/>
      <c r="I79" s="34" t="s">
        <v>135</v>
      </c>
      <c r="J79" s="18"/>
      <c r="K79" s="37">
        <f ca="1">H76*50%</f>
        <v>15</v>
      </c>
    </row>
    <row r="80" spans="1:11" hidden="1" x14ac:dyDescent="0.25">
      <c r="A80" s="193" t="s">
        <v>55</v>
      </c>
      <c r="B80" s="194"/>
      <c r="C80" s="116">
        <f ca="1">K88</f>
        <v>30</v>
      </c>
      <c r="D80" s="112">
        <f ca="1">((100/H76)*C80)/100</f>
        <v>1</v>
      </c>
      <c r="E80" s="196"/>
      <c r="F80" s="196"/>
      <c r="G80" s="196"/>
      <c r="H80" s="198"/>
      <c r="I80" s="34" t="s">
        <v>136</v>
      </c>
      <c r="J80" s="18"/>
      <c r="K80" s="37">
        <f ca="1">H76</f>
        <v>30</v>
      </c>
    </row>
    <row r="81" spans="1:13" ht="15.75" hidden="1" customHeight="1" x14ac:dyDescent="0.25">
      <c r="A81" s="193" t="s">
        <v>171</v>
      </c>
      <c r="B81" s="194"/>
      <c r="C81" s="116">
        <v>24</v>
      </c>
      <c r="D81" s="112">
        <f ca="1">((100/(D76+F76+H76))*C81)/100</f>
        <v>0.77419354838709664</v>
      </c>
      <c r="E81" s="196"/>
      <c r="F81" s="196"/>
      <c r="G81" s="196"/>
      <c r="H81" s="198"/>
      <c r="I81" s="34" t="s">
        <v>137</v>
      </c>
      <c r="J81" s="18"/>
      <c r="K81" s="42">
        <f ca="1">(IF(B76=0,H76/4,(H76/(B76+4))))</f>
        <v>6</v>
      </c>
    </row>
    <row r="82" spans="1:13" ht="15.75" hidden="1" customHeight="1" x14ac:dyDescent="0.25">
      <c r="A82" s="193" t="s">
        <v>178</v>
      </c>
      <c r="B82" s="194" t="s">
        <v>172</v>
      </c>
      <c r="C82" s="87">
        <v>18</v>
      </c>
      <c r="D82" s="112">
        <f ca="1">((100/H76)*C82)/100</f>
        <v>0.6</v>
      </c>
      <c r="E82" s="196"/>
      <c r="F82" s="196"/>
      <c r="G82" s="196"/>
      <c r="H82" s="198"/>
      <c r="I82" s="34" t="s">
        <v>138</v>
      </c>
      <c r="J82" s="18"/>
      <c r="K82" s="42">
        <f ca="1">(IF(B76=0,H76/4+K81,(H76/(B76+4)+K81)))</f>
        <v>12</v>
      </c>
    </row>
    <row r="83" spans="1:13" ht="15.75" hidden="1" customHeight="1" x14ac:dyDescent="0.25">
      <c r="A83" s="193" t="s">
        <v>179</v>
      </c>
      <c r="B83" s="194" t="s">
        <v>172</v>
      </c>
      <c r="C83" s="87">
        <v>10</v>
      </c>
      <c r="D83" s="112">
        <f ca="1">((100/H76)*C83)/100</f>
        <v>0.33333333333333337</v>
      </c>
      <c r="E83" s="196"/>
      <c r="F83" s="196"/>
      <c r="G83" s="196"/>
      <c r="H83" s="198"/>
      <c r="I83" s="34" t="s">
        <v>185</v>
      </c>
      <c r="J83" s="47"/>
      <c r="K83" s="42">
        <f ca="1">(IF(B76=0,0,(H76/(B76+4)+K82)))</f>
        <v>18</v>
      </c>
    </row>
    <row r="84" spans="1:13" ht="15" hidden="1" customHeight="1" x14ac:dyDescent="0.25">
      <c r="A84" s="193" t="s">
        <v>177</v>
      </c>
      <c r="B84" s="194" t="s">
        <v>174</v>
      </c>
      <c r="C84" s="87">
        <v>4</v>
      </c>
      <c r="D84" s="112">
        <f ca="1">((100/(H76))*C84)/100</f>
        <v>0.13333333333333333</v>
      </c>
      <c r="E84" s="196"/>
      <c r="F84" s="196"/>
      <c r="G84" s="196"/>
      <c r="H84" s="198"/>
      <c r="I84" s="34" t="s">
        <v>186</v>
      </c>
      <c r="J84" s="47"/>
      <c r="K84" s="42">
        <f>(IF(B76&gt;1,(H76/(B76+4)+K83),0))</f>
        <v>0</v>
      </c>
    </row>
    <row r="85" spans="1:13" ht="15.75" hidden="1" customHeight="1" x14ac:dyDescent="0.25">
      <c r="A85" s="193" t="s">
        <v>173</v>
      </c>
      <c r="B85" s="194" t="s">
        <v>173</v>
      </c>
      <c r="C85" s="87">
        <v>0</v>
      </c>
      <c r="D85" s="112">
        <f ca="1">((100/H76)*C85)/100</f>
        <v>0</v>
      </c>
      <c r="E85" s="196"/>
      <c r="F85" s="196"/>
      <c r="G85" s="196"/>
      <c r="H85" s="198"/>
      <c r="I85" s="34" t="s">
        <v>187</v>
      </c>
      <c r="J85" s="41"/>
      <c r="K85" s="43">
        <f>(IF(B76&gt;2,(H76/(B76+4)+K84),0))</f>
        <v>0</v>
      </c>
    </row>
    <row r="86" spans="1:13" ht="15.75" hidden="1" customHeight="1" x14ac:dyDescent="0.25">
      <c r="A86" s="193" t="s">
        <v>180</v>
      </c>
      <c r="B86" s="194"/>
      <c r="C86" s="87">
        <v>0</v>
      </c>
      <c r="D86" s="112">
        <f ca="1">((100/H76)*C86)/100</f>
        <v>0</v>
      </c>
      <c r="E86" s="196"/>
      <c r="F86" s="196"/>
      <c r="G86" s="196"/>
      <c r="H86" s="198"/>
      <c r="I86" s="34" t="s">
        <v>188</v>
      </c>
      <c r="J86"/>
      <c r="K86" s="46">
        <f>(IF(B76&gt;3,(H76/(B76+4)+K85),0))</f>
        <v>0</v>
      </c>
    </row>
    <row r="87" spans="1:13" ht="15.75" hidden="1" customHeight="1" x14ac:dyDescent="0.25">
      <c r="A87" s="193" t="s">
        <v>175</v>
      </c>
      <c r="B87" s="194" t="s">
        <v>175</v>
      </c>
      <c r="C87" s="87">
        <v>0</v>
      </c>
      <c r="D87" s="112">
        <f ca="1">((100/(H76))*C87)/100</f>
        <v>0</v>
      </c>
      <c r="E87" s="196"/>
      <c r="F87" s="196"/>
      <c r="G87" s="196"/>
      <c r="H87" s="198"/>
      <c r="I87" s="34" t="s">
        <v>139</v>
      </c>
      <c r="J87" s="18"/>
      <c r="K87" s="42">
        <f ca="1">(IF(B76=0,H76/4+K82,(H76/(B76+4)+K82+MAX(0,K83-K82)+MAX(0,K84-K83)+MAX(0,K85-K84)+MAX(0,K86-K85))))</f>
        <v>24</v>
      </c>
    </row>
    <row r="88" spans="1:13" ht="16.5" hidden="1" thickBot="1" x14ac:dyDescent="0.3">
      <c r="A88" s="120" t="s">
        <v>176</v>
      </c>
      <c r="B88" s="121"/>
      <c r="C88" s="89">
        <v>0</v>
      </c>
      <c r="D88" s="113">
        <f ca="1">((100/(H76))*C88)/100</f>
        <v>0</v>
      </c>
      <c r="E88" s="197"/>
      <c r="F88" s="197"/>
      <c r="G88" s="197"/>
      <c r="H88" s="199"/>
      <c r="I88" s="39" t="s">
        <v>140</v>
      </c>
      <c r="J88" s="40"/>
      <c r="K88" s="44">
        <f ca="1">(IF(B76=0,H76/4+K87,(H76/(B76+4)+K87)))</f>
        <v>30</v>
      </c>
    </row>
    <row r="89" spans="1:13" x14ac:dyDescent="0.25">
      <c r="A89" s="188" t="s">
        <v>157</v>
      </c>
      <c r="B89" s="189"/>
      <c r="C89" s="189"/>
      <c r="D89" s="189"/>
      <c r="E89" s="190"/>
      <c r="F89" s="188" t="str">
        <f ca="1">(IF(G65="100%","Yes",IF(G65&gt;0%,"Under Construction",IF(G65=0%,"Work not yet Started"))))</f>
        <v>Under Construction</v>
      </c>
      <c r="G89" s="189"/>
      <c r="H89" s="190"/>
    </row>
    <row r="90" spans="1:13" x14ac:dyDescent="0.25">
      <c r="A90" s="148" t="s">
        <v>56</v>
      </c>
      <c r="B90" s="148"/>
      <c r="C90" s="148"/>
      <c r="D90" s="148"/>
      <c r="E90" s="148"/>
      <c r="F90" s="148"/>
      <c r="G90" s="148"/>
      <c r="H90" s="148"/>
    </row>
    <row r="91" spans="1:13" ht="48" customHeight="1" x14ac:dyDescent="0.25">
      <c r="A91" s="157" t="s">
        <v>106</v>
      </c>
      <c r="B91" s="157"/>
      <c r="C91" s="161" t="s">
        <v>272</v>
      </c>
      <c r="D91" s="187"/>
      <c r="E91" s="187"/>
      <c r="F91" s="187"/>
      <c r="G91" s="187"/>
      <c r="H91" s="187"/>
      <c r="I91" s="100" t="s">
        <v>273</v>
      </c>
    </row>
    <row r="92" spans="1:13" x14ac:dyDescent="0.25">
      <c r="A92" s="165" t="s">
        <v>57</v>
      </c>
      <c r="B92" s="165"/>
      <c r="C92" s="165"/>
      <c r="D92" s="165"/>
      <c r="E92" s="165"/>
      <c r="F92" s="165"/>
      <c r="G92" s="165"/>
      <c r="H92" s="165"/>
      <c r="J92" s="96" t="s">
        <v>261</v>
      </c>
      <c r="K92" s="97">
        <v>45127</v>
      </c>
      <c r="L92" s="96" t="s">
        <v>262</v>
      </c>
      <c r="M92" s="96" t="s">
        <v>263</v>
      </c>
    </row>
    <row r="93" spans="1:13" x14ac:dyDescent="0.25">
      <c r="A93" s="148" t="s">
        <v>108</v>
      </c>
      <c r="B93" s="148"/>
      <c r="C93" s="148"/>
      <c r="D93" s="148"/>
      <c r="E93" s="148"/>
      <c r="F93" s="157">
        <v>7520</v>
      </c>
      <c r="G93" s="157"/>
      <c r="H93" s="157"/>
      <c r="I93" s="216" t="s">
        <v>264</v>
      </c>
      <c r="J93" s="217"/>
      <c r="K93" s="217"/>
      <c r="L93" s="217"/>
      <c r="M93" s="218"/>
    </row>
    <row r="94" spans="1:13" x14ac:dyDescent="0.25">
      <c r="A94" s="148" t="s">
        <v>231</v>
      </c>
      <c r="B94" s="148"/>
      <c r="C94" s="148"/>
      <c r="D94" s="148"/>
      <c r="E94" s="148"/>
      <c r="F94" s="147">
        <v>10000</v>
      </c>
      <c r="G94" s="147"/>
      <c r="H94" s="147"/>
      <c r="I94" s="216" t="s">
        <v>253</v>
      </c>
      <c r="J94" s="217"/>
      <c r="K94" s="217"/>
      <c r="L94" s="217"/>
      <c r="M94" s="218"/>
    </row>
    <row r="95" spans="1:13" x14ac:dyDescent="0.25">
      <c r="A95" s="148" t="s">
        <v>230</v>
      </c>
      <c r="B95" s="148"/>
      <c r="C95" s="148"/>
      <c r="D95" s="148"/>
      <c r="E95" s="148"/>
      <c r="F95" s="147">
        <v>12000</v>
      </c>
      <c r="G95" s="147"/>
      <c r="H95" s="147"/>
    </row>
    <row r="96" spans="1:13" s="11" customFormat="1" x14ac:dyDescent="0.25">
      <c r="A96" s="139" t="s">
        <v>233</v>
      </c>
      <c r="B96" s="140"/>
      <c r="C96" s="140"/>
      <c r="D96" s="140"/>
      <c r="E96" s="141"/>
      <c r="F96" s="142" t="s">
        <v>250</v>
      </c>
      <c r="G96" s="143"/>
      <c r="H96" s="144"/>
    </row>
    <row r="97" spans="1:10" s="11" customFormat="1" x14ac:dyDescent="0.25">
      <c r="A97" s="139" t="s">
        <v>251</v>
      </c>
      <c r="B97" s="140"/>
      <c r="C97" s="140"/>
      <c r="D97" s="140"/>
      <c r="E97" s="141"/>
      <c r="F97" s="142" t="s">
        <v>252</v>
      </c>
      <c r="G97" s="143"/>
      <c r="H97" s="144"/>
    </row>
    <row r="98" spans="1:10" s="11" customFormat="1" hidden="1" x14ac:dyDescent="0.25">
      <c r="A98" s="148" t="s">
        <v>129</v>
      </c>
      <c r="B98" s="148"/>
      <c r="C98" s="148"/>
      <c r="D98" s="148"/>
      <c r="E98" s="148"/>
      <c r="F98" s="147" t="s">
        <v>30</v>
      </c>
      <c r="G98" s="147"/>
      <c r="H98" s="147"/>
    </row>
    <row r="99" spans="1:10" s="11" customFormat="1" hidden="1" x14ac:dyDescent="0.25">
      <c r="A99" s="148" t="s">
        <v>130</v>
      </c>
      <c r="B99" s="148"/>
      <c r="C99" s="148"/>
      <c r="D99" s="148"/>
      <c r="E99" s="148"/>
      <c r="F99" s="147" t="s">
        <v>30</v>
      </c>
      <c r="G99" s="147"/>
      <c r="H99" s="147"/>
    </row>
    <row r="100" spans="1:10" s="11" customFormat="1" hidden="1" x14ac:dyDescent="0.25">
      <c r="A100" s="148" t="s">
        <v>131</v>
      </c>
      <c r="B100" s="148"/>
      <c r="C100" s="148"/>
      <c r="D100" s="148"/>
      <c r="E100" s="148"/>
      <c r="F100" s="147" t="s">
        <v>30</v>
      </c>
      <c r="G100" s="147"/>
      <c r="H100" s="147"/>
    </row>
    <row r="101" spans="1:10" s="11" customFormat="1" hidden="1" x14ac:dyDescent="0.25">
      <c r="A101" s="148" t="s">
        <v>132</v>
      </c>
      <c r="B101" s="148"/>
      <c r="C101" s="148"/>
      <c r="D101" s="148"/>
      <c r="E101" s="148"/>
      <c r="F101" s="147" t="s">
        <v>30</v>
      </c>
      <c r="G101" s="147"/>
      <c r="H101" s="147"/>
    </row>
    <row r="102" spans="1:10" s="11" customFormat="1" hidden="1" x14ac:dyDescent="0.25">
      <c r="A102" s="148" t="s">
        <v>133</v>
      </c>
      <c r="B102" s="148"/>
      <c r="C102" s="148"/>
      <c r="D102" s="148"/>
      <c r="E102" s="148"/>
      <c r="F102" s="147" t="s">
        <v>30</v>
      </c>
      <c r="G102" s="147"/>
      <c r="H102" s="147"/>
    </row>
    <row r="103" spans="1:10" s="11" customFormat="1" hidden="1" x14ac:dyDescent="0.25">
      <c r="A103" s="148" t="s">
        <v>134</v>
      </c>
      <c r="B103" s="148"/>
      <c r="C103" s="148"/>
      <c r="D103" s="148"/>
      <c r="E103" s="148"/>
      <c r="F103" s="147" t="s">
        <v>30</v>
      </c>
      <c r="G103" s="147"/>
      <c r="H103" s="147"/>
    </row>
    <row r="104" spans="1:10" x14ac:dyDescent="0.25">
      <c r="A104" s="148" t="s">
        <v>58</v>
      </c>
      <c r="B104" s="148"/>
      <c r="C104" s="148"/>
      <c r="D104" s="148"/>
      <c r="E104" s="148"/>
      <c r="F104" s="161" t="s">
        <v>232</v>
      </c>
      <c r="G104" s="161"/>
      <c r="H104" s="161"/>
    </row>
    <row r="105" spans="1:10" s="8" customFormat="1" x14ac:dyDescent="0.25">
      <c r="A105" s="165" t="s">
        <v>59</v>
      </c>
      <c r="B105" s="165"/>
      <c r="C105" s="165"/>
      <c r="D105" s="165"/>
      <c r="E105" s="165"/>
      <c r="F105" s="147">
        <f>F93*0.8</f>
        <v>6016</v>
      </c>
      <c r="G105" s="147"/>
      <c r="H105" s="147"/>
    </row>
    <row r="106" spans="1:10" s="1" customFormat="1" x14ac:dyDescent="0.25">
      <c r="A106" s="215" t="s">
        <v>220</v>
      </c>
      <c r="B106" s="215"/>
      <c r="C106" s="215"/>
      <c r="D106" s="215"/>
      <c r="E106" s="215"/>
      <c r="F106" s="215"/>
      <c r="G106" s="215"/>
      <c r="H106" s="215"/>
    </row>
    <row r="107" spans="1:10" s="1" customFormat="1" ht="15.75" customHeight="1" x14ac:dyDescent="0.25">
      <c r="A107" s="152" t="s">
        <v>60</v>
      </c>
      <c r="B107" s="152"/>
      <c r="C107" s="159" t="s">
        <v>111</v>
      </c>
      <c r="D107" s="159"/>
      <c r="E107" s="160" t="s">
        <v>61</v>
      </c>
      <c r="F107" s="160"/>
      <c r="G107" s="152" t="s">
        <v>62</v>
      </c>
      <c r="H107" s="152"/>
      <c r="J107" s="95"/>
    </row>
    <row r="108" spans="1:10" s="1" customFormat="1" x14ac:dyDescent="0.25">
      <c r="A108" s="212" t="s">
        <v>288</v>
      </c>
      <c r="B108" s="118" t="s">
        <v>221</v>
      </c>
      <c r="C108" s="149">
        <f>COUNT(D173:D194)</f>
        <v>22</v>
      </c>
      <c r="D108" s="150"/>
      <c r="E108" s="149">
        <f>SUM(D173:D194)</f>
        <v>11053.013399999996</v>
      </c>
      <c r="F108" s="150"/>
      <c r="G108" s="149">
        <f>SUM(F173:F194)</f>
        <v>17684.82144</v>
      </c>
      <c r="H108" s="150"/>
    </row>
    <row r="109" spans="1:10" s="1" customFormat="1" x14ac:dyDescent="0.25">
      <c r="A109" s="213"/>
      <c r="B109" s="118" t="s">
        <v>222</v>
      </c>
      <c r="C109" s="149">
        <f>COUNT(D196:D216)</f>
        <v>21</v>
      </c>
      <c r="D109" s="150"/>
      <c r="E109" s="149">
        <f>SUM(D196:D216)</f>
        <v>10379.262347999997</v>
      </c>
      <c r="F109" s="150"/>
      <c r="G109" s="149">
        <f>SUM(F196:F216)</f>
        <v>16606.819756800003</v>
      </c>
      <c r="H109" s="150"/>
    </row>
    <row r="110" spans="1:10" s="1" customFormat="1" x14ac:dyDescent="0.25">
      <c r="A110" s="212" t="s">
        <v>274</v>
      </c>
      <c r="B110" s="118" t="s">
        <v>221</v>
      </c>
      <c r="C110" s="149">
        <f>COUNT(D129:D136)+COUNT(D139:D150)</f>
        <v>20</v>
      </c>
      <c r="D110" s="150"/>
      <c r="E110" s="149">
        <f>SUM(D129:D136)+SUM(D139:D150)</f>
        <v>12219.289753787998</v>
      </c>
      <c r="F110" s="150"/>
      <c r="G110" s="149">
        <f>SUM(F129:F136)+SUM(F139:F150)</f>
        <v>19550.863606060801</v>
      </c>
      <c r="H110" s="150"/>
    </row>
    <row r="111" spans="1:10" s="1" customFormat="1" x14ac:dyDescent="0.25">
      <c r="A111" s="213"/>
      <c r="B111" s="118" t="s">
        <v>222</v>
      </c>
      <c r="C111" s="149">
        <f>COUNT(D152:D169)</f>
        <v>18</v>
      </c>
      <c r="D111" s="150"/>
      <c r="E111" s="149">
        <f>SUM(D152:D169)</f>
        <v>7477.6494677039982</v>
      </c>
      <c r="F111" s="150"/>
      <c r="G111" s="149">
        <f>SUM(F152:F169)</f>
        <v>11964.2391483264</v>
      </c>
      <c r="H111" s="150"/>
    </row>
    <row r="112" spans="1:10" s="94" customFormat="1" x14ac:dyDescent="0.25">
      <c r="A112" s="154" t="s">
        <v>64</v>
      </c>
      <c r="B112" s="154"/>
      <c r="C112" s="158">
        <f>SUM(C108:D111)</f>
        <v>81</v>
      </c>
      <c r="D112" s="159"/>
      <c r="E112" s="158">
        <f>SUM(E108:F111)</f>
        <v>41129.214969491986</v>
      </c>
      <c r="F112" s="159"/>
      <c r="G112" s="158">
        <f>SUM(G108:H111)</f>
        <v>65806.743951187207</v>
      </c>
      <c r="H112" s="159"/>
    </row>
    <row r="113" spans="1:11" s="1" customFormat="1" x14ac:dyDescent="0.25">
      <c r="A113" s="154" t="s">
        <v>295</v>
      </c>
      <c r="B113" s="154"/>
      <c r="C113" s="154"/>
      <c r="D113" s="154"/>
      <c r="E113" s="154"/>
      <c r="F113" s="154"/>
      <c r="G113" s="154"/>
      <c r="H113" s="154"/>
    </row>
    <row r="114" spans="1:11" s="1" customFormat="1" ht="15.75" customHeight="1" x14ac:dyDescent="0.25">
      <c r="A114" s="152" t="s">
        <v>60</v>
      </c>
      <c r="B114" s="152"/>
      <c r="C114" s="159" t="s">
        <v>111</v>
      </c>
      <c r="D114" s="159"/>
      <c r="E114" s="160" t="s">
        <v>61</v>
      </c>
      <c r="F114" s="160"/>
      <c r="G114" s="152" t="s">
        <v>62</v>
      </c>
      <c r="H114" s="152"/>
      <c r="J114" s="1" t="s">
        <v>314</v>
      </c>
    </row>
    <row r="115" spans="1:11" s="1" customFormat="1" ht="15.75" customHeight="1" x14ac:dyDescent="0.25">
      <c r="A115" s="153" t="s">
        <v>288</v>
      </c>
      <c r="B115" s="153"/>
      <c r="C115" s="149">
        <f>COUNT(D224:D230)</f>
        <v>7</v>
      </c>
      <c r="D115" s="150"/>
      <c r="E115" s="149">
        <f>SUM(D224:D230)</f>
        <v>5397.3925200000003</v>
      </c>
      <c r="F115" s="149"/>
      <c r="G115" s="149">
        <f>SUM(F224:F230)</f>
        <v>8365.9584059999997</v>
      </c>
      <c r="H115" s="149"/>
      <c r="J115" s="1" t="s">
        <v>299</v>
      </c>
      <c r="K115" s="95">
        <f>C115+C119</f>
        <v>175</v>
      </c>
    </row>
    <row r="116" spans="1:11" s="1" customFormat="1" ht="15.75" customHeight="1" x14ac:dyDescent="0.25">
      <c r="A116" s="153" t="s">
        <v>274</v>
      </c>
      <c r="B116" s="153"/>
      <c r="C116" s="149">
        <f>COUNT(D267:D275)*2</f>
        <v>18</v>
      </c>
      <c r="D116" s="150"/>
      <c r="E116" s="149">
        <f>SUM(D267:D275)*2</f>
        <v>9558.4320000000007</v>
      </c>
      <c r="F116" s="149"/>
      <c r="G116" s="149">
        <f>SUM(F267:F275)*2</f>
        <v>14815.569599999999</v>
      </c>
      <c r="H116" s="149"/>
      <c r="J116" s="1" t="s">
        <v>300</v>
      </c>
      <c r="K116" s="95">
        <f>C116+C120</f>
        <v>225</v>
      </c>
    </row>
    <row r="117" spans="1:11" s="94" customFormat="1" x14ac:dyDescent="0.25">
      <c r="A117" s="154" t="s">
        <v>64</v>
      </c>
      <c r="B117" s="154"/>
      <c r="C117" s="158">
        <f>SUM(C115:D116)</f>
        <v>25</v>
      </c>
      <c r="D117" s="158"/>
      <c r="E117" s="158">
        <f t="shared" ref="E117" si="0">SUM(E115:F116)</f>
        <v>14955.824520000002</v>
      </c>
      <c r="F117" s="158"/>
      <c r="G117" s="158">
        <f t="shared" ref="G117" si="1">SUM(G115:H116)</f>
        <v>23181.528006</v>
      </c>
      <c r="H117" s="158"/>
      <c r="K117" s="108">
        <f>K115+K116</f>
        <v>400</v>
      </c>
    </row>
    <row r="118" spans="1:11" s="1" customFormat="1" x14ac:dyDescent="0.25">
      <c r="A118" s="154" t="s">
        <v>296</v>
      </c>
      <c r="B118" s="154"/>
      <c r="C118" s="154"/>
      <c r="D118" s="154"/>
      <c r="E118" s="154"/>
      <c r="F118" s="154"/>
      <c r="G118" s="154"/>
      <c r="H118" s="154"/>
    </row>
    <row r="119" spans="1:11" s="1" customFormat="1" ht="15.75" customHeight="1" x14ac:dyDescent="0.25">
      <c r="A119" s="153" t="s">
        <v>288</v>
      </c>
      <c r="B119" s="153"/>
      <c r="C119" s="149">
        <f>COUNT(D232:D238)*7+COUNT(D240:D246)*7+COUNT(D248:D254)*5+COUNT(D256:D262)*5</f>
        <v>168</v>
      </c>
      <c r="D119" s="150"/>
      <c r="E119" s="149">
        <f>SUM(D232:D238)*7+SUM(D240:D246)*7+SUM(D248:D254)*5+SUM(D256:D262)*5</f>
        <v>129523.96547999998</v>
      </c>
      <c r="F119" s="149"/>
      <c r="G119" s="149">
        <f>SUM(F232:F238)*7+SUM(F240:F246)*7+SUM(F248:F254)*5+SUM(F256:F262)*5</f>
        <v>200762.14649399999</v>
      </c>
      <c r="H119" s="149"/>
    </row>
    <row r="120" spans="1:11" s="1" customFormat="1" ht="15.75" customHeight="1" x14ac:dyDescent="0.25">
      <c r="A120" s="153" t="s">
        <v>274</v>
      </c>
      <c r="B120" s="153"/>
      <c r="C120" s="149">
        <f>COUNT(D277:D285)*7+COUNT(D287:D295)*6+COUNT(D297:D305)*5+COUNT(D307:D315)*5</f>
        <v>207</v>
      </c>
      <c r="D120" s="150"/>
      <c r="E120" s="149">
        <f>SUM(D277:D285)*7+SUM(D287:D295)*6+SUM(D297:D305)*5+SUM(D307:D315)*5</f>
        <v>109921.96800000001</v>
      </c>
      <c r="F120" s="149"/>
      <c r="G120" s="149">
        <f>SUM(F277:F285)*7+SUM(F287:F295)*6+SUM(F297:F305)*5+SUM(F307:F315)*5</f>
        <v>170379.05039999998</v>
      </c>
      <c r="H120" s="149"/>
    </row>
    <row r="121" spans="1:11" s="94" customFormat="1" x14ac:dyDescent="0.25">
      <c r="A121" s="154" t="s">
        <v>64</v>
      </c>
      <c r="B121" s="154"/>
      <c r="C121" s="158">
        <f>SUM(C119:D120)</f>
        <v>375</v>
      </c>
      <c r="D121" s="159"/>
      <c r="E121" s="158">
        <f>SUM(E119:F120)</f>
        <v>239445.93348000001</v>
      </c>
      <c r="F121" s="159"/>
      <c r="G121" s="158">
        <f t="shared" ref="G121" si="2">SUM(G119:H120)</f>
        <v>371141.19689399994</v>
      </c>
      <c r="H121" s="159"/>
    </row>
    <row r="122" spans="1:11" s="94" customFormat="1" x14ac:dyDescent="0.25">
      <c r="A122" s="154" t="s">
        <v>294</v>
      </c>
      <c r="B122" s="154"/>
      <c r="C122" s="158">
        <f>C112+C117+C121</f>
        <v>481</v>
      </c>
      <c r="D122" s="159"/>
      <c r="E122" s="158">
        <f t="shared" ref="E122" si="3">E112+E117+E121</f>
        <v>295530.97296949197</v>
      </c>
      <c r="F122" s="159"/>
      <c r="G122" s="158">
        <f t="shared" ref="G122" si="4">G112+G117+G121</f>
        <v>460129.46885118715</v>
      </c>
      <c r="H122" s="159"/>
    </row>
    <row r="123" spans="1:11" s="8" customFormat="1" x14ac:dyDescent="0.25">
      <c r="A123" s="151" t="s">
        <v>65</v>
      </c>
      <c r="B123" s="151"/>
      <c r="C123" s="151"/>
      <c r="D123" s="151"/>
      <c r="E123" s="151"/>
      <c r="F123" s="151"/>
      <c r="G123" s="151"/>
      <c r="H123" s="151"/>
    </row>
    <row r="124" spans="1:11" x14ac:dyDescent="0.25">
      <c r="A124" s="151" t="s">
        <v>66</v>
      </c>
      <c r="B124" s="151"/>
      <c r="C124" s="151"/>
      <c r="D124" s="151"/>
      <c r="E124" s="151"/>
      <c r="F124" s="151"/>
      <c r="G124" s="151"/>
      <c r="H124" s="151"/>
    </row>
    <row r="125" spans="1:11" ht="47.25" customHeight="1" x14ac:dyDescent="0.25">
      <c r="A125" s="185" t="s">
        <v>214</v>
      </c>
      <c r="B125" s="185" t="s">
        <v>215</v>
      </c>
      <c r="C125" s="185" t="s">
        <v>67</v>
      </c>
      <c r="D125" s="185" t="s">
        <v>68</v>
      </c>
      <c r="E125" s="201" t="s">
        <v>69</v>
      </c>
      <c r="F125" s="85" t="s">
        <v>158</v>
      </c>
      <c r="G125" s="137" t="s">
        <v>70</v>
      </c>
      <c r="H125" s="203"/>
    </row>
    <row r="126" spans="1:11" s="33" customFormat="1" x14ac:dyDescent="0.25">
      <c r="A126" s="186"/>
      <c r="B126" s="186"/>
      <c r="C126" s="186"/>
      <c r="D126" s="186"/>
      <c r="E126" s="202"/>
      <c r="F126" s="31">
        <v>0.6</v>
      </c>
      <c r="G126" s="138"/>
      <c r="H126" s="204"/>
    </row>
    <row r="127" spans="1:11" s="117" customFormat="1" x14ac:dyDescent="0.25">
      <c r="A127" s="130" t="s">
        <v>274</v>
      </c>
      <c r="B127" s="131"/>
      <c r="C127" s="131"/>
      <c r="D127" s="131"/>
      <c r="E127" s="131"/>
      <c r="F127" s="131"/>
      <c r="G127" s="131"/>
      <c r="H127" s="132"/>
    </row>
    <row r="128" spans="1:11" s="98" customFormat="1" x14ac:dyDescent="0.25">
      <c r="A128" s="130" t="s">
        <v>275</v>
      </c>
      <c r="B128" s="131"/>
      <c r="C128" s="131"/>
      <c r="D128" s="131"/>
      <c r="E128" s="131"/>
      <c r="F128" s="131"/>
      <c r="G128" s="131"/>
      <c r="H128" s="132"/>
    </row>
    <row r="129" spans="1:14" s="103" customFormat="1" x14ac:dyDescent="0.25">
      <c r="A129" s="145">
        <v>1</v>
      </c>
      <c r="B129" s="146"/>
      <c r="C129" s="101" t="s">
        <v>217</v>
      </c>
      <c r="D129" s="107">
        <f>(5.987*3.08+(0.5*5.987*11.42))*10.764</f>
        <v>566.46335771999998</v>
      </c>
      <c r="E129" s="101">
        <v>0</v>
      </c>
      <c r="F129" s="101">
        <f t="shared" ref="F129:F136" si="5">D129*(($F$126)+1)+E129</f>
        <v>906.34137235200001</v>
      </c>
      <c r="G129" s="126" t="str">
        <f>A128</f>
        <v>Lower Ground Floor For Commercial &amp; Parking</v>
      </c>
      <c r="H129" s="127"/>
      <c r="I129" s="102"/>
      <c r="L129" s="214"/>
      <c r="M129" s="214"/>
      <c r="N129" s="102"/>
    </row>
    <row r="130" spans="1:14" s="103" customFormat="1" x14ac:dyDescent="0.25">
      <c r="A130" s="145">
        <f t="shared" ref="A130:A136" si="6">A129+1</f>
        <v>2</v>
      </c>
      <c r="B130" s="146"/>
      <c r="C130" s="101" t="s">
        <v>217</v>
      </c>
      <c r="D130" s="107">
        <f>(3.284*12.9)*10.764</f>
        <v>456.00179039999995</v>
      </c>
      <c r="E130" s="101">
        <v>0</v>
      </c>
      <c r="F130" s="101">
        <f t="shared" si="5"/>
        <v>729.60286464000001</v>
      </c>
      <c r="G130" s="128"/>
      <c r="H130" s="129"/>
      <c r="I130" s="102"/>
      <c r="L130" s="214"/>
      <c r="M130" s="214"/>
      <c r="N130" s="102"/>
    </row>
    <row r="131" spans="1:14" s="103" customFormat="1" x14ac:dyDescent="0.25">
      <c r="A131" s="145">
        <f t="shared" si="6"/>
        <v>3</v>
      </c>
      <c r="B131" s="146"/>
      <c r="C131" s="101" t="s">
        <v>217</v>
      </c>
      <c r="D131" s="107">
        <f>(3.05*12.9)*10.764</f>
        <v>423.50957999999997</v>
      </c>
      <c r="E131" s="101">
        <v>0</v>
      </c>
      <c r="F131" s="101">
        <f t="shared" si="5"/>
        <v>677.61532799999998</v>
      </c>
      <c r="G131" s="128"/>
      <c r="H131" s="129"/>
      <c r="I131" s="102"/>
      <c r="L131" s="214"/>
      <c r="M131" s="214"/>
      <c r="N131" s="102"/>
    </row>
    <row r="132" spans="1:14" s="103" customFormat="1" x14ac:dyDescent="0.25">
      <c r="A132" s="145">
        <f t="shared" si="6"/>
        <v>4</v>
      </c>
      <c r="B132" s="146"/>
      <c r="C132" s="101" t="s">
        <v>217</v>
      </c>
      <c r="D132" s="107">
        <f>(2.985*12.9+1.1*2.2)*10.764</f>
        <v>440.53284600000001</v>
      </c>
      <c r="E132" s="101">
        <v>0</v>
      </c>
      <c r="F132" s="101">
        <f t="shared" si="5"/>
        <v>704.85255360000008</v>
      </c>
      <c r="G132" s="128"/>
      <c r="H132" s="129"/>
      <c r="I132" s="102"/>
      <c r="L132" s="214"/>
      <c r="M132" s="214"/>
      <c r="N132" s="102"/>
    </row>
    <row r="133" spans="1:14" s="103" customFormat="1" x14ac:dyDescent="0.25">
      <c r="A133" s="145">
        <f t="shared" si="6"/>
        <v>5</v>
      </c>
      <c r="B133" s="146"/>
      <c r="C133" s="101" t="s">
        <v>217</v>
      </c>
      <c r="D133" s="107">
        <f>(2.985*12.9+1.1*2.2)*10.764</f>
        <v>440.53284600000001</v>
      </c>
      <c r="E133" s="101">
        <v>0</v>
      </c>
      <c r="F133" s="101">
        <f t="shared" si="5"/>
        <v>704.85255360000008</v>
      </c>
      <c r="G133" s="128"/>
      <c r="H133" s="129"/>
      <c r="I133" s="102"/>
      <c r="L133" s="214"/>
      <c r="M133" s="214"/>
      <c r="N133" s="102"/>
    </row>
    <row r="134" spans="1:14" s="103" customFormat="1" x14ac:dyDescent="0.25">
      <c r="A134" s="145">
        <f t="shared" si="6"/>
        <v>6</v>
      </c>
      <c r="B134" s="146"/>
      <c r="C134" s="101" t="s">
        <v>217</v>
      </c>
      <c r="D134" s="107">
        <f>(3.595*10+4.3*2.6)*10.764</f>
        <v>507.30732</v>
      </c>
      <c r="E134" s="101">
        <v>0</v>
      </c>
      <c r="F134" s="101">
        <f t="shared" si="5"/>
        <v>811.69171200000005</v>
      </c>
      <c r="G134" s="128"/>
      <c r="H134" s="129"/>
      <c r="I134" s="102"/>
      <c r="L134" s="214"/>
      <c r="M134" s="214"/>
      <c r="N134" s="102"/>
    </row>
    <row r="135" spans="1:14" s="103" customFormat="1" x14ac:dyDescent="0.25">
      <c r="A135" s="145">
        <f t="shared" si="6"/>
        <v>7</v>
      </c>
      <c r="B135" s="146"/>
      <c r="C135" s="101" t="s">
        <v>217</v>
      </c>
      <c r="D135" s="107">
        <f>(3.395*10+2.3*2.6)*10.764</f>
        <v>429.80651999999998</v>
      </c>
      <c r="E135" s="101">
        <v>0</v>
      </c>
      <c r="F135" s="101">
        <f t="shared" si="5"/>
        <v>687.69043199999999</v>
      </c>
      <c r="G135" s="128"/>
      <c r="H135" s="129"/>
      <c r="I135" s="102">
        <f>(3.395*12.9-1.1*2.4)</f>
        <v>41.155500000000004</v>
      </c>
      <c r="L135" s="214"/>
      <c r="M135" s="214"/>
      <c r="N135" s="102"/>
    </row>
    <row r="136" spans="1:14" s="103" customFormat="1" x14ac:dyDescent="0.25">
      <c r="A136" s="145">
        <f t="shared" si="6"/>
        <v>8</v>
      </c>
      <c r="B136" s="146"/>
      <c r="C136" s="101" t="s">
        <v>217</v>
      </c>
      <c r="D136" s="107">
        <f>(3.05*12.19)*10.764</f>
        <v>400.20013799999992</v>
      </c>
      <c r="E136" s="101">
        <v>0</v>
      </c>
      <c r="F136" s="101">
        <f t="shared" si="5"/>
        <v>640.3202207999999</v>
      </c>
      <c r="G136" s="128"/>
      <c r="H136" s="129"/>
      <c r="I136" s="102">
        <f>(3.05*12.19)</f>
        <v>37.179499999999997</v>
      </c>
      <c r="L136" s="214"/>
      <c r="M136" s="214"/>
      <c r="N136" s="102"/>
    </row>
    <row r="137" spans="1:14" s="33" customFormat="1" x14ac:dyDescent="0.25">
      <c r="A137" s="130" t="s">
        <v>274</v>
      </c>
      <c r="B137" s="131"/>
      <c r="C137" s="131"/>
      <c r="D137" s="131"/>
      <c r="E137" s="131"/>
      <c r="F137" s="131"/>
      <c r="G137" s="131"/>
      <c r="H137" s="131"/>
      <c r="I137" s="106"/>
    </row>
    <row r="138" spans="1:14" s="33" customFormat="1" x14ac:dyDescent="0.25">
      <c r="A138" s="130" t="s">
        <v>292</v>
      </c>
      <c r="B138" s="131"/>
      <c r="C138" s="131"/>
      <c r="D138" s="131"/>
      <c r="E138" s="131"/>
      <c r="F138" s="131"/>
      <c r="G138" s="131"/>
      <c r="H138" s="132"/>
    </row>
    <row r="139" spans="1:14" s="99" customFormat="1" ht="36" customHeight="1" x14ac:dyDescent="0.25">
      <c r="A139" s="145" t="s">
        <v>297</v>
      </c>
      <c r="B139" s="146"/>
      <c r="C139" s="101" t="s">
        <v>217</v>
      </c>
      <c r="D139" s="107">
        <f>((23.33*12.15+7.93*2.2+11.51*2.2)-(2.2*2.2))*10.764</f>
        <v>3459.4150500000001</v>
      </c>
      <c r="E139" s="101">
        <v>0</v>
      </c>
      <c r="F139" s="101">
        <f t="shared" ref="F139" si="7">D139*(($F$126)+1)+E139</f>
        <v>5535.0640800000001</v>
      </c>
      <c r="G139" s="126" t="str">
        <f>A138</f>
        <v>Ground Floor for Entrance Lobby, Commercial &amp; Parking</v>
      </c>
      <c r="H139" s="127"/>
      <c r="I139" s="32"/>
      <c r="L139" s="125"/>
      <c r="M139" s="125"/>
      <c r="N139" s="32"/>
    </row>
    <row r="140" spans="1:14" s="33" customFormat="1" ht="15.75" customHeight="1" x14ac:dyDescent="0.25">
      <c r="A140" s="145">
        <v>9</v>
      </c>
      <c r="B140" s="146"/>
      <c r="C140" s="101" t="s">
        <v>217</v>
      </c>
      <c r="D140" s="105">
        <f>(43.5)*10.764</f>
        <v>468.23399999999998</v>
      </c>
      <c r="E140" s="101">
        <v>0</v>
      </c>
      <c r="F140" s="101">
        <f t="shared" ref="F140:F150" si="8">D140*(($F$126)+1)+E140</f>
        <v>749.17439999999999</v>
      </c>
      <c r="G140" s="128"/>
      <c r="H140" s="129"/>
      <c r="I140" s="32">
        <f>(3*12.9+1.7*1.6+1.3*1.5)</f>
        <v>43.370000000000005</v>
      </c>
      <c r="J140" s="33">
        <v>43.5</v>
      </c>
      <c r="L140" s="125"/>
      <c r="M140" s="125"/>
      <c r="N140" s="32"/>
    </row>
    <row r="141" spans="1:14" s="33" customFormat="1" x14ac:dyDescent="0.25">
      <c r="A141" s="145">
        <f t="shared" ref="A141:A150" si="9">A140+1</f>
        <v>10</v>
      </c>
      <c r="B141" s="146"/>
      <c r="C141" s="101" t="s">
        <v>217</v>
      </c>
      <c r="D141" s="105">
        <f>(39.929)*10.764</f>
        <v>429.79575599999998</v>
      </c>
      <c r="E141" s="101">
        <v>0</v>
      </c>
      <c r="F141" s="101">
        <f t="shared" si="8"/>
        <v>687.67320960000006</v>
      </c>
      <c r="G141" s="128"/>
      <c r="H141" s="129"/>
      <c r="I141" s="32">
        <f>(2.15*12.9+1.454*1.6+1.2*1.5)</f>
        <v>31.8614</v>
      </c>
      <c r="L141" s="125"/>
      <c r="M141" s="125"/>
      <c r="N141" s="32"/>
    </row>
    <row r="142" spans="1:14" s="33" customFormat="1" x14ac:dyDescent="0.25">
      <c r="A142" s="145">
        <f t="shared" si="9"/>
        <v>11</v>
      </c>
      <c r="B142" s="146"/>
      <c r="C142" s="101" t="s">
        <v>217</v>
      </c>
      <c r="D142" s="105">
        <f>(39.766)*10.764</f>
        <v>428.04122399999994</v>
      </c>
      <c r="E142" s="101">
        <v>0</v>
      </c>
      <c r="F142" s="101">
        <f t="shared" si="8"/>
        <v>684.86595839999995</v>
      </c>
      <c r="G142" s="128"/>
      <c r="H142" s="129"/>
      <c r="I142" s="32">
        <f>(2.739*12.9+1.43*1.5+1.2*1.5)</f>
        <v>39.278100000000002</v>
      </c>
      <c r="L142" s="125"/>
      <c r="M142" s="125"/>
      <c r="N142" s="32"/>
    </row>
    <row r="143" spans="1:14" s="33" customFormat="1" x14ac:dyDescent="0.25">
      <c r="A143" s="145">
        <f t="shared" si="9"/>
        <v>12</v>
      </c>
      <c r="B143" s="146"/>
      <c r="C143" s="101" t="s">
        <v>217</v>
      </c>
      <c r="D143" s="105">
        <f>(39.766)*10.764</f>
        <v>428.04122399999994</v>
      </c>
      <c r="E143" s="101">
        <v>0</v>
      </c>
      <c r="F143" s="101">
        <f t="shared" si="8"/>
        <v>684.86595839999995</v>
      </c>
      <c r="G143" s="128"/>
      <c r="H143" s="129"/>
      <c r="I143" s="32"/>
      <c r="L143" s="125"/>
      <c r="M143" s="125"/>
      <c r="N143" s="32"/>
    </row>
    <row r="144" spans="1:14" s="33" customFormat="1" x14ac:dyDescent="0.25">
      <c r="A144" s="145">
        <f t="shared" si="9"/>
        <v>13</v>
      </c>
      <c r="B144" s="146"/>
      <c r="C144" s="101" t="s">
        <v>217</v>
      </c>
      <c r="D144" s="105">
        <f>(39.76)*10.764</f>
        <v>427.97663999999997</v>
      </c>
      <c r="E144" s="101">
        <v>0</v>
      </c>
      <c r="F144" s="101">
        <f t="shared" si="8"/>
        <v>684.76262399999996</v>
      </c>
      <c r="G144" s="128"/>
      <c r="H144" s="129"/>
      <c r="I144" s="32"/>
      <c r="L144" s="125"/>
      <c r="M144" s="125"/>
      <c r="N144" s="32"/>
    </row>
    <row r="145" spans="1:14" s="33" customFormat="1" x14ac:dyDescent="0.25">
      <c r="A145" s="145">
        <f t="shared" si="9"/>
        <v>14</v>
      </c>
      <c r="B145" s="146"/>
      <c r="C145" s="101" t="s">
        <v>217</v>
      </c>
      <c r="D145" s="105">
        <f>(43.337)*10.764</f>
        <v>466.479468</v>
      </c>
      <c r="E145" s="101">
        <v>0</v>
      </c>
      <c r="F145" s="101">
        <f t="shared" si="8"/>
        <v>746.3671488</v>
      </c>
      <c r="G145" s="128"/>
      <c r="H145" s="129"/>
      <c r="I145" s="32"/>
      <c r="L145" s="125"/>
      <c r="M145" s="125"/>
      <c r="N145" s="32"/>
    </row>
    <row r="146" spans="1:14" s="33" customFormat="1" x14ac:dyDescent="0.25">
      <c r="A146" s="145">
        <f t="shared" si="9"/>
        <v>15</v>
      </c>
      <c r="B146" s="146"/>
      <c r="C146" s="101" t="s">
        <v>217</v>
      </c>
      <c r="D146" s="105">
        <f>(55.979)*10.764</f>
        <v>602.55795599999999</v>
      </c>
      <c r="E146" s="101">
        <v>0</v>
      </c>
      <c r="F146" s="101">
        <f t="shared" si="8"/>
        <v>964.09272959999998</v>
      </c>
      <c r="G146" s="128"/>
      <c r="H146" s="129"/>
      <c r="I146" s="32">
        <f>(3.747*12.179+3.19*2.321+1.2*2.221)</f>
        <v>55.703902999999997</v>
      </c>
      <c r="L146" s="125"/>
      <c r="M146" s="125"/>
      <c r="N146" s="32"/>
    </row>
    <row r="147" spans="1:14" s="33" customFormat="1" x14ac:dyDescent="0.25">
      <c r="A147" s="145">
        <f t="shared" si="9"/>
        <v>16</v>
      </c>
      <c r="B147" s="146"/>
      <c r="C147" s="101" t="s">
        <v>217</v>
      </c>
      <c r="D147" s="105">
        <f>(45.688)*10.764</f>
        <v>491.78563200000002</v>
      </c>
      <c r="E147" s="101">
        <v>0</v>
      </c>
      <c r="F147" s="101">
        <f t="shared" si="8"/>
        <v>786.8570112000001</v>
      </c>
      <c r="G147" s="128"/>
      <c r="H147" s="129"/>
      <c r="I147" s="32"/>
      <c r="L147" s="125"/>
      <c r="M147" s="125"/>
      <c r="N147" s="32"/>
    </row>
    <row r="148" spans="1:14" s="99" customFormat="1" x14ac:dyDescent="0.25">
      <c r="A148" s="145" t="s">
        <v>287</v>
      </c>
      <c r="B148" s="146"/>
      <c r="C148" s="101" t="s">
        <v>217</v>
      </c>
      <c r="D148" s="101">
        <f>(3.109*12.343)*10.764</f>
        <v>413.06190166799996</v>
      </c>
      <c r="E148" s="101">
        <v>0</v>
      </c>
      <c r="F148" s="101">
        <f t="shared" si="8"/>
        <v>660.89904266880001</v>
      </c>
      <c r="G148" s="128"/>
      <c r="H148" s="129"/>
      <c r="I148" s="32"/>
      <c r="L148" s="125"/>
      <c r="M148" s="125"/>
      <c r="N148" s="32"/>
    </row>
    <row r="149" spans="1:14" s="33" customFormat="1" x14ac:dyDescent="0.25">
      <c r="A149" s="145">
        <f>A147+1</f>
        <v>17</v>
      </c>
      <c r="B149" s="146"/>
      <c r="C149" s="101" t="s">
        <v>217</v>
      </c>
      <c r="D149" s="105">
        <f>(42.654)*10.764</f>
        <v>459.127656</v>
      </c>
      <c r="E149" s="101">
        <v>0</v>
      </c>
      <c r="F149" s="101">
        <f t="shared" si="8"/>
        <v>734.6042496</v>
      </c>
      <c r="G149" s="128"/>
      <c r="H149" s="129"/>
      <c r="I149" s="32">
        <f>(3.089*11.912+2.265*0.994+2.65*1.601+1.2*1.5)</f>
        <v>45.090227999999996</v>
      </c>
      <c r="L149" s="125"/>
      <c r="M149" s="125"/>
      <c r="N149" s="32"/>
    </row>
    <row r="150" spans="1:14" s="33" customFormat="1" x14ac:dyDescent="0.25">
      <c r="A150" s="145">
        <f t="shared" si="9"/>
        <v>18</v>
      </c>
      <c r="B150" s="146"/>
      <c r="C150" s="101" t="s">
        <v>217</v>
      </c>
      <c r="D150" s="105">
        <f>(44.632)*10.764</f>
        <v>480.41884799999997</v>
      </c>
      <c r="E150" s="101">
        <v>0</v>
      </c>
      <c r="F150" s="101">
        <f t="shared" si="8"/>
        <v>768.67015679999997</v>
      </c>
      <c r="G150" s="133"/>
      <c r="H150" s="134"/>
      <c r="I150" s="32">
        <f>(3.079*12.9+1.7*1.601+1.2*1.5)</f>
        <v>44.2408</v>
      </c>
      <c r="L150" s="125"/>
      <c r="M150" s="125"/>
      <c r="N150" s="32"/>
    </row>
    <row r="151" spans="1:14" s="99" customFormat="1" ht="15.75" customHeight="1" x14ac:dyDescent="0.25">
      <c r="A151" s="135" t="s">
        <v>291</v>
      </c>
      <c r="B151" s="135"/>
      <c r="C151" s="135"/>
      <c r="D151" s="135"/>
      <c r="E151" s="135"/>
      <c r="F151" s="135"/>
      <c r="G151" s="135"/>
      <c r="H151" s="135"/>
      <c r="I151" s="101">
        <v>10.763999999999999</v>
      </c>
      <c r="L151" s="125"/>
      <c r="M151" s="125"/>
    </row>
    <row r="152" spans="1:14" s="99" customFormat="1" x14ac:dyDescent="0.25">
      <c r="A152" s="136">
        <v>1</v>
      </c>
      <c r="B152" s="136"/>
      <c r="C152" s="119" t="s">
        <v>218</v>
      </c>
      <c r="D152" s="119">
        <f>(9.429*3.741)*10.764</f>
        <v>379.688141196</v>
      </c>
      <c r="E152" s="119">
        <v>0</v>
      </c>
      <c r="F152" s="119">
        <f t="shared" ref="F152:F169" si="10">D152*(($F$126)+1)+E152</f>
        <v>607.50102591360007</v>
      </c>
      <c r="G152" s="136" t="str">
        <f>A195</f>
        <v>1st Floor For Commercial &amp; Parking</v>
      </c>
      <c r="H152" s="136"/>
      <c r="I152" s="32"/>
      <c r="N152" s="32"/>
    </row>
    <row r="153" spans="1:14" s="99" customFormat="1" x14ac:dyDescent="0.25">
      <c r="A153" s="136">
        <f t="shared" ref="A153:A166" si="11">A152+1</f>
        <v>2</v>
      </c>
      <c r="B153" s="136"/>
      <c r="C153" s="119" t="s">
        <v>218</v>
      </c>
      <c r="D153" s="119">
        <f>(3.05*11.353+1.98*1.6)*10.764</f>
        <v>406.82161259999992</v>
      </c>
      <c r="E153" s="119">
        <v>0</v>
      </c>
      <c r="F153" s="119">
        <f t="shared" si="10"/>
        <v>650.9145801599999</v>
      </c>
      <c r="G153" s="136"/>
      <c r="H153" s="136"/>
      <c r="I153" s="32"/>
      <c r="N153" s="32"/>
    </row>
    <row r="154" spans="1:14" s="99" customFormat="1" x14ac:dyDescent="0.25">
      <c r="A154" s="136">
        <f t="shared" si="11"/>
        <v>3</v>
      </c>
      <c r="B154" s="136"/>
      <c r="C154" s="119" t="s">
        <v>218</v>
      </c>
      <c r="D154" s="119">
        <f>(2.985*11.353)*10.764</f>
        <v>364.77802061999989</v>
      </c>
      <c r="E154" s="119">
        <v>0</v>
      </c>
      <c r="F154" s="119">
        <f t="shared" si="10"/>
        <v>583.64483299199981</v>
      </c>
      <c r="G154" s="136"/>
      <c r="H154" s="136"/>
      <c r="I154" s="32"/>
      <c r="N154" s="32"/>
    </row>
    <row r="155" spans="1:14" s="99" customFormat="1" x14ac:dyDescent="0.25">
      <c r="A155" s="136">
        <f t="shared" si="11"/>
        <v>4</v>
      </c>
      <c r="B155" s="136"/>
      <c r="C155" s="119" t="s">
        <v>218</v>
      </c>
      <c r="D155" s="119">
        <f>(2.85*11.353)*10.764</f>
        <v>348.28052220000001</v>
      </c>
      <c r="E155" s="119">
        <v>0</v>
      </c>
      <c r="F155" s="119">
        <f t="shared" si="10"/>
        <v>557.24883552000006</v>
      </c>
      <c r="G155" s="136"/>
      <c r="H155" s="136"/>
      <c r="I155" s="32"/>
      <c r="N155" s="32"/>
    </row>
    <row r="156" spans="1:14" s="99" customFormat="1" x14ac:dyDescent="0.25">
      <c r="A156" s="136">
        <f t="shared" si="11"/>
        <v>5</v>
      </c>
      <c r="B156" s="136"/>
      <c r="C156" s="119" t="s">
        <v>218</v>
      </c>
      <c r="D156" s="119">
        <f>(3.595*11.353+2.245*1.6+0.345*1.37+1.2*1.5)*10.764</f>
        <v>502.44936533999999</v>
      </c>
      <c r="E156" s="119">
        <v>0</v>
      </c>
      <c r="F156" s="119">
        <f t="shared" si="10"/>
        <v>803.91898454400007</v>
      </c>
      <c r="G156" s="136"/>
      <c r="H156" s="136"/>
      <c r="I156" s="32"/>
      <c r="N156" s="32"/>
    </row>
    <row r="157" spans="1:14" s="99" customFormat="1" x14ac:dyDescent="0.25">
      <c r="A157" s="136">
        <f t="shared" si="11"/>
        <v>6</v>
      </c>
      <c r="B157" s="136"/>
      <c r="C157" s="119" t="s">
        <v>218</v>
      </c>
      <c r="D157" s="119">
        <f>(45.121)*10.764</f>
        <v>485.68244399999998</v>
      </c>
      <c r="E157" s="119">
        <v>0</v>
      </c>
      <c r="F157" s="119">
        <f t="shared" si="10"/>
        <v>777.09191039999996</v>
      </c>
      <c r="G157" s="136"/>
      <c r="H157" s="136"/>
      <c r="I157" s="32">
        <f>(3.95*11.35)</f>
        <v>44.832500000000003</v>
      </c>
      <c r="N157" s="32"/>
    </row>
    <row r="158" spans="1:14" s="99" customFormat="1" x14ac:dyDescent="0.25">
      <c r="A158" s="136">
        <f t="shared" si="11"/>
        <v>7</v>
      </c>
      <c r="B158" s="136"/>
      <c r="C158" s="119" t="s">
        <v>218</v>
      </c>
      <c r="D158" s="119">
        <f>(35.598)*10.764</f>
        <v>383.17687199999995</v>
      </c>
      <c r="E158" s="119">
        <v>0</v>
      </c>
      <c r="F158" s="119">
        <f t="shared" si="10"/>
        <v>613.08299519999991</v>
      </c>
      <c r="G158" s="136"/>
      <c r="H158" s="136"/>
      <c r="I158" s="32"/>
      <c r="N158" s="32"/>
    </row>
    <row r="159" spans="1:14" s="99" customFormat="1" x14ac:dyDescent="0.25">
      <c r="A159" s="136">
        <f t="shared" si="11"/>
        <v>8</v>
      </c>
      <c r="B159" s="136"/>
      <c r="C159" s="119" t="s">
        <v>218</v>
      </c>
      <c r="D159" s="119">
        <f>(39.03)*10.764</f>
        <v>420.11892</v>
      </c>
      <c r="E159" s="119">
        <v>0</v>
      </c>
      <c r="F159" s="119">
        <f t="shared" si="10"/>
        <v>672.19027200000005</v>
      </c>
      <c r="G159" s="136"/>
      <c r="H159" s="136"/>
      <c r="I159" s="32">
        <f>(3.09*11.35+1.7*1.6+1.2*1.5)</f>
        <v>39.591499999999996</v>
      </c>
      <c r="N159" s="32"/>
    </row>
    <row r="160" spans="1:14" s="99" customFormat="1" x14ac:dyDescent="0.25">
      <c r="A160" s="136">
        <f t="shared" si="11"/>
        <v>9</v>
      </c>
      <c r="B160" s="136"/>
      <c r="C160" s="119" t="s">
        <v>218</v>
      </c>
      <c r="D160" s="119">
        <f>(35.841)*10.764</f>
        <v>385.79252400000001</v>
      </c>
      <c r="E160" s="119">
        <v>0</v>
      </c>
      <c r="F160" s="119">
        <f t="shared" si="10"/>
        <v>617.26803840000002</v>
      </c>
      <c r="G160" s="136"/>
      <c r="H160" s="136"/>
      <c r="I160" s="32">
        <f>(2.754*11.35+1.454*1.6+1.2*1.5)</f>
        <v>35.384299999999996</v>
      </c>
      <c r="N160" s="32"/>
    </row>
    <row r="161" spans="1:14" s="99" customFormat="1" x14ac:dyDescent="0.25">
      <c r="A161" s="136">
        <f t="shared" si="11"/>
        <v>10</v>
      </c>
      <c r="B161" s="136"/>
      <c r="C161" s="119" t="s">
        <v>218</v>
      </c>
      <c r="D161" s="119">
        <f>(35.696)*10.764</f>
        <v>384.23174399999994</v>
      </c>
      <c r="E161" s="119">
        <v>0</v>
      </c>
      <c r="F161" s="119">
        <f t="shared" si="10"/>
        <v>614.7707903999999</v>
      </c>
      <c r="G161" s="136"/>
      <c r="H161" s="136"/>
      <c r="I161" s="32"/>
      <c r="N161" s="32"/>
    </row>
    <row r="162" spans="1:14" s="99" customFormat="1" x14ac:dyDescent="0.25">
      <c r="A162" s="136">
        <f t="shared" si="11"/>
        <v>11</v>
      </c>
      <c r="B162" s="136"/>
      <c r="C162" s="119" t="s">
        <v>218</v>
      </c>
      <c r="D162" s="119">
        <f>(35.696)*10.764</f>
        <v>384.23174399999994</v>
      </c>
      <c r="E162" s="119">
        <v>0</v>
      </c>
      <c r="F162" s="119">
        <f t="shared" si="10"/>
        <v>614.7707903999999</v>
      </c>
      <c r="G162" s="136"/>
      <c r="H162" s="136"/>
      <c r="I162" s="32"/>
      <c r="N162" s="32"/>
    </row>
    <row r="163" spans="1:14" s="99" customFormat="1" x14ac:dyDescent="0.25">
      <c r="A163" s="136">
        <f t="shared" si="11"/>
        <v>12</v>
      </c>
      <c r="B163" s="136"/>
      <c r="C163" s="119" t="s">
        <v>218</v>
      </c>
      <c r="D163" s="119">
        <f>(35.696)*10.764</f>
        <v>384.23174399999994</v>
      </c>
      <c r="E163" s="119">
        <v>0</v>
      </c>
      <c r="F163" s="119">
        <f t="shared" si="10"/>
        <v>614.7707903999999</v>
      </c>
      <c r="G163" s="136"/>
      <c r="H163" s="136"/>
      <c r="I163" s="32"/>
      <c r="N163" s="32"/>
    </row>
    <row r="164" spans="1:14" s="99" customFormat="1" x14ac:dyDescent="0.25">
      <c r="A164" s="136">
        <f t="shared" si="11"/>
        <v>13</v>
      </c>
      <c r="B164" s="136"/>
      <c r="C164" s="119" t="s">
        <v>218</v>
      </c>
      <c r="D164" s="119">
        <f>(38.885)*10.764</f>
        <v>418.55813999999998</v>
      </c>
      <c r="E164" s="119">
        <v>0</v>
      </c>
      <c r="F164" s="119">
        <f t="shared" si="10"/>
        <v>669.69302400000004</v>
      </c>
      <c r="G164" s="136"/>
      <c r="H164" s="136"/>
      <c r="I164" s="32"/>
      <c r="N164" s="32"/>
    </row>
    <row r="165" spans="1:14" s="99" customFormat="1" x14ac:dyDescent="0.25">
      <c r="A165" s="136">
        <f t="shared" si="11"/>
        <v>14</v>
      </c>
      <c r="B165" s="136"/>
      <c r="C165" s="119" t="s">
        <v>218</v>
      </c>
      <c r="D165" s="119">
        <f>(50.573)*10.764</f>
        <v>544.36777199999995</v>
      </c>
      <c r="E165" s="119">
        <v>0</v>
      </c>
      <c r="F165" s="119">
        <f t="shared" si="10"/>
        <v>870.98843519999991</v>
      </c>
      <c r="G165" s="136"/>
      <c r="H165" s="136"/>
      <c r="I165" s="32">
        <f>(3.747*11.35+3.185*2.32+1.2*2.221)</f>
        <v>52.582850000000001</v>
      </c>
      <c r="N165" s="32"/>
    </row>
    <row r="166" spans="1:14" s="99" customFormat="1" x14ac:dyDescent="0.25">
      <c r="A166" s="136">
        <f t="shared" si="11"/>
        <v>15</v>
      </c>
      <c r="B166" s="136"/>
      <c r="C166" s="119" t="s">
        <v>218</v>
      </c>
      <c r="D166" s="119">
        <f>(41.016)*10.764</f>
        <v>441.49622399999993</v>
      </c>
      <c r="E166" s="119">
        <v>0</v>
      </c>
      <c r="F166" s="119">
        <f t="shared" si="10"/>
        <v>706.39395839999997</v>
      </c>
      <c r="G166" s="136"/>
      <c r="H166" s="136"/>
      <c r="I166" s="32">
        <f>(3.134*11.35+2.39*2.371+1.2*2.007)</f>
        <v>43.645989999999998</v>
      </c>
      <c r="N166" s="32"/>
    </row>
    <row r="167" spans="1:14" s="99" customFormat="1" x14ac:dyDescent="0.25">
      <c r="A167" s="136" t="s">
        <v>293</v>
      </c>
      <c r="B167" s="136"/>
      <c r="C167" s="119" t="s">
        <v>218</v>
      </c>
      <c r="D167" s="119">
        <f>((3.109*10.793+1.81*2.157))*10.764</f>
        <v>403.21520974799995</v>
      </c>
      <c r="E167" s="119">
        <v>0</v>
      </c>
      <c r="F167" s="119">
        <f t="shared" si="10"/>
        <v>645.14433559679992</v>
      </c>
      <c r="G167" s="136"/>
      <c r="H167" s="136"/>
      <c r="I167" s="32"/>
      <c r="N167" s="32"/>
    </row>
    <row r="168" spans="1:14" s="99" customFormat="1" x14ac:dyDescent="0.25">
      <c r="A168" s="136">
        <f>A166+1</f>
        <v>16</v>
      </c>
      <c r="B168" s="136"/>
      <c r="C168" s="119" t="s">
        <v>218</v>
      </c>
      <c r="D168" s="119">
        <f>(38.046)*10.764</f>
        <v>409.52714399999996</v>
      </c>
      <c r="E168" s="119">
        <v>0</v>
      </c>
      <c r="F168" s="119">
        <f t="shared" si="10"/>
        <v>655.24343039999997</v>
      </c>
      <c r="G168" s="136"/>
      <c r="H168" s="136"/>
      <c r="I168" s="32"/>
      <c r="N168" s="32"/>
    </row>
    <row r="169" spans="1:14" s="99" customFormat="1" x14ac:dyDescent="0.25">
      <c r="A169" s="136">
        <f>A168+1</f>
        <v>17</v>
      </c>
      <c r="B169" s="136"/>
      <c r="C169" s="119" t="s">
        <v>218</v>
      </c>
      <c r="D169" s="119">
        <f>(40.041)*10.764</f>
        <v>431.00132399999995</v>
      </c>
      <c r="E169" s="119">
        <v>0</v>
      </c>
      <c r="F169" s="119">
        <f t="shared" si="10"/>
        <v>689.60211839999999</v>
      </c>
      <c r="G169" s="136"/>
      <c r="H169" s="136"/>
      <c r="I169" s="32">
        <f>(3.078*11.35+1.773*1.6+1.2*1.5)</f>
        <v>39.572099999999992</v>
      </c>
      <c r="N169" s="32"/>
    </row>
    <row r="170" spans="1:14" s="99" customFormat="1" x14ac:dyDescent="0.25">
      <c r="A170" s="130" t="s">
        <v>288</v>
      </c>
      <c r="B170" s="131"/>
      <c r="C170" s="131"/>
      <c r="D170" s="131"/>
      <c r="E170" s="131"/>
      <c r="F170" s="131"/>
      <c r="G170" s="131"/>
      <c r="H170" s="132"/>
    </row>
    <row r="171" spans="1:14" s="99" customFormat="1" x14ac:dyDescent="0.25">
      <c r="A171" s="130" t="s">
        <v>290</v>
      </c>
      <c r="B171" s="131"/>
      <c r="C171" s="131"/>
      <c r="D171" s="131"/>
      <c r="E171" s="131"/>
      <c r="F171" s="131"/>
      <c r="G171" s="131"/>
      <c r="H171" s="132"/>
    </row>
    <row r="172" spans="1:14" s="99" customFormat="1" x14ac:dyDescent="0.25">
      <c r="A172" s="130" t="s">
        <v>289</v>
      </c>
      <c r="B172" s="131"/>
      <c r="C172" s="131"/>
      <c r="D172" s="131"/>
      <c r="E172" s="131"/>
      <c r="F172" s="131"/>
      <c r="G172" s="131"/>
      <c r="H172" s="132"/>
    </row>
    <row r="173" spans="1:14" s="99" customFormat="1" ht="15.75" customHeight="1" x14ac:dyDescent="0.25">
      <c r="A173" s="145">
        <v>19</v>
      </c>
      <c r="B173" s="146"/>
      <c r="C173" s="101" t="s">
        <v>217</v>
      </c>
      <c r="D173" s="105">
        <f>(44.515)*10.764</f>
        <v>479.15945999999997</v>
      </c>
      <c r="E173" s="101">
        <v>0</v>
      </c>
      <c r="F173" s="101">
        <f t="shared" ref="F173:F183" si="12">D173*(($F$126)+1)+E173</f>
        <v>766.65513599999997</v>
      </c>
      <c r="G173" s="126" t="str">
        <f>A172</f>
        <v>Ground Floor for Drivers Room, Entrance Lobby &amp; Parking</v>
      </c>
      <c r="H173" s="127"/>
      <c r="I173" s="32">
        <f>(3.07*12.899+1.77*1.601+1.2*1.501)</f>
        <v>44.234899999999996</v>
      </c>
      <c r="L173" s="125"/>
      <c r="M173" s="125"/>
      <c r="N173" s="32"/>
    </row>
    <row r="174" spans="1:14" s="99" customFormat="1" x14ac:dyDescent="0.25">
      <c r="A174" s="145">
        <f t="shared" ref="A174:A180" si="13">A173+1</f>
        <v>20</v>
      </c>
      <c r="B174" s="146"/>
      <c r="C174" s="101" t="s">
        <v>217</v>
      </c>
      <c r="D174" s="105">
        <f>(44.95)*10.764</f>
        <v>483.84179999999998</v>
      </c>
      <c r="E174" s="101">
        <v>0</v>
      </c>
      <c r="F174" s="101">
        <f t="shared" si="12"/>
        <v>774.14688000000001</v>
      </c>
      <c r="G174" s="128"/>
      <c r="H174" s="129"/>
      <c r="I174" s="32">
        <f>(3.1*12.899+1.8*1.601+1.2*1.501)</f>
        <v>44.669899999999998</v>
      </c>
      <c r="L174" s="125"/>
      <c r="M174" s="125"/>
      <c r="N174" s="32"/>
    </row>
    <row r="175" spans="1:14" s="99" customFormat="1" x14ac:dyDescent="0.25">
      <c r="A175" s="145">
        <f t="shared" si="13"/>
        <v>21</v>
      </c>
      <c r="B175" s="146"/>
      <c r="C175" s="101" t="s">
        <v>217</v>
      </c>
      <c r="D175" s="105">
        <f>(41.325)*10.764</f>
        <v>444.82229999999998</v>
      </c>
      <c r="E175" s="101">
        <v>0</v>
      </c>
      <c r="F175" s="101">
        <f t="shared" si="12"/>
        <v>711.71568000000002</v>
      </c>
      <c r="G175" s="128"/>
      <c r="H175" s="129"/>
      <c r="I175" s="32">
        <f>(1.85*12.899+1.55*1.601+1.2*1.5)</f>
        <v>28.1447</v>
      </c>
      <c r="L175" s="125"/>
      <c r="M175" s="125"/>
      <c r="N175" s="32"/>
    </row>
    <row r="176" spans="1:14" s="99" customFormat="1" x14ac:dyDescent="0.25">
      <c r="A176" s="145">
        <f t="shared" si="13"/>
        <v>22</v>
      </c>
      <c r="B176" s="146"/>
      <c r="C176" s="101" t="s">
        <v>217</v>
      </c>
      <c r="D176" s="105">
        <f>(41.442)*10.764</f>
        <v>446.08168799999999</v>
      </c>
      <c r="E176" s="101">
        <v>0</v>
      </c>
      <c r="F176" s="101">
        <f t="shared" si="12"/>
        <v>713.73070080000002</v>
      </c>
      <c r="G176" s="128"/>
      <c r="H176" s="129"/>
      <c r="I176" s="32">
        <f>(2.858*12.899+1.55*1.601+1.2*1.501)</f>
        <v>41.148091999999998</v>
      </c>
      <c r="L176" s="125"/>
      <c r="M176" s="125"/>
      <c r="N176" s="32"/>
    </row>
    <row r="177" spans="1:14" s="99" customFormat="1" x14ac:dyDescent="0.25">
      <c r="A177" s="145">
        <f t="shared" si="13"/>
        <v>23</v>
      </c>
      <c r="B177" s="146"/>
      <c r="C177" s="101" t="s">
        <v>217</v>
      </c>
      <c r="D177" s="105">
        <f>(41.257)*10.764</f>
        <v>444.09034799999995</v>
      </c>
      <c r="E177" s="101">
        <v>0</v>
      </c>
      <c r="F177" s="101">
        <f t="shared" si="12"/>
        <v>710.54455680000001</v>
      </c>
      <c r="G177" s="128"/>
      <c r="H177" s="129"/>
      <c r="I177" s="32"/>
      <c r="L177" s="125"/>
      <c r="M177" s="125"/>
      <c r="N177" s="32"/>
    </row>
    <row r="178" spans="1:14" s="99" customFormat="1" x14ac:dyDescent="0.25">
      <c r="A178" s="145">
        <f t="shared" si="13"/>
        <v>24</v>
      </c>
      <c r="B178" s="146"/>
      <c r="C178" s="101" t="s">
        <v>217</v>
      </c>
      <c r="D178" s="105">
        <f>(41.384)*10.764</f>
        <v>445.45737599999995</v>
      </c>
      <c r="E178" s="101">
        <v>0</v>
      </c>
      <c r="F178" s="101">
        <f t="shared" si="12"/>
        <v>712.73180159999993</v>
      </c>
      <c r="G178" s="128"/>
      <c r="H178" s="129"/>
      <c r="I178" s="32"/>
      <c r="L178" s="125"/>
      <c r="M178" s="125"/>
      <c r="N178" s="32"/>
    </row>
    <row r="179" spans="1:14" s="99" customFormat="1" x14ac:dyDescent="0.25">
      <c r="A179" s="145">
        <f t="shared" si="13"/>
        <v>25</v>
      </c>
      <c r="B179" s="146"/>
      <c r="C179" s="101" t="s">
        <v>217</v>
      </c>
      <c r="D179" s="105">
        <f>(39.875)*10.764</f>
        <v>429.21449999999999</v>
      </c>
      <c r="E179" s="101">
        <v>0</v>
      </c>
      <c r="F179" s="101">
        <f t="shared" si="12"/>
        <v>686.7432</v>
      </c>
      <c r="G179" s="128"/>
      <c r="H179" s="129"/>
      <c r="I179" s="32"/>
      <c r="L179" s="125"/>
      <c r="M179" s="125"/>
      <c r="N179" s="32"/>
    </row>
    <row r="180" spans="1:14" s="99" customFormat="1" x14ac:dyDescent="0.25">
      <c r="A180" s="145">
        <f t="shared" si="13"/>
        <v>26</v>
      </c>
      <c r="B180" s="146"/>
      <c r="C180" s="101" t="s">
        <v>217</v>
      </c>
      <c r="D180" s="105">
        <f>(43.5)*10.764</f>
        <v>468.23399999999998</v>
      </c>
      <c r="E180" s="101">
        <v>0</v>
      </c>
      <c r="F180" s="101">
        <f t="shared" si="12"/>
        <v>749.17439999999999</v>
      </c>
      <c r="G180" s="128"/>
      <c r="H180" s="129"/>
      <c r="I180" s="32"/>
      <c r="L180" s="125"/>
      <c r="M180" s="125"/>
      <c r="N180" s="32"/>
    </row>
    <row r="181" spans="1:14" s="99" customFormat="1" x14ac:dyDescent="0.25">
      <c r="A181" s="145">
        <f>A180+1</f>
        <v>27</v>
      </c>
      <c r="B181" s="146"/>
      <c r="C181" s="101" t="s">
        <v>217</v>
      </c>
      <c r="D181" s="105">
        <f>(39.766)*10.764</f>
        <v>428.04122399999994</v>
      </c>
      <c r="E181" s="101">
        <v>0</v>
      </c>
      <c r="F181" s="101">
        <f t="shared" si="12"/>
        <v>684.86595839999995</v>
      </c>
      <c r="G181" s="128"/>
      <c r="H181" s="129"/>
      <c r="I181" s="32"/>
      <c r="L181" s="125"/>
      <c r="M181" s="125"/>
      <c r="N181" s="32"/>
    </row>
    <row r="182" spans="1:14" s="99" customFormat="1" x14ac:dyDescent="0.25">
      <c r="A182" s="145">
        <f t="shared" ref="A182:A183" si="14">A181+1</f>
        <v>28</v>
      </c>
      <c r="B182" s="146"/>
      <c r="C182" s="101" t="s">
        <v>217</v>
      </c>
      <c r="D182" s="105">
        <f>(39.766)*10.764</f>
        <v>428.04122399999994</v>
      </c>
      <c r="E182" s="101">
        <v>0</v>
      </c>
      <c r="F182" s="101">
        <f t="shared" si="12"/>
        <v>684.86595839999995</v>
      </c>
      <c r="G182" s="128"/>
      <c r="H182" s="129"/>
      <c r="I182" s="32"/>
      <c r="L182" s="125"/>
      <c r="M182" s="125"/>
      <c r="N182" s="32"/>
    </row>
    <row r="183" spans="1:14" s="99" customFormat="1" x14ac:dyDescent="0.25">
      <c r="A183" s="145">
        <f t="shared" si="14"/>
        <v>29</v>
      </c>
      <c r="B183" s="146"/>
      <c r="C183" s="101" t="s">
        <v>217</v>
      </c>
      <c r="D183" s="105">
        <f>(43.383)*10.764</f>
        <v>466.97461199999998</v>
      </c>
      <c r="E183" s="101">
        <v>0</v>
      </c>
      <c r="F183" s="101">
        <f t="shared" si="12"/>
        <v>747.15937919999999</v>
      </c>
      <c r="G183" s="128"/>
      <c r="H183" s="129"/>
      <c r="I183" s="32">
        <f>(2.992*12.899+1.692*1.601+1.2*1.501)</f>
        <v>43.103899999999996</v>
      </c>
      <c r="L183" s="125"/>
      <c r="M183" s="125"/>
      <c r="N183" s="32"/>
    </row>
    <row r="184" spans="1:14" s="99" customFormat="1" x14ac:dyDescent="0.25">
      <c r="A184" s="145">
        <f t="shared" ref="A184:A194" si="15">A183+1</f>
        <v>30</v>
      </c>
      <c r="B184" s="146"/>
      <c r="C184" s="101" t="s">
        <v>217</v>
      </c>
      <c r="D184" s="105">
        <f>(49.336)*10.764</f>
        <v>531.05270399999995</v>
      </c>
      <c r="E184" s="101">
        <v>0</v>
      </c>
      <c r="F184" s="101">
        <f t="shared" ref="F184:F194" si="16">D184*(($F$126)+1)+E184</f>
        <v>849.68432639999992</v>
      </c>
      <c r="G184" s="128"/>
      <c r="H184" s="129"/>
      <c r="I184" s="32">
        <f>(3.402*12.899+2.102*1.601+1.2*1.501)</f>
        <v>49.048900000000003</v>
      </c>
      <c r="L184" s="125"/>
      <c r="M184" s="125"/>
      <c r="N184" s="32"/>
    </row>
    <row r="185" spans="1:14" s="99" customFormat="1" x14ac:dyDescent="0.25">
      <c r="A185" s="145">
        <f t="shared" si="15"/>
        <v>31</v>
      </c>
      <c r="B185" s="146"/>
      <c r="C185" s="101" t="s">
        <v>217</v>
      </c>
      <c r="D185" s="105">
        <f>(37.093)*10.764</f>
        <v>399.26905199999999</v>
      </c>
      <c r="E185" s="101">
        <v>0</v>
      </c>
      <c r="F185" s="101">
        <f t="shared" si="16"/>
        <v>638.8304832</v>
      </c>
      <c r="G185" s="128"/>
      <c r="H185" s="129"/>
      <c r="I185" s="32">
        <f>(3.398*10.293+1.274*1.5)</f>
        <v>36.886614000000002</v>
      </c>
      <c r="L185" s="125"/>
      <c r="M185" s="125"/>
      <c r="N185" s="32"/>
    </row>
    <row r="186" spans="1:14" s="99" customFormat="1" x14ac:dyDescent="0.25">
      <c r="A186" s="145">
        <f t="shared" si="15"/>
        <v>32</v>
      </c>
      <c r="B186" s="146"/>
      <c r="C186" s="101" t="s">
        <v>217</v>
      </c>
      <c r="D186" s="105">
        <f>(108.231)*10.764</f>
        <v>1164.998484</v>
      </c>
      <c r="E186" s="101">
        <v>0</v>
      </c>
      <c r="F186" s="101">
        <f t="shared" si="16"/>
        <v>1863.9975744000001</v>
      </c>
      <c r="G186" s="128"/>
      <c r="H186" s="129"/>
      <c r="I186" s="32">
        <f>(11.492*9.416+1.2*1.5)</f>
        <v>110.008672</v>
      </c>
      <c r="L186" s="125"/>
      <c r="M186" s="125"/>
      <c r="N186" s="32"/>
    </row>
    <row r="187" spans="1:14" s="99" customFormat="1" x14ac:dyDescent="0.25">
      <c r="A187" s="145">
        <f t="shared" si="15"/>
        <v>33</v>
      </c>
      <c r="B187" s="146"/>
      <c r="C187" s="101" t="s">
        <v>217</v>
      </c>
      <c r="D187" s="105">
        <f>(38.894)*10.764</f>
        <v>418.65501599999993</v>
      </c>
      <c r="E187" s="101">
        <v>0</v>
      </c>
      <c r="F187" s="101">
        <f t="shared" si="16"/>
        <v>669.84802559999991</v>
      </c>
      <c r="G187" s="128"/>
      <c r="H187" s="129"/>
      <c r="I187" s="32"/>
      <c r="L187" s="125"/>
      <c r="M187" s="125"/>
      <c r="N187" s="32"/>
    </row>
    <row r="188" spans="1:14" s="99" customFormat="1" x14ac:dyDescent="0.25">
      <c r="A188" s="145">
        <f t="shared" si="15"/>
        <v>34</v>
      </c>
      <c r="B188" s="146"/>
      <c r="C188" s="101" t="s">
        <v>217</v>
      </c>
      <c r="D188" s="105">
        <f>(43.791)*10.764</f>
        <v>471.36632399999996</v>
      </c>
      <c r="E188" s="101">
        <v>0</v>
      </c>
      <c r="F188" s="101">
        <f t="shared" si="16"/>
        <v>754.18611839999994</v>
      </c>
      <c r="G188" s="128"/>
      <c r="H188" s="129"/>
      <c r="I188" s="32">
        <f>(13.304*3.001+1.3*1.202+1.19*1.7)</f>
        <v>43.510903999999996</v>
      </c>
      <c r="L188" s="125"/>
      <c r="M188" s="125"/>
      <c r="N188" s="32"/>
    </row>
    <row r="189" spans="1:14" s="99" customFormat="1" x14ac:dyDescent="0.25">
      <c r="A189" s="145">
        <f t="shared" si="15"/>
        <v>35</v>
      </c>
      <c r="B189" s="146"/>
      <c r="C189" s="101" t="s">
        <v>217</v>
      </c>
      <c r="D189" s="105">
        <f>(42.058)*10.764</f>
        <v>452.712312</v>
      </c>
      <c r="E189" s="101">
        <v>0</v>
      </c>
      <c r="F189" s="101">
        <f t="shared" si="16"/>
        <v>724.33969920000004</v>
      </c>
      <c r="G189" s="128"/>
      <c r="H189" s="129"/>
      <c r="I189" s="32">
        <f>(13.254*3+1.25*1.7)</f>
        <v>41.887</v>
      </c>
      <c r="L189" s="125"/>
      <c r="M189" s="125"/>
      <c r="N189" s="32"/>
    </row>
    <row r="190" spans="1:14" s="99" customFormat="1" x14ac:dyDescent="0.25">
      <c r="A190" s="145">
        <f t="shared" si="15"/>
        <v>36</v>
      </c>
      <c r="B190" s="146"/>
      <c r="C190" s="101" t="s">
        <v>217</v>
      </c>
      <c r="D190" s="105">
        <f>(42.058)*10.764</f>
        <v>452.712312</v>
      </c>
      <c r="E190" s="101">
        <v>0</v>
      </c>
      <c r="F190" s="101">
        <f t="shared" si="16"/>
        <v>724.33969920000004</v>
      </c>
      <c r="G190" s="128"/>
      <c r="H190" s="129"/>
      <c r="I190" s="32"/>
      <c r="L190" s="125"/>
      <c r="M190" s="125"/>
      <c r="N190" s="32"/>
    </row>
    <row r="191" spans="1:14" s="99" customFormat="1" x14ac:dyDescent="0.25">
      <c r="A191" s="145">
        <f t="shared" si="15"/>
        <v>37</v>
      </c>
      <c r="B191" s="146"/>
      <c r="C191" s="101" t="s">
        <v>217</v>
      </c>
      <c r="D191" s="105">
        <f>(50.616)*10.764</f>
        <v>544.83062399999994</v>
      </c>
      <c r="E191" s="101">
        <v>0</v>
      </c>
      <c r="F191" s="101">
        <f t="shared" si="16"/>
        <v>871.72899839999991</v>
      </c>
      <c r="G191" s="128"/>
      <c r="H191" s="129"/>
      <c r="I191" s="32"/>
      <c r="L191" s="125"/>
      <c r="M191" s="125"/>
      <c r="N191" s="32"/>
    </row>
    <row r="192" spans="1:14" s="99" customFormat="1" x14ac:dyDescent="0.25">
      <c r="A192" s="145">
        <f t="shared" si="15"/>
        <v>38</v>
      </c>
      <c r="B192" s="146"/>
      <c r="C192" s="101" t="s">
        <v>217</v>
      </c>
      <c r="D192" s="105">
        <f>(52.362)*10.764</f>
        <v>563.62456799999995</v>
      </c>
      <c r="E192" s="101">
        <v>0</v>
      </c>
      <c r="F192" s="101">
        <f t="shared" si="16"/>
        <v>901.79930879999995</v>
      </c>
      <c r="G192" s="128"/>
      <c r="H192" s="129"/>
      <c r="I192" s="32"/>
      <c r="L192" s="125"/>
      <c r="M192" s="125"/>
      <c r="N192" s="32"/>
    </row>
    <row r="193" spans="1:14" s="99" customFormat="1" x14ac:dyDescent="0.25">
      <c r="A193" s="145">
        <f t="shared" si="15"/>
        <v>39</v>
      </c>
      <c r="B193" s="146"/>
      <c r="C193" s="101" t="s">
        <v>217</v>
      </c>
      <c r="D193" s="105">
        <f>(50.624)*10.764</f>
        <v>544.91673600000001</v>
      </c>
      <c r="E193" s="101">
        <v>0</v>
      </c>
      <c r="F193" s="101">
        <f t="shared" si="16"/>
        <v>871.86677760000009</v>
      </c>
      <c r="G193" s="128"/>
      <c r="H193" s="129"/>
      <c r="I193" s="32">
        <f>(16.107*3+1.25*1.7)</f>
        <v>50.445999999999998</v>
      </c>
      <c r="L193" s="125"/>
      <c r="M193" s="125"/>
      <c r="N193" s="32"/>
    </row>
    <row r="194" spans="1:14" s="99" customFormat="1" x14ac:dyDescent="0.25">
      <c r="A194" s="145">
        <f t="shared" si="15"/>
        <v>40</v>
      </c>
      <c r="B194" s="146"/>
      <c r="C194" s="101" t="s">
        <v>217</v>
      </c>
      <c r="D194" s="105">
        <f>(50.624)*10.764</f>
        <v>544.91673600000001</v>
      </c>
      <c r="E194" s="101">
        <v>0</v>
      </c>
      <c r="F194" s="101">
        <f t="shared" si="16"/>
        <v>871.86677760000009</v>
      </c>
      <c r="G194" s="133"/>
      <c r="H194" s="134"/>
      <c r="I194" s="32">
        <f>(16.107*3+1.25*1.7)</f>
        <v>50.445999999999998</v>
      </c>
      <c r="L194" s="125"/>
      <c r="M194" s="125"/>
      <c r="N194" s="32"/>
    </row>
    <row r="195" spans="1:14" s="99" customFormat="1" x14ac:dyDescent="0.25">
      <c r="A195" s="135" t="s">
        <v>291</v>
      </c>
      <c r="B195" s="135"/>
      <c r="C195" s="135"/>
      <c r="D195" s="135"/>
      <c r="E195" s="135"/>
      <c r="F195" s="135"/>
      <c r="G195" s="135"/>
      <c r="H195" s="135"/>
      <c r="I195" s="32"/>
      <c r="L195" s="125"/>
      <c r="M195" s="125"/>
    </row>
    <row r="196" spans="1:14" s="99" customFormat="1" x14ac:dyDescent="0.25">
      <c r="A196" s="136">
        <f>A169+1</f>
        <v>18</v>
      </c>
      <c r="B196" s="136"/>
      <c r="C196" s="119" t="s">
        <v>218</v>
      </c>
      <c r="D196" s="119">
        <f>(39.937)*10.764</f>
        <v>429.88186799999994</v>
      </c>
      <c r="E196" s="119">
        <v>0</v>
      </c>
      <c r="F196" s="119">
        <f t="shared" ref="F196:F215" si="17">D196*(($F$126)+1)+E196</f>
        <v>687.8109887999999</v>
      </c>
      <c r="G196" s="136" t="str">
        <f>A195</f>
        <v>1st Floor For Commercial &amp; Parking</v>
      </c>
      <c r="H196" s="136"/>
      <c r="I196" s="32">
        <f>(3.07*11.35+1.77*1.6+1.2*1.5)</f>
        <v>39.476499999999994</v>
      </c>
      <c r="N196" s="32"/>
    </row>
    <row r="197" spans="1:14" s="99" customFormat="1" x14ac:dyDescent="0.25">
      <c r="A197" s="136">
        <f t="shared" ref="A197:A216" si="18">A196+1</f>
        <v>19</v>
      </c>
      <c r="B197" s="136"/>
      <c r="C197" s="119" t="s">
        <v>218</v>
      </c>
      <c r="D197" s="107">
        <f>(40.325)*10.764</f>
        <v>434.05830000000003</v>
      </c>
      <c r="E197" s="119">
        <v>0</v>
      </c>
      <c r="F197" s="119">
        <f t="shared" si="17"/>
        <v>694.49328000000014</v>
      </c>
      <c r="G197" s="136"/>
      <c r="H197" s="136"/>
      <c r="I197" s="32">
        <f>(3.1*11.35+1.8*1.6+1.2*1.5)</f>
        <v>39.865000000000002</v>
      </c>
      <c r="N197" s="32"/>
    </row>
    <row r="198" spans="1:14" s="99" customFormat="1" x14ac:dyDescent="0.25">
      <c r="A198" s="136">
        <f t="shared" si="18"/>
        <v>20</v>
      </c>
      <c r="B198" s="136"/>
      <c r="C198" s="119" t="s">
        <v>218</v>
      </c>
      <c r="D198" s="119">
        <f>(37.067)*10.764</f>
        <v>398.98918799999996</v>
      </c>
      <c r="E198" s="119">
        <v>0</v>
      </c>
      <c r="F198" s="119">
        <f t="shared" si="17"/>
        <v>638.38270079999995</v>
      </c>
      <c r="G198" s="136"/>
      <c r="H198" s="136"/>
      <c r="I198" s="32">
        <f>(2.85*11.35+1.55*1.6+1.2*1.5)</f>
        <v>36.627499999999998</v>
      </c>
      <c r="N198" s="32"/>
    </row>
    <row r="199" spans="1:14" s="99" customFormat="1" x14ac:dyDescent="0.25">
      <c r="A199" s="136">
        <f t="shared" si="18"/>
        <v>21</v>
      </c>
      <c r="B199" s="136"/>
      <c r="C199" s="119" t="s">
        <v>218</v>
      </c>
      <c r="D199" s="119">
        <f>(37.192)*10.764</f>
        <v>400.33468799999997</v>
      </c>
      <c r="E199" s="119">
        <v>0</v>
      </c>
      <c r="F199" s="119">
        <f t="shared" si="17"/>
        <v>640.53550080000002</v>
      </c>
      <c r="G199" s="136"/>
      <c r="H199" s="136"/>
      <c r="I199" s="32"/>
      <c r="N199" s="32"/>
    </row>
    <row r="200" spans="1:14" s="99" customFormat="1" x14ac:dyDescent="0.25">
      <c r="A200" s="136">
        <f t="shared" si="18"/>
        <v>22</v>
      </c>
      <c r="B200" s="136"/>
      <c r="C200" s="119" t="s">
        <v>218</v>
      </c>
      <c r="D200" s="119">
        <f>(37.036)*10.764</f>
        <v>398.65550400000001</v>
      </c>
      <c r="E200" s="119">
        <v>0</v>
      </c>
      <c r="F200" s="119">
        <f t="shared" si="17"/>
        <v>637.84880640000006</v>
      </c>
      <c r="G200" s="136"/>
      <c r="H200" s="136"/>
      <c r="I200" s="32"/>
      <c r="N200" s="32"/>
    </row>
    <row r="201" spans="1:14" s="99" customFormat="1" x14ac:dyDescent="0.25">
      <c r="A201" s="136">
        <f t="shared" si="18"/>
        <v>23</v>
      </c>
      <c r="B201" s="136"/>
      <c r="C201" s="119" t="s">
        <v>218</v>
      </c>
      <c r="D201" s="119">
        <f>(37.14)*10.764</f>
        <v>399.77495999999996</v>
      </c>
      <c r="E201" s="119">
        <v>0</v>
      </c>
      <c r="F201" s="119">
        <f t="shared" si="17"/>
        <v>639.63993600000003</v>
      </c>
      <c r="G201" s="136"/>
      <c r="H201" s="136"/>
      <c r="I201" s="32"/>
      <c r="N201" s="32"/>
    </row>
    <row r="202" spans="1:14" s="99" customFormat="1" x14ac:dyDescent="0.25">
      <c r="A202" s="136">
        <f t="shared" si="18"/>
        <v>24</v>
      </c>
      <c r="B202" s="136"/>
      <c r="C202" s="119" t="s">
        <v>218</v>
      </c>
      <c r="D202" s="119">
        <f>(35.793)*10.764</f>
        <v>385.27585199999999</v>
      </c>
      <c r="E202" s="119">
        <v>0</v>
      </c>
      <c r="F202" s="119">
        <f t="shared" si="17"/>
        <v>616.44136320000007</v>
      </c>
      <c r="G202" s="136"/>
      <c r="H202" s="136"/>
      <c r="I202" s="32"/>
      <c r="N202" s="32"/>
    </row>
    <row r="203" spans="1:14" s="99" customFormat="1" x14ac:dyDescent="0.25">
      <c r="A203" s="136">
        <f t="shared" si="18"/>
        <v>25</v>
      </c>
      <c r="B203" s="136"/>
      <c r="C203" s="119" t="s">
        <v>218</v>
      </c>
      <c r="D203" s="119">
        <f>(39.03)*10.764</f>
        <v>420.11892</v>
      </c>
      <c r="E203" s="119">
        <v>0</v>
      </c>
      <c r="F203" s="119">
        <f t="shared" si="17"/>
        <v>672.19027200000005</v>
      </c>
      <c r="G203" s="136"/>
      <c r="H203" s="136"/>
      <c r="I203" s="32">
        <f>(3*11.35+1.7*1.6+1.2*1.5)</f>
        <v>38.569999999999993</v>
      </c>
      <c r="N203" s="32"/>
    </row>
    <row r="204" spans="1:14" s="99" customFormat="1" x14ac:dyDescent="0.25">
      <c r="A204" s="136">
        <f t="shared" si="18"/>
        <v>26</v>
      </c>
      <c r="B204" s="136"/>
      <c r="C204" s="119" t="s">
        <v>218</v>
      </c>
      <c r="D204" s="119">
        <f>(35.696)*10.764</f>
        <v>384.23174399999994</v>
      </c>
      <c r="E204" s="119">
        <v>0</v>
      </c>
      <c r="F204" s="119">
        <f t="shared" si="17"/>
        <v>614.7707903999999</v>
      </c>
      <c r="G204" s="136"/>
      <c r="H204" s="136"/>
      <c r="I204" s="32">
        <f>(2.743*11.35+1.443*1.6+1.2*1.5)</f>
        <v>35.241849999999992</v>
      </c>
      <c r="N204" s="32"/>
    </row>
    <row r="205" spans="1:14" s="99" customFormat="1" x14ac:dyDescent="0.25">
      <c r="A205" s="136">
        <f t="shared" si="18"/>
        <v>27</v>
      </c>
      <c r="B205" s="136"/>
      <c r="C205" s="119" t="s">
        <v>218</v>
      </c>
      <c r="D205" s="119">
        <f>(35.696)*10.764</f>
        <v>384.23174399999994</v>
      </c>
      <c r="E205" s="119">
        <v>0</v>
      </c>
      <c r="F205" s="119">
        <f t="shared" si="17"/>
        <v>614.7707903999999</v>
      </c>
      <c r="G205" s="136"/>
      <c r="H205" s="136"/>
      <c r="I205" s="32">
        <f>(2.742*11.35+1.442*1.6+1.2*1.5)</f>
        <v>35.228899999999996</v>
      </c>
      <c r="N205" s="32"/>
    </row>
    <row r="206" spans="1:14" s="99" customFormat="1" x14ac:dyDescent="0.25">
      <c r="A206" s="136">
        <f t="shared" si="18"/>
        <v>28</v>
      </c>
      <c r="B206" s="136"/>
      <c r="C206" s="119" t="s">
        <v>218</v>
      </c>
      <c r="D206" s="119">
        <f>(38.926)*10.764</f>
        <v>418.99946399999999</v>
      </c>
      <c r="E206" s="119">
        <v>0</v>
      </c>
      <c r="F206" s="119">
        <f t="shared" si="17"/>
        <v>670.39914240000007</v>
      </c>
      <c r="G206" s="136"/>
      <c r="H206" s="136"/>
      <c r="I206" s="32"/>
      <c r="N206" s="32"/>
    </row>
    <row r="207" spans="1:14" s="99" customFormat="1" x14ac:dyDescent="0.25">
      <c r="A207" s="136">
        <f t="shared" si="18"/>
        <v>29</v>
      </c>
      <c r="B207" s="136"/>
      <c r="C207" s="119" t="s">
        <v>218</v>
      </c>
      <c r="D207" s="119">
        <f>(44.242)*10.764</f>
        <v>476.22088799999995</v>
      </c>
      <c r="E207" s="119">
        <v>0</v>
      </c>
      <c r="F207" s="119">
        <f t="shared" si="17"/>
        <v>761.9534208</v>
      </c>
      <c r="G207" s="136"/>
      <c r="H207" s="136"/>
      <c r="I207" s="32">
        <f>(3.402*11.35+2.103*1.6+1.2*1.5)</f>
        <v>43.777500000000003</v>
      </c>
      <c r="N207" s="32"/>
    </row>
    <row r="208" spans="1:14" s="99" customFormat="1" x14ac:dyDescent="0.25">
      <c r="A208" s="136">
        <f t="shared" si="18"/>
        <v>30</v>
      </c>
      <c r="B208" s="136"/>
      <c r="C208" s="119" t="s">
        <v>218</v>
      </c>
      <c r="D208" s="119">
        <f>(136.406)*10.764</f>
        <v>1468.2741839999999</v>
      </c>
      <c r="E208" s="119">
        <v>0</v>
      </c>
      <c r="F208" s="119">
        <f t="shared" si="17"/>
        <v>2349.2386944</v>
      </c>
      <c r="G208" s="136"/>
      <c r="H208" s="136"/>
      <c r="I208" s="32">
        <f>(14.89*9.268)</f>
        <v>138.00052000000002</v>
      </c>
      <c r="N208" s="32"/>
    </row>
    <row r="209" spans="1:16" s="99" customFormat="1" x14ac:dyDescent="0.25">
      <c r="A209" s="136">
        <f t="shared" si="18"/>
        <v>31</v>
      </c>
      <c r="B209" s="136"/>
      <c r="C209" s="119" t="s">
        <v>218</v>
      </c>
      <c r="D209" s="119">
        <f>(41.729)*10.764</f>
        <v>449.17095599999999</v>
      </c>
      <c r="E209" s="119">
        <v>0</v>
      </c>
      <c r="F209" s="119">
        <f t="shared" si="17"/>
        <v>718.67352960000005</v>
      </c>
      <c r="G209" s="136"/>
      <c r="H209" s="136"/>
      <c r="I209" s="32">
        <f>(14.4*3.99-1.2*1.474)</f>
        <v>55.687200000000004</v>
      </c>
      <c r="N209" s="32"/>
    </row>
    <row r="210" spans="1:16" s="99" customFormat="1" x14ac:dyDescent="0.25">
      <c r="A210" s="136">
        <f t="shared" si="18"/>
        <v>32</v>
      </c>
      <c r="B210" s="136"/>
      <c r="C210" s="119" t="s">
        <v>218</v>
      </c>
      <c r="D210" s="119">
        <f>(41.349)*10.764</f>
        <v>445.08063599999991</v>
      </c>
      <c r="E210" s="119">
        <v>0</v>
      </c>
      <c r="F210" s="119">
        <f t="shared" si="17"/>
        <v>712.12901759999988</v>
      </c>
      <c r="G210" s="136"/>
      <c r="H210" s="136"/>
      <c r="I210" s="32">
        <f>(14.4*3.8-1.2*1.474)</f>
        <v>52.9512</v>
      </c>
      <c r="N210" s="32"/>
    </row>
    <row r="211" spans="1:16" s="99" customFormat="1" x14ac:dyDescent="0.25">
      <c r="A211" s="136">
        <f t="shared" si="18"/>
        <v>33</v>
      </c>
      <c r="B211" s="136"/>
      <c r="C211" s="119" t="s">
        <v>218</v>
      </c>
      <c r="D211" s="119">
        <f>(41.788)*10.764</f>
        <v>449.80603199999996</v>
      </c>
      <c r="E211" s="119">
        <v>0</v>
      </c>
      <c r="F211" s="119">
        <f t="shared" si="17"/>
        <v>719.68965119999996</v>
      </c>
      <c r="G211" s="136"/>
      <c r="H211" s="136"/>
      <c r="I211" s="32"/>
      <c r="N211" s="32"/>
    </row>
    <row r="212" spans="1:16" s="99" customFormat="1" x14ac:dyDescent="0.25">
      <c r="A212" s="136">
        <f t="shared" si="18"/>
        <v>34</v>
      </c>
      <c r="B212" s="136"/>
      <c r="C212" s="119" t="s">
        <v>218</v>
      </c>
      <c r="D212" s="119">
        <f>(41.788)*10.764</f>
        <v>449.80603199999996</v>
      </c>
      <c r="E212" s="119">
        <v>0</v>
      </c>
      <c r="F212" s="119">
        <f t="shared" si="17"/>
        <v>719.68965119999996</v>
      </c>
      <c r="G212" s="136"/>
      <c r="H212" s="136"/>
      <c r="I212" s="32"/>
      <c r="N212" s="32"/>
    </row>
    <row r="213" spans="1:16" s="99" customFormat="1" x14ac:dyDescent="0.25">
      <c r="A213" s="136">
        <f t="shared" si="18"/>
        <v>35</v>
      </c>
      <c r="B213" s="136"/>
      <c r="C213" s="119" t="s">
        <v>218</v>
      </c>
      <c r="D213" s="119">
        <f>(50.346)*10.764</f>
        <v>541.92434399999991</v>
      </c>
      <c r="E213" s="119">
        <v>0</v>
      </c>
      <c r="F213" s="119">
        <f t="shared" si="17"/>
        <v>867.07895039999994</v>
      </c>
      <c r="G213" s="136"/>
      <c r="H213" s="136"/>
      <c r="I213" s="32"/>
      <c r="N213" s="32"/>
    </row>
    <row r="214" spans="1:16" s="99" customFormat="1" x14ac:dyDescent="0.25">
      <c r="A214" s="136">
        <f t="shared" si="18"/>
        <v>36</v>
      </c>
      <c r="B214" s="136"/>
      <c r="C214" s="119" t="s">
        <v>218</v>
      </c>
      <c r="D214" s="119">
        <f>(52.077)*10.764</f>
        <v>560.556828</v>
      </c>
      <c r="E214" s="119">
        <v>0</v>
      </c>
      <c r="F214" s="119">
        <f t="shared" si="17"/>
        <v>896.89092479999999</v>
      </c>
      <c r="G214" s="136"/>
      <c r="H214" s="136"/>
      <c r="I214" s="32">
        <f>(14.357*3.1+2.95*1.8+1.5*1.2)</f>
        <v>51.616700000000002</v>
      </c>
      <c r="N214" s="32"/>
    </row>
    <row r="215" spans="1:16" s="99" customFormat="1" x14ac:dyDescent="0.25">
      <c r="A215" s="136">
        <f t="shared" si="18"/>
        <v>37</v>
      </c>
      <c r="B215" s="136"/>
      <c r="C215" s="119" t="s">
        <v>218</v>
      </c>
      <c r="D215" s="119">
        <f>(50.348)*10.764</f>
        <v>541.94587200000001</v>
      </c>
      <c r="E215" s="119">
        <v>0</v>
      </c>
      <c r="F215" s="119">
        <f t="shared" si="17"/>
        <v>867.11339520000001</v>
      </c>
      <c r="G215" s="136"/>
      <c r="H215" s="136"/>
      <c r="I215" s="32"/>
      <c r="N215" s="32"/>
    </row>
    <row r="216" spans="1:16" s="99" customFormat="1" x14ac:dyDescent="0.25">
      <c r="A216" s="136">
        <f t="shared" si="18"/>
        <v>38</v>
      </c>
      <c r="B216" s="136"/>
      <c r="C216" s="119" t="s">
        <v>218</v>
      </c>
      <c r="D216" s="119">
        <f>(50.346)*10.764</f>
        <v>541.92434399999991</v>
      </c>
      <c r="E216" s="119">
        <v>0</v>
      </c>
      <c r="F216" s="119">
        <f t="shared" ref="F216" si="19">D216*(($F$126)+1)+E216</f>
        <v>867.07895039999994</v>
      </c>
      <c r="G216" s="136"/>
      <c r="H216" s="136"/>
      <c r="I216" s="32">
        <f>(14.357*3+2.95*1.7+1.5*1.2)*10.764</f>
        <v>536.97290399999997</v>
      </c>
      <c r="N216" s="32"/>
    </row>
    <row r="217" spans="1:16" s="33" customFormat="1" x14ac:dyDescent="0.25">
      <c r="A217" s="182"/>
      <c r="B217" s="183"/>
      <c r="C217" s="183"/>
      <c r="D217" s="183"/>
      <c r="E217" s="183"/>
      <c r="F217" s="183"/>
      <c r="G217" s="183"/>
      <c r="H217" s="184"/>
      <c r="I217" s="32"/>
      <c r="N217" s="32"/>
    </row>
    <row r="218" spans="1:16" ht="47.25" customHeight="1" x14ac:dyDescent="0.25">
      <c r="A218" s="137" t="s">
        <v>160</v>
      </c>
      <c r="B218" s="137" t="s">
        <v>254</v>
      </c>
      <c r="C218" s="185" t="s">
        <v>67</v>
      </c>
      <c r="D218" s="185" t="s">
        <v>68</v>
      </c>
      <c r="E218" s="201" t="s">
        <v>69</v>
      </c>
      <c r="F218" s="85" t="s">
        <v>158</v>
      </c>
      <c r="G218" s="137" t="s">
        <v>70</v>
      </c>
      <c r="H218" s="203"/>
      <c r="I218" s="32"/>
    </row>
    <row r="219" spans="1:16" s="33" customFormat="1" x14ac:dyDescent="0.25">
      <c r="A219" s="138"/>
      <c r="B219" s="138"/>
      <c r="C219" s="186"/>
      <c r="D219" s="186"/>
      <c r="E219" s="202"/>
      <c r="F219" s="31">
        <v>0.55000000000000004</v>
      </c>
      <c r="G219" s="138"/>
      <c r="H219" s="204"/>
      <c r="I219" s="32"/>
    </row>
    <row r="220" spans="1:16" s="33" customFormat="1" x14ac:dyDescent="0.25">
      <c r="A220" s="135" t="s">
        <v>196</v>
      </c>
      <c r="B220" s="135"/>
      <c r="C220" s="135"/>
      <c r="D220" s="135"/>
      <c r="E220" s="135"/>
      <c r="F220" s="135"/>
      <c r="G220" s="135"/>
      <c r="H220" s="135"/>
      <c r="I220" s="32"/>
      <c r="L220" s="125"/>
      <c r="M220" s="125"/>
    </row>
    <row r="221" spans="1:16" s="33" customFormat="1" ht="15.75" customHeight="1" x14ac:dyDescent="0.25">
      <c r="A221" s="135" t="s">
        <v>285</v>
      </c>
      <c r="B221" s="135"/>
      <c r="C221" s="135"/>
      <c r="D221" s="135"/>
      <c r="E221" s="135"/>
      <c r="F221" s="135"/>
      <c r="G221" s="135"/>
      <c r="H221" s="135"/>
      <c r="I221" s="32"/>
      <c r="L221" s="125"/>
      <c r="M221" s="125"/>
    </row>
    <row r="222" spans="1:16" s="33" customFormat="1" ht="15.75" customHeight="1" x14ac:dyDescent="0.25">
      <c r="A222" s="135" t="s">
        <v>286</v>
      </c>
      <c r="B222" s="135"/>
      <c r="C222" s="135"/>
      <c r="D222" s="135"/>
      <c r="E222" s="135"/>
      <c r="F222" s="135"/>
      <c r="G222" s="135"/>
      <c r="H222" s="135"/>
      <c r="I222" s="101">
        <v>10.763999999999999</v>
      </c>
      <c r="L222" s="125"/>
      <c r="M222" s="125"/>
    </row>
    <row r="223" spans="1:16" s="33" customFormat="1" ht="15.75" customHeight="1" x14ac:dyDescent="0.25">
      <c r="A223" s="130" t="s">
        <v>276</v>
      </c>
      <c r="B223" s="131"/>
      <c r="C223" s="131"/>
      <c r="D223" s="131"/>
      <c r="E223" s="131"/>
      <c r="F223" s="131"/>
      <c r="G223" s="131"/>
      <c r="H223" s="132"/>
      <c r="I223" s="32"/>
    </row>
    <row r="224" spans="1:16" s="33" customFormat="1" ht="15.75" customHeight="1" x14ac:dyDescent="0.25">
      <c r="A224" s="101">
        <v>1</v>
      </c>
      <c r="B224" s="101" t="s">
        <v>255</v>
      </c>
      <c r="C224" s="101" t="s">
        <v>223</v>
      </c>
      <c r="D224" s="101">
        <f>(61.2+0.7*(3.05+2.75+3.1))*10.764</f>
        <v>725.81652000000008</v>
      </c>
      <c r="E224" s="101">
        <v>0</v>
      </c>
      <c r="F224" s="101">
        <f t="shared" ref="F224:F230" si="20">D224*(($F$219)+1)+E224</f>
        <v>1125.0156060000002</v>
      </c>
      <c r="G224" s="126" t="str">
        <f>A223</f>
        <v>6th Floor For Residential</v>
      </c>
      <c r="H224" s="127"/>
      <c r="I224" s="33">
        <f>3.05*5.67+1.2*3.4+2.55*2.4+2.75*3.58+3.1*3.05+2.1*1.25+2.1*1.35+0.9*2.55+0.9*1.6+0.4*1.35</f>
        <v>56.528499999999994</v>
      </c>
      <c r="J224" s="33">
        <f>2.35*1.2</f>
        <v>2.82</v>
      </c>
      <c r="K224" s="32">
        <f>7075000/F224</f>
        <v>6288.8016506323902</v>
      </c>
      <c r="M224" s="99"/>
      <c r="N224" s="33" t="str">
        <f t="shared" ref="N224:N230" ca="1" si="21">O224&amp;""&amp;",..,"&amp;""&amp;P224</f>
        <v>601,..,601</v>
      </c>
      <c r="O224" s="33">
        <v>601</v>
      </c>
      <c r="P224" s="33">
        <f ca="1">(SUMPRODUCT(MID(0&amp;(--TRIM(RIGHT(SUBSTITUTE(LEFT(A223,_xlfn.AGGREGATE(16,6,FIND({0,1,2,3,4,5,6,7,8,9},A223,ROW(INDIRECT("1:"&amp;LEN(A223)))),1))," ",REPT(" ",LEN(A223))),LEN(A223)))), LARGE(INDEX(ISNUMBER(--MID((--TRIM(RIGHT(SUBSTITUTE(LEFT(A223,_xlfn.AGGREGATE(16,6,FIND({0,1,2,3,4,5,6,7,8,9},A223,ROW(INDIRECT("1:"&amp;LEN(A223)))),1))," ",REPT(" ",LEN(A223))),LEN(A223)))), ROW(INDIRECT("1:"&amp;LEN((--TRIM(RIGHT(SUBSTITUTE(LEFT(A223,_xlfn.AGGREGATE(16,6,FIND({0,1,2,3,4,5,6,7,8,9},A223,ROW(INDIRECT("1:"&amp;LEN(A223)))),1))," ",REPT(" ",LEN(A223))),LEN(A223))))))), 1)) * ROW(INDIRECT("1:"&amp;LEN((--TRIM(RIGHT(SUBSTITUTE(LEFT(A223,_xlfn.AGGREGATE(16,6,FIND({0,1,2,3,4,5,6,7,8,9},A223,ROW(INDIRECT("1:"&amp;LEN(A223)))),1))," ",REPT(" ",LEN(A223))),LEN(A223))))))), 0), ROW(INDIRECT("1:"&amp;LEN((--TRIM(RIGHT(SUBSTITUTE(LEFT(A223,_xlfn.AGGREGATE(16,6,FIND({0,1,2,3,4,5,6,7,8,9},A223,ROW(INDIRECT("1:"&amp;LEN(A223)))),1))," ",REPT(" ",LEN(A223))),LEN(A223))))))))+1, 1) * 10^ROW(INDIRECT("1:"&amp;LEN((--TRIM(RIGHT(SUBSTITUTE(LEFT(A223,_xlfn.AGGREGATE(16,6,FIND({0,1,2,3,4,5,6,7,8,9},A223,ROW(INDIRECT("1:"&amp;LEN(A223)))),1))," ",REPT(" ",LEN(A223))),LEN(A223)))))))/10))*100+1</f>
        <v>601</v>
      </c>
    </row>
    <row r="225" spans="1:16" s="33" customFormat="1" ht="15.75" customHeight="1" x14ac:dyDescent="0.25">
      <c r="A225" s="101">
        <f>A224+1</f>
        <v>2</v>
      </c>
      <c r="B225" s="101" t="s">
        <v>255</v>
      </c>
      <c r="C225" s="101" t="s">
        <v>223</v>
      </c>
      <c r="D225" s="101">
        <f>(61.2+0.7*(3.05+2.75+3.1))*10.764</f>
        <v>725.81652000000008</v>
      </c>
      <c r="E225" s="101">
        <v>0</v>
      </c>
      <c r="F225" s="101">
        <f t="shared" si="20"/>
        <v>1125.0156060000002</v>
      </c>
      <c r="G225" s="128"/>
      <c r="H225" s="129"/>
      <c r="K225" s="32"/>
      <c r="M225" s="99"/>
      <c r="N225" s="33" t="str">
        <f t="shared" ca="1" si="21"/>
        <v>602,..,602</v>
      </c>
      <c r="O225" s="33">
        <f t="shared" ref="O225:P230" si="22">O224+1</f>
        <v>602</v>
      </c>
      <c r="P225" s="33">
        <f t="shared" ca="1" si="22"/>
        <v>602</v>
      </c>
    </row>
    <row r="226" spans="1:16" s="33" customFormat="1" ht="15.75" customHeight="1" x14ac:dyDescent="0.25">
      <c r="A226" s="101">
        <f t="shared" ref="A226:A230" si="23">A225+1</f>
        <v>3</v>
      </c>
      <c r="B226" s="101" t="s">
        <v>255</v>
      </c>
      <c r="C226" s="101" t="s">
        <v>223</v>
      </c>
      <c r="D226" s="101">
        <f>(61.51+0.7*(3.05+2.75+3.05))*10.764</f>
        <v>728.77661999999998</v>
      </c>
      <c r="E226" s="101">
        <v>0</v>
      </c>
      <c r="F226" s="101">
        <f t="shared" si="20"/>
        <v>1129.6037610000001</v>
      </c>
      <c r="G226" s="128"/>
      <c r="H226" s="129"/>
      <c r="I226" s="33">
        <f>3.05*5.7+2.75*2.15+2.75*3.58+3.05*3.05+1.25*2.1+2.13*1.2+1.5*3.45+2.2*0.5+0.9*4.1+0.5*1.1</f>
        <v>58.140999999999984</v>
      </c>
      <c r="J226" s="33">
        <f>2.7*1.28</f>
        <v>3.4560000000000004</v>
      </c>
      <c r="K226" s="32">
        <f>7131000/F226</f>
        <v>6312.8330890888383</v>
      </c>
      <c r="M226" s="99"/>
      <c r="N226" s="33" t="str">
        <f t="shared" ca="1" si="21"/>
        <v>603,..,603</v>
      </c>
      <c r="O226" s="33">
        <f t="shared" si="22"/>
        <v>603</v>
      </c>
      <c r="P226" s="33">
        <f t="shared" ca="1" si="22"/>
        <v>603</v>
      </c>
    </row>
    <row r="227" spans="1:16" s="33" customFormat="1" ht="15.75" customHeight="1" x14ac:dyDescent="0.25">
      <c r="A227" s="101">
        <f t="shared" si="23"/>
        <v>4</v>
      </c>
      <c r="B227" s="101" t="s">
        <v>255</v>
      </c>
      <c r="C227" s="101" t="s">
        <v>223</v>
      </c>
      <c r="D227" s="101">
        <f>(61.51+0.7*(3.05+2.75+3.05))*10.764</f>
        <v>728.77661999999998</v>
      </c>
      <c r="E227" s="101">
        <v>0</v>
      </c>
      <c r="F227" s="101">
        <f t="shared" si="20"/>
        <v>1129.6037610000001</v>
      </c>
      <c r="G227" s="128"/>
      <c r="H227" s="129"/>
      <c r="K227" s="32"/>
      <c r="M227" s="99"/>
      <c r="N227" s="33" t="str">
        <f t="shared" ca="1" si="21"/>
        <v>604,..,604</v>
      </c>
      <c r="O227" s="33">
        <f t="shared" si="22"/>
        <v>604</v>
      </c>
      <c r="P227" s="33">
        <f t="shared" ca="1" si="22"/>
        <v>604</v>
      </c>
    </row>
    <row r="228" spans="1:16" s="33" customFormat="1" ht="15.75" customHeight="1" x14ac:dyDescent="0.25">
      <c r="A228" s="101">
        <f t="shared" si="23"/>
        <v>5</v>
      </c>
      <c r="B228" s="101" t="s">
        <v>255</v>
      </c>
      <c r="C228" s="101" t="s">
        <v>150</v>
      </c>
      <c r="D228" s="101">
        <f>(77.32+0.75*(3.05+3.1))*10.764</f>
        <v>881.92142999999987</v>
      </c>
      <c r="E228" s="101">
        <v>0</v>
      </c>
      <c r="F228" s="101">
        <f t="shared" si="20"/>
        <v>1366.9782164999999</v>
      </c>
      <c r="G228" s="128"/>
      <c r="H228" s="129"/>
      <c r="I228" s="33">
        <f>5.33*3.05+3.58*0.55+2.72*2.5+3.35*3.05+3.15*3.1+3.05*3.09+2.1*1.2+2.3*1.2+1.2*2.1+1.67*1.35+2*0.4+2*0.4+0.9*3.6+0.7*1.2</f>
        <v>70.167000000000002</v>
      </c>
      <c r="J228" s="33">
        <f>3*1.7+3.05*1.2</f>
        <v>8.76</v>
      </c>
      <c r="K228" s="32">
        <f>9803000/F228</f>
        <v>7171.292037922537</v>
      </c>
      <c r="M228" s="99"/>
      <c r="N228" s="33" t="str">
        <f t="shared" ca="1" si="21"/>
        <v>605,..,605</v>
      </c>
      <c r="O228" s="33">
        <f t="shared" si="22"/>
        <v>605</v>
      </c>
      <c r="P228" s="33">
        <f t="shared" ca="1" si="22"/>
        <v>605</v>
      </c>
    </row>
    <row r="229" spans="1:16" s="33" customFormat="1" ht="15.75" customHeight="1" x14ac:dyDescent="0.25">
      <c r="A229" s="101">
        <f t="shared" si="23"/>
        <v>6</v>
      </c>
      <c r="B229" s="101" t="s">
        <v>255</v>
      </c>
      <c r="C229" s="101" t="s">
        <v>150</v>
      </c>
      <c r="D229" s="101">
        <f>(77.32+0.75*(3.05+3.1))*10.764</f>
        <v>881.92142999999987</v>
      </c>
      <c r="E229" s="101">
        <v>0</v>
      </c>
      <c r="F229" s="101">
        <f t="shared" si="20"/>
        <v>1366.9782164999999</v>
      </c>
      <c r="G229" s="128"/>
      <c r="H229" s="129"/>
      <c r="K229" s="32">
        <f>10000000/F229</f>
        <v>7315.4055268005077</v>
      </c>
      <c r="M229" s="99"/>
      <c r="N229" s="33" t="str">
        <f t="shared" ca="1" si="21"/>
        <v>606,..,606</v>
      </c>
      <c r="O229" s="33">
        <f t="shared" si="22"/>
        <v>606</v>
      </c>
      <c r="P229" s="33">
        <f t="shared" ca="1" si="22"/>
        <v>606</v>
      </c>
    </row>
    <row r="230" spans="1:16" s="33" customFormat="1" ht="15.75" customHeight="1" x14ac:dyDescent="0.25">
      <c r="A230" s="101">
        <f t="shared" si="23"/>
        <v>7</v>
      </c>
      <c r="B230" s="101" t="s">
        <v>255</v>
      </c>
      <c r="C230" s="101" t="s">
        <v>223</v>
      </c>
      <c r="D230" s="101">
        <f>(61.1+0.7*(3.05+2.75+3.05))*10.764</f>
        <v>724.36338000000001</v>
      </c>
      <c r="E230" s="101">
        <v>0</v>
      </c>
      <c r="F230" s="101">
        <f t="shared" si="20"/>
        <v>1122.7632390000001</v>
      </c>
      <c r="G230" s="133"/>
      <c r="H230" s="134"/>
      <c r="K230" s="32">
        <f>7131000/F230</f>
        <v>6351.2945136601493</v>
      </c>
      <c r="M230" s="99"/>
      <c r="N230" s="33" t="str">
        <f t="shared" ca="1" si="21"/>
        <v>607,..,607</v>
      </c>
      <c r="O230" s="33">
        <f t="shared" si="22"/>
        <v>607</v>
      </c>
      <c r="P230" s="33">
        <f t="shared" ca="1" si="22"/>
        <v>607</v>
      </c>
    </row>
    <row r="231" spans="1:16" s="98" customFormat="1" x14ac:dyDescent="0.25">
      <c r="A231" s="130" t="s">
        <v>281</v>
      </c>
      <c r="B231" s="131"/>
      <c r="C231" s="131"/>
      <c r="D231" s="131"/>
      <c r="E231" s="131"/>
      <c r="F231" s="131"/>
      <c r="G231" s="131"/>
      <c r="H231" s="132"/>
      <c r="K231" s="32"/>
      <c r="M231" s="99"/>
    </row>
    <row r="232" spans="1:16" s="98" customFormat="1" x14ac:dyDescent="0.25">
      <c r="A232" s="115">
        <v>1</v>
      </c>
      <c r="B232" s="101" t="s">
        <v>256</v>
      </c>
      <c r="C232" s="101" t="s">
        <v>223</v>
      </c>
      <c r="D232" s="101">
        <f>(61.2+0.7*(3.05+2.75+3.1))*10.764</f>
        <v>725.81652000000008</v>
      </c>
      <c r="E232" s="101">
        <v>0</v>
      </c>
      <c r="F232" s="101">
        <f t="shared" ref="F232:F238" si="24">D232*(($F$219)+1)+E232</f>
        <v>1125.0156060000002</v>
      </c>
      <c r="G232" s="126" t="str">
        <f>A231</f>
        <v>8th, 10th, 12th, 14th, 16th, 18th &amp; 20thFloor</v>
      </c>
      <c r="H232" s="127"/>
      <c r="K232" s="32">
        <f>7075000/F232</f>
        <v>6288.8016506323902</v>
      </c>
      <c r="M232" s="99"/>
      <c r="N232" s="98" t="str">
        <f t="shared" ref="N232:N238" ca="1" si="25">O232&amp;""&amp;",..,"&amp;""&amp;P232</f>
        <v>601,..,2001</v>
      </c>
      <c r="O232" s="98">
        <v>601</v>
      </c>
      <c r="P232" s="98">
        <f ca="1">(SUMPRODUCT(MID(0&amp;(--TRIM(RIGHT(SUBSTITUTE(LEFT(A231,_xlfn.AGGREGATE(16,6,FIND({0,1,2,3,4,5,6,7,8,9},A231,ROW(INDIRECT("1:"&amp;LEN(A231)))),1))," ",REPT(" ",LEN(A231))),LEN(A231)))), LARGE(INDEX(ISNUMBER(--MID((--TRIM(RIGHT(SUBSTITUTE(LEFT(A231,_xlfn.AGGREGATE(16,6,FIND({0,1,2,3,4,5,6,7,8,9},A231,ROW(INDIRECT("1:"&amp;LEN(A231)))),1))," ",REPT(" ",LEN(A231))),LEN(A231)))), ROW(INDIRECT("1:"&amp;LEN((--TRIM(RIGHT(SUBSTITUTE(LEFT(A231,_xlfn.AGGREGATE(16,6,FIND({0,1,2,3,4,5,6,7,8,9},A231,ROW(INDIRECT("1:"&amp;LEN(A231)))),1))," ",REPT(" ",LEN(A231))),LEN(A231))))))), 1)) * ROW(INDIRECT("1:"&amp;LEN((--TRIM(RIGHT(SUBSTITUTE(LEFT(A231,_xlfn.AGGREGATE(16,6,FIND({0,1,2,3,4,5,6,7,8,9},A231,ROW(INDIRECT("1:"&amp;LEN(A231)))),1))," ",REPT(" ",LEN(A231))),LEN(A231))))))), 0), ROW(INDIRECT("1:"&amp;LEN((--TRIM(RIGHT(SUBSTITUTE(LEFT(A231,_xlfn.AGGREGATE(16,6,FIND({0,1,2,3,4,5,6,7,8,9},A231,ROW(INDIRECT("1:"&amp;LEN(A231)))),1))," ",REPT(" ",LEN(A231))),LEN(A231))))))))+1, 1) * 10^ROW(INDIRECT("1:"&amp;LEN((--TRIM(RIGHT(SUBSTITUTE(LEFT(A231,_xlfn.AGGREGATE(16,6,FIND({0,1,2,3,4,5,6,7,8,9},A231,ROW(INDIRECT("1:"&amp;LEN(A231)))),1))," ",REPT(" ",LEN(A231))),LEN(A231)))))))/10))*100+1</f>
        <v>2001</v>
      </c>
    </row>
    <row r="233" spans="1:16" s="98" customFormat="1" ht="15.75" customHeight="1" x14ac:dyDescent="0.25">
      <c r="A233" s="115">
        <v>2</v>
      </c>
      <c r="B233" s="101" t="s">
        <v>256</v>
      </c>
      <c r="C233" s="101" t="s">
        <v>223</v>
      </c>
      <c r="D233" s="101">
        <f>(61.2+0.7*(3.05+2.75+3.1))*10.764</f>
        <v>725.81652000000008</v>
      </c>
      <c r="E233" s="101">
        <v>0</v>
      </c>
      <c r="F233" s="101">
        <f t="shared" si="24"/>
        <v>1125.0156060000002</v>
      </c>
      <c r="G233" s="128"/>
      <c r="H233" s="129"/>
      <c r="K233" s="32"/>
      <c r="M233" s="99"/>
      <c r="N233" s="98" t="str">
        <f t="shared" ca="1" si="25"/>
        <v>602,..,2002</v>
      </c>
      <c r="O233" s="98">
        <f t="shared" ref="O233:P233" si="26">O232+1</f>
        <v>602</v>
      </c>
      <c r="P233" s="98">
        <f t="shared" ca="1" si="26"/>
        <v>2002</v>
      </c>
    </row>
    <row r="234" spans="1:16" s="98" customFormat="1" ht="15.75" customHeight="1" x14ac:dyDescent="0.25">
      <c r="A234" s="115">
        <v>3</v>
      </c>
      <c r="B234" s="101" t="s">
        <v>256</v>
      </c>
      <c r="C234" s="101" t="s">
        <v>223</v>
      </c>
      <c r="D234" s="101">
        <f>(61.51+0.7*(3.05+2.75+3.05))*10.764</f>
        <v>728.77661999999998</v>
      </c>
      <c r="E234" s="101">
        <v>0</v>
      </c>
      <c r="F234" s="101">
        <f t="shared" si="24"/>
        <v>1129.6037610000001</v>
      </c>
      <c r="G234" s="128"/>
      <c r="H234" s="129"/>
      <c r="K234" s="32">
        <f>7131000/F234</f>
        <v>6312.8330890888383</v>
      </c>
      <c r="M234" s="99"/>
      <c r="N234" s="98" t="str">
        <f t="shared" ca="1" si="25"/>
        <v>603,..,2003</v>
      </c>
      <c r="O234" s="98">
        <f t="shared" ref="O234:P234" si="27">O233+1</f>
        <v>603</v>
      </c>
      <c r="P234" s="98">
        <f t="shared" ca="1" si="27"/>
        <v>2003</v>
      </c>
    </row>
    <row r="235" spans="1:16" s="98" customFormat="1" ht="15.75" customHeight="1" x14ac:dyDescent="0.25">
      <c r="A235" s="115">
        <v>4</v>
      </c>
      <c r="B235" s="101" t="s">
        <v>256</v>
      </c>
      <c r="C235" s="101" t="s">
        <v>223</v>
      </c>
      <c r="D235" s="101">
        <f>(61.51+0.7*(3.05+2.75+3.05))*10.764</f>
        <v>728.77661999999998</v>
      </c>
      <c r="E235" s="101">
        <v>0</v>
      </c>
      <c r="F235" s="101">
        <f t="shared" si="24"/>
        <v>1129.6037610000001</v>
      </c>
      <c r="G235" s="128"/>
      <c r="H235" s="129"/>
      <c r="K235" s="32"/>
      <c r="M235" s="99"/>
      <c r="N235" s="98" t="str">
        <f t="shared" ca="1" si="25"/>
        <v>604,..,2004</v>
      </c>
      <c r="O235" s="98">
        <f t="shared" ref="O235:P235" si="28">O234+1</f>
        <v>604</v>
      </c>
      <c r="P235" s="98">
        <f t="shared" ca="1" si="28"/>
        <v>2004</v>
      </c>
    </row>
    <row r="236" spans="1:16" s="98" customFormat="1" ht="15.75" customHeight="1" x14ac:dyDescent="0.25">
      <c r="A236" s="115">
        <v>5</v>
      </c>
      <c r="B236" s="101" t="s">
        <v>256</v>
      </c>
      <c r="C236" s="101" t="s">
        <v>150</v>
      </c>
      <c r="D236" s="101">
        <f>(77.32+0.75*(3.05+3.1))*10.764</f>
        <v>881.92142999999987</v>
      </c>
      <c r="E236" s="101">
        <v>0</v>
      </c>
      <c r="F236" s="101">
        <f t="shared" si="24"/>
        <v>1366.9782164999999</v>
      </c>
      <c r="G236" s="128"/>
      <c r="H236" s="129"/>
      <c r="K236" s="32">
        <f>9803000/F236</f>
        <v>7171.292037922537</v>
      </c>
      <c r="M236" s="99"/>
      <c r="N236" s="98" t="str">
        <f t="shared" ca="1" si="25"/>
        <v>605,..,2005</v>
      </c>
      <c r="O236" s="98">
        <f t="shared" ref="O236:P236" si="29">O235+1</f>
        <v>605</v>
      </c>
      <c r="P236" s="98">
        <f t="shared" ca="1" si="29"/>
        <v>2005</v>
      </c>
    </row>
    <row r="237" spans="1:16" s="98" customFormat="1" ht="15.75" customHeight="1" x14ac:dyDescent="0.25">
      <c r="A237" s="115">
        <v>6</v>
      </c>
      <c r="B237" s="101" t="s">
        <v>256</v>
      </c>
      <c r="C237" s="101" t="s">
        <v>150</v>
      </c>
      <c r="D237" s="101">
        <f>(77.32+0.75*(3.05+3.1))*10.764</f>
        <v>881.92142999999987</v>
      </c>
      <c r="E237" s="101">
        <v>0</v>
      </c>
      <c r="F237" s="101">
        <f t="shared" si="24"/>
        <v>1366.9782164999999</v>
      </c>
      <c r="G237" s="128"/>
      <c r="H237" s="129"/>
      <c r="K237" s="32">
        <f>10000000/F237</f>
        <v>7315.4055268005077</v>
      </c>
      <c r="M237" s="99"/>
      <c r="N237" s="98" t="str">
        <f t="shared" ca="1" si="25"/>
        <v>606,..,2006</v>
      </c>
      <c r="O237" s="98">
        <f t="shared" ref="O237:P237" si="30">O236+1</f>
        <v>606</v>
      </c>
      <c r="P237" s="98">
        <f t="shared" ca="1" si="30"/>
        <v>2006</v>
      </c>
    </row>
    <row r="238" spans="1:16" s="98" customFormat="1" ht="15.75" customHeight="1" x14ac:dyDescent="0.25">
      <c r="A238" s="115">
        <v>7</v>
      </c>
      <c r="B238" s="101" t="s">
        <v>256</v>
      </c>
      <c r="C238" s="101" t="s">
        <v>223</v>
      </c>
      <c r="D238" s="101">
        <f>(61.1+0.7*(3.05+2.75+3.05))*10.764</f>
        <v>724.36338000000001</v>
      </c>
      <c r="E238" s="101">
        <v>0</v>
      </c>
      <c r="F238" s="101">
        <f t="shared" si="24"/>
        <v>1122.7632390000001</v>
      </c>
      <c r="G238" s="133"/>
      <c r="H238" s="134"/>
      <c r="K238" s="32">
        <f>7131000/F238</f>
        <v>6351.2945136601493</v>
      </c>
      <c r="M238" s="99"/>
      <c r="N238" s="98" t="str">
        <f t="shared" ca="1" si="25"/>
        <v>607,..,2007</v>
      </c>
      <c r="O238" s="98">
        <f t="shared" ref="O238:P238" si="31">O237+1</f>
        <v>607</v>
      </c>
      <c r="P238" s="98">
        <f t="shared" ca="1" si="31"/>
        <v>2007</v>
      </c>
    </row>
    <row r="239" spans="1:16" s="98" customFormat="1" ht="33" customHeight="1" x14ac:dyDescent="0.25">
      <c r="A239" s="135" t="s">
        <v>278</v>
      </c>
      <c r="B239" s="135"/>
      <c r="C239" s="135"/>
      <c r="D239" s="135"/>
      <c r="E239" s="135"/>
      <c r="F239" s="135"/>
      <c r="G239" s="135"/>
      <c r="H239" s="135"/>
      <c r="K239" s="32"/>
      <c r="M239" s="99"/>
    </row>
    <row r="240" spans="1:16" s="98" customFormat="1" ht="15.75" customHeight="1" x14ac:dyDescent="0.25">
      <c r="A240" s="115">
        <v>1</v>
      </c>
      <c r="B240" s="119" t="s">
        <v>256</v>
      </c>
      <c r="C240" s="119" t="s">
        <v>223</v>
      </c>
      <c r="D240" s="119">
        <f>(61.2+0.7*(3.05+2.75+3.1))*10.764</f>
        <v>725.81652000000008</v>
      </c>
      <c r="E240" s="119">
        <v>0</v>
      </c>
      <c r="F240" s="119">
        <f t="shared" ref="F240:F246" si="32">D240*(($F$219)+1)+E240</f>
        <v>1125.0156060000002</v>
      </c>
      <c r="G240" s="136" t="str">
        <f>A239</f>
        <v>7th, 9th, 11th, 13th, 15th, 17th &amp; 19th Floor 
(Refuge area at Staircase Mid landing)</v>
      </c>
      <c r="H240" s="136"/>
      <c r="K240" s="32">
        <f>7075000/F240</f>
        <v>6288.8016506323902</v>
      </c>
      <c r="M240" s="99"/>
      <c r="N240" s="98" t="str">
        <f t="shared" ref="N240:N246" ca="1" si="33">O240&amp;""&amp;",..,"&amp;""&amp;P240</f>
        <v>601,..,1901</v>
      </c>
      <c r="O240" s="98">
        <v>601</v>
      </c>
      <c r="P240" s="98">
        <f ca="1">(SUMPRODUCT(MID(0&amp;(--TRIM(RIGHT(SUBSTITUTE(LEFT(A239,_xlfn.AGGREGATE(16,6,FIND({0,1,2,3,4,5,6,7,8,9},A239,ROW(INDIRECT("1:"&amp;LEN(A239)))),1))," ",REPT(" ",LEN(A239))),LEN(A239)))), LARGE(INDEX(ISNUMBER(--MID((--TRIM(RIGHT(SUBSTITUTE(LEFT(A239,_xlfn.AGGREGATE(16,6,FIND({0,1,2,3,4,5,6,7,8,9},A239,ROW(INDIRECT("1:"&amp;LEN(A239)))),1))," ",REPT(" ",LEN(A239))),LEN(A239)))), ROW(INDIRECT("1:"&amp;LEN((--TRIM(RIGHT(SUBSTITUTE(LEFT(A239,_xlfn.AGGREGATE(16,6,FIND({0,1,2,3,4,5,6,7,8,9},A239,ROW(INDIRECT("1:"&amp;LEN(A239)))),1))," ",REPT(" ",LEN(A239))),LEN(A239))))))), 1)) * ROW(INDIRECT("1:"&amp;LEN((--TRIM(RIGHT(SUBSTITUTE(LEFT(A239,_xlfn.AGGREGATE(16,6,FIND({0,1,2,3,4,5,6,7,8,9},A239,ROW(INDIRECT("1:"&amp;LEN(A239)))),1))," ",REPT(" ",LEN(A239))),LEN(A239))))))), 0), ROW(INDIRECT("1:"&amp;LEN((--TRIM(RIGHT(SUBSTITUTE(LEFT(A239,_xlfn.AGGREGATE(16,6,FIND({0,1,2,3,4,5,6,7,8,9},A239,ROW(INDIRECT("1:"&amp;LEN(A239)))),1))," ",REPT(" ",LEN(A239))),LEN(A239))))))))+1, 1) * 10^ROW(INDIRECT("1:"&amp;LEN((--TRIM(RIGHT(SUBSTITUTE(LEFT(A239,_xlfn.AGGREGATE(16,6,FIND({0,1,2,3,4,5,6,7,8,9},A239,ROW(INDIRECT("1:"&amp;LEN(A239)))),1))," ",REPT(" ",LEN(A239))),LEN(A239)))))))/10))*100+1</f>
        <v>1901</v>
      </c>
    </row>
    <row r="241" spans="1:16" s="98" customFormat="1" ht="15.75" customHeight="1" x14ac:dyDescent="0.25">
      <c r="A241" s="115">
        <v>2</v>
      </c>
      <c r="B241" s="119" t="s">
        <v>256</v>
      </c>
      <c r="C241" s="119" t="s">
        <v>223</v>
      </c>
      <c r="D241" s="119">
        <f>(61.2+0.7*(3.05+2.75+3.1))*10.764</f>
        <v>725.81652000000008</v>
      </c>
      <c r="E241" s="119">
        <v>0</v>
      </c>
      <c r="F241" s="119">
        <f t="shared" si="32"/>
        <v>1125.0156060000002</v>
      </c>
      <c r="G241" s="136"/>
      <c r="H241" s="136"/>
      <c r="K241" s="32"/>
      <c r="M241" s="99"/>
      <c r="N241" s="98" t="str">
        <f t="shared" ca="1" si="33"/>
        <v>602,..,1902</v>
      </c>
      <c r="O241" s="98">
        <f t="shared" ref="O241:P241" si="34">O240+1</f>
        <v>602</v>
      </c>
      <c r="P241" s="98">
        <f t="shared" ca="1" si="34"/>
        <v>1902</v>
      </c>
    </row>
    <row r="242" spans="1:16" s="98" customFormat="1" ht="15.75" customHeight="1" x14ac:dyDescent="0.25">
      <c r="A242" s="115">
        <v>3</v>
      </c>
      <c r="B242" s="119" t="s">
        <v>256</v>
      </c>
      <c r="C242" s="119" t="s">
        <v>223</v>
      </c>
      <c r="D242" s="119">
        <f>(61.51+0.7*(3.05+2.75+3.05))*10.764</f>
        <v>728.77661999999998</v>
      </c>
      <c r="E242" s="119">
        <v>0</v>
      </c>
      <c r="F242" s="119">
        <f t="shared" si="32"/>
        <v>1129.6037610000001</v>
      </c>
      <c r="G242" s="136"/>
      <c r="H242" s="136"/>
      <c r="K242" s="32">
        <f>7131000/F242</f>
        <v>6312.8330890888383</v>
      </c>
      <c r="M242" s="99"/>
      <c r="N242" s="98" t="str">
        <f t="shared" ca="1" si="33"/>
        <v>603,..,1903</v>
      </c>
      <c r="O242" s="98">
        <f t="shared" ref="O242:P242" si="35">O241+1</f>
        <v>603</v>
      </c>
      <c r="P242" s="98">
        <f t="shared" ca="1" si="35"/>
        <v>1903</v>
      </c>
    </row>
    <row r="243" spans="1:16" s="98" customFormat="1" ht="15.75" customHeight="1" x14ac:dyDescent="0.25">
      <c r="A243" s="115">
        <v>4</v>
      </c>
      <c r="B243" s="119" t="s">
        <v>256</v>
      </c>
      <c r="C243" s="119" t="s">
        <v>223</v>
      </c>
      <c r="D243" s="119">
        <f>(61.51+0.7*(3.05+2.75+3.05))*10.764</f>
        <v>728.77661999999998</v>
      </c>
      <c r="E243" s="119">
        <v>0</v>
      </c>
      <c r="F243" s="119">
        <f t="shared" si="32"/>
        <v>1129.6037610000001</v>
      </c>
      <c r="G243" s="136"/>
      <c r="H243" s="136"/>
      <c r="K243" s="32"/>
      <c r="M243" s="99"/>
      <c r="N243" s="98" t="str">
        <f t="shared" ca="1" si="33"/>
        <v>604,..,1904</v>
      </c>
      <c r="O243" s="98">
        <f t="shared" ref="O243:P243" si="36">O242+1</f>
        <v>604</v>
      </c>
      <c r="P243" s="98">
        <f t="shared" ca="1" si="36"/>
        <v>1904</v>
      </c>
    </row>
    <row r="244" spans="1:16" s="98" customFormat="1" ht="15.75" customHeight="1" x14ac:dyDescent="0.25">
      <c r="A244" s="115">
        <v>5</v>
      </c>
      <c r="B244" s="119" t="s">
        <v>256</v>
      </c>
      <c r="C244" s="119" t="s">
        <v>150</v>
      </c>
      <c r="D244" s="119">
        <f>(77.32+0.75*(3.05+3.1))*10.764</f>
        <v>881.92142999999987</v>
      </c>
      <c r="E244" s="119">
        <v>0</v>
      </c>
      <c r="F244" s="119">
        <f t="shared" si="32"/>
        <v>1366.9782164999999</v>
      </c>
      <c r="G244" s="136"/>
      <c r="H244" s="136"/>
      <c r="K244" s="32">
        <f>9803000/F244</f>
        <v>7171.292037922537</v>
      </c>
      <c r="M244" s="99"/>
      <c r="N244" s="98" t="str">
        <f t="shared" ca="1" si="33"/>
        <v>605,..,1905</v>
      </c>
      <c r="O244" s="98">
        <f t="shared" ref="O244:P244" si="37">O243+1</f>
        <v>605</v>
      </c>
      <c r="P244" s="98">
        <f t="shared" ca="1" si="37"/>
        <v>1905</v>
      </c>
    </row>
    <row r="245" spans="1:16" s="98" customFormat="1" ht="15.75" customHeight="1" x14ac:dyDescent="0.25">
      <c r="A245" s="115">
        <v>6</v>
      </c>
      <c r="B245" s="119" t="s">
        <v>256</v>
      </c>
      <c r="C245" s="119" t="s">
        <v>150</v>
      </c>
      <c r="D245" s="119">
        <f>(77.32+0.75*(3.05+3.1))*10.764</f>
        <v>881.92142999999987</v>
      </c>
      <c r="E245" s="119">
        <v>0</v>
      </c>
      <c r="F245" s="119">
        <f t="shared" si="32"/>
        <v>1366.9782164999999</v>
      </c>
      <c r="G245" s="136"/>
      <c r="H245" s="136"/>
      <c r="K245" s="32">
        <f>10000000/F245</f>
        <v>7315.4055268005077</v>
      </c>
      <c r="M245" s="99"/>
      <c r="N245" s="98" t="str">
        <f t="shared" ca="1" si="33"/>
        <v>606,..,1906</v>
      </c>
      <c r="O245" s="98">
        <f t="shared" ref="O245:P245" si="38">O244+1</f>
        <v>606</v>
      </c>
      <c r="P245" s="98">
        <f t="shared" ca="1" si="38"/>
        <v>1906</v>
      </c>
    </row>
    <row r="246" spans="1:16" s="98" customFormat="1" ht="15.75" customHeight="1" x14ac:dyDescent="0.25">
      <c r="A246" s="115">
        <v>7</v>
      </c>
      <c r="B246" s="119" t="s">
        <v>256</v>
      </c>
      <c r="C246" s="119" t="s">
        <v>223</v>
      </c>
      <c r="D246" s="119">
        <f>(61.1+0.7*(3.05+2.75+3.05))*10.764</f>
        <v>724.36338000000001</v>
      </c>
      <c r="E246" s="119">
        <v>0</v>
      </c>
      <c r="F246" s="119">
        <f t="shared" si="32"/>
        <v>1122.7632390000001</v>
      </c>
      <c r="G246" s="136"/>
      <c r="H246" s="136"/>
      <c r="K246" s="32">
        <f>7131000/F246</f>
        <v>6351.2945136601493</v>
      </c>
      <c r="M246" s="99"/>
      <c r="N246" s="98" t="str">
        <f t="shared" ca="1" si="33"/>
        <v>607,..,1907</v>
      </c>
      <c r="O246" s="98">
        <f t="shared" ref="O246:P246" si="39">O245+1</f>
        <v>607</v>
      </c>
      <c r="P246" s="98">
        <f t="shared" ca="1" si="39"/>
        <v>1907</v>
      </c>
    </row>
    <row r="247" spans="1:16" s="33" customFormat="1" x14ac:dyDescent="0.25">
      <c r="A247" s="135" t="s">
        <v>279</v>
      </c>
      <c r="B247" s="135"/>
      <c r="C247" s="135"/>
      <c r="D247" s="135"/>
      <c r="E247" s="135"/>
      <c r="F247" s="135"/>
      <c r="G247" s="135"/>
      <c r="H247" s="135"/>
      <c r="K247" s="32"/>
      <c r="M247" s="99"/>
    </row>
    <row r="248" spans="1:16" s="33" customFormat="1" ht="15.75" customHeight="1" x14ac:dyDescent="0.25">
      <c r="A248" s="115">
        <v>1</v>
      </c>
      <c r="B248" s="119" t="s">
        <v>256</v>
      </c>
      <c r="C248" s="119" t="s">
        <v>223</v>
      </c>
      <c r="D248" s="119">
        <f>(61.2+0.7*(3.05+2.75+3.1))*10.764</f>
        <v>725.81652000000008</v>
      </c>
      <c r="E248" s="119">
        <v>0</v>
      </c>
      <c r="F248" s="119">
        <f t="shared" ref="F248:F253" si="40">D248*(($F$219)+1)+E248</f>
        <v>1125.0156060000002</v>
      </c>
      <c r="G248" s="136" t="str">
        <f>A247</f>
        <v>22nd, 24th, 26th, 28th &amp; 30th Floor</v>
      </c>
      <c r="H248" s="136"/>
      <c r="K248" s="32"/>
      <c r="M248" s="99"/>
      <c r="N248" s="33" t="str">
        <f t="shared" ref="N248:N253" ca="1" si="41">O248&amp;""&amp;",..,"&amp;""&amp;P248</f>
        <v>701,..,3001</v>
      </c>
      <c r="O248" s="33">
        <v>701</v>
      </c>
      <c r="P248" s="33">
        <f ca="1">(SUMPRODUCT(MID(0&amp;(--TRIM(RIGHT(SUBSTITUTE(LEFT(A247,_xlfn.AGGREGATE(16,6,FIND({0,1,2,3,4,5,6,7,8,9},A247,ROW(INDIRECT("1:"&amp;LEN(A247)))),1))," ",REPT(" ",LEN(A247))),LEN(A247)))), LARGE(INDEX(ISNUMBER(--MID((--TRIM(RIGHT(SUBSTITUTE(LEFT(A247,_xlfn.AGGREGATE(16,6,FIND({0,1,2,3,4,5,6,7,8,9},A247,ROW(INDIRECT("1:"&amp;LEN(A247)))),1))," ",REPT(" ",LEN(A247))),LEN(A247)))), ROW(INDIRECT("1:"&amp;LEN((--TRIM(RIGHT(SUBSTITUTE(LEFT(A247,_xlfn.AGGREGATE(16,6,FIND({0,1,2,3,4,5,6,7,8,9},A247,ROW(INDIRECT("1:"&amp;LEN(A247)))),1))," ",REPT(" ",LEN(A247))),LEN(A247))))))), 1)) * ROW(INDIRECT("1:"&amp;LEN((--TRIM(RIGHT(SUBSTITUTE(LEFT(A247,_xlfn.AGGREGATE(16,6,FIND({0,1,2,3,4,5,6,7,8,9},A247,ROW(INDIRECT("1:"&amp;LEN(A247)))),1))," ",REPT(" ",LEN(A247))),LEN(A247))))))), 0), ROW(INDIRECT("1:"&amp;LEN((--TRIM(RIGHT(SUBSTITUTE(LEFT(A247,_xlfn.AGGREGATE(16,6,FIND({0,1,2,3,4,5,6,7,8,9},A247,ROW(INDIRECT("1:"&amp;LEN(A247)))),1))," ",REPT(" ",LEN(A247))),LEN(A247))))))))+1, 1) * 10^ROW(INDIRECT("1:"&amp;LEN((--TRIM(RIGHT(SUBSTITUTE(LEFT(A247,_xlfn.AGGREGATE(16,6,FIND({0,1,2,3,4,5,6,7,8,9},A247,ROW(INDIRECT("1:"&amp;LEN(A247)))),1))," ",REPT(" ",LEN(A247))),LEN(A247)))))))/10))*100+1</f>
        <v>3001</v>
      </c>
    </row>
    <row r="249" spans="1:16" s="33" customFormat="1" ht="15.75" customHeight="1" x14ac:dyDescent="0.25">
      <c r="A249" s="115">
        <v>2</v>
      </c>
      <c r="B249" s="119" t="s">
        <v>256</v>
      </c>
      <c r="C249" s="119" t="s">
        <v>223</v>
      </c>
      <c r="D249" s="119">
        <f>(61.2+0.7*(3.05+2.75+3.1))*10.764</f>
        <v>725.81652000000008</v>
      </c>
      <c r="E249" s="119">
        <v>0</v>
      </c>
      <c r="F249" s="119">
        <f t="shared" si="40"/>
        <v>1125.0156060000002</v>
      </c>
      <c r="G249" s="136"/>
      <c r="H249" s="136"/>
      <c r="K249" s="32"/>
      <c r="M249" s="99"/>
      <c r="N249" s="33" t="str">
        <f t="shared" ca="1" si="41"/>
        <v>702,..,3002</v>
      </c>
      <c r="O249" s="33">
        <f t="shared" ref="O249:P249" si="42">O248+1</f>
        <v>702</v>
      </c>
      <c r="P249" s="33">
        <f t="shared" ca="1" si="42"/>
        <v>3002</v>
      </c>
    </row>
    <row r="250" spans="1:16" s="33" customFormat="1" ht="15.75" customHeight="1" x14ac:dyDescent="0.25">
      <c r="A250" s="115">
        <v>3</v>
      </c>
      <c r="B250" s="119" t="s">
        <v>256</v>
      </c>
      <c r="C250" s="119" t="s">
        <v>223</v>
      </c>
      <c r="D250" s="119">
        <f>(61.51+0.7*(3.05+2.75+3.05))*10.764</f>
        <v>728.77661999999998</v>
      </c>
      <c r="E250" s="119">
        <v>0</v>
      </c>
      <c r="F250" s="119">
        <f t="shared" si="40"/>
        <v>1129.6037610000001</v>
      </c>
      <c r="G250" s="136"/>
      <c r="H250" s="136"/>
      <c r="K250" s="32"/>
      <c r="M250" s="99"/>
      <c r="N250" s="33" t="str">
        <f t="shared" ca="1" si="41"/>
        <v>703,..,3003</v>
      </c>
      <c r="O250" s="33">
        <f t="shared" ref="O250:P250" si="43">O249+1</f>
        <v>703</v>
      </c>
      <c r="P250" s="33">
        <f t="shared" ca="1" si="43"/>
        <v>3003</v>
      </c>
    </row>
    <row r="251" spans="1:16" s="33" customFormat="1" ht="15.75" customHeight="1" x14ac:dyDescent="0.25">
      <c r="A251" s="115">
        <v>4</v>
      </c>
      <c r="B251" s="119" t="s">
        <v>256</v>
      </c>
      <c r="C251" s="119" t="s">
        <v>223</v>
      </c>
      <c r="D251" s="119">
        <f>(61.51+0.7*(3.05+2.75+3.05))*10.764</f>
        <v>728.77661999999998</v>
      </c>
      <c r="E251" s="119">
        <v>0</v>
      </c>
      <c r="F251" s="119">
        <f t="shared" si="40"/>
        <v>1129.6037610000001</v>
      </c>
      <c r="G251" s="136"/>
      <c r="H251" s="136"/>
      <c r="K251" s="32">
        <f>5750000/F251</f>
        <v>5090.2805023504161</v>
      </c>
      <c r="M251" s="99"/>
      <c r="N251" s="33" t="str">
        <f t="shared" ca="1" si="41"/>
        <v>704,..,3004</v>
      </c>
      <c r="O251" s="33">
        <f t="shared" ref="O251:P251" si="44">O250+1</f>
        <v>704</v>
      </c>
      <c r="P251" s="33">
        <f t="shared" ca="1" si="44"/>
        <v>3004</v>
      </c>
    </row>
    <row r="252" spans="1:16" s="33" customFormat="1" ht="15.75" customHeight="1" x14ac:dyDescent="0.25">
      <c r="A252" s="115">
        <v>5</v>
      </c>
      <c r="B252" s="119" t="s">
        <v>256</v>
      </c>
      <c r="C252" s="119" t="s">
        <v>150</v>
      </c>
      <c r="D252" s="119">
        <f>(77.32+0.7*(3.15+3.35))*10.764</f>
        <v>881.24867999999981</v>
      </c>
      <c r="E252" s="119">
        <v>0</v>
      </c>
      <c r="F252" s="119">
        <f t="shared" si="40"/>
        <v>1365.9354539999997</v>
      </c>
      <c r="G252" s="136"/>
      <c r="H252" s="136"/>
      <c r="K252" s="32"/>
      <c r="M252" s="99"/>
      <c r="N252" s="33" t="str">
        <f t="shared" ca="1" si="41"/>
        <v>705,..,3005</v>
      </c>
      <c r="O252" s="33">
        <f t="shared" ref="O252:P252" si="45">O251+1</f>
        <v>705</v>
      </c>
      <c r="P252" s="33">
        <f t="shared" ca="1" si="45"/>
        <v>3005</v>
      </c>
    </row>
    <row r="253" spans="1:16" s="33" customFormat="1" ht="15.75" customHeight="1" x14ac:dyDescent="0.25">
      <c r="A253" s="115">
        <v>6</v>
      </c>
      <c r="B253" s="119" t="s">
        <v>256</v>
      </c>
      <c r="C253" s="119" t="s">
        <v>150</v>
      </c>
      <c r="D253" s="119">
        <f>(77.32+0.7*(3.15+3.35))*10.764</f>
        <v>881.24867999999981</v>
      </c>
      <c r="E253" s="119">
        <v>0</v>
      </c>
      <c r="F253" s="119">
        <f t="shared" si="40"/>
        <v>1365.9354539999997</v>
      </c>
      <c r="G253" s="136"/>
      <c r="H253" s="136"/>
      <c r="K253" s="32">
        <f>9050000/F253</f>
        <v>6625.4960829210613</v>
      </c>
      <c r="L253" s="33">
        <f>9995000-9795000</f>
        <v>200000</v>
      </c>
      <c r="M253" s="99"/>
      <c r="N253" s="33" t="str">
        <f t="shared" ca="1" si="41"/>
        <v>706,..,3006</v>
      </c>
      <c r="O253" s="33">
        <f t="shared" ref="O253:P254" si="46">O252+1</f>
        <v>706</v>
      </c>
      <c r="P253" s="33">
        <f t="shared" ca="1" si="46"/>
        <v>3006</v>
      </c>
    </row>
    <row r="254" spans="1:16" s="33" customFormat="1" ht="15.75" customHeight="1" x14ac:dyDescent="0.25">
      <c r="A254" s="115">
        <v>7</v>
      </c>
      <c r="B254" s="119" t="s">
        <v>256</v>
      </c>
      <c r="C254" s="119" t="s">
        <v>223</v>
      </c>
      <c r="D254" s="119">
        <f>(61.1+0.7*(3.05+2.75+3.05))*10.764</f>
        <v>724.36338000000001</v>
      </c>
      <c r="E254" s="119">
        <v>0</v>
      </c>
      <c r="F254" s="119">
        <f t="shared" ref="F254" si="47">D254*(($F$219)+1)+E254</f>
        <v>1122.7632390000001</v>
      </c>
      <c r="G254" s="136"/>
      <c r="H254" s="136"/>
      <c r="K254" s="32"/>
      <c r="M254" s="99"/>
      <c r="N254" s="33" t="str">
        <f t="shared" ref="N254" ca="1" si="48">O254&amp;""&amp;",..,"&amp;""&amp;P254</f>
        <v>707,..,3007</v>
      </c>
      <c r="O254" s="33">
        <f t="shared" si="46"/>
        <v>707</v>
      </c>
      <c r="P254" s="33">
        <f t="shared" ca="1" si="46"/>
        <v>3007</v>
      </c>
    </row>
    <row r="255" spans="1:16" s="98" customFormat="1" ht="34.5" customHeight="1" x14ac:dyDescent="0.25">
      <c r="A255" s="130" t="s">
        <v>280</v>
      </c>
      <c r="B255" s="131"/>
      <c r="C255" s="131"/>
      <c r="D255" s="131"/>
      <c r="E255" s="131"/>
      <c r="F255" s="131"/>
      <c r="G255" s="131"/>
      <c r="H255" s="132"/>
      <c r="K255" s="32"/>
      <c r="M255" s="99"/>
    </row>
    <row r="256" spans="1:16" s="98" customFormat="1" ht="15.75" customHeight="1" x14ac:dyDescent="0.25">
      <c r="A256" s="115">
        <v>1</v>
      </c>
      <c r="B256" s="101" t="s">
        <v>256</v>
      </c>
      <c r="C256" s="101" t="s">
        <v>223</v>
      </c>
      <c r="D256" s="101">
        <f>(61.2+0.7*(3.05+2.75+3.1))*10.764</f>
        <v>725.81652000000008</v>
      </c>
      <c r="E256" s="101">
        <v>0</v>
      </c>
      <c r="F256" s="101">
        <f t="shared" ref="F256:F262" si="49">D256*(($F$219)+1)+E256</f>
        <v>1125.0156060000002</v>
      </c>
      <c r="G256" s="126" t="str">
        <f>A255</f>
        <v>21st, 23rd, 25th, 27th &amp; 29th Floor 
(Refuge area at Staircase Mid landing)</v>
      </c>
      <c r="H256" s="127"/>
      <c r="K256" s="101">
        <v>10.763999999999999</v>
      </c>
      <c r="M256" s="99"/>
      <c r="N256" s="98" t="str">
        <f t="shared" ref="N256:N262" ca="1" si="50">O256&amp;""&amp;",..,"&amp;""&amp;P256</f>
        <v>701,..,2901</v>
      </c>
      <c r="O256" s="98">
        <v>701</v>
      </c>
      <c r="P256" s="98">
        <f ca="1">(SUMPRODUCT(MID(0&amp;(--TRIM(RIGHT(SUBSTITUTE(LEFT(A255,_xlfn.AGGREGATE(16,6,FIND({0,1,2,3,4,5,6,7,8,9},A255,ROW(INDIRECT("1:"&amp;LEN(A255)))),1))," ",REPT(" ",LEN(A255))),LEN(A255)))), LARGE(INDEX(ISNUMBER(--MID((--TRIM(RIGHT(SUBSTITUTE(LEFT(A255,_xlfn.AGGREGATE(16,6,FIND({0,1,2,3,4,5,6,7,8,9},A255,ROW(INDIRECT("1:"&amp;LEN(A255)))),1))," ",REPT(" ",LEN(A255))),LEN(A255)))), ROW(INDIRECT("1:"&amp;LEN((--TRIM(RIGHT(SUBSTITUTE(LEFT(A255,_xlfn.AGGREGATE(16,6,FIND({0,1,2,3,4,5,6,7,8,9},A255,ROW(INDIRECT("1:"&amp;LEN(A255)))),1))," ",REPT(" ",LEN(A255))),LEN(A255))))))), 1)) * ROW(INDIRECT("1:"&amp;LEN((--TRIM(RIGHT(SUBSTITUTE(LEFT(A255,_xlfn.AGGREGATE(16,6,FIND({0,1,2,3,4,5,6,7,8,9},A255,ROW(INDIRECT("1:"&amp;LEN(A255)))),1))," ",REPT(" ",LEN(A255))),LEN(A255))))))), 0), ROW(INDIRECT("1:"&amp;LEN((--TRIM(RIGHT(SUBSTITUTE(LEFT(A255,_xlfn.AGGREGATE(16,6,FIND({0,1,2,3,4,5,6,7,8,9},A255,ROW(INDIRECT("1:"&amp;LEN(A255)))),1))," ",REPT(" ",LEN(A255))),LEN(A255))))))))+1, 1) * 10^ROW(INDIRECT("1:"&amp;LEN((--TRIM(RIGHT(SUBSTITUTE(LEFT(A255,_xlfn.AGGREGATE(16,6,FIND({0,1,2,3,4,5,6,7,8,9},A255,ROW(INDIRECT("1:"&amp;LEN(A255)))),1))," ",REPT(" ",LEN(A255))),LEN(A255)))))))/10))*100+1</f>
        <v>2901</v>
      </c>
    </row>
    <row r="257" spans="1:16" s="98" customFormat="1" ht="15.75" customHeight="1" x14ac:dyDescent="0.25">
      <c r="A257" s="115">
        <v>2</v>
      </c>
      <c r="B257" s="101" t="s">
        <v>256</v>
      </c>
      <c r="C257" s="101" t="s">
        <v>223</v>
      </c>
      <c r="D257" s="101">
        <f>(61.2+0.7*(3.05+2.75+3.1))*10.764</f>
        <v>725.81652000000008</v>
      </c>
      <c r="E257" s="101">
        <v>0</v>
      </c>
      <c r="F257" s="101">
        <f t="shared" si="49"/>
        <v>1125.0156060000002</v>
      </c>
      <c r="G257" s="128"/>
      <c r="H257" s="129"/>
      <c r="K257" s="32"/>
      <c r="M257" s="99"/>
      <c r="N257" s="98" t="str">
        <f t="shared" ca="1" si="50"/>
        <v>702,..,2902</v>
      </c>
      <c r="O257" s="98">
        <f t="shared" ref="O257:P257" si="51">O256+1</f>
        <v>702</v>
      </c>
      <c r="P257" s="98">
        <f t="shared" ca="1" si="51"/>
        <v>2902</v>
      </c>
    </row>
    <row r="258" spans="1:16" s="98" customFormat="1" ht="15.75" customHeight="1" x14ac:dyDescent="0.25">
      <c r="A258" s="115">
        <v>3</v>
      </c>
      <c r="B258" s="101" t="s">
        <v>256</v>
      </c>
      <c r="C258" s="101" t="s">
        <v>223</v>
      </c>
      <c r="D258" s="101">
        <f>(61.51+0.7*(3.05+2.75+3.05))*10.764</f>
        <v>728.77661999999998</v>
      </c>
      <c r="E258" s="101">
        <v>0</v>
      </c>
      <c r="F258" s="101">
        <f t="shared" si="49"/>
        <v>1129.6037610000001</v>
      </c>
      <c r="G258" s="128"/>
      <c r="H258" s="129"/>
      <c r="K258" s="32"/>
      <c r="M258" s="99"/>
      <c r="N258" s="98" t="str">
        <f t="shared" ca="1" si="50"/>
        <v>703,..,2903</v>
      </c>
      <c r="O258" s="98">
        <f t="shared" ref="O258:P258" si="52">O257+1</f>
        <v>703</v>
      </c>
      <c r="P258" s="98">
        <f t="shared" ca="1" si="52"/>
        <v>2903</v>
      </c>
    </row>
    <row r="259" spans="1:16" s="98" customFormat="1" ht="15.75" customHeight="1" x14ac:dyDescent="0.25">
      <c r="A259" s="115">
        <v>4</v>
      </c>
      <c r="B259" s="101" t="s">
        <v>256</v>
      </c>
      <c r="C259" s="101" t="s">
        <v>223</v>
      </c>
      <c r="D259" s="101">
        <f>(61.51+0.7*(3.05+2.75+3.05))*10.764</f>
        <v>728.77661999999998</v>
      </c>
      <c r="E259" s="101">
        <v>0</v>
      </c>
      <c r="F259" s="101">
        <f t="shared" si="49"/>
        <v>1129.6037610000001</v>
      </c>
      <c r="G259" s="128"/>
      <c r="H259" s="129"/>
      <c r="K259" s="32">
        <f>5750000/F259</f>
        <v>5090.2805023504161</v>
      </c>
      <c r="M259" s="99"/>
      <c r="N259" s="98" t="str">
        <f t="shared" ca="1" si="50"/>
        <v>704,..,2904</v>
      </c>
      <c r="O259" s="98">
        <f t="shared" ref="O259:P259" si="53">O258+1</f>
        <v>704</v>
      </c>
      <c r="P259" s="98">
        <f t="shared" ca="1" si="53"/>
        <v>2904</v>
      </c>
    </row>
    <row r="260" spans="1:16" s="98" customFormat="1" ht="15.75" customHeight="1" x14ac:dyDescent="0.25">
      <c r="A260" s="115">
        <v>5</v>
      </c>
      <c r="B260" s="101" t="s">
        <v>256</v>
      </c>
      <c r="C260" s="101" t="s">
        <v>150</v>
      </c>
      <c r="D260" s="101">
        <f>(77.32+0.7*(3.15+3.35))*10.764</f>
        <v>881.24867999999981</v>
      </c>
      <c r="E260" s="101">
        <v>0</v>
      </c>
      <c r="F260" s="101">
        <f t="shared" si="49"/>
        <v>1365.9354539999997</v>
      </c>
      <c r="G260" s="128"/>
      <c r="H260" s="129"/>
      <c r="K260" s="32"/>
      <c r="M260" s="99"/>
      <c r="N260" s="98" t="str">
        <f t="shared" ca="1" si="50"/>
        <v>705,..,2905</v>
      </c>
      <c r="O260" s="98">
        <f t="shared" ref="O260:P260" si="54">O259+1</f>
        <v>705</v>
      </c>
      <c r="P260" s="98">
        <f t="shared" ca="1" si="54"/>
        <v>2905</v>
      </c>
    </row>
    <row r="261" spans="1:16" s="98" customFormat="1" ht="15.75" customHeight="1" x14ac:dyDescent="0.25">
      <c r="A261" s="115">
        <v>6</v>
      </c>
      <c r="B261" s="101" t="s">
        <v>256</v>
      </c>
      <c r="C261" s="101" t="s">
        <v>150</v>
      </c>
      <c r="D261" s="101">
        <f>(77.32+0.7*(3.15+3.35))*10.764</f>
        <v>881.24867999999981</v>
      </c>
      <c r="E261" s="101">
        <v>0</v>
      </c>
      <c r="F261" s="101">
        <f t="shared" si="49"/>
        <v>1365.9354539999997</v>
      </c>
      <c r="G261" s="128"/>
      <c r="H261" s="129"/>
      <c r="K261" s="32">
        <f>9050000/F261</f>
        <v>6625.4960829210613</v>
      </c>
      <c r="L261" s="98">
        <f>9995000-9795000</f>
        <v>200000</v>
      </c>
      <c r="M261" s="99"/>
      <c r="N261" s="98" t="str">
        <f t="shared" ca="1" si="50"/>
        <v>706,..,2906</v>
      </c>
      <c r="O261" s="98">
        <f t="shared" ref="O261:P261" si="55">O260+1</f>
        <v>706</v>
      </c>
      <c r="P261" s="98">
        <f t="shared" ca="1" si="55"/>
        <v>2906</v>
      </c>
    </row>
    <row r="262" spans="1:16" s="98" customFormat="1" ht="15.75" customHeight="1" x14ac:dyDescent="0.25">
      <c r="A262" s="115">
        <v>7</v>
      </c>
      <c r="B262" s="101" t="s">
        <v>256</v>
      </c>
      <c r="C262" s="101" t="s">
        <v>223</v>
      </c>
      <c r="D262" s="101">
        <f>(61.1+0.7*(3.05+2.75+3.05))*10.764</f>
        <v>724.36338000000001</v>
      </c>
      <c r="E262" s="101">
        <v>0</v>
      </c>
      <c r="F262" s="101">
        <f t="shared" si="49"/>
        <v>1122.7632390000001</v>
      </c>
      <c r="G262" s="133"/>
      <c r="H262" s="134"/>
      <c r="K262" s="32"/>
      <c r="M262" s="99"/>
      <c r="N262" s="98" t="str">
        <f t="shared" ca="1" si="50"/>
        <v>707,..,2907</v>
      </c>
      <c r="O262" s="98">
        <f t="shared" ref="O262:P262" si="56">O261+1</f>
        <v>707</v>
      </c>
      <c r="P262" s="98">
        <f t="shared" ca="1" si="56"/>
        <v>2907</v>
      </c>
    </row>
    <row r="263" spans="1:16" s="99" customFormat="1" x14ac:dyDescent="0.25">
      <c r="A263" s="135" t="s">
        <v>198</v>
      </c>
      <c r="B263" s="135"/>
      <c r="C263" s="135"/>
      <c r="D263" s="135"/>
      <c r="E263" s="135"/>
      <c r="F263" s="135"/>
      <c r="G263" s="135"/>
      <c r="H263" s="135"/>
      <c r="I263" s="32"/>
      <c r="L263" s="125"/>
      <c r="M263" s="125"/>
    </row>
    <row r="264" spans="1:16" s="99" customFormat="1" ht="15.75" customHeight="1" x14ac:dyDescent="0.25">
      <c r="A264" s="135" t="s">
        <v>277</v>
      </c>
      <c r="B264" s="135"/>
      <c r="C264" s="135"/>
      <c r="D264" s="135"/>
      <c r="E264" s="135"/>
      <c r="F264" s="135"/>
      <c r="G264" s="135"/>
      <c r="H264" s="135"/>
      <c r="I264" s="32"/>
      <c r="L264" s="125"/>
      <c r="M264" s="125"/>
    </row>
    <row r="265" spans="1:16" s="99" customFormat="1" ht="15.75" customHeight="1" x14ac:dyDescent="0.25">
      <c r="A265" s="135" t="s">
        <v>286</v>
      </c>
      <c r="B265" s="135"/>
      <c r="C265" s="135"/>
      <c r="D265" s="135"/>
      <c r="E265" s="135"/>
      <c r="F265" s="135"/>
      <c r="G265" s="135"/>
      <c r="H265" s="135"/>
      <c r="I265" s="101">
        <v>10.763999999999999</v>
      </c>
      <c r="L265" s="125"/>
      <c r="M265" s="125"/>
    </row>
    <row r="266" spans="1:16" s="99" customFormat="1" ht="15.75" customHeight="1" x14ac:dyDescent="0.25">
      <c r="A266" s="130" t="s">
        <v>282</v>
      </c>
      <c r="B266" s="131"/>
      <c r="C266" s="131"/>
      <c r="D266" s="131"/>
      <c r="E266" s="131"/>
      <c r="F266" s="131"/>
      <c r="G266" s="131"/>
      <c r="H266" s="132"/>
      <c r="I266" s="32"/>
    </row>
    <row r="267" spans="1:16" s="99" customFormat="1" ht="15.75" customHeight="1" x14ac:dyDescent="0.25">
      <c r="A267" s="115">
        <v>1</v>
      </c>
      <c r="B267" s="101" t="s">
        <v>255</v>
      </c>
      <c r="C267" s="101" t="s">
        <v>223</v>
      </c>
      <c r="D267" s="101">
        <f>(51.89+0.7*(3.05+2.75+2.75))*10.764</f>
        <v>622.9665</v>
      </c>
      <c r="E267" s="101">
        <v>0</v>
      </c>
      <c r="F267" s="101">
        <f t="shared" ref="F267:F273" si="57">D267*(($F$219)+1)+E267</f>
        <v>965.59807499999999</v>
      </c>
      <c r="G267" s="126" t="str">
        <f>A266</f>
        <v>6th &amp; 7th Floor For Residential</v>
      </c>
      <c r="H267" s="127"/>
      <c r="I267" s="99">
        <f>3.05*5.67+1.2*3.4+2.55*2.4+2.75*3.58+3.1*3.05+2.1*1.25+2.1*1.35+0.9*2.55+0.9*1.6+0.4*1.35+2.35*1.2</f>
        <v>59.348499999999994</v>
      </c>
      <c r="K267" s="32">
        <f>7075000/F267</f>
        <v>7327.0651456093674</v>
      </c>
      <c r="N267" s="99" t="str">
        <f t="shared" ref="N267:N273" ca="1" si="58">O267&amp;""&amp;",..,"&amp;""&amp;P267</f>
        <v>601,..,701</v>
      </c>
      <c r="O267" s="99">
        <v>601</v>
      </c>
      <c r="P267" s="99">
        <f ca="1">(SUMPRODUCT(MID(0&amp;(--TRIM(RIGHT(SUBSTITUTE(LEFT(A266,_xlfn.AGGREGATE(16,6,FIND({0,1,2,3,4,5,6,7,8,9},A266,ROW(INDIRECT("1:"&amp;LEN(A266)))),1))," ",REPT(" ",LEN(A266))),LEN(A266)))), LARGE(INDEX(ISNUMBER(--MID((--TRIM(RIGHT(SUBSTITUTE(LEFT(A266,_xlfn.AGGREGATE(16,6,FIND({0,1,2,3,4,5,6,7,8,9},A266,ROW(INDIRECT("1:"&amp;LEN(A266)))),1))," ",REPT(" ",LEN(A266))),LEN(A266)))), ROW(INDIRECT("1:"&amp;LEN((--TRIM(RIGHT(SUBSTITUTE(LEFT(A266,_xlfn.AGGREGATE(16,6,FIND({0,1,2,3,4,5,6,7,8,9},A266,ROW(INDIRECT("1:"&amp;LEN(A266)))),1))," ",REPT(" ",LEN(A266))),LEN(A266))))))), 1)) * ROW(INDIRECT("1:"&amp;LEN((--TRIM(RIGHT(SUBSTITUTE(LEFT(A266,_xlfn.AGGREGATE(16,6,FIND({0,1,2,3,4,5,6,7,8,9},A266,ROW(INDIRECT("1:"&amp;LEN(A266)))),1))," ",REPT(" ",LEN(A266))),LEN(A266))))))), 0), ROW(INDIRECT("1:"&amp;LEN((--TRIM(RIGHT(SUBSTITUTE(LEFT(A266,_xlfn.AGGREGATE(16,6,FIND({0,1,2,3,4,5,6,7,8,9},A266,ROW(INDIRECT("1:"&amp;LEN(A266)))),1))," ",REPT(" ",LEN(A266))),LEN(A266))))))))+1, 1) * 10^ROW(INDIRECT("1:"&amp;LEN((--TRIM(RIGHT(SUBSTITUTE(LEFT(A266,_xlfn.AGGREGATE(16,6,FIND({0,1,2,3,4,5,6,7,8,9},A266,ROW(INDIRECT("1:"&amp;LEN(A266)))),1))," ",REPT(" ",LEN(A266))),LEN(A266)))))))/10))*100+1</f>
        <v>701</v>
      </c>
    </row>
    <row r="268" spans="1:16" s="99" customFormat="1" ht="15.75" customHeight="1" x14ac:dyDescent="0.25">
      <c r="A268" s="115">
        <v>2</v>
      </c>
      <c r="B268" s="101" t="s">
        <v>255</v>
      </c>
      <c r="C268" s="99" t="s">
        <v>223</v>
      </c>
      <c r="D268" s="101">
        <f>(51.89+0.7*(3.05+2.75+2.75))*10.764</f>
        <v>622.9665</v>
      </c>
      <c r="E268" s="101">
        <v>0</v>
      </c>
      <c r="F268" s="101">
        <f t="shared" si="57"/>
        <v>965.59807499999999</v>
      </c>
      <c r="G268" s="128"/>
      <c r="H268" s="129"/>
      <c r="K268" s="32"/>
      <c r="N268" s="99" t="str">
        <f t="shared" ca="1" si="58"/>
        <v>602,..,702</v>
      </c>
      <c r="O268" s="99">
        <f t="shared" ref="O268:P268" si="59">O267+1</f>
        <v>602</v>
      </c>
      <c r="P268" s="99">
        <f t="shared" ca="1" si="59"/>
        <v>702</v>
      </c>
    </row>
    <row r="269" spans="1:16" s="99" customFormat="1" ht="15.75" customHeight="1" x14ac:dyDescent="0.25">
      <c r="A269" s="115">
        <v>3</v>
      </c>
      <c r="B269" s="101" t="s">
        <v>255</v>
      </c>
      <c r="C269" s="101" t="s">
        <v>224</v>
      </c>
      <c r="D269" s="101">
        <f t="shared" ref="D269:D270" si="60">(38.44+0.7*(3.05+2.75))*10.764</f>
        <v>457.46999999999997</v>
      </c>
      <c r="E269" s="101">
        <v>0</v>
      </c>
      <c r="F269" s="101">
        <f t="shared" si="57"/>
        <v>709.07849999999996</v>
      </c>
      <c r="G269" s="128"/>
      <c r="H269" s="129"/>
      <c r="K269" s="32">
        <f>7131000/F269</f>
        <v>10056.714454041408</v>
      </c>
      <c r="N269" s="99" t="str">
        <f t="shared" ca="1" si="58"/>
        <v>603,..,703</v>
      </c>
      <c r="O269" s="99">
        <f t="shared" ref="O269:P269" si="61">O268+1</f>
        <v>603</v>
      </c>
      <c r="P269" s="99">
        <f t="shared" ca="1" si="61"/>
        <v>703</v>
      </c>
    </row>
    <row r="270" spans="1:16" s="99" customFormat="1" ht="15.75" customHeight="1" x14ac:dyDescent="0.25">
      <c r="A270" s="115">
        <v>4</v>
      </c>
      <c r="B270" s="101" t="s">
        <v>255</v>
      </c>
      <c r="C270" s="101" t="s">
        <v>224</v>
      </c>
      <c r="D270" s="101">
        <f t="shared" si="60"/>
        <v>457.46999999999997</v>
      </c>
      <c r="E270" s="101">
        <v>0</v>
      </c>
      <c r="F270" s="101">
        <f t="shared" si="57"/>
        <v>709.07849999999996</v>
      </c>
      <c r="G270" s="128"/>
      <c r="H270" s="129"/>
      <c r="K270" s="32"/>
      <c r="N270" s="99" t="str">
        <f t="shared" ca="1" si="58"/>
        <v>604,..,704</v>
      </c>
      <c r="O270" s="99">
        <f t="shared" ref="O270:P270" si="62">O269+1</f>
        <v>604</v>
      </c>
      <c r="P270" s="99">
        <f t="shared" ca="1" si="62"/>
        <v>704</v>
      </c>
    </row>
    <row r="271" spans="1:16" s="99" customFormat="1" ht="15.75" customHeight="1" x14ac:dyDescent="0.25">
      <c r="A271" s="115">
        <v>5</v>
      </c>
      <c r="B271" s="101" t="s">
        <v>255</v>
      </c>
      <c r="C271" s="101" t="s">
        <v>224</v>
      </c>
      <c r="D271" s="101">
        <f>(38.44+0.7*(3.05+2.75))*10.764</f>
        <v>457.46999999999997</v>
      </c>
      <c r="E271" s="101">
        <v>0</v>
      </c>
      <c r="F271" s="101">
        <f t="shared" si="57"/>
        <v>709.07849999999996</v>
      </c>
      <c r="G271" s="128"/>
      <c r="H271" s="129"/>
      <c r="K271" s="32">
        <f>9803000/F271</f>
        <v>13824.985526990313</v>
      </c>
      <c r="N271" s="99" t="str">
        <f t="shared" ca="1" si="58"/>
        <v>605,..,705</v>
      </c>
      <c r="O271" s="99">
        <f t="shared" ref="O271:P271" si="63">O270+1</f>
        <v>605</v>
      </c>
      <c r="P271" s="99">
        <f t="shared" ca="1" si="63"/>
        <v>705</v>
      </c>
    </row>
    <row r="272" spans="1:16" s="99" customFormat="1" ht="15.75" customHeight="1" x14ac:dyDescent="0.25">
      <c r="A272" s="115">
        <v>6</v>
      </c>
      <c r="B272" s="101" t="s">
        <v>255</v>
      </c>
      <c r="C272" s="101" t="s">
        <v>223</v>
      </c>
      <c r="D272" s="101">
        <f>(51.89+0.7*(3.05+2.75+2.75))*10.764</f>
        <v>622.9665</v>
      </c>
      <c r="E272" s="101">
        <v>0</v>
      </c>
      <c r="F272" s="101">
        <f t="shared" si="57"/>
        <v>965.59807499999999</v>
      </c>
      <c r="G272" s="128"/>
      <c r="H272" s="129"/>
      <c r="K272" s="32">
        <f>10000000/F272</f>
        <v>10356.275824182852</v>
      </c>
      <c r="N272" s="99" t="str">
        <f t="shared" ca="1" si="58"/>
        <v>606,..,706</v>
      </c>
      <c r="O272" s="99">
        <f t="shared" ref="O272:P272" si="64">O271+1</f>
        <v>606</v>
      </c>
      <c r="P272" s="99">
        <f t="shared" ca="1" si="64"/>
        <v>706</v>
      </c>
    </row>
    <row r="273" spans="1:16" s="99" customFormat="1" ht="15.75" customHeight="1" x14ac:dyDescent="0.25">
      <c r="A273" s="115">
        <v>7</v>
      </c>
      <c r="B273" s="101" t="s">
        <v>255</v>
      </c>
      <c r="C273" s="101" t="s">
        <v>223</v>
      </c>
      <c r="D273" s="101">
        <f>(51.89+0.7*(3.05+2.75+2.75))*10.764</f>
        <v>622.9665</v>
      </c>
      <c r="E273" s="101">
        <v>0</v>
      </c>
      <c r="F273" s="101">
        <f t="shared" si="57"/>
        <v>965.59807499999999</v>
      </c>
      <c r="G273" s="128"/>
      <c r="H273" s="129"/>
      <c r="K273" s="32">
        <f>7131000/F273</f>
        <v>7385.060290224792</v>
      </c>
      <c r="N273" s="99" t="str">
        <f t="shared" ca="1" si="58"/>
        <v>607,..,707</v>
      </c>
      <c r="O273" s="99">
        <f t="shared" ref="O273:P273" si="65">O272+1</f>
        <v>607</v>
      </c>
      <c r="P273" s="99">
        <f t="shared" ca="1" si="65"/>
        <v>707</v>
      </c>
    </row>
    <row r="274" spans="1:16" s="99" customFormat="1" ht="15.75" customHeight="1" x14ac:dyDescent="0.25">
      <c r="A274" s="115">
        <v>8</v>
      </c>
      <c r="B274" s="101" t="s">
        <v>255</v>
      </c>
      <c r="C274" s="101" t="s">
        <v>224</v>
      </c>
      <c r="D274" s="101">
        <f>(38.44+0.7*(3.05+2.75))*10.764</f>
        <v>457.46999999999997</v>
      </c>
      <c r="E274" s="101">
        <v>0</v>
      </c>
      <c r="F274" s="101">
        <f t="shared" ref="F274:F275" si="66">D274*(($F$219)+1)+E274</f>
        <v>709.07849999999996</v>
      </c>
      <c r="G274" s="128"/>
      <c r="H274" s="129"/>
      <c r="K274" s="32">
        <f t="shared" ref="K274:K275" si="67">7131000/F274</f>
        <v>10056.714454041408</v>
      </c>
      <c r="N274" s="99" t="str">
        <f t="shared" ref="N274:N275" ca="1" si="68">O274&amp;""&amp;",..,"&amp;""&amp;P274</f>
        <v>608,..,708</v>
      </c>
      <c r="O274" s="99">
        <f t="shared" ref="O274:P274" si="69">O273+1</f>
        <v>608</v>
      </c>
      <c r="P274" s="99">
        <f t="shared" ca="1" si="69"/>
        <v>708</v>
      </c>
    </row>
    <row r="275" spans="1:16" s="99" customFormat="1" ht="15.75" customHeight="1" x14ac:dyDescent="0.25">
      <c r="A275" s="115">
        <v>9</v>
      </c>
      <c r="B275" s="101" t="s">
        <v>255</v>
      </c>
      <c r="C275" s="101" t="s">
        <v>224</v>
      </c>
      <c r="D275" s="101">
        <f>(38.44+0.7*(3.05+2.75))*10.764</f>
        <v>457.46999999999997</v>
      </c>
      <c r="E275" s="101">
        <v>0</v>
      </c>
      <c r="F275" s="101">
        <f t="shared" si="66"/>
        <v>709.07849999999996</v>
      </c>
      <c r="G275" s="133"/>
      <c r="H275" s="134"/>
      <c r="K275" s="32">
        <f t="shared" si="67"/>
        <v>10056.714454041408</v>
      </c>
      <c r="N275" s="99" t="str">
        <f t="shared" ca="1" si="68"/>
        <v>609,..,709</v>
      </c>
      <c r="O275" s="99">
        <f t="shared" ref="O275:P275" si="70">O274+1</f>
        <v>609</v>
      </c>
      <c r="P275" s="99">
        <f t="shared" ca="1" si="70"/>
        <v>709</v>
      </c>
    </row>
    <row r="276" spans="1:16" s="99" customFormat="1" x14ac:dyDescent="0.25">
      <c r="A276" s="130" t="s">
        <v>281</v>
      </c>
      <c r="B276" s="131"/>
      <c r="C276" s="131"/>
      <c r="D276" s="131"/>
      <c r="E276" s="131"/>
      <c r="F276" s="131"/>
      <c r="G276" s="131"/>
      <c r="H276" s="132"/>
      <c r="K276" s="32"/>
    </row>
    <row r="277" spans="1:16" s="99" customFormat="1" ht="15.75" customHeight="1" x14ac:dyDescent="0.25">
      <c r="A277" s="115">
        <v>1</v>
      </c>
      <c r="B277" s="101" t="s">
        <v>256</v>
      </c>
      <c r="C277" s="101" t="s">
        <v>223</v>
      </c>
      <c r="D277" s="101">
        <f>(51.89+0.7*(3.05+2.75+2.75))*10.764</f>
        <v>622.9665</v>
      </c>
      <c r="E277" s="101">
        <v>0</v>
      </c>
      <c r="F277" s="101">
        <f t="shared" ref="F277:F283" si="71">D277*(($F$219)+1)+E277</f>
        <v>965.59807499999999</v>
      </c>
      <c r="G277" s="126" t="str">
        <f>A276</f>
        <v>8th, 10th, 12th, 14th, 16th, 18th &amp; 20thFloor</v>
      </c>
      <c r="H277" s="127"/>
      <c r="K277" s="32">
        <f>7075000/F277</f>
        <v>7327.0651456093674</v>
      </c>
      <c r="N277" s="99" t="str">
        <f t="shared" ref="N277:N283" ca="1" si="72">O277&amp;""&amp;",..,"&amp;""&amp;P277</f>
        <v>601,..,2001</v>
      </c>
      <c r="O277" s="99">
        <v>601</v>
      </c>
      <c r="P277" s="99">
        <f ca="1">(SUMPRODUCT(MID(0&amp;(--TRIM(RIGHT(SUBSTITUTE(LEFT(A276,_xlfn.AGGREGATE(16,6,FIND({0,1,2,3,4,5,6,7,8,9},A276,ROW(INDIRECT("1:"&amp;LEN(A276)))),1))," ",REPT(" ",LEN(A276))),LEN(A276)))), LARGE(INDEX(ISNUMBER(--MID((--TRIM(RIGHT(SUBSTITUTE(LEFT(A276,_xlfn.AGGREGATE(16,6,FIND({0,1,2,3,4,5,6,7,8,9},A276,ROW(INDIRECT("1:"&amp;LEN(A276)))),1))," ",REPT(" ",LEN(A276))),LEN(A276)))), ROW(INDIRECT("1:"&amp;LEN((--TRIM(RIGHT(SUBSTITUTE(LEFT(A276,_xlfn.AGGREGATE(16,6,FIND({0,1,2,3,4,5,6,7,8,9},A276,ROW(INDIRECT("1:"&amp;LEN(A276)))),1))," ",REPT(" ",LEN(A276))),LEN(A276))))))), 1)) * ROW(INDIRECT("1:"&amp;LEN((--TRIM(RIGHT(SUBSTITUTE(LEFT(A276,_xlfn.AGGREGATE(16,6,FIND({0,1,2,3,4,5,6,7,8,9},A276,ROW(INDIRECT("1:"&amp;LEN(A276)))),1))," ",REPT(" ",LEN(A276))),LEN(A276))))))), 0), ROW(INDIRECT("1:"&amp;LEN((--TRIM(RIGHT(SUBSTITUTE(LEFT(A276,_xlfn.AGGREGATE(16,6,FIND({0,1,2,3,4,5,6,7,8,9},A276,ROW(INDIRECT("1:"&amp;LEN(A276)))),1))," ",REPT(" ",LEN(A276))),LEN(A276))))))))+1, 1) * 10^ROW(INDIRECT("1:"&amp;LEN((--TRIM(RIGHT(SUBSTITUTE(LEFT(A276,_xlfn.AGGREGATE(16,6,FIND({0,1,2,3,4,5,6,7,8,9},A276,ROW(INDIRECT("1:"&amp;LEN(A276)))),1))," ",REPT(" ",LEN(A276))),LEN(A276)))))))/10))*100+1</f>
        <v>2001</v>
      </c>
    </row>
    <row r="278" spans="1:16" s="99" customFormat="1" ht="15.75" customHeight="1" x14ac:dyDescent="0.25">
      <c r="A278" s="115">
        <v>2</v>
      </c>
      <c r="B278" s="101" t="s">
        <v>256</v>
      </c>
      <c r="C278" s="99" t="s">
        <v>223</v>
      </c>
      <c r="D278" s="101">
        <f>(51.89+0.7*(3.05+2.75+2.75))*10.764</f>
        <v>622.9665</v>
      </c>
      <c r="E278" s="101">
        <v>0</v>
      </c>
      <c r="F278" s="101">
        <f t="shared" si="71"/>
        <v>965.59807499999999</v>
      </c>
      <c r="G278" s="128"/>
      <c r="H278" s="129"/>
      <c r="K278" s="32"/>
      <c r="N278" s="99" t="str">
        <f t="shared" ca="1" si="72"/>
        <v>602,..,2002</v>
      </c>
      <c r="O278" s="99">
        <f t="shared" ref="O278:P278" si="73">O277+1</f>
        <v>602</v>
      </c>
      <c r="P278" s="99">
        <f t="shared" ca="1" si="73"/>
        <v>2002</v>
      </c>
    </row>
    <row r="279" spans="1:16" s="99" customFormat="1" ht="15.75" customHeight="1" x14ac:dyDescent="0.25">
      <c r="A279" s="115">
        <v>3</v>
      </c>
      <c r="B279" s="101" t="s">
        <v>256</v>
      </c>
      <c r="C279" s="101" t="s">
        <v>224</v>
      </c>
      <c r="D279" s="101">
        <f t="shared" ref="D279:D280" si="74">(38.44+0.7*(3.05+2.75))*10.764</f>
        <v>457.46999999999997</v>
      </c>
      <c r="E279" s="101">
        <v>0</v>
      </c>
      <c r="F279" s="101">
        <f t="shared" si="71"/>
        <v>709.07849999999996</v>
      </c>
      <c r="G279" s="128"/>
      <c r="H279" s="129"/>
      <c r="K279" s="32">
        <f>7131000/F279</f>
        <v>10056.714454041408</v>
      </c>
      <c r="N279" s="99" t="str">
        <f t="shared" ca="1" si="72"/>
        <v>603,..,2003</v>
      </c>
      <c r="O279" s="99">
        <f t="shared" ref="O279:P279" si="75">O278+1</f>
        <v>603</v>
      </c>
      <c r="P279" s="99">
        <f t="shared" ca="1" si="75"/>
        <v>2003</v>
      </c>
    </row>
    <row r="280" spans="1:16" s="99" customFormat="1" ht="15.75" customHeight="1" x14ac:dyDescent="0.25">
      <c r="A280" s="115">
        <v>4</v>
      </c>
      <c r="B280" s="101" t="s">
        <v>256</v>
      </c>
      <c r="C280" s="101" t="s">
        <v>224</v>
      </c>
      <c r="D280" s="101">
        <f t="shared" si="74"/>
        <v>457.46999999999997</v>
      </c>
      <c r="E280" s="101">
        <v>0</v>
      </c>
      <c r="F280" s="101">
        <f t="shared" si="71"/>
        <v>709.07849999999996</v>
      </c>
      <c r="G280" s="128"/>
      <c r="H280" s="129"/>
      <c r="K280" s="32"/>
      <c r="N280" s="99" t="str">
        <f t="shared" ca="1" si="72"/>
        <v>604,..,2004</v>
      </c>
      <c r="O280" s="99">
        <f t="shared" ref="O280:P280" si="76">O279+1</f>
        <v>604</v>
      </c>
      <c r="P280" s="99">
        <f t="shared" ca="1" si="76"/>
        <v>2004</v>
      </c>
    </row>
    <row r="281" spans="1:16" s="99" customFormat="1" ht="15.75" customHeight="1" x14ac:dyDescent="0.25">
      <c r="A281" s="115">
        <v>5</v>
      </c>
      <c r="B281" s="101" t="s">
        <v>256</v>
      </c>
      <c r="C281" s="101" t="s">
        <v>224</v>
      </c>
      <c r="D281" s="101">
        <f>(38.44+0.7*(3.05+2.75))*10.764</f>
        <v>457.46999999999997</v>
      </c>
      <c r="E281" s="101">
        <v>0</v>
      </c>
      <c r="F281" s="101">
        <f t="shared" si="71"/>
        <v>709.07849999999996</v>
      </c>
      <c r="G281" s="128"/>
      <c r="H281" s="129"/>
      <c r="K281" s="32">
        <f>9803000/F281</f>
        <v>13824.985526990313</v>
      </c>
      <c r="N281" s="99" t="str">
        <f t="shared" ca="1" si="72"/>
        <v>605,..,2005</v>
      </c>
      <c r="O281" s="99">
        <f t="shared" ref="O281:P281" si="77">O280+1</f>
        <v>605</v>
      </c>
      <c r="P281" s="99">
        <f t="shared" ca="1" si="77"/>
        <v>2005</v>
      </c>
    </row>
    <row r="282" spans="1:16" s="99" customFormat="1" ht="15.75" customHeight="1" x14ac:dyDescent="0.25">
      <c r="A282" s="115">
        <v>6</v>
      </c>
      <c r="B282" s="101" t="s">
        <v>256</v>
      </c>
      <c r="C282" s="101" t="s">
        <v>223</v>
      </c>
      <c r="D282" s="101">
        <f>(51.89+0.7*(3.05+2.75+2.75))*10.764</f>
        <v>622.9665</v>
      </c>
      <c r="E282" s="101">
        <v>0</v>
      </c>
      <c r="F282" s="101">
        <f t="shared" si="71"/>
        <v>965.59807499999999</v>
      </c>
      <c r="G282" s="128"/>
      <c r="H282" s="129"/>
      <c r="K282" s="32">
        <f>10000000/F282</f>
        <v>10356.275824182852</v>
      </c>
      <c r="N282" s="99" t="str">
        <f t="shared" ca="1" si="72"/>
        <v>606,..,2006</v>
      </c>
      <c r="O282" s="99">
        <f t="shared" ref="O282:P282" si="78">O281+1</f>
        <v>606</v>
      </c>
      <c r="P282" s="99">
        <f t="shared" ca="1" si="78"/>
        <v>2006</v>
      </c>
    </row>
    <row r="283" spans="1:16" s="99" customFormat="1" ht="15.75" customHeight="1" x14ac:dyDescent="0.25">
      <c r="A283" s="115">
        <v>7</v>
      </c>
      <c r="B283" s="101" t="s">
        <v>256</v>
      </c>
      <c r="C283" s="101" t="s">
        <v>223</v>
      </c>
      <c r="D283" s="101">
        <f>(51.89+0.7*(3.05+2.75+2.75))*10.764</f>
        <v>622.9665</v>
      </c>
      <c r="E283" s="101">
        <v>0</v>
      </c>
      <c r="F283" s="101">
        <f t="shared" si="71"/>
        <v>965.59807499999999</v>
      </c>
      <c r="G283" s="128"/>
      <c r="H283" s="129"/>
      <c r="K283" s="32">
        <f>7131000/F283</f>
        <v>7385.060290224792</v>
      </c>
      <c r="N283" s="99" t="str">
        <f t="shared" ca="1" si="72"/>
        <v>607,..,2007</v>
      </c>
      <c r="O283" s="99">
        <f t="shared" ref="O283:P283" si="79">O282+1</f>
        <v>607</v>
      </c>
      <c r="P283" s="99">
        <f t="shared" ca="1" si="79"/>
        <v>2007</v>
      </c>
    </row>
    <row r="284" spans="1:16" s="99" customFormat="1" ht="15.75" customHeight="1" x14ac:dyDescent="0.25">
      <c r="A284" s="115">
        <v>8</v>
      </c>
      <c r="B284" s="101" t="s">
        <v>256</v>
      </c>
      <c r="C284" s="101" t="s">
        <v>224</v>
      </c>
      <c r="D284" s="101">
        <f>(38.44+0.7*(3.05+2.75))*10.764</f>
        <v>457.46999999999997</v>
      </c>
      <c r="E284" s="101">
        <v>0</v>
      </c>
      <c r="F284" s="101">
        <f t="shared" ref="F284:F285" si="80">D284*(($F$219)+1)+E284</f>
        <v>709.07849999999996</v>
      </c>
      <c r="G284" s="128"/>
      <c r="H284" s="129"/>
      <c r="K284" s="32">
        <f t="shared" ref="K284:K285" si="81">7131000/F284</f>
        <v>10056.714454041408</v>
      </c>
      <c r="N284" s="99" t="str">
        <f t="shared" ref="N284:N285" ca="1" si="82">O284&amp;""&amp;",..,"&amp;""&amp;P284</f>
        <v>608,..,2008</v>
      </c>
      <c r="O284" s="99">
        <f t="shared" ref="O284:P284" si="83">O283+1</f>
        <v>608</v>
      </c>
      <c r="P284" s="99">
        <f t="shared" ca="1" si="83"/>
        <v>2008</v>
      </c>
    </row>
    <row r="285" spans="1:16" s="99" customFormat="1" ht="15.75" customHeight="1" x14ac:dyDescent="0.25">
      <c r="A285" s="115">
        <v>9</v>
      </c>
      <c r="B285" s="101" t="s">
        <v>256</v>
      </c>
      <c r="C285" s="101" t="s">
        <v>224</v>
      </c>
      <c r="D285" s="101">
        <f>(38.44+0.7*(3.05+2.75))*10.764</f>
        <v>457.46999999999997</v>
      </c>
      <c r="E285" s="101">
        <v>0</v>
      </c>
      <c r="F285" s="101">
        <f t="shared" si="80"/>
        <v>709.07849999999996</v>
      </c>
      <c r="G285" s="133"/>
      <c r="H285" s="134"/>
      <c r="K285" s="32">
        <f t="shared" si="81"/>
        <v>10056.714454041408</v>
      </c>
      <c r="N285" s="99" t="str">
        <f t="shared" ca="1" si="82"/>
        <v>609,..,2009</v>
      </c>
      <c r="O285" s="99">
        <f t="shared" ref="O285:P285" si="84">O284+1</f>
        <v>609</v>
      </c>
      <c r="P285" s="99">
        <f t="shared" ca="1" si="84"/>
        <v>2009</v>
      </c>
    </row>
    <row r="286" spans="1:16" s="99" customFormat="1" ht="33.75" customHeight="1" x14ac:dyDescent="0.25">
      <c r="A286" s="130" t="s">
        <v>283</v>
      </c>
      <c r="B286" s="131"/>
      <c r="C286" s="131"/>
      <c r="D286" s="131"/>
      <c r="E286" s="131"/>
      <c r="F286" s="131"/>
      <c r="G286" s="131"/>
      <c r="H286" s="132"/>
      <c r="K286" s="32"/>
    </row>
    <row r="287" spans="1:16" s="99" customFormat="1" ht="15.75" customHeight="1" x14ac:dyDescent="0.25">
      <c r="A287" s="115">
        <v>1</v>
      </c>
      <c r="B287" s="101" t="s">
        <v>256</v>
      </c>
      <c r="C287" s="101" t="s">
        <v>223</v>
      </c>
      <c r="D287" s="101">
        <f>(51.89+0.7*(3.05+2.75+2.75))*10.764</f>
        <v>622.9665</v>
      </c>
      <c r="E287" s="101">
        <v>0</v>
      </c>
      <c r="F287" s="101">
        <f t="shared" ref="F287:F293" si="85">D287*(($F$219)+1)+E287</f>
        <v>965.59807499999999</v>
      </c>
      <c r="G287" s="126" t="str">
        <f>A286</f>
        <v>9th, 11th, 13th, 15th, 17th &amp; 19th Floor 
(Refuge area at Staircase Mid landing)</v>
      </c>
      <c r="H287" s="127"/>
      <c r="K287" s="32">
        <f>7075000/F287</f>
        <v>7327.0651456093674</v>
      </c>
      <c r="N287" s="99" t="str">
        <f t="shared" ref="N287:N293" ca="1" si="86">O287&amp;""&amp;",..,"&amp;""&amp;P287</f>
        <v>601,..,1901</v>
      </c>
      <c r="O287" s="99">
        <v>601</v>
      </c>
      <c r="P287" s="99">
        <f ca="1">(SUMPRODUCT(MID(0&amp;(--TRIM(RIGHT(SUBSTITUTE(LEFT(A286,_xlfn.AGGREGATE(16,6,FIND({0,1,2,3,4,5,6,7,8,9},A286,ROW(INDIRECT("1:"&amp;LEN(A286)))),1))," ",REPT(" ",LEN(A286))),LEN(A286)))), LARGE(INDEX(ISNUMBER(--MID((--TRIM(RIGHT(SUBSTITUTE(LEFT(A286,_xlfn.AGGREGATE(16,6,FIND({0,1,2,3,4,5,6,7,8,9},A286,ROW(INDIRECT("1:"&amp;LEN(A286)))),1))," ",REPT(" ",LEN(A286))),LEN(A286)))), ROW(INDIRECT("1:"&amp;LEN((--TRIM(RIGHT(SUBSTITUTE(LEFT(A286,_xlfn.AGGREGATE(16,6,FIND({0,1,2,3,4,5,6,7,8,9},A286,ROW(INDIRECT("1:"&amp;LEN(A286)))),1))," ",REPT(" ",LEN(A286))),LEN(A286))))))), 1)) * ROW(INDIRECT("1:"&amp;LEN((--TRIM(RIGHT(SUBSTITUTE(LEFT(A286,_xlfn.AGGREGATE(16,6,FIND({0,1,2,3,4,5,6,7,8,9},A286,ROW(INDIRECT("1:"&amp;LEN(A286)))),1))," ",REPT(" ",LEN(A286))),LEN(A286))))))), 0), ROW(INDIRECT("1:"&amp;LEN((--TRIM(RIGHT(SUBSTITUTE(LEFT(A286,_xlfn.AGGREGATE(16,6,FIND({0,1,2,3,4,5,6,7,8,9},A286,ROW(INDIRECT("1:"&amp;LEN(A286)))),1))," ",REPT(" ",LEN(A286))),LEN(A286))))))))+1, 1) * 10^ROW(INDIRECT("1:"&amp;LEN((--TRIM(RIGHT(SUBSTITUTE(LEFT(A286,_xlfn.AGGREGATE(16,6,FIND({0,1,2,3,4,5,6,7,8,9},A286,ROW(INDIRECT("1:"&amp;LEN(A286)))),1))," ",REPT(" ",LEN(A286))),LEN(A286)))))))/10))*100+1</f>
        <v>1901</v>
      </c>
    </row>
    <row r="288" spans="1:16" s="99" customFormat="1" ht="15.75" customHeight="1" x14ac:dyDescent="0.25">
      <c r="A288" s="115">
        <v>2</v>
      </c>
      <c r="B288" s="101" t="s">
        <v>256</v>
      </c>
      <c r="C288" s="99" t="s">
        <v>223</v>
      </c>
      <c r="D288" s="101">
        <f>(51.89+0.7*(3.05+2.75+2.75))*10.764</f>
        <v>622.9665</v>
      </c>
      <c r="E288" s="101">
        <v>0</v>
      </c>
      <c r="F288" s="101">
        <f t="shared" si="85"/>
        <v>965.59807499999999</v>
      </c>
      <c r="G288" s="128"/>
      <c r="H288" s="129"/>
      <c r="K288" s="32"/>
      <c r="N288" s="99" t="str">
        <f t="shared" ca="1" si="86"/>
        <v>602,..,1902</v>
      </c>
      <c r="O288" s="99">
        <f t="shared" ref="O288:P288" si="87">O287+1</f>
        <v>602</v>
      </c>
      <c r="P288" s="99">
        <f t="shared" ca="1" si="87"/>
        <v>1902</v>
      </c>
    </row>
    <row r="289" spans="1:16" s="99" customFormat="1" ht="15.75" customHeight="1" x14ac:dyDescent="0.25">
      <c r="A289" s="115">
        <v>3</v>
      </c>
      <c r="B289" s="101" t="s">
        <v>256</v>
      </c>
      <c r="C289" s="101" t="s">
        <v>224</v>
      </c>
      <c r="D289" s="101">
        <f t="shared" ref="D289:D290" si="88">(38.44+0.7*(3.05+2.75))*10.764</f>
        <v>457.46999999999997</v>
      </c>
      <c r="E289" s="101">
        <v>0</v>
      </c>
      <c r="F289" s="101">
        <f t="shared" si="85"/>
        <v>709.07849999999996</v>
      </c>
      <c r="G289" s="128"/>
      <c r="H289" s="129"/>
      <c r="K289" s="32">
        <f>7131000/F289</f>
        <v>10056.714454041408</v>
      </c>
      <c r="N289" s="99" t="str">
        <f t="shared" ca="1" si="86"/>
        <v>603,..,1903</v>
      </c>
      <c r="O289" s="99">
        <f t="shared" ref="O289:P289" si="89">O288+1</f>
        <v>603</v>
      </c>
      <c r="P289" s="99">
        <f t="shared" ca="1" si="89"/>
        <v>1903</v>
      </c>
    </row>
    <row r="290" spans="1:16" s="99" customFormat="1" ht="15.75" customHeight="1" x14ac:dyDescent="0.25">
      <c r="A290" s="115">
        <v>4</v>
      </c>
      <c r="B290" s="101" t="s">
        <v>256</v>
      </c>
      <c r="C290" s="101" t="s">
        <v>224</v>
      </c>
      <c r="D290" s="101">
        <f t="shared" si="88"/>
        <v>457.46999999999997</v>
      </c>
      <c r="E290" s="101">
        <v>0</v>
      </c>
      <c r="F290" s="101">
        <f t="shared" si="85"/>
        <v>709.07849999999996</v>
      </c>
      <c r="G290" s="128"/>
      <c r="H290" s="129"/>
      <c r="K290" s="32"/>
      <c r="N290" s="99" t="str">
        <f t="shared" ca="1" si="86"/>
        <v>604,..,1904</v>
      </c>
      <c r="O290" s="99">
        <f t="shared" ref="O290:P290" si="90">O289+1</f>
        <v>604</v>
      </c>
      <c r="P290" s="99">
        <f t="shared" ca="1" si="90"/>
        <v>1904</v>
      </c>
    </row>
    <row r="291" spans="1:16" s="99" customFormat="1" ht="15.75" customHeight="1" x14ac:dyDescent="0.25">
      <c r="A291" s="115">
        <v>5</v>
      </c>
      <c r="B291" s="101" t="s">
        <v>256</v>
      </c>
      <c r="C291" s="101" t="s">
        <v>224</v>
      </c>
      <c r="D291" s="101">
        <f>(38.44+0.7*(3.05+2.75))*10.764</f>
        <v>457.46999999999997</v>
      </c>
      <c r="E291" s="101">
        <v>0</v>
      </c>
      <c r="F291" s="101">
        <f t="shared" si="85"/>
        <v>709.07849999999996</v>
      </c>
      <c r="G291" s="128"/>
      <c r="H291" s="129"/>
      <c r="K291" s="32">
        <f>9803000/F291</f>
        <v>13824.985526990313</v>
      </c>
      <c r="N291" s="99" t="str">
        <f t="shared" ca="1" si="86"/>
        <v>605,..,1905</v>
      </c>
      <c r="O291" s="99">
        <f t="shared" ref="O291:P291" si="91">O290+1</f>
        <v>605</v>
      </c>
      <c r="P291" s="99">
        <f t="shared" ca="1" si="91"/>
        <v>1905</v>
      </c>
    </row>
    <row r="292" spans="1:16" s="99" customFormat="1" ht="15.75" customHeight="1" x14ac:dyDescent="0.25">
      <c r="A292" s="115">
        <v>6</v>
      </c>
      <c r="B292" s="101" t="s">
        <v>256</v>
      </c>
      <c r="C292" s="101" t="s">
        <v>223</v>
      </c>
      <c r="D292" s="101">
        <f>(51.89+0.7*(3.05+2.75+2.75))*10.764</f>
        <v>622.9665</v>
      </c>
      <c r="E292" s="101">
        <v>0</v>
      </c>
      <c r="F292" s="101">
        <f t="shared" si="85"/>
        <v>965.59807499999999</v>
      </c>
      <c r="G292" s="128"/>
      <c r="H292" s="129"/>
      <c r="K292" s="32">
        <f>10000000/F292</f>
        <v>10356.275824182852</v>
      </c>
      <c r="N292" s="99" t="str">
        <f t="shared" ca="1" si="86"/>
        <v>606,..,1906</v>
      </c>
      <c r="O292" s="99">
        <f t="shared" ref="O292:P292" si="92">O291+1</f>
        <v>606</v>
      </c>
      <c r="P292" s="99">
        <f t="shared" ca="1" si="92"/>
        <v>1906</v>
      </c>
    </row>
    <row r="293" spans="1:16" s="99" customFormat="1" ht="15.75" customHeight="1" x14ac:dyDescent="0.25">
      <c r="A293" s="115">
        <v>7</v>
      </c>
      <c r="B293" s="101" t="s">
        <v>256</v>
      </c>
      <c r="C293" s="101" t="s">
        <v>223</v>
      </c>
      <c r="D293" s="101">
        <f>(51.89+0.7*(3.05+2.75+2.75))*10.764</f>
        <v>622.9665</v>
      </c>
      <c r="E293" s="101">
        <v>0</v>
      </c>
      <c r="F293" s="101">
        <f t="shared" si="85"/>
        <v>965.59807499999999</v>
      </c>
      <c r="G293" s="128"/>
      <c r="H293" s="129"/>
      <c r="K293" s="32">
        <f>7131000/F293</f>
        <v>7385.060290224792</v>
      </c>
      <c r="N293" s="99" t="str">
        <f t="shared" ca="1" si="86"/>
        <v>607,..,1907</v>
      </c>
      <c r="O293" s="99">
        <f t="shared" ref="O293:P293" si="93">O292+1</f>
        <v>607</v>
      </c>
      <c r="P293" s="99">
        <f t="shared" ca="1" si="93"/>
        <v>1907</v>
      </c>
    </row>
    <row r="294" spans="1:16" s="99" customFormat="1" ht="15.75" customHeight="1" x14ac:dyDescent="0.25">
      <c r="A294" s="115">
        <v>8</v>
      </c>
      <c r="B294" s="101" t="s">
        <v>256</v>
      </c>
      <c r="C294" s="101" t="s">
        <v>224</v>
      </c>
      <c r="D294" s="101">
        <f>(38.44+0.7*(3.05+2.75))*10.764</f>
        <v>457.46999999999997</v>
      </c>
      <c r="E294" s="101">
        <v>0</v>
      </c>
      <c r="F294" s="101">
        <f t="shared" ref="F294:F295" si="94">D294*(($F$219)+1)+E294</f>
        <v>709.07849999999996</v>
      </c>
      <c r="G294" s="128"/>
      <c r="H294" s="129"/>
      <c r="K294" s="32">
        <f t="shared" ref="K294:K295" si="95">7131000/F294</f>
        <v>10056.714454041408</v>
      </c>
      <c r="N294" s="99" t="str">
        <f t="shared" ref="N294:N295" ca="1" si="96">O294&amp;""&amp;",..,"&amp;""&amp;P294</f>
        <v>608,..,1908</v>
      </c>
      <c r="O294" s="99">
        <f t="shared" ref="O294:P294" si="97">O293+1</f>
        <v>608</v>
      </c>
      <c r="P294" s="99">
        <f t="shared" ca="1" si="97"/>
        <v>1908</v>
      </c>
    </row>
    <row r="295" spans="1:16" s="99" customFormat="1" ht="15.75" customHeight="1" x14ac:dyDescent="0.25">
      <c r="A295" s="115">
        <v>9</v>
      </c>
      <c r="B295" s="101" t="s">
        <v>256</v>
      </c>
      <c r="C295" s="101" t="s">
        <v>224</v>
      </c>
      <c r="D295" s="101">
        <f>(38.44+0.7*(3.05+2.75))*10.764</f>
        <v>457.46999999999997</v>
      </c>
      <c r="E295" s="101">
        <v>0</v>
      </c>
      <c r="F295" s="101">
        <f t="shared" si="94"/>
        <v>709.07849999999996</v>
      </c>
      <c r="G295" s="133"/>
      <c r="H295" s="134"/>
      <c r="K295" s="32">
        <f t="shared" si="95"/>
        <v>10056.714454041408</v>
      </c>
      <c r="N295" s="99" t="str">
        <f t="shared" ca="1" si="96"/>
        <v>609,..,1909</v>
      </c>
      <c r="O295" s="99">
        <f t="shared" ref="O295:P295" si="98">O294+1</f>
        <v>609</v>
      </c>
      <c r="P295" s="99">
        <f t="shared" ca="1" si="98"/>
        <v>1909</v>
      </c>
    </row>
    <row r="296" spans="1:16" s="99" customFormat="1" x14ac:dyDescent="0.25">
      <c r="A296" s="130" t="s">
        <v>279</v>
      </c>
      <c r="B296" s="131"/>
      <c r="C296" s="131"/>
      <c r="D296" s="131"/>
      <c r="E296" s="131"/>
      <c r="F296" s="131"/>
      <c r="G296" s="131"/>
      <c r="H296" s="132"/>
      <c r="K296" s="32"/>
    </row>
    <row r="297" spans="1:16" s="99" customFormat="1" ht="15.75" customHeight="1" x14ac:dyDescent="0.25">
      <c r="A297" s="115">
        <v>1</v>
      </c>
      <c r="B297" s="101" t="s">
        <v>256</v>
      </c>
      <c r="C297" s="101" t="s">
        <v>223</v>
      </c>
      <c r="D297" s="101">
        <f>(51.89+0.7*(3.05+2.75+2.75))*10.764</f>
        <v>622.9665</v>
      </c>
      <c r="E297" s="101">
        <v>0</v>
      </c>
      <c r="F297" s="101">
        <f t="shared" ref="F297:F303" si="99">D297*(($F$219)+1)+E297</f>
        <v>965.59807499999999</v>
      </c>
      <c r="G297" s="126" t="str">
        <f>A296</f>
        <v>22nd, 24th, 26th, 28th &amp; 30th Floor</v>
      </c>
      <c r="H297" s="127"/>
      <c r="K297" s="32"/>
      <c r="N297" s="99" t="str">
        <f t="shared" ref="N297:N303" ca="1" si="100">O297&amp;""&amp;",..,"&amp;""&amp;P297</f>
        <v>701,..,3001</v>
      </c>
      <c r="O297" s="99">
        <v>701</v>
      </c>
      <c r="P297" s="99">
        <f ca="1">(SUMPRODUCT(MID(0&amp;(--TRIM(RIGHT(SUBSTITUTE(LEFT(A296,_xlfn.AGGREGATE(16,6,FIND({0,1,2,3,4,5,6,7,8,9},A296,ROW(INDIRECT("1:"&amp;LEN(A296)))),1))," ",REPT(" ",LEN(A296))),LEN(A296)))), LARGE(INDEX(ISNUMBER(--MID((--TRIM(RIGHT(SUBSTITUTE(LEFT(A296,_xlfn.AGGREGATE(16,6,FIND({0,1,2,3,4,5,6,7,8,9},A296,ROW(INDIRECT("1:"&amp;LEN(A296)))),1))," ",REPT(" ",LEN(A296))),LEN(A296)))), ROW(INDIRECT("1:"&amp;LEN((--TRIM(RIGHT(SUBSTITUTE(LEFT(A296,_xlfn.AGGREGATE(16,6,FIND({0,1,2,3,4,5,6,7,8,9},A296,ROW(INDIRECT("1:"&amp;LEN(A296)))),1))," ",REPT(" ",LEN(A296))),LEN(A296))))))), 1)) * ROW(INDIRECT("1:"&amp;LEN((--TRIM(RIGHT(SUBSTITUTE(LEFT(A296,_xlfn.AGGREGATE(16,6,FIND({0,1,2,3,4,5,6,7,8,9},A296,ROW(INDIRECT("1:"&amp;LEN(A296)))),1))," ",REPT(" ",LEN(A296))),LEN(A296))))))), 0), ROW(INDIRECT("1:"&amp;LEN((--TRIM(RIGHT(SUBSTITUTE(LEFT(A296,_xlfn.AGGREGATE(16,6,FIND({0,1,2,3,4,5,6,7,8,9},A296,ROW(INDIRECT("1:"&amp;LEN(A296)))),1))," ",REPT(" ",LEN(A296))),LEN(A296))))))))+1, 1) * 10^ROW(INDIRECT("1:"&amp;LEN((--TRIM(RIGHT(SUBSTITUTE(LEFT(A296,_xlfn.AGGREGATE(16,6,FIND({0,1,2,3,4,5,6,7,8,9},A296,ROW(INDIRECT("1:"&amp;LEN(A296)))),1))," ",REPT(" ",LEN(A296))),LEN(A296)))))))/10))*100+1</f>
        <v>3001</v>
      </c>
    </row>
    <row r="298" spans="1:16" s="99" customFormat="1" ht="15.75" customHeight="1" x14ac:dyDescent="0.25">
      <c r="A298" s="115">
        <v>2</v>
      </c>
      <c r="B298" s="101" t="s">
        <v>256</v>
      </c>
      <c r="C298" s="99" t="s">
        <v>223</v>
      </c>
      <c r="D298" s="101">
        <f>(51.89+0.7*(3.05+2.75+2.75))*10.764</f>
        <v>622.9665</v>
      </c>
      <c r="E298" s="101">
        <v>0</v>
      </c>
      <c r="F298" s="101">
        <f t="shared" si="99"/>
        <v>965.59807499999999</v>
      </c>
      <c r="G298" s="128"/>
      <c r="H298" s="129"/>
      <c r="K298" s="32"/>
      <c r="N298" s="99" t="str">
        <f t="shared" ca="1" si="100"/>
        <v>702,..,3002</v>
      </c>
      <c r="O298" s="99">
        <f t="shared" ref="O298:P298" si="101">O297+1</f>
        <v>702</v>
      </c>
      <c r="P298" s="99">
        <f t="shared" ca="1" si="101"/>
        <v>3002</v>
      </c>
    </row>
    <row r="299" spans="1:16" s="99" customFormat="1" ht="15.75" customHeight="1" x14ac:dyDescent="0.25">
      <c r="A299" s="115">
        <v>3</v>
      </c>
      <c r="B299" s="101" t="s">
        <v>256</v>
      </c>
      <c r="C299" s="101" t="s">
        <v>224</v>
      </c>
      <c r="D299" s="101">
        <f t="shared" ref="D299:D300" si="102">(38.44+0.7*(3.05+2.75))*10.764</f>
        <v>457.46999999999997</v>
      </c>
      <c r="E299" s="101">
        <v>0</v>
      </c>
      <c r="F299" s="101">
        <f t="shared" si="99"/>
        <v>709.07849999999996</v>
      </c>
      <c r="G299" s="128"/>
      <c r="H299" s="129"/>
      <c r="K299" s="32"/>
      <c r="N299" s="99" t="str">
        <f t="shared" ca="1" si="100"/>
        <v>703,..,3003</v>
      </c>
      <c r="O299" s="99">
        <f t="shared" ref="O299:P299" si="103">O298+1</f>
        <v>703</v>
      </c>
      <c r="P299" s="99">
        <f t="shared" ca="1" si="103"/>
        <v>3003</v>
      </c>
    </row>
    <row r="300" spans="1:16" s="99" customFormat="1" ht="15.75" customHeight="1" x14ac:dyDescent="0.25">
      <c r="A300" s="115">
        <v>4</v>
      </c>
      <c r="B300" s="101" t="s">
        <v>256</v>
      </c>
      <c r="C300" s="101" t="s">
        <v>224</v>
      </c>
      <c r="D300" s="101">
        <f t="shared" si="102"/>
        <v>457.46999999999997</v>
      </c>
      <c r="E300" s="101">
        <v>0</v>
      </c>
      <c r="F300" s="101">
        <f t="shared" si="99"/>
        <v>709.07849999999996</v>
      </c>
      <c r="G300" s="128"/>
      <c r="H300" s="129"/>
      <c r="K300" s="32">
        <f>5750000/F300</f>
        <v>8109.1162685090585</v>
      </c>
      <c r="N300" s="99" t="str">
        <f t="shared" ca="1" si="100"/>
        <v>704,..,3004</v>
      </c>
      <c r="O300" s="99">
        <f t="shared" ref="O300:P300" si="104">O299+1</f>
        <v>704</v>
      </c>
      <c r="P300" s="99">
        <f t="shared" ca="1" si="104"/>
        <v>3004</v>
      </c>
    </row>
    <row r="301" spans="1:16" s="99" customFormat="1" ht="15.75" customHeight="1" x14ac:dyDescent="0.25">
      <c r="A301" s="115">
        <v>5</v>
      </c>
      <c r="B301" s="101" t="s">
        <v>256</v>
      </c>
      <c r="C301" s="101" t="s">
        <v>224</v>
      </c>
      <c r="D301" s="101">
        <f>(38.44+0.7*(3.05+2.75))*10.764</f>
        <v>457.46999999999997</v>
      </c>
      <c r="E301" s="101">
        <v>0</v>
      </c>
      <c r="F301" s="101">
        <f t="shared" si="99"/>
        <v>709.07849999999996</v>
      </c>
      <c r="G301" s="128"/>
      <c r="H301" s="129"/>
      <c r="K301" s="32"/>
      <c r="N301" s="99" t="str">
        <f t="shared" ca="1" si="100"/>
        <v>705,..,3005</v>
      </c>
      <c r="O301" s="99">
        <f t="shared" ref="O301:P301" si="105">O300+1</f>
        <v>705</v>
      </c>
      <c r="P301" s="99">
        <f t="shared" ca="1" si="105"/>
        <v>3005</v>
      </c>
    </row>
    <row r="302" spans="1:16" s="99" customFormat="1" ht="15.75" customHeight="1" x14ac:dyDescent="0.25">
      <c r="A302" s="115">
        <v>6</v>
      </c>
      <c r="B302" s="101" t="s">
        <v>256</v>
      </c>
      <c r="C302" s="101" t="s">
        <v>223</v>
      </c>
      <c r="D302" s="101">
        <f>(51.89+0.7*(3.05+2.75+2.75))*10.764</f>
        <v>622.9665</v>
      </c>
      <c r="E302" s="101">
        <v>0</v>
      </c>
      <c r="F302" s="101">
        <f t="shared" si="99"/>
        <v>965.59807499999999</v>
      </c>
      <c r="G302" s="128"/>
      <c r="H302" s="129"/>
      <c r="K302" s="32">
        <f>9050000/F302</f>
        <v>9372.4296208854812</v>
      </c>
      <c r="L302" s="99">
        <f>9995000-9795000</f>
        <v>200000</v>
      </c>
      <c r="N302" s="99" t="str">
        <f t="shared" ca="1" si="100"/>
        <v>706,..,3006</v>
      </c>
      <c r="O302" s="99">
        <f t="shared" ref="O302:P302" si="106">O301+1</f>
        <v>706</v>
      </c>
      <c r="P302" s="99">
        <f t="shared" ca="1" si="106"/>
        <v>3006</v>
      </c>
    </row>
    <row r="303" spans="1:16" s="99" customFormat="1" ht="15.75" customHeight="1" x14ac:dyDescent="0.25">
      <c r="A303" s="115">
        <v>7</v>
      </c>
      <c r="B303" s="101" t="s">
        <v>256</v>
      </c>
      <c r="C303" s="101" t="s">
        <v>223</v>
      </c>
      <c r="D303" s="101">
        <f>(51.89+0.7*(3.05+2.75+2.75))*10.764</f>
        <v>622.9665</v>
      </c>
      <c r="E303" s="101">
        <v>0</v>
      </c>
      <c r="F303" s="101">
        <f t="shared" si="99"/>
        <v>965.59807499999999</v>
      </c>
      <c r="G303" s="128"/>
      <c r="H303" s="129"/>
      <c r="K303" s="32"/>
      <c r="N303" s="99" t="str">
        <f t="shared" ca="1" si="100"/>
        <v>707,..,3007</v>
      </c>
      <c r="O303" s="99">
        <f t="shared" ref="O303:P303" si="107">O302+1</f>
        <v>707</v>
      </c>
      <c r="P303" s="99">
        <f t="shared" ca="1" si="107"/>
        <v>3007</v>
      </c>
    </row>
    <row r="304" spans="1:16" s="99" customFormat="1" ht="15.75" customHeight="1" x14ac:dyDescent="0.25">
      <c r="A304" s="115">
        <v>8</v>
      </c>
      <c r="B304" s="101" t="s">
        <v>256</v>
      </c>
      <c r="C304" s="101" t="s">
        <v>224</v>
      </c>
      <c r="D304" s="101">
        <f>(38.44+0.7*(3.05+2.75))*10.764</f>
        <v>457.46999999999997</v>
      </c>
      <c r="E304" s="101">
        <v>0</v>
      </c>
      <c r="F304" s="101">
        <f t="shared" ref="F304:F305" si="108">D304*(($F$219)+1)+E304</f>
        <v>709.07849999999996</v>
      </c>
      <c r="G304" s="128"/>
      <c r="H304" s="129"/>
      <c r="K304" s="32"/>
      <c r="N304" s="99" t="str">
        <f t="shared" ref="N304:N305" ca="1" si="109">O304&amp;""&amp;",..,"&amp;""&amp;P304</f>
        <v>708,..,3008</v>
      </c>
      <c r="O304" s="99">
        <f t="shared" ref="O304:P304" si="110">O303+1</f>
        <v>708</v>
      </c>
      <c r="P304" s="99">
        <f t="shared" ca="1" si="110"/>
        <v>3008</v>
      </c>
    </row>
    <row r="305" spans="1:16" s="99" customFormat="1" ht="15.75" customHeight="1" x14ac:dyDescent="0.25">
      <c r="A305" s="115">
        <v>9</v>
      </c>
      <c r="B305" s="101" t="s">
        <v>256</v>
      </c>
      <c r="C305" s="101" t="s">
        <v>224</v>
      </c>
      <c r="D305" s="101">
        <f>(38.44+0.7*(3.05+2.75))*10.764</f>
        <v>457.46999999999997</v>
      </c>
      <c r="E305" s="101">
        <v>0</v>
      </c>
      <c r="F305" s="101">
        <f t="shared" si="108"/>
        <v>709.07849999999996</v>
      </c>
      <c r="G305" s="133"/>
      <c r="H305" s="134"/>
      <c r="K305" s="32"/>
      <c r="N305" s="99" t="str">
        <f t="shared" ca="1" si="109"/>
        <v>709,..,3009</v>
      </c>
      <c r="O305" s="99">
        <f t="shared" ref="O305:P305" si="111">O304+1</f>
        <v>709</v>
      </c>
      <c r="P305" s="99">
        <f t="shared" ca="1" si="111"/>
        <v>3009</v>
      </c>
    </row>
    <row r="306" spans="1:16" s="99" customFormat="1" ht="36" customHeight="1" x14ac:dyDescent="0.25">
      <c r="A306" s="130" t="s">
        <v>280</v>
      </c>
      <c r="B306" s="131"/>
      <c r="C306" s="131"/>
      <c r="D306" s="131"/>
      <c r="E306" s="131"/>
      <c r="F306" s="131"/>
      <c r="G306" s="131"/>
      <c r="H306" s="132"/>
      <c r="K306" s="32"/>
    </row>
    <row r="307" spans="1:16" s="99" customFormat="1" ht="15.75" customHeight="1" x14ac:dyDescent="0.25">
      <c r="A307" s="115">
        <v>1</v>
      </c>
      <c r="B307" s="101" t="s">
        <v>256</v>
      </c>
      <c r="C307" s="101" t="s">
        <v>223</v>
      </c>
      <c r="D307" s="101">
        <f>(51.89+0.7*(3.05+2.75+2.75))*10.764</f>
        <v>622.9665</v>
      </c>
      <c r="E307" s="101">
        <v>0</v>
      </c>
      <c r="F307" s="101">
        <f t="shared" ref="F307:F313" si="112">D307*(($F$219)+1)+E307</f>
        <v>965.59807499999999</v>
      </c>
      <c r="G307" s="126" t="str">
        <f>A306</f>
        <v>21st, 23rd, 25th, 27th &amp; 29th Floor 
(Refuge area at Staircase Mid landing)</v>
      </c>
      <c r="H307" s="127"/>
      <c r="K307" s="101">
        <v>10.763999999999999</v>
      </c>
      <c r="N307" s="99" t="str">
        <f t="shared" ref="N307:N313" ca="1" si="113">O307&amp;""&amp;",..,"&amp;""&amp;P307</f>
        <v>701,..,2901</v>
      </c>
      <c r="O307" s="99">
        <v>701</v>
      </c>
      <c r="P307" s="99">
        <f ca="1">(SUMPRODUCT(MID(0&amp;(--TRIM(RIGHT(SUBSTITUTE(LEFT(A306,_xlfn.AGGREGATE(16,6,FIND({0,1,2,3,4,5,6,7,8,9},A306,ROW(INDIRECT("1:"&amp;LEN(A306)))),1))," ",REPT(" ",LEN(A306))),LEN(A306)))), LARGE(INDEX(ISNUMBER(--MID((--TRIM(RIGHT(SUBSTITUTE(LEFT(A306,_xlfn.AGGREGATE(16,6,FIND({0,1,2,3,4,5,6,7,8,9},A306,ROW(INDIRECT("1:"&amp;LEN(A306)))),1))," ",REPT(" ",LEN(A306))),LEN(A306)))), ROW(INDIRECT("1:"&amp;LEN((--TRIM(RIGHT(SUBSTITUTE(LEFT(A306,_xlfn.AGGREGATE(16,6,FIND({0,1,2,3,4,5,6,7,8,9},A306,ROW(INDIRECT("1:"&amp;LEN(A306)))),1))," ",REPT(" ",LEN(A306))),LEN(A306))))))), 1)) * ROW(INDIRECT("1:"&amp;LEN((--TRIM(RIGHT(SUBSTITUTE(LEFT(A306,_xlfn.AGGREGATE(16,6,FIND({0,1,2,3,4,5,6,7,8,9},A306,ROW(INDIRECT("1:"&amp;LEN(A306)))),1))," ",REPT(" ",LEN(A306))),LEN(A306))))))), 0), ROW(INDIRECT("1:"&amp;LEN((--TRIM(RIGHT(SUBSTITUTE(LEFT(A306,_xlfn.AGGREGATE(16,6,FIND({0,1,2,3,4,5,6,7,8,9},A306,ROW(INDIRECT("1:"&amp;LEN(A306)))),1))," ",REPT(" ",LEN(A306))),LEN(A306))))))))+1, 1) * 10^ROW(INDIRECT("1:"&amp;LEN((--TRIM(RIGHT(SUBSTITUTE(LEFT(A306,_xlfn.AGGREGATE(16,6,FIND({0,1,2,3,4,5,6,7,8,9},A306,ROW(INDIRECT("1:"&amp;LEN(A306)))),1))," ",REPT(" ",LEN(A306))),LEN(A306)))))))/10))*100+1</f>
        <v>2901</v>
      </c>
    </row>
    <row r="308" spans="1:16" s="99" customFormat="1" ht="15.75" customHeight="1" x14ac:dyDescent="0.25">
      <c r="A308" s="115">
        <v>2</v>
      </c>
      <c r="B308" s="101" t="s">
        <v>256</v>
      </c>
      <c r="C308" s="99" t="s">
        <v>223</v>
      </c>
      <c r="D308" s="101">
        <f>(51.89+0.7*(3.05+2.75+2.75))*10.764</f>
        <v>622.9665</v>
      </c>
      <c r="E308" s="101">
        <v>0</v>
      </c>
      <c r="F308" s="101">
        <f t="shared" si="112"/>
        <v>965.59807499999999</v>
      </c>
      <c r="G308" s="128"/>
      <c r="H308" s="129"/>
      <c r="K308" s="32"/>
      <c r="N308" s="99" t="str">
        <f t="shared" ca="1" si="113"/>
        <v>702,..,2902</v>
      </c>
      <c r="O308" s="99">
        <f t="shared" ref="O308:P308" si="114">O307+1</f>
        <v>702</v>
      </c>
      <c r="P308" s="99">
        <f t="shared" ca="1" si="114"/>
        <v>2902</v>
      </c>
    </row>
    <row r="309" spans="1:16" s="99" customFormat="1" ht="15.75" customHeight="1" x14ac:dyDescent="0.25">
      <c r="A309" s="115">
        <v>3</v>
      </c>
      <c r="B309" s="101" t="s">
        <v>256</v>
      </c>
      <c r="C309" s="101" t="s">
        <v>224</v>
      </c>
      <c r="D309" s="101">
        <f t="shared" ref="D309:D310" si="115">(38.44+0.7*(3.05+2.75))*10.764</f>
        <v>457.46999999999997</v>
      </c>
      <c r="E309" s="101">
        <v>0</v>
      </c>
      <c r="F309" s="101">
        <f t="shared" si="112"/>
        <v>709.07849999999996</v>
      </c>
      <c r="G309" s="128"/>
      <c r="H309" s="129"/>
      <c r="K309" s="32"/>
      <c r="N309" s="99" t="str">
        <f t="shared" ca="1" si="113"/>
        <v>703,..,2903</v>
      </c>
      <c r="O309" s="99">
        <f t="shared" ref="O309:P309" si="116">O308+1</f>
        <v>703</v>
      </c>
      <c r="P309" s="99">
        <f t="shared" ca="1" si="116"/>
        <v>2903</v>
      </c>
    </row>
    <row r="310" spans="1:16" s="99" customFormat="1" ht="15.75" customHeight="1" x14ac:dyDescent="0.25">
      <c r="A310" s="115">
        <v>4</v>
      </c>
      <c r="B310" s="101" t="s">
        <v>256</v>
      </c>
      <c r="C310" s="101" t="s">
        <v>224</v>
      </c>
      <c r="D310" s="101">
        <f t="shared" si="115"/>
        <v>457.46999999999997</v>
      </c>
      <c r="E310" s="101">
        <v>0</v>
      </c>
      <c r="F310" s="101">
        <f t="shared" si="112"/>
        <v>709.07849999999996</v>
      </c>
      <c r="G310" s="128"/>
      <c r="H310" s="129"/>
      <c r="K310" s="32">
        <f>5750000/F310</f>
        <v>8109.1162685090585</v>
      </c>
      <c r="N310" s="99" t="str">
        <f t="shared" ca="1" si="113"/>
        <v>704,..,2904</v>
      </c>
      <c r="O310" s="99">
        <f t="shared" ref="O310:P310" si="117">O309+1</f>
        <v>704</v>
      </c>
      <c r="P310" s="99">
        <f t="shared" ca="1" si="117"/>
        <v>2904</v>
      </c>
    </row>
    <row r="311" spans="1:16" s="99" customFormat="1" ht="15.75" customHeight="1" x14ac:dyDescent="0.25">
      <c r="A311" s="115">
        <v>5</v>
      </c>
      <c r="B311" s="101" t="s">
        <v>256</v>
      </c>
      <c r="C311" s="101" t="s">
        <v>224</v>
      </c>
      <c r="D311" s="101">
        <f>(38.44+0.7*(3.05+2.75))*10.764</f>
        <v>457.46999999999997</v>
      </c>
      <c r="E311" s="101">
        <v>0</v>
      </c>
      <c r="F311" s="101">
        <f t="shared" si="112"/>
        <v>709.07849999999996</v>
      </c>
      <c r="G311" s="128"/>
      <c r="H311" s="129"/>
      <c r="K311" s="32"/>
      <c r="N311" s="99" t="str">
        <f t="shared" ca="1" si="113"/>
        <v>705,..,2905</v>
      </c>
      <c r="O311" s="99">
        <f t="shared" ref="O311:P311" si="118">O310+1</f>
        <v>705</v>
      </c>
      <c r="P311" s="99">
        <f t="shared" ca="1" si="118"/>
        <v>2905</v>
      </c>
    </row>
    <row r="312" spans="1:16" s="99" customFormat="1" ht="15.75" customHeight="1" x14ac:dyDescent="0.25">
      <c r="A312" s="115">
        <v>6</v>
      </c>
      <c r="B312" s="101" t="s">
        <v>256</v>
      </c>
      <c r="C312" s="101" t="s">
        <v>223</v>
      </c>
      <c r="D312" s="101">
        <f>(51.89+0.7*(3.05+2.75+2.75))*10.764</f>
        <v>622.9665</v>
      </c>
      <c r="E312" s="101">
        <v>0</v>
      </c>
      <c r="F312" s="101">
        <f t="shared" si="112"/>
        <v>965.59807499999999</v>
      </c>
      <c r="G312" s="128"/>
      <c r="H312" s="129"/>
      <c r="K312" s="32">
        <f>9050000/F312</f>
        <v>9372.4296208854812</v>
      </c>
      <c r="L312" s="99">
        <f>9995000-9795000</f>
        <v>200000</v>
      </c>
      <c r="N312" s="99" t="str">
        <f t="shared" ca="1" si="113"/>
        <v>706,..,2906</v>
      </c>
      <c r="O312" s="99">
        <f t="shared" ref="O312:P312" si="119">O311+1</f>
        <v>706</v>
      </c>
      <c r="P312" s="99">
        <f t="shared" ca="1" si="119"/>
        <v>2906</v>
      </c>
    </row>
    <row r="313" spans="1:16" s="99" customFormat="1" ht="15.75" customHeight="1" x14ac:dyDescent="0.25">
      <c r="A313" s="115">
        <v>7</v>
      </c>
      <c r="B313" s="101" t="s">
        <v>256</v>
      </c>
      <c r="C313" s="101" t="s">
        <v>223</v>
      </c>
      <c r="D313" s="101">
        <f>(51.89+0.7*(3.05+2.75+2.75))*10.764</f>
        <v>622.9665</v>
      </c>
      <c r="E313" s="101">
        <v>0</v>
      </c>
      <c r="F313" s="101">
        <f t="shared" si="112"/>
        <v>965.59807499999999</v>
      </c>
      <c r="G313" s="128"/>
      <c r="H313" s="129"/>
      <c r="K313" s="32"/>
      <c r="N313" s="99" t="str">
        <f t="shared" ca="1" si="113"/>
        <v>707,..,2907</v>
      </c>
      <c r="O313" s="99">
        <f t="shared" ref="O313:P313" si="120">O312+1</f>
        <v>707</v>
      </c>
      <c r="P313" s="99">
        <f t="shared" ca="1" si="120"/>
        <v>2907</v>
      </c>
    </row>
    <row r="314" spans="1:16" s="99" customFormat="1" ht="15.75" customHeight="1" x14ac:dyDescent="0.25">
      <c r="A314" s="115">
        <v>8</v>
      </c>
      <c r="B314" s="101" t="s">
        <v>256</v>
      </c>
      <c r="C314" s="101" t="s">
        <v>224</v>
      </c>
      <c r="D314" s="101">
        <f>(38.44+0.7*(3.05+2.75))*10.764</f>
        <v>457.46999999999997</v>
      </c>
      <c r="E314" s="101">
        <v>0</v>
      </c>
      <c r="F314" s="101">
        <f t="shared" ref="F314:F315" si="121">D314*(($F$219)+1)+E314</f>
        <v>709.07849999999996</v>
      </c>
      <c r="G314" s="128"/>
      <c r="H314" s="129"/>
      <c r="K314" s="32"/>
      <c r="N314" s="99" t="str">
        <f t="shared" ref="N314:N315" ca="1" si="122">O314&amp;""&amp;",..,"&amp;""&amp;P314</f>
        <v>708,..,2908</v>
      </c>
      <c r="O314" s="99">
        <f t="shared" ref="O314:P314" si="123">O313+1</f>
        <v>708</v>
      </c>
      <c r="P314" s="99">
        <f t="shared" ca="1" si="123"/>
        <v>2908</v>
      </c>
    </row>
    <row r="315" spans="1:16" s="99" customFormat="1" ht="15.75" customHeight="1" x14ac:dyDescent="0.25">
      <c r="A315" s="115">
        <v>9</v>
      </c>
      <c r="B315" s="101" t="s">
        <v>256</v>
      </c>
      <c r="C315" s="101" t="s">
        <v>224</v>
      </c>
      <c r="D315" s="101">
        <f>(38.44+0.7*(3.05+2.75))*10.764</f>
        <v>457.46999999999997</v>
      </c>
      <c r="E315" s="101">
        <v>0</v>
      </c>
      <c r="F315" s="101">
        <f t="shared" si="121"/>
        <v>709.07849999999996</v>
      </c>
      <c r="G315" s="133"/>
      <c r="H315" s="134"/>
      <c r="K315" s="32"/>
      <c r="N315" s="99" t="str">
        <f t="shared" ca="1" si="122"/>
        <v>709,..,2909</v>
      </c>
      <c r="O315" s="99">
        <f t="shared" ref="O315:P315" si="124">O314+1</f>
        <v>709</v>
      </c>
      <c r="P315" s="99">
        <f t="shared" ca="1" si="124"/>
        <v>2909</v>
      </c>
    </row>
    <row r="316" spans="1:16" s="1" customFormat="1" x14ac:dyDescent="0.25">
      <c r="A316" s="180" t="s">
        <v>78</v>
      </c>
      <c r="B316" s="180"/>
      <c r="C316" s="180"/>
      <c r="D316" s="180"/>
      <c r="E316" s="180"/>
      <c r="F316" s="180"/>
      <c r="G316" s="180"/>
      <c r="H316" s="180"/>
    </row>
    <row r="317" spans="1:16" s="1" customFormat="1" ht="33.6" customHeight="1" x14ac:dyDescent="0.25">
      <c r="A317" s="48">
        <v>1</v>
      </c>
      <c r="B317" s="122" t="s">
        <v>319</v>
      </c>
      <c r="C317" s="123"/>
      <c r="D317" s="123"/>
      <c r="E317" s="123"/>
      <c r="F317" s="123"/>
      <c r="G317" s="123"/>
      <c r="H317" s="124"/>
    </row>
    <row r="318" spans="1:16" s="1" customFormat="1" x14ac:dyDescent="0.25">
      <c r="A318" s="48">
        <f>A317+1</f>
        <v>2</v>
      </c>
      <c r="B318" s="122" t="s">
        <v>235</v>
      </c>
      <c r="C318" s="123"/>
      <c r="D318" s="123"/>
      <c r="E318" s="123"/>
      <c r="F318" s="123"/>
      <c r="G318" s="123"/>
      <c r="H318" s="124"/>
    </row>
    <row r="319" spans="1:16" s="1" customFormat="1" x14ac:dyDescent="0.25">
      <c r="A319" s="48">
        <f t="shared" ref="A319:A325" si="125">A318+1</f>
        <v>3</v>
      </c>
      <c r="B319" s="209" t="s">
        <v>164</v>
      </c>
      <c r="C319" s="210"/>
      <c r="D319" s="210"/>
      <c r="E319" s="210"/>
      <c r="F319" s="210"/>
      <c r="G319" s="210"/>
      <c r="H319" s="211"/>
    </row>
    <row r="320" spans="1:16" s="1" customFormat="1" x14ac:dyDescent="0.25">
      <c r="A320" s="48">
        <f t="shared" si="125"/>
        <v>4</v>
      </c>
      <c r="B320" s="209" t="s">
        <v>284</v>
      </c>
      <c r="C320" s="210"/>
      <c r="D320" s="210"/>
      <c r="E320" s="210"/>
      <c r="F320" s="210"/>
      <c r="G320" s="210"/>
      <c r="H320" s="211"/>
    </row>
    <row r="321" spans="1:8" s="1" customFormat="1" x14ac:dyDescent="0.25">
      <c r="A321" s="48">
        <f t="shared" si="125"/>
        <v>5</v>
      </c>
      <c r="B321" s="209" t="s">
        <v>166</v>
      </c>
      <c r="C321" s="210"/>
      <c r="D321" s="210"/>
      <c r="E321" s="210"/>
      <c r="F321" s="210"/>
      <c r="G321" s="210"/>
      <c r="H321" s="211"/>
    </row>
    <row r="322" spans="1:8" s="1" customFormat="1" x14ac:dyDescent="0.25">
      <c r="A322" s="48">
        <f t="shared" si="125"/>
        <v>6</v>
      </c>
      <c r="B322" s="209" t="s">
        <v>167</v>
      </c>
      <c r="C322" s="210"/>
      <c r="D322" s="210"/>
      <c r="E322" s="210"/>
      <c r="F322" s="210"/>
      <c r="G322" s="210"/>
      <c r="H322" s="211"/>
    </row>
    <row r="323" spans="1:8" s="1" customFormat="1" hidden="1" x14ac:dyDescent="0.25">
      <c r="A323" s="48">
        <f t="shared" si="125"/>
        <v>7</v>
      </c>
      <c r="B323" s="122" t="s">
        <v>260</v>
      </c>
      <c r="C323" s="123"/>
      <c r="D323" s="123"/>
      <c r="E323" s="123"/>
      <c r="F323" s="123"/>
      <c r="G323" s="123"/>
      <c r="H323" s="124"/>
    </row>
    <row r="324" spans="1:8" s="1" customFormat="1" x14ac:dyDescent="0.25">
      <c r="A324" s="104">
        <v>7</v>
      </c>
      <c r="B324" s="122" t="s">
        <v>313</v>
      </c>
      <c r="C324" s="123"/>
      <c r="D324" s="123"/>
      <c r="E324" s="123"/>
      <c r="F324" s="123"/>
      <c r="G324" s="123"/>
      <c r="H324" s="124"/>
    </row>
    <row r="325" spans="1:8" s="1" customFormat="1" x14ac:dyDescent="0.25">
      <c r="A325" s="104">
        <f t="shared" si="125"/>
        <v>8</v>
      </c>
      <c r="B325" s="122" t="s">
        <v>298</v>
      </c>
      <c r="C325" s="123"/>
      <c r="D325" s="123"/>
      <c r="E325" s="123"/>
      <c r="F325" s="123"/>
      <c r="G325" s="123"/>
      <c r="H325" s="124"/>
    </row>
    <row r="326" spans="1:8" x14ac:dyDescent="0.25">
      <c r="A326" s="181" t="s">
        <v>71</v>
      </c>
      <c r="B326" s="181"/>
      <c r="C326" s="181"/>
      <c r="D326" s="181"/>
      <c r="E326" s="181"/>
      <c r="F326" s="181"/>
      <c r="G326" s="181"/>
      <c r="H326" s="181"/>
    </row>
    <row r="327" spans="1:8" x14ac:dyDescent="0.25">
      <c r="A327" s="148" t="s">
        <v>72</v>
      </c>
      <c r="B327" s="148"/>
      <c r="C327" s="148"/>
      <c r="D327" s="148"/>
      <c r="E327" s="148"/>
      <c r="F327" s="148"/>
      <c r="G327" s="148"/>
      <c r="H327" s="148"/>
    </row>
    <row r="328" spans="1:8" ht="15.75" customHeight="1" x14ac:dyDescent="0.25">
      <c r="A328" s="200" t="s">
        <v>73</v>
      </c>
      <c r="B328" s="200"/>
      <c r="C328" s="200"/>
      <c r="D328" s="200"/>
      <c r="E328" s="200"/>
      <c r="F328" s="200"/>
      <c r="G328" s="200"/>
      <c r="H328" s="200"/>
    </row>
    <row r="329" spans="1:8" x14ac:dyDescent="0.25">
      <c r="A329" s="148" t="s">
        <v>74</v>
      </c>
      <c r="B329" s="148"/>
      <c r="C329" s="148"/>
      <c r="D329" s="148"/>
      <c r="E329" s="148"/>
      <c r="F329" s="148"/>
      <c r="G329" s="148"/>
      <c r="H329" s="148"/>
    </row>
    <row r="330" spans="1:8" x14ac:dyDescent="0.25">
      <c r="A330" s="148" t="s">
        <v>75</v>
      </c>
      <c r="B330" s="148"/>
      <c r="C330" s="148"/>
      <c r="D330" s="148"/>
      <c r="E330" s="148"/>
      <c r="F330" s="148"/>
      <c r="G330" s="148"/>
      <c r="H330" s="148"/>
    </row>
    <row r="331" spans="1:8" x14ac:dyDescent="0.25">
      <c r="A331" s="148" t="s">
        <v>168</v>
      </c>
      <c r="B331" s="148"/>
      <c r="C331" s="148"/>
      <c r="D331" s="148"/>
      <c r="E331" s="148"/>
      <c r="F331" s="148"/>
      <c r="G331" s="148"/>
      <c r="H331" s="148"/>
    </row>
    <row r="332" spans="1:8" ht="35.25" customHeight="1" x14ac:dyDescent="0.25">
      <c r="A332" s="175" t="s">
        <v>169</v>
      </c>
      <c r="B332" s="175"/>
      <c r="C332" s="175"/>
      <c r="D332" s="175"/>
      <c r="E332" s="175"/>
      <c r="F332" s="175"/>
      <c r="G332" s="175"/>
      <c r="H332" s="175"/>
    </row>
    <row r="333" spans="1:8" x14ac:dyDescent="0.25">
      <c r="A333" s="179" t="s">
        <v>110</v>
      </c>
      <c r="B333" s="179"/>
      <c r="C333" s="179" t="s">
        <v>322</v>
      </c>
      <c r="D333" s="179"/>
      <c r="E333" s="179" t="s">
        <v>143</v>
      </c>
      <c r="F333" s="179"/>
      <c r="G333" s="179" t="s">
        <v>321</v>
      </c>
      <c r="H333" s="179"/>
    </row>
    <row r="334" spans="1:8" x14ac:dyDescent="0.25">
      <c r="A334" s="178" t="s">
        <v>113</v>
      </c>
      <c r="B334" s="178"/>
      <c r="C334" s="178"/>
      <c r="D334" s="178"/>
      <c r="E334" s="178"/>
      <c r="F334" s="178"/>
      <c r="G334" s="178"/>
      <c r="H334" s="178"/>
    </row>
    <row r="335" spans="1:8" x14ac:dyDescent="0.25">
      <c r="A335" s="178"/>
      <c r="B335" s="178"/>
      <c r="C335" s="178"/>
      <c r="D335" s="178"/>
      <c r="E335" s="178"/>
      <c r="F335" s="178"/>
      <c r="G335" s="178"/>
      <c r="H335" s="178"/>
    </row>
    <row r="336" spans="1:8" x14ac:dyDescent="0.25">
      <c r="A336" s="178"/>
      <c r="B336" s="178"/>
      <c r="C336" s="178"/>
      <c r="D336" s="178"/>
      <c r="E336" s="178"/>
      <c r="F336" s="178"/>
      <c r="G336" s="178"/>
      <c r="H336" s="178"/>
    </row>
    <row r="337" spans="1:8" x14ac:dyDescent="0.25">
      <c r="A337" s="178"/>
      <c r="B337" s="178"/>
      <c r="C337" s="178"/>
      <c r="D337" s="178"/>
      <c r="E337" s="178"/>
      <c r="F337" s="178"/>
      <c r="G337" s="178"/>
      <c r="H337" s="178"/>
    </row>
    <row r="338" spans="1:8" x14ac:dyDescent="0.25">
      <c r="A338" s="91" t="s">
        <v>76</v>
      </c>
      <c r="B338" s="92"/>
      <c r="C338" s="92"/>
      <c r="D338" s="91" t="str">
        <f>E8</f>
        <v>Mahaavir Pride</v>
      </c>
      <c r="F338" s="92"/>
      <c r="G338" s="92"/>
      <c r="H338" s="92"/>
    </row>
    <row r="339" spans="1:8" x14ac:dyDescent="0.25">
      <c r="A339" s="92"/>
      <c r="B339" s="92"/>
      <c r="C339" s="92"/>
      <c r="D339" s="92"/>
      <c r="E339" s="92"/>
      <c r="F339" s="92"/>
      <c r="G339" s="92"/>
      <c r="H339" s="92"/>
    </row>
    <row r="340" spans="1:8" x14ac:dyDescent="0.25">
      <c r="A340" s="92"/>
      <c r="B340" s="92"/>
      <c r="C340" s="92"/>
      <c r="D340" s="92"/>
      <c r="E340" s="92"/>
      <c r="F340" s="92"/>
      <c r="G340" s="92"/>
      <c r="H340" s="92"/>
    </row>
    <row r="341" spans="1:8" ht="15" customHeight="1" x14ac:dyDescent="0.25"/>
    <row r="371" spans="1:8" ht="18.75" customHeight="1" x14ac:dyDescent="0.25"/>
    <row r="377" spans="1:8" ht="27" customHeight="1" x14ac:dyDescent="0.25">
      <c r="A377" s="93"/>
      <c r="B377" s="7"/>
      <c r="C377" s="7"/>
      <c r="D377" s="7"/>
      <c r="E377" s="7"/>
      <c r="F377" s="7"/>
      <c r="G377" s="7"/>
      <c r="H377" s="7"/>
    </row>
    <row r="379" spans="1:8" ht="26.25" customHeight="1" x14ac:dyDescent="0.25"/>
    <row r="380" spans="1:8" x14ac:dyDescent="0.25">
      <c r="A380" s="93"/>
    </row>
    <row r="381" spans="1:8" x14ac:dyDescent="0.25">
      <c r="A381" s="93" t="s">
        <v>306</v>
      </c>
    </row>
    <row r="424" spans="1:8" x14ac:dyDescent="0.25">
      <c r="A424" s="93" t="s">
        <v>77</v>
      </c>
      <c r="B424" s="7"/>
      <c r="C424" s="7"/>
      <c r="D424" s="7"/>
      <c r="E424" s="7"/>
      <c r="F424" s="7"/>
      <c r="G424" s="7"/>
      <c r="H424" s="7"/>
    </row>
    <row r="464" hidden="1" x14ac:dyDescent="0.25"/>
    <row r="465" hidden="1" x14ac:dyDescent="0.25"/>
    <row r="466" hidden="1" x14ac:dyDescent="0.25"/>
    <row r="467" hidden="1" x14ac:dyDescent="0.25"/>
  </sheetData>
  <mergeCells count="466">
    <mergeCell ref="A75:B75"/>
    <mergeCell ref="C75:H75"/>
    <mergeCell ref="A77:B77"/>
    <mergeCell ref="C77:H77"/>
    <mergeCell ref="A78:B78"/>
    <mergeCell ref="E78:F78"/>
    <mergeCell ref="G78:H78"/>
    <mergeCell ref="A79:B79"/>
    <mergeCell ref="E79:F88"/>
    <mergeCell ref="G79:H88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L195:M195"/>
    <mergeCell ref="A152:B152"/>
    <mergeCell ref="G152:H169"/>
    <mergeCell ref="A153:B153"/>
    <mergeCell ref="A154:B154"/>
    <mergeCell ref="A155:B155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65:B165"/>
    <mergeCell ref="A166:B166"/>
    <mergeCell ref="L194:M194"/>
    <mergeCell ref="A192:B192"/>
    <mergeCell ref="L192:M192"/>
    <mergeCell ref="A193:B193"/>
    <mergeCell ref="A171:H171"/>
    <mergeCell ref="L183:M183"/>
    <mergeCell ref="A178:B178"/>
    <mergeCell ref="G139:H150"/>
    <mergeCell ref="L189:M189"/>
    <mergeCell ref="A190:B190"/>
    <mergeCell ref="L190:M190"/>
    <mergeCell ref="A191:B191"/>
    <mergeCell ref="L191:M191"/>
    <mergeCell ref="L184:M184"/>
    <mergeCell ref="A185:B185"/>
    <mergeCell ref="L185:M185"/>
    <mergeCell ref="A186:B186"/>
    <mergeCell ref="L186:M186"/>
    <mergeCell ref="A187:B187"/>
    <mergeCell ref="L187:M187"/>
    <mergeCell ref="A188:B188"/>
    <mergeCell ref="L188:M188"/>
    <mergeCell ref="L148:M148"/>
    <mergeCell ref="A170:H170"/>
    <mergeCell ref="A179:B179"/>
    <mergeCell ref="L180:M180"/>
    <mergeCell ref="A181:B181"/>
    <mergeCell ref="L181:M181"/>
    <mergeCell ref="A182:B182"/>
    <mergeCell ref="L182:M182"/>
    <mergeCell ref="A183:B183"/>
    <mergeCell ref="A151:H151"/>
    <mergeCell ref="L193:M193"/>
    <mergeCell ref="L179:M179"/>
    <mergeCell ref="A180:B180"/>
    <mergeCell ref="A167:B167"/>
    <mergeCell ref="I94:M94"/>
    <mergeCell ref="I93:M93"/>
    <mergeCell ref="L177:M177"/>
    <mergeCell ref="L178:M178"/>
    <mergeCell ref="L173:M173"/>
    <mergeCell ref="L174:M174"/>
    <mergeCell ref="L175:M175"/>
    <mergeCell ref="L176:M176"/>
    <mergeCell ref="L150:M150"/>
    <mergeCell ref="L151:M151"/>
    <mergeCell ref="L141:M141"/>
    <mergeCell ref="L140:M140"/>
    <mergeCell ref="L144:M144"/>
    <mergeCell ref="L129:M129"/>
    <mergeCell ref="L130:M130"/>
    <mergeCell ref="L131:M131"/>
    <mergeCell ref="L132:M132"/>
    <mergeCell ref="L133:M133"/>
    <mergeCell ref="L134:M134"/>
    <mergeCell ref="A172:H172"/>
    <mergeCell ref="A139:B139"/>
    <mergeCell ref="L139:M139"/>
    <mergeCell ref="L135:M135"/>
    <mergeCell ref="L136:M136"/>
    <mergeCell ref="A106:H106"/>
    <mergeCell ref="F102:H102"/>
    <mergeCell ref="A98:E98"/>
    <mergeCell ref="F98:H98"/>
    <mergeCell ref="A99:E99"/>
    <mergeCell ref="A101:E101"/>
    <mergeCell ref="A100:E100"/>
    <mergeCell ref="F100:H100"/>
    <mergeCell ref="F99:H99"/>
    <mergeCell ref="F101:H101"/>
    <mergeCell ref="C110:D110"/>
    <mergeCell ref="E110:F110"/>
    <mergeCell ref="G110:H110"/>
    <mergeCell ref="A112:B112"/>
    <mergeCell ref="C112:D112"/>
    <mergeCell ref="E112:F112"/>
    <mergeCell ref="G112:H112"/>
    <mergeCell ref="C117:D117"/>
    <mergeCell ref="E117:F117"/>
    <mergeCell ref="G117:H117"/>
    <mergeCell ref="C109:D109"/>
    <mergeCell ref="E109:F109"/>
    <mergeCell ref="C122:D122"/>
    <mergeCell ref="E122:F122"/>
    <mergeCell ref="G122:H122"/>
    <mergeCell ref="A118:H118"/>
    <mergeCell ref="A119:B119"/>
    <mergeCell ref="A120:B120"/>
    <mergeCell ref="C120:D120"/>
    <mergeCell ref="E120:F120"/>
    <mergeCell ref="G120:H120"/>
    <mergeCell ref="G109:H109"/>
    <mergeCell ref="A108:A109"/>
    <mergeCell ref="C111:D111"/>
    <mergeCell ref="E111:F111"/>
    <mergeCell ref="G111:H111"/>
    <mergeCell ref="A110:A111"/>
    <mergeCell ref="G307:H315"/>
    <mergeCell ref="A263:H263"/>
    <mergeCell ref="A264:H264"/>
    <mergeCell ref="A265:H265"/>
    <mergeCell ref="A266:H266"/>
    <mergeCell ref="A276:H276"/>
    <mergeCell ref="A286:H286"/>
    <mergeCell ref="G267:H275"/>
    <mergeCell ref="G277:H285"/>
    <mergeCell ref="G287:H295"/>
    <mergeCell ref="B323:H323"/>
    <mergeCell ref="B317:H317"/>
    <mergeCell ref="B318:H318"/>
    <mergeCell ref="B319:H319"/>
    <mergeCell ref="B320:H320"/>
    <mergeCell ref="B321:H321"/>
    <mergeCell ref="A203:B203"/>
    <mergeCell ref="A211:B211"/>
    <mergeCell ref="A207:B207"/>
    <mergeCell ref="A210:B210"/>
    <mergeCell ref="A213:B213"/>
    <mergeCell ref="A208:B208"/>
    <mergeCell ref="A212:B212"/>
    <mergeCell ref="A214:B214"/>
    <mergeCell ref="A215:B215"/>
    <mergeCell ref="A216:B216"/>
    <mergeCell ref="B218:B219"/>
    <mergeCell ref="G196:H216"/>
    <mergeCell ref="A196:B196"/>
    <mergeCell ref="B322:H322"/>
    <mergeCell ref="A197:B197"/>
    <mergeCell ref="A296:H296"/>
    <mergeCell ref="A306:H306"/>
    <mergeCell ref="G297:H305"/>
    <mergeCell ref="A198:B198"/>
    <mergeCell ref="A199:B199"/>
    <mergeCell ref="A201:B201"/>
    <mergeCell ref="A127:H127"/>
    <mergeCell ref="A128:H128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89:B189"/>
    <mergeCell ref="A194:B194"/>
    <mergeCell ref="A195:H195"/>
    <mergeCell ref="A142:B142"/>
    <mergeCell ref="A140:B140"/>
    <mergeCell ref="A138:H138"/>
    <mergeCell ref="A141:B141"/>
    <mergeCell ref="A148:B148"/>
    <mergeCell ref="A184:B184"/>
    <mergeCell ref="A168:B168"/>
    <mergeCell ref="A169:B169"/>
    <mergeCell ref="A41:D41"/>
    <mergeCell ref="L145:M145"/>
    <mergeCell ref="A146:B146"/>
    <mergeCell ref="L146:M146"/>
    <mergeCell ref="A147:B147"/>
    <mergeCell ref="L147:M147"/>
    <mergeCell ref="A149:B149"/>
    <mergeCell ref="L149:M149"/>
    <mergeCell ref="A145:B145"/>
    <mergeCell ref="L142:M142"/>
    <mergeCell ref="A143:B143"/>
    <mergeCell ref="L143:M143"/>
    <mergeCell ref="A144:B144"/>
    <mergeCell ref="A57:C57"/>
    <mergeCell ref="A58:C58"/>
    <mergeCell ref="D57:H57"/>
    <mergeCell ref="D59:H59"/>
    <mergeCell ref="A47:B47"/>
    <mergeCell ref="A51:H51"/>
    <mergeCell ref="A52:C52"/>
    <mergeCell ref="A53:C53"/>
    <mergeCell ref="D53:H53"/>
    <mergeCell ref="G50:H50"/>
    <mergeCell ref="D54:H54"/>
    <mergeCell ref="A54:C54"/>
    <mergeCell ref="G47:H47"/>
    <mergeCell ref="D58:H58"/>
    <mergeCell ref="A59:C59"/>
    <mergeCell ref="A46:B46"/>
    <mergeCell ref="C46:E46"/>
    <mergeCell ref="G46:H46"/>
    <mergeCell ref="G48:H48"/>
    <mergeCell ref="D52:H52"/>
    <mergeCell ref="C48:E48"/>
    <mergeCell ref="A55:C55"/>
    <mergeCell ref="D55:H55"/>
    <mergeCell ref="C47:E47"/>
    <mergeCell ref="A50:B50"/>
    <mergeCell ref="C50:E50"/>
    <mergeCell ref="C49:H49"/>
    <mergeCell ref="A48:B48"/>
    <mergeCell ref="A49:B49"/>
    <mergeCell ref="A56:C56"/>
    <mergeCell ref="D56:H56"/>
    <mergeCell ref="A331:H331"/>
    <mergeCell ref="A328:H328"/>
    <mergeCell ref="A114:B114"/>
    <mergeCell ref="D218:D219"/>
    <mergeCell ref="E218:E219"/>
    <mergeCell ref="G218:H219"/>
    <mergeCell ref="F93:H93"/>
    <mergeCell ref="A90:H90"/>
    <mergeCell ref="A91:B91"/>
    <mergeCell ref="A125:A126"/>
    <mergeCell ref="B125:B126"/>
    <mergeCell ref="C125:C126"/>
    <mergeCell ref="D125:D126"/>
    <mergeCell ref="E125:E126"/>
    <mergeCell ref="G125:H126"/>
    <mergeCell ref="C115:D115"/>
    <mergeCell ref="A174:B174"/>
    <mergeCell ref="A209:B209"/>
    <mergeCell ref="A200:B200"/>
    <mergeCell ref="A204:B204"/>
    <mergeCell ref="A205:B205"/>
    <mergeCell ref="A206:B206"/>
    <mergeCell ref="A96:E96"/>
    <mergeCell ref="F96:H96"/>
    <mergeCell ref="A60:C60"/>
    <mergeCell ref="D60:H60"/>
    <mergeCell ref="C91:H91"/>
    <mergeCell ref="A92:H92"/>
    <mergeCell ref="A89:E89"/>
    <mergeCell ref="F89:H89"/>
    <mergeCell ref="A61:B61"/>
    <mergeCell ref="C61:H61"/>
    <mergeCell ref="A63:B63"/>
    <mergeCell ref="C63:H63"/>
    <mergeCell ref="A64:B64"/>
    <mergeCell ref="E64:F64"/>
    <mergeCell ref="G64:H64"/>
    <mergeCell ref="A65:B65"/>
    <mergeCell ref="E65:F74"/>
    <mergeCell ref="G65:H74"/>
    <mergeCell ref="A66:B66"/>
    <mergeCell ref="A67:B67"/>
    <mergeCell ref="A68:B68"/>
    <mergeCell ref="A69:B69"/>
    <mergeCell ref="A70:B70"/>
    <mergeCell ref="A71:B71"/>
    <mergeCell ref="A72:B72"/>
    <mergeCell ref="A73:B73"/>
    <mergeCell ref="A334:H337"/>
    <mergeCell ref="A333:B333"/>
    <mergeCell ref="E333:F333"/>
    <mergeCell ref="C333:D333"/>
    <mergeCell ref="G333:H333"/>
    <mergeCell ref="A104:E104"/>
    <mergeCell ref="F104:H104"/>
    <mergeCell ref="A105:E105"/>
    <mergeCell ref="F105:H105"/>
    <mergeCell ref="A115:B115"/>
    <mergeCell ref="A329:H329"/>
    <mergeCell ref="A113:H113"/>
    <mergeCell ref="A332:H332"/>
    <mergeCell ref="A330:H330"/>
    <mergeCell ref="A316:H316"/>
    <mergeCell ref="A326:H326"/>
    <mergeCell ref="A327:H327"/>
    <mergeCell ref="C114:D114"/>
    <mergeCell ref="E114:F114"/>
    <mergeCell ref="G114:H114"/>
    <mergeCell ref="A123:H123"/>
    <mergeCell ref="A202:B202"/>
    <mergeCell ref="A217:H217"/>
    <mergeCell ref="C218:C219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E13:H13"/>
    <mergeCell ref="A14:B14"/>
    <mergeCell ref="C14:H14"/>
    <mergeCell ref="C15:H15"/>
    <mergeCell ref="A9:D9"/>
    <mergeCell ref="E9:H9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E40:H40"/>
    <mergeCell ref="A40:D40"/>
    <mergeCell ref="A28:D28"/>
    <mergeCell ref="E28:H28"/>
    <mergeCell ref="C32:E32"/>
    <mergeCell ref="A25:D25"/>
    <mergeCell ref="E25:H25"/>
    <mergeCell ref="A29:D29"/>
    <mergeCell ref="E29:H29"/>
    <mergeCell ref="G19:H19"/>
    <mergeCell ref="E24:H24"/>
    <mergeCell ref="A26:D26"/>
    <mergeCell ref="E26:H26"/>
    <mergeCell ref="A23:D23"/>
    <mergeCell ref="E23:H23"/>
    <mergeCell ref="A27:D27"/>
    <mergeCell ref="E27:H27"/>
    <mergeCell ref="A24:D24"/>
    <mergeCell ref="A20:D21"/>
    <mergeCell ref="E20:H21"/>
    <mergeCell ref="A22:D22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E22:H22"/>
    <mergeCell ref="C34:E34"/>
    <mergeCell ref="A39:D39"/>
    <mergeCell ref="E39:H39"/>
    <mergeCell ref="F31:H31"/>
    <mergeCell ref="F32:H32"/>
    <mergeCell ref="C30:E30"/>
    <mergeCell ref="F33:H33"/>
    <mergeCell ref="F34:H34"/>
    <mergeCell ref="A36:B36"/>
    <mergeCell ref="F30:H30"/>
    <mergeCell ref="A31:B31"/>
    <mergeCell ref="A30:B30"/>
    <mergeCell ref="C31:E31"/>
    <mergeCell ref="A32:B32"/>
    <mergeCell ref="A35:H35"/>
    <mergeCell ref="A34:B34"/>
    <mergeCell ref="A38:H38"/>
    <mergeCell ref="A33:B33"/>
    <mergeCell ref="C33:E33"/>
    <mergeCell ref="C36:H36"/>
    <mergeCell ref="A37:B37"/>
    <mergeCell ref="C37:H37"/>
    <mergeCell ref="E41:H41"/>
    <mergeCell ref="E42:H42"/>
    <mergeCell ref="E43:H43"/>
    <mergeCell ref="E44:H44"/>
    <mergeCell ref="A42:D42"/>
    <mergeCell ref="A43:D43"/>
    <mergeCell ref="A44:D44"/>
    <mergeCell ref="A45:H45"/>
    <mergeCell ref="C121:D121"/>
    <mergeCell ref="E121:F121"/>
    <mergeCell ref="G121:H121"/>
    <mergeCell ref="A117:B117"/>
    <mergeCell ref="C119:D119"/>
    <mergeCell ref="E119:F119"/>
    <mergeCell ref="G119:H119"/>
    <mergeCell ref="A93:E93"/>
    <mergeCell ref="A95:E95"/>
    <mergeCell ref="F95:H95"/>
    <mergeCell ref="A94:E94"/>
    <mergeCell ref="F94:H94"/>
    <mergeCell ref="A107:B107"/>
    <mergeCell ref="C107:D107"/>
    <mergeCell ref="E107:F107"/>
    <mergeCell ref="A102:E102"/>
    <mergeCell ref="A97:E97"/>
    <mergeCell ref="F97:H97"/>
    <mergeCell ref="A173:B173"/>
    <mergeCell ref="A177:B177"/>
    <mergeCell ref="F103:H103"/>
    <mergeCell ref="A103:E103"/>
    <mergeCell ref="E115:F115"/>
    <mergeCell ref="A175:B175"/>
    <mergeCell ref="A176:B176"/>
    <mergeCell ref="C108:D108"/>
    <mergeCell ref="E108:F108"/>
    <mergeCell ref="G108:H108"/>
    <mergeCell ref="A124:H124"/>
    <mergeCell ref="G115:H115"/>
    <mergeCell ref="G173:H194"/>
    <mergeCell ref="G107:H107"/>
    <mergeCell ref="A150:B150"/>
    <mergeCell ref="A116:B116"/>
    <mergeCell ref="C116:D116"/>
    <mergeCell ref="E116:F116"/>
    <mergeCell ref="G116:H116"/>
    <mergeCell ref="A121:B121"/>
    <mergeCell ref="A137:H137"/>
    <mergeCell ref="A122:B122"/>
    <mergeCell ref="A74:B74"/>
    <mergeCell ref="B325:H325"/>
    <mergeCell ref="L265:M265"/>
    <mergeCell ref="L221:M221"/>
    <mergeCell ref="L264:M264"/>
    <mergeCell ref="G129:H136"/>
    <mergeCell ref="A231:H231"/>
    <mergeCell ref="G232:H238"/>
    <mergeCell ref="A239:H239"/>
    <mergeCell ref="G240:H246"/>
    <mergeCell ref="A255:H255"/>
    <mergeCell ref="G256:H262"/>
    <mergeCell ref="L220:M220"/>
    <mergeCell ref="L263:M263"/>
    <mergeCell ref="A220:H220"/>
    <mergeCell ref="L222:M222"/>
    <mergeCell ref="A221:H221"/>
    <mergeCell ref="A222:H222"/>
    <mergeCell ref="A223:H223"/>
    <mergeCell ref="G224:H230"/>
    <mergeCell ref="G248:H254"/>
    <mergeCell ref="A247:H247"/>
    <mergeCell ref="A218:A219"/>
    <mergeCell ref="B324:H324"/>
  </mergeCells>
  <hyperlinks>
    <hyperlink ref="C37" r:id="rId1"/>
    <hyperlink ref="I91" r:id="rId2" location="amenities"/>
  </hyperlinks>
  <printOptions horizontalCentered="1"/>
  <pageMargins left="0.39370078740157483" right="0.39370078740157483" top="0.78740157480314965" bottom="0.78740157480314965" header="0.19685039370078741" footer="0.19685039370078741"/>
  <pageSetup scale="98" fitToHeight="0" orientation="portrait" r:id="rId3"/>
  <headerFooter>
    <oddHeader>&amp;C&amp;G</oddHeader>
    <oddFooter>&amp;L&amp;"Times New Roman,Bold"&amp;12Ref No: &amp;F&amp;C&amp;G&amp;R&amp;"Times New Roman,Bold"&amp;12                                                         &amp;P</oddFooter>
  </headerFooter>
  <rowBreaks count="4" manualBreakCount="4">
    <brk id="60" max="7" man="1"/>
    <brk id="337" max="16383" man="1"/>
    <brk id="380" max="16383" man="1"/>
    <brk id="423" max="16383" man="1"/>
  </rowBreaks>
  <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4"/>
  <sheetViews>
    <sheetView showWhiteSpace="0" view="pageLayout" topLeftCell="A251" zoomScale="85" zoomScaleNormal="100" zoomScaleSheetLayoutView="110" zoomScalePageLayoutView="85" workbookViewId="0">
      <selection activeCell="A263" sqref="A263:B263"/>
    </sheetView>
  </sheetViews>
  <sheetFormatPr defaultColWidth="9.140625" defaultRowHeight="15.75" x14ac:dyDescent="0.25"/>
  <cols>
    <col min="1" max="1" width="11.42578125" style="79" customWidth="1"/>
    <col min="2" max="2" width="12" style="79" customWidth="1"/>
    <col min="3" max="3" width="12.7109375" style="79" customWidth="1"/>
    <col min="4" max="4" width="14.140625" style="79" customWidth="1"/>
    <col min="5" max="7" width="11.7109375" style="79" customWidth="1"/>
    <col min="8" max="8" width="12.42578125" style="79" customWidth="1"/>
    <col min="9" max="9" width="15.7109375" style="49" customWidth="1"/>
    <col min="10" max="10" width="11.42578125" style="49" customWidth="1"/>
    <col min="11" max="11" width="10.5703125" style="49" bestFit="1" customWidth="1"/>
    <col min="12" max="12" width="10.5703125" style="49" customWidth="1"/>
    <col min="13" max="13" width="11.85546875" style="49" customWidth="1"/>
    <col min="14" max="14" width="12.5703125" style="49" hidden="1" customWidth="1"/>
    <col min="15" max="15" width="9.85546875" style="49" hidden="1" customWidth="1"/>
    <col min="16" max="16" width="10.42578125" style="49" hidden="1" customWidth="1"/>
    <col min="17" max="247" width="9.140625" style="49"/>
    <col min="248" max="248" width="8.7109375" style="49" customWidth="1"/>
    <col min="249" max="249" width="9.85546875" style="49" customWidth="1"/>
    <col min="250" max="250" width="14.42578125" style="49" customWidth="1"/>
    <col min="251" max="251" width="7.28515625" style="49" customWidth="1"/>
    <col min="252" max="252" width="5.5703125" style="49" customWidth="1"/>
    <col min="253" max="253" width="9" style="49" customWidth="1"/>
    <col min="254" max="255" width="9.85546875" style="49" customWidth="1"/>
    <col min="256" max="256" width="11.140625" style="49" customWidth="1"/>
    <col min="257" max="257" width="2.85546875" style="49" customWidth="1"/>
    <col min="258" max="258" width="3.5703125" style="49" customWidth="1"/>
    <col min="259" max="503" width="9.140625" style="49"/>
    <col min="504" max="504" width="8.7109375" style="49" customWidth="1"/>
    <col min="505" max="505" width="9.85546875" style="49" customWidth="1"/>
    <col min="506" max="506" width="14.42578125" style="49" customWidth="1"/>
    <col min="507" max="507" width="7.28515625" style="49" customWidth="1"/>
    <col min="508" max="508" width="5.5703125" style="49" customWidth="1"/>
    <col min="509" max="509" width="9" style="49" customWidth="1"/>
    <col min="510" max="511" width="9.85546875" style="49" customWidth="1"/>
    <col min="512" max="512" width="11.140625" style="49" customWidth="1"/>
    <col min="513" max="513" width="2.85546875" style="49" customWidth="1"/>
    <col min="514" max="514" width="3.5703125" style="49" customWidth="1"/>
    <col min="515" max="759" width="9.140625" style="49"/>
    <col min="760" max="760" width="8.7109375" style="49" customWidth="1"/>
    <col min="761" max="761" width="9.85546875" style="49" customWidth="1"/>
    <col min="762" max="762" width="14.42578125" style="49" customWidth="1"/>
    <col min="763" max="763" width="7.28515625" style="49" customWidth="1"/>
    <col min="764" max="764" width="5.5703125" style="49" customWidth="1"/>
    <col min="765" max="765" width="9" style="49" customWidth="1"/>
    <col min="766" max="767" width="9.85546875" style="49" customWidth="1"/>
    <col min="768" max="768" width="11.140625" style="49" customWidth="1"/>
    <col min="769" max="769" width="2.85546875" style="49" customWidth="1"/>
    <col min="770" max="770" width="3.5703125" style="49" customWidth="1"/>
    <col min="771" max="1015" width="9.140625" style="49"/>
    <col min="1016" max="1016" width="8.7109375" style="49" customWidth="1"/>
    <col min="1017" max="1017" width="9.85546875" style="49" customWidth="1"/>
    <col min="1018" max="1018" width="14.42578125" style="49" customWidth="1"/>
    <col min="1019" max="1019" width="7.28515625" style="49" customWidth="1"/>
    <col min="1020" max="1020" width="5.5703125" style="49" customWidth="1"/>
    <col min="1021" max="1021" width="9" style="49" customWidth="1"/>
    <col min="1022" max="1023" width="9.85546875" style="49" customWidth="1"/>
    <col min="1024" max="1024" width="11.140625" style="49" customWidth="1"/>
    <col min="1025" max="1025" width="2.85546875" style="49" customWidth="1"/>
    <col min="1026" max="1026" width="3.5703125" style="49" customWidth="1"/>
    <col min="1027" max="1271" width="9.140625" style="49"/>
    <col min="1272" max="1272" width="8.7109375" style="49" customWidth="1"/>
    <col min="1273" max="1273" width="9.85546875" style="49" customWidth="1"/>
    <col min="1274" max="1274" width="14.42578125" style="49" customWidth="1"/>
    <col min="1275" max="1275" width="7.28515625" style="49" customWidth="1"/>
    <col min="1276" max="1276" width="5.5703125" style="49" customWidth="1"/>
    <col min="1277" max="1277" width="9" style="49" customWidth="1"/>
    <col min="1278" max="1279" width="9.85546875" style="49" customWidth="1"/>
    <col min="1280" max="1280" width="11.140625" style="49" customWidth="1"/>
    <col min="1281" max="1281" width="2.85546875" style="49" customWidth="1"/>
    <col min="1282" max="1282" width="3.5703125" style="49" customWidth="1"/>
    <col min="1283" max="1527" width="9.140625" style="49"/>
    <col min="1528" max="1528" width="8.7109375" style="49" customWidth="1"/>
    <col min="1529" max="1529" width="9.85546875" style="49" customWidth="1"/>
    <col min="1530" max="1530" width="14.42578125" style="49" customWidth="1"/>
    <col min="1531" max="1531" width="7.28515625" style="49" customWidth="1"/>
    <col min="1532" max="1532" width="5.5703125" style="49" customWidth="1"/>
    <col min="1533" max="1533" width="9" style="49" customWidth="1"/>
    <col min="1534" max="1535" width="9.85546875" style="49" customWidth="1"/>
    <col min="1536" max="1536" width="11.140625" style="49" customWidth="1"/>
    <col min="1537" max="1537" width="2.85546875" style="49" customWidth="1"/>
    <col min="1538" max="1538" width="3.5703125" style="49" customWidth="1"/>
    <col min="1539" max="1783" width="9.140625" style="49"/>
    <col min="1784" max="1784" width="8.7109375" style="49" customWidth="1"/>
    <col min="1785" max="1785" width="9.85546875" style="49" customWidth="1"/>
    <col min="1786" max="1786" width="14.42578125" style="49" customWidth="1"/>
    <col min="1787" max="1787" width="7.28515625" style="49" customWidth="1"/>
    <col min="1788" max="1788" width="5.5703125" style="49" customWidth="1"/>
    <col min="1789" max="1789" width="9" style="49" customWidth="1"/>
    <col min="1790" max="1791" width="9.85546875" style="49" customWidth="1"/>
    <col min="1792" max="1792" width="11.140625" style="49" customWidth="1"/>
    <col min="1793" max="1793" width="2.85546875" style="49" customWidth="1"/>
    <col min="1794" max="1794" width="3.5703125" style="49" customWidth="1"/>
    <col min="1795" max="2039" width="9.140625" style="49"/>
    <col min="2040" max="2040" width="8.7109375" style="49" customWidth="1"/>
    <col min="2041" max="2041" width="9.85546875" style="49" customWidth="1"/>
    <col min="2042" max="2042" width="14.42578125" style="49" customWidth="1"/>
    <col min="2043" max="2043" width="7.28515625" style="49" customWidth="1"/>
    <col min="2044" max="2044" width="5.5703125" style="49" customWidth="1"/>
    <col min="2045" max="2045" width="9" style="49" customWidth="1"/>
    <col min="2046" max="2047" width="9.85546875" style="49" customWidth="1"/>
    <col min="2048" max="2048" width="11.140625" style="49" customWidth="1"/>
    <col min="2049" max="2049" width="2.85546875" style="49" customWidth="1"/>
    <col min="2050" max="2050" width="3.5703125" style="49" customWidth="1"/>
    <col min="2051" max="2295" width="9.140625" style="49"/>
    <col min="2296" max="2296" width="8.7109375" style="49" customWidth="1"/>
    <col min="2297" max="2297" width="9.85546875" style="49" customWidth="1"/>
    <col min="2298" max="2298" width="14.42578125" style="49" customWidth="1"/>
    <col min="2299" max="2299" width="7.28515625" style="49" customWidth="1"/>
    <col min="2300" max="2300" width="5.5703125" style="49" customWidth="1"/>
    <col min="2301" max="2301" width="9" style="49" customWidth="1"/>
    <col min="2302" max="2303" width="9.85546875" style="49" customWidth="1"/>
    <col min="2304" max="2304" width="11.140625" style="49" customWidth="1"/>
    <col min="2305" max="2305" width="2.85546875" style="49" customWidth="1"/>
    <col min="2306" max="2306" width="3.5703125" style="49" customWidth="1"/>
    <col min="2307" max="2551" width="9.140625" style="49"/>
    <col min="2552" max="2552" width="8.7109375" style="49" customWidth="1"/>
    <col min="2553" max="2553" width="9.85546875" style="49" customWidth="1"/>
    <col min="2554" max="2554" width="14.42578125" style="49" customWidth="1"/>
    <col min="2555" max="2555" width="7.28515625" style="49" customWidth="1"/>
    <col min="2556" max="2556" width="5.5703125" style="49" customWidth="1"/>
    <col min="2557" max="2557" width="9" style="49" customWidth="1"/>
    <col min="2558" max="2559" width="9.85546875" style="49" customWidth="1"/>
    <col min="2560" max="2560" width="11.140625" style="49" customWidth="1"/>
    <col min="2561" max="2561" width="2.85546875" style="49" customWidth="1"/>
    <col min="2562" max="2562" width="3.5703125" style="49" customWidth="1"/>
    <col min="2563" max="2807" width="9.140625" style="49"/>
    <col min="2808" max="2808" width="8.7109375" style="49" customWidth="1"/>
    <col min="2809" max="2809" width="9.85546875" style="49" customWidth="1"/>
    <col min="2810" max="2810" width="14.42578125" style="49" customWidth="1"/>
    <col min="2811" max="2811" width="7.28515625" style="49" customWidth="1"/>
    <col min="2812" max="2812" width="5.5703125" style="49" customWidth="1"/>
    <col min="2813" max="2813" width="9" style="49" customWidth="1"/>
    <col min="2814" max="2815" width="9.85546875" style="49" customWidth="1"/>
    <col min="2816" max="2816" width="11.140625" style="49" customWidth="1"/>
    <col min="2817" max="2817" width="2.85546875" style="49" customWidth="1"/>
    <col min="2818" max="2818" width="3.5703125" style="49" customWidth="1"/>
    <col min="2819" max="3063" width="9.140625" style="49"/>
    <col min="3064" max="3064" width="8.7109375" style="49" customWidth="1"/>
    <col min="3065" max="3065" width="9.85546875" style="49" customWidth="1"/>
    <col min="3066" max="3066" width="14.42578125" style="49" customWidth="1"/>
    <col min="3067" max="3067" width="7.28515625" style="49" customWidth="1"/>
    <col min="3068" max="3068" width="5.5703125" style="49" customWidth="1"/>
    <col min="3069" max="3069" width="9" style="49" customWidth="1"/>
    <col min="3070" max="3071" width="9.85546875" style="49" customWidth="1"/>
    <col min="3072" max="3072" width="11.140625" style="49" customWidth="1"/>
    <col min="3073" max="3073" width="2.85546875" style="49" customWidth="1"/>
    <col min="3074" max="3074" width="3.5703125" style="49" customWidth="1"/>
    <col min="3075" max="3319" width="9.140625" style="49"/>
    <col min="3320" max="3320" width="8.7109375" style="49" customWidth="1"/>
    <col min="3321" max="3321" width="9.85546875" style="49" customWidth="1"/>
    <col min="3322" max="3322" width="14.42578125" style="49" customWidth="1"/>
    <col min="3323" max="3323" width="7.28515625" style="49" customWidth="1"/>
    <col min="3324" max="3324" width="5.5703125" style="49" customWidth="1"/>
    <col min="3325" max="3325" width="9" style="49" customWidth="1"/>
    <col min="3326" max="3327" width="9.85546875" style="49" customWidth="1"/>
    <col min="3328" max="3328" width="11.140625" style="49" customWidth="1"/>
    <col min="3329" max="3329" width="2.85546875" style="49" customWidth="1"/>
    <col min="3330" max="3330" width="3.5703125" style="49" customWidth="1"/>
    <col min="3331" max="3575" width="9.140625" style="49"/>
    <col min="3576" max="3576" width="8.7109375" style="49" customWidth="1"/>
    <col min="3577" max="3577" width="9.85546875" style="49" customWidth="1"/>
    <col min="3578" max="3578" width="14.42578125" style="49" customWidth="1"/>
    <col min="3579" max="3579" width="7.28515625" style="49" customWidth="1"/>
    <col min="3580" max="3580" width="5.5703125" style="49" customWidth="1"/>
    <col min="3581" max="3581" width="9" style="49" customWidth="1"/>
    <col min="3582" max="3583" width="9.85546875" style="49" customWidth="1"/>
    <col min="3584" max="3584" width="11.140625" style="49" customWidth="1"/>
    <col min="3585" max="3585" width="2.85546875" style="49" customWidth="1"/>
    <col min="3586" max="3586" width="3.5703125" style="49" customWidth="1"/>
    <col min="3587" max="3831" width="9.140625" style="49"/>
    <col min="3832" max="3832" width="8.7109375" style="49" customWidth="1"/>
    <col min="3833" max="3833" width="9.85546875" style="49" customWidth="1"/>
    <col min="3834" max="3834" width="14.42578125" style="49" customWidth="1"/>
    <col min="3835" max="3835" width="7.28515625" style="49" customWidth="1"/>
    <col min="3836" max="3836" width="5.5703125" style="49" customWidth="1"/>
    <col min="3837" max="3837" width="9" style="49" customWidth="1"/>
    <col min="3838" max="3839" width="9.85546875" style="49" customWidth="1"/>
    <col min="3840" max="3840" width="11.140625" style="49" customWidth="1"/>
    <col min="3841" max="3841" width="2.85546875" style="49" customWidth="1"/>
    <col min="3842" max="3842" width="3.5703125" style="49" customWidth="1"/>
    <col min="3843" max="4087" width="9.140625" style="49"/>
    <col min="4088" max="4088" width="8.7109375" style="49" customWidth="1"/>
    <col min="4089" max="4089" width="9.85546875" style="49" customWidth="1"/>
    <col min="4090" max="4090" width="14.42578125" style="49" customWidth="1"/>
    <col min="4091" max="4091" width="7.28515625" style="49" customWidth="1"/>
    <col min="4092" max="4092" width="5.5703125" style="49" customWidth="1"/>
    <col min="4093" max="4093" width="9" style="49" customWidth="1"/>
    <col min="4094" max="4095" width="9.85546875" style="49" customWidth="1"/>
    <col min="4096" max="4096" width="11.140625" style="49" customWidth="1"/>
    <col min="4097" max="4097" width="2.85546875" style="49" customWidth="1"/>
    <col min="4098" max="4098" width="3.5703125" style="49" customWidth="1"/>
    <col min="4099" max="4343" width="9.140625" style="49"/>
    <col min="4344" max="4344" width="8.7109375" style="49" customWidth="1"/>
    <col min="4345" max="4345" width="9.85546875" style="49" customWidth="1"/>
    <col min="4346" max="4346" width="14.42578125" style="49" customWidth="1"/>
    <col min="4347" max="4347" width="7.28515625" style="49" customWidth="1"/>
    <col min="4348" max="4348" width="5.5703125" style="49" customWidth="1"/>
    <col min="4349" max="4349" width="9" style="49" customWidth="1"/>
    <col min="4350" max="4351" width="9.85546875" style="49" customWidth="1"/>
    <col min="4352" max="4352" width="11.140625" style="49" customWidth="1"/>
    <col min="4353" max="4353" width="2.85546875" style="49" customWidth="1"/>
    <col min="4354" max="4354" width="3.5703125" style="49" customWidth="1"/>
    <col min="4355" max="4599" width="9.140625" style="49"/>
    <col min="4600" max="4600" width="8.7109375" style="49" customWidth="1"/>
    <col min="4601" max="4601" width="9.85546875" style="49" customWidth="1"/>
    <col min="4602" max="4602" width="14.42578125" style="49" customWidth="1"/>
    <col min="4603" max="4603" width="7.28515625" style="49" customWidth="1"/>
    <col min="4604" max="4604" width="5.5703125" style="49" customWidth="1"/>
    <col min="4605" max="4605" width="9" style="49" customWidth="1"/>
    <col min="4606" max="4607" width="9.85546875" style="49" customWidth="1"/>
    <col min="4608" max="4608" width="11.140625" style="49" customWidth="1"/>
    <col min="4609" max="4609" width="2.85546875" style="49" customWidth="1"/>
    <col min="4610" max="4610" width="3.5703125" style="49" customWidth="1"/>
    <col min="4611" max="4855" width="9.140625" style="49"/>
    <col min="4856" max="4856" width="8.7109375" style="49" customWidth="1"/>
    <col min="4857" max="4857" width="9.85546875" style="49" customWidth="1"/>
    <col min="4858" max="4858" width="14.42578125" style="49" customWidth="1"/>
    <col min="4859" max="4859" width="7.28515625" style="49" customWidth="1"/>
    <col min="4860" max="4860" width="5.5703125" style="49" customWidth="1"/>
    <col min="4861" max="4861" width="9" style="49" customWidth="1"/>
    <col min="4862" max="4863" width="9.85546875" style="49" customWidth="1"/>
    <col min="4864" max="4864" width="11.140625" style="49" customWidth="1"/>
    <col min="4865" max="4865" width="2.85546875" style="49" customWidth="1"/>
    <col min="4866" max="4866" width="3.5703125" style="49" customWidth="1"/>
    <col min="4867" max="5111" width="9.140625" style="49"/>
    <col min="5112" max="5112" width="8.7109375" style="49" customWidth="1"/>
    <col min="5113" max="5113" width="9.85546875" style="49" customWidth="1"/>
    <col min="5114" max="5114" width="14.42578125" style="49" customWidth="1"/>
    <col min="5115" max="5115" width="7.28515625" style="49" customWidth="1"/>
    <col min="5116" max="5116" width="5.5703125" style="49" customWidth="1"/>
    <col min="5117" max="5117" width="9" style="49" customWidth="1"/>
    <col min="5118" max="5119" width="9.85546875" style="49" customWidth="1"/>
    <col min="5120" max="5120" width="11.140625" style="49" customWidth="1"/>
    <col min="5121" max="5121" width="2.85546875" style="49" customWidth="1"/>
    <col min="5122" max="5122" width="3.5703125" style="49" customWidth="1"/>
    <col min="5123" max="5367" width="9.140625" style="49"/>
    <col min="5368" max="5368" width="8.7109375" style="49" customWidth="1"/>
    <col min="5369" max="5369" width="9.85546875" style="49" customWidth="1"/>
    <col min="5370" max="5370" width="14.42578125" style="49" customWidth="1"/>
    <col min="5371" max="5371" width="7.28515625" style="49" customWidth="1"/>
    <col min="5372" max="5372" width="5.5703125" style="49" customWidth="1"/>
    <col min="5373" max="5373" width="9" style="49" customWidth="1"/>
    <col min="5374" max="5375" width="9.85546875" style="49" customWidth="1"/>
    <col min="5376" max="5376" width="11.140625" style="49" customWidth="1"/>
    <col min="5377" max="5377" width="2.85546875" style="49" customWidth="1"/>
    <col min="5378" max="5378" width="3.5703125" style="49" customWidth="1"/>
    <col min="5379" max="5623" width="9.140625" style="49"/>
    <col min="5624" max="5624" width="8.7109375" style="49" customWidth="1"/>
    <col min="5625" max="5625" width="9.85546875" style="49" customWidth="1"/>
    <col min="5626" max="5626" width="14.42578125" style="49" customWidth="1"/>
    <col min="5627" max="5627" width="7.28515625" style="49" customWidth="1"/>
    <col min="5628" max="5628" width="5.5703125" style="49" customWidth="1"/>
    <col min="5629" max="5629" width="9" style="49" customWidth="1"/>
    <col min="5630" max="5631" width="9.85546875" style="49" customWidth="1"/>
    <col min="5632" max="5632" width="11.140625" style="49" customWidth="1"/>
    <col min="5633" max="5633" width="2.85546875" style="49" customWidth="1"/>
    <col min="5634" max="5634" width="3.5703125" style="49" customWidth="1"/>
    <col min="5635" max="5879" width="9.140625" style="49"/>
    <col min="5880" max="5880" width="8.7109375" style="49" customWidth="1"/>
    <col min="5881" max="5881" width="9.85546875" style="49" customWidth="1"/>
    <col min="5882" max="5882" width="14.42578125" style="49" customWidth="1"/>
    <col min="5883" max="5883" width="7.28515625" style="49" customWidth="1"/>
    <col min="5884" max="5884" width="5.5703125" style="49" customWidth="1"/>
    <col min="5885" max="5885" width="9" style="49" customWidth="1"/>
    <col min="5886" max="5887" width="9.85546875" style="49" customWidth="1"/>
    <col min="5888" max="5888" width="11.140625" style="49" customWidth="1"/>
    <col min="5889" max="5889" width="2.85546875" style="49" customWidth="1"/>
    <col min="5890" max="5890" width="3.5703125" style="49" customWidth="1"/>
    <col min="5891" max="6135" width="9.140625" style="49"/>
    <col min="6136" max="6136" width="8.7109375" style="49" customWidth="1"/>
    <col min="6137" max="6137" width="9.85546875" style="49" customWidth="1"/>
    <col min="6138" max="6138" width="14.42578125" style="49" customWidth="1"/>
    <col min="6139" max="6139" width="7.28515625" style="49" customWidth="1"/>
    <col min="6140" max="6140" width="5.5703125" style="49" customWidth="1"/>
    <col min="6141" max="6141" width="9" style="49" customWidth="1"/>
    <col min="6142" max="6143" width="9.85546875" style="49" customWidth="1"/>
    <col min="6144" max="6144" width="11.140625" style="49" customWidth="1"/>
    <col min="6145" max="6145" width="2.85546875" style="49" customWidth="1"/>
    <col min="6146" max="6146" width="3.5703125" style="49" customWidth="1"/>
    <col min="6147" max="6391" width="9.140625" style="49"/>
    <col min="6392" max="6392" width="8.7109375" style="49" customWidth="1"/>
    <col min="6393" max="6393" width="9.85546875" style="49" customWidth="1"/>
    <col min="6394" max="6394" width="14.42578125" style="49" customWidth="1"/>
    <col min="6395" max="6395" width="7.28515625" style="49" customWidth="1"/>
    <col min="6396" max="6396" width="5.5703125" style="49" customWidth="1"/>
    <col min="6397" max="6397" width="9" style="49" customWidth="1"/>
    <col min="6398" max="6399" width="9.85546875" style="49" customWidth="1"/>
    <col min="6400" max="6400" width="11.140625" style="49" customWidth="1"/>
    <col min="6401" max="6401" width="2.85546875" style="49" customWidth="1"/>
    <col min="6402" max="6402" width="3.5703125" style="49" customWidth="1"/>
    <col min="6403" max="6647" width="9.140625" style="49"/>
    <col min="6648" max="6648" width="8.7109375" style="49" customWidth="1"/>
    <col min="6649" max="6649" width="9.85546875" style="49" customWidth="1"/>
    <col min="6650" max="6650" width="14.42578125" style="49" customWidth="1"/>
    <col min="6651" max="6651" width="7.28515625" style="49" customWidth="1"/>
    <col min="6652" max="6652" width="5.5703125" style="49" customWidth="1"/>
    <col min="6653" max="6653" width="9" style="49" customWidth="1"/>
    <col min="6654" max="6655" width="9.85546875" style="49" customWidth="1"/>
    <col min="6656" max="6656" width="11.140625" style="49" customWidth="1"/>
    <col min="6657" max="6657" width="2.85546875" style="49" customWidth="1"/>
    <col min="6658" max="6658" width="3.5703125" style="49" customWidth="1"/>
    <col min="6659" max="6903" width="9.140625" style="49"/>
    <col min="6904" max="6904" width="8.7109375" style="49" customWidth="1"/>
    <col min="6905" max="6905" width="9.85546875" style="49" customWidth="1"/>
    <col min="6906" max="6906" width="14.42578125" style="49" customWidth="1"/>
    <col min="6907" max="6907" width="7.28515625" style="49" customWidth="1"/>
    <col min="6908" max="6908" width="5.5703125" style="49" customWidth="1"/>
    <col min="6909" max="6909" width="9" style="49" customWidth="1"/>
    <col min="6910" max="6911" width="9.85546875" style="49" customWidth="1"/>
    <col min="6912" max="6912" width="11.140625" style="49" customWidth="1"/>
    <col min="6913" max="6913" width="2.85546875" style="49" customWidth="1"/>
    <col min="6914" max="6914" width="3.5703125" style="49" customWidth="1"/>
    <col min="6915" max="7159" width="9.140625" style="49"/>
    <col min="7160" max="7160" width="8.7109375" style="49" customWidth="1"/>
    <col min="7161" max="7161" width="9.85546875" style="49" customWidth="1"/>
    <col min="7162" max="7162" width="14.42578125" style="49" customWidth="1"/>
    <col min="7163" max="7163" width="7.28515625" style="49" customWidth="1"/>
    <col min="7164" max="7164" width="5.5703125" style="49" customWidth="1"/>
    <col min="7165" max="7165" width="9" style="49" customWidth="1"/>
    <col min="7166" max="7167" width="9.85546875" style="49" customWidth="1"/>
    <col min="7168" max="7168" width="11.140625" style="49" customWidth="1"/>
    <col min="7169" max="7169" width="2.85546875" style="49" customWidth="1"/>
    <col min="7170" max="7170" width="3.5703125" style="49" customWidth="1"/>
    <col min="7171" max="7415" width="9.140625" style="49"/>
    <col min="7416" max="7416" width="8.7109375" style="49" customWidth="1"/>
    <col min="7417" max="7417" width="9.85546875" style="49" customWidth="1"/>
    <col min="7418" max="7418" width="14.42578125" style="49" customWidth="1"/>
    <col min="7419" max="7419" width="7.28515625" style="49" customWidth="1"/>
    <col min="7420" max="7420" width="5.5703125" style="49" customWidth="1"/>
    <col min="7421" max="7421" width="9" style="49" customWidth="1"/>
    <col min="7422" max="7423" width="9.85546875" style="49" customWidth="1"/>
    <col min="7424" max="7424" width="11.140625" style="49" customWidth="1"/>
    <col min="7425" max="7425" width="2.85546875" style="49" customWidth="1"/>
    <col min="7426" max="7426" width="3.5703125" style="49" customWidth="1"/>
    <col min="7427" max="7671" width="9.140625" style="49"/>
    <col min="7672" max="7672" width="8.7109375" style="49" customWidth="1"/>
    <col min="7673" max="7673" width="9.85546875" style="49" customWidth="1"/>
    <col min="7674" max="7674" width="14.42578125" style="49" customWidth="1"/>
    <col min="7675" max="7675" width="7.28515625" style="49" customWidth="1"/>
    <col min="7676" max="7676" width="5.5703125" style="49" customWidth="1"/>
    <col min="7677" max="7677" width="9" style="49" customWidth="1"/>
    <col min="7678" max="7679" width="9.85546875" style="49" customWidth="1"/>
    <col min="7680" max="7680" width="11.140625" style="49" customWidth="1"/>
    <col min="7681" max="7681" width="2.85546875" style="49" customWidth="1"/>
    <col min="7682" max="7682" width="3.5703125" style="49" customWidth="1"/>
    <col min="7683" max="7927" width="9.140625" style="49"/>
    <col min="7928" max="7928" width="8.7109375" style="49" customWidth="1"/>
    <col min="7929" max="7929" width="9.85546875" style="49" customWidth="1"/>
    <col min="7930" max="7930" width="14.42578125" style="49" customWidth="1"/>
    <col min="7931" max="7931" width="7.28515625" style="49" customWidth="1"/>
    <col min="7932" max="7932" width="5.5703125" style="49" customWidth="1"/>
    <col min="7933" max="7933" width="9" style="49" customWidth="1"/>
    <col min="7934" max="7935" width="9.85546875" style="49" customWidth="1"/>
    <col min="7936" max="7936" width="11.140625" style="49" customWidth="1"/>
    <col min="7937" max="7937" width="2.85546875" style="49" customWidth="1"/>
    <col min="7938" max="7938" width="3.5703125" style="49" customWidth="1"/>
    <col min="7939" max="8183" width="9.140625" style="49"/>
    <col min="8184" max="8184" width="8.7109375" style="49" customWidth="1"/>
    <col min="8185" max="8185" width="9.85546875" style="49" customWidth="1"/>
    <col min="8186" max="8186" width="14.42578125" style="49" customWidth="1"/>
    <col min="8187" max="8187" width="7.28515625" style="49" customWidth="1"/>
    <col min="8188" max="8188" width="5.5703125" style="49" customWidth="1"/>
    <col min="8189" max="8189" width="9" style="49" customWidth="1"/>
    <col min="8190" max="8191" width="9.85546875" style="49" customWidth="1"/>
    <col min="8192" max="8192" width="11.140625" style="49" customWidth="1"/>
    <col min="8193" max="8193" width="2.85546875" style="49" customWidth="1"/>
    <col min="8194" max="8194" width="3.5703125" style="49" customWidth="1"/>
    <col min="8195" max="8439" width="9.140625" style="49"/>
    <col min="8440" max="8440" width="8.7109375" style="49" customWidth="1"/>
    <col min="8441" max="8441" width="9.85546875" style="49" customWidth="1"/>
    <col min="8442" max="8442" width="14.42578125" style="49" customWidth="1"/>
    <col min="8443" max="8443" width="7.28515625" style="49" customWidth="1"/>
    <col min="8444" max="8444" width="5.5703125" style="49" customWidth="1"/>
    <col min="8445" max="8445" width="9" style="49" customWidth="1"/>
    <col min="8446" max="8447" width="9.85546875" style="49" customWidth="1"/>
    <col min="8448" max="8448" width="11.140625" style="49" customWidth="1"/>
    <col min="8449" max="8449" width="2.85546875" style="49" customWidth="1"/>
    <col min="8450" max="8450" width="3.5703125" style="49" customWidth="1"/>
    <col min="8451" max="8695" width="9.140625" style="49"/>
    <col min="8696" max="8696" width="8.7109375" style="49" customWidth="1"/>
    <col min="8697" max="8697" width="9.85546875" style="49" customWidth="1"/>
    <col min="8698" max="8698" width="14.42578125" style="49" customWidth="1"/>
    <col min="8699" max="8699" width="7.28515625" style="49" customWidth="1"/>
    <col min="8700" max="8700" width="5.5703125" style="49" customWidth="1"/>
    <col min="8701" max="8701" width="9" style="49" customWidth="1"/>
    <col min="8702" max="8703" width="9.85546875" style="49" customWidth="1"/>
    <col min="8704" max="8704" width="11.140625" style="49" customWidth="1"/>
    <col min="8705" max="8705" width="2.85546875" style="49" customWidth="1"/>
    <col min="8706" max="8706" width="3.5703125" style="49" customWidth="1"/>
    <col min="8707" max="8951" width="9.140625" style="49"/>
    <col min="8952" max="8952" width="8.7109375" style="49" customWidth="1"/>
    <col min="8953" max="8953" width="9.85546875" style="49" customWidth="1"/>
    <col min="8954" max="8954" width="14.42578125" style="49" customWidth="1"/>
    <col min="8955" max="8955" width="7.28515625" style="49" customWidth="1"/>
    <col min="8956" max="8956" width="5.5703125" style="49" customWidth="1"/>
    <col min="8957" max="8957" width="9" style="49" customWidth="1"/>
    <col min="8958" max="8959" width="9.85546875" style="49" customWidth="1"/>
    <col min="8960" max="8960" width="11.140625" style="49" customWidth="1"/>
    <col min="8961" max="8961" width="2.85546875" style="49" customWidth="1"/>
    <col min="8962" max="8962" width="3.5703125" style="49" customWidth="1"/>
    <col min="8963" max="9207" width="9.140625" style="49"/>
    <col min="9208" max="9208" width="8.7109375" style="49" customWidth="1"/>
    <col min="9209" max="9209" width="9.85546875" style="49" customWidth="1"/>
    <col min="9210" max="9210" width="14.42578125" style="49" customWidth="1"/>
    <col min="9211" max="9211" width="7.28515625" style="49" customWidth="1"/>
    <col min="9212" max="9212" width="5.5703125" style="49" customWidth="1"/>
    <col min="9213" max="9213" width="9" style="49" customWidth="1"/>
    <col min="9214" max="9215" width="9.85546875" style="49" customWidth="1"/>
    <col min="9216" max="9216" width="11.140625" style="49" customWidth="1"/>
    <col min="9217" max="9217" width="2.85546875" style="49" customWidth="1"/>
    <col min="9218" max="9218" width="3.5703125" style="49" customWidth="1"/>
    <col min="9219" max="9463" width="9.140625" style="49"/>
    <col min="9464" max="9464" width="8.7109375" style="49" customWidth="1"/>
    <col min="9465" max="9465" width="9.85546875" style="49" customWidth="1"/>
    <col min="9466" max="9466" width="14.42578125" style="49" customWidth="1"/>
    <col min="9467" max="9467" width="7.28515625" style="49" customWidth="1"/>
    <col min="9468" max="9468" width="5.5703125" style="49" customWidth="1"/>
    <col min="9469" max="9469" width="9" style="49" customWidth="1"/>
    <col min="9470" max="9471" width="9.85546875" style="49" customWidth="1"/>
    <col min="9472" max="9472" width="11.140625" style="49" customWidth="1"/>
    <col min="9473" max="9473" width="2.85546875" style="49" customWidth="1"/>
    <col min="9474" max="9474" width="3.5703125" style="49" customWidth="1"/>
    <col min="9475" max="9719" width="9.140625" style="49"/>
    <col min="9720" max="9720" width="8.7109375" style="49" customWidth="1"/>
    <col min="9721" max="9721" width="9.85546875" style="49" customWidth="1"/>
    <col min="9722" max="9722" width="14.42578125" style="49" customWidth="1"/>
    <col min="9723" max="9723" width="7.28515625" style="49" customWidth="1"/>
    <col min="9724" max="9724" width="5.5703125" style="49" customWidth="1"/>
    <col min="9725" max="9725" width="9" style="49" customWidth="1"/>
    <col min="9726" max="9727" width="9.85546875" style="49" customWidth="1"/>
    <col min="9728" max="9728" width="11.140625" style="49" customWidth="1"/>
    <col min="9729" max="9729" width="2.85546875" style="49" customWidth="1"/>
    <col min="9730" max="9730" width="3.5703125" style="49" customWidth="1"/>
    <col min="9731" max="9975" width="9.140625" style="49"/>
    <col min="9976" max="9976" width="8.7109375" style="49" customWidth="1"/>
    <col min="9977" max="9977" width="9.85546875" style="49" customWidth="1"/>
    <col min="9978" max="9978" width="14.42578125" style="49" customWidth="1"/>
    <col min="9979" max="9979" width="7.28515625" style="49" customWidth="1"/>
    <col min="9980" max="9980" width="5.5703125" style="49" customWidth="1"/>
    <col min="9981" max="9981" width="9" style="49" customWidth="1"/>
    <col min="9982" max="9983" width="9.85546875" style="49" customWidth="1"/>
    <col min="9984" max="9984" width="11.140625" style="49" customWidth="1"/>
    <col min="9985" max="9985" width="2.85546875" style="49" customWidth="1"/>
    <col min="9986" max="9986" width="3.5703125" style="49" customWidth="1"/>
    <col min="9987" max="10231" width="9.140625" style="49"/>
    <col min="10232" max="10232" width="8.7109375" style="49" customWidth="1"/>
    <col min="10233" max="10233" width="9.85546875" style="49" customWidth="1"/>
    <col min="10234" max="10234" width="14.42578125" style="49" customWidth="1"/>
    <col min="10235" max="10235" width="7.28515625" style="49" customWidth="1"/>
    <col min="10236" max="10236" width="5.5703125" style="49" customWidth="1"/>
    <col min="10237" max="10237" width="9" style="49" customWidth="1"/>
    <col min="10238" max="10239" width="9.85546875" style="49" customWidth="1"/>
    <col min="10240" max="10240" width="11.140625" style="49" customWidth="1"/>
    <col min="10241" max="10241" width="2.85546875" style="49" customWidth="1"/>
    <col min="10242" max="10242" width="3.5703125" style="49" customWidth="1"/>
    <col min="10243" max="10487" width="9.140625" style="49"/>
    <col min="10488" max="10488" width="8.7109375" style="49" customWidth="1"/>
    <col min="10489" max="10489" width="9.85546875" style="49" customWidth="1"/>
    <col min="10490" max="10490" width="14.42578125" style="49" customWidth="1"/>
    <col min="10491" max="10491" width="7.28515625" style="49" customWidth="1"/>
    <col min="10492" max="10492" width="5.5703125" style="49" customWidth="1"/>
    <col min="10493" max="10493" width="9" style="49" customWidth="1"/>
    <col min="10494" max="10495" width="9.85546875" style="49" customWidth="1"/>
    <col min="10496" max="10496" width="11.140625" style="49" customWidth="1"/>
    <col min="10497" max="10497" width="2.85546875" style="49" customWidth="1"/>
    <col min="10498" max="10498" width="3.5703125" style="49" customWidth="1"/>
    <col min="10499" max="10743" width="9.140625" style="49"/>
    <col min="10744" max="10744" width="8.7109375" style="49" customWidth="1"/>
    <col min="10745" max="10745" width="9.85546875" style="49" customWidth="1"/>
    <col min="10746" max="10746" width="14.42578125" style="49" customWidth="1"/>
    <col min="10747" max="10747" width="7.28515625" style="49" customWidth="1"/>
    <col min="10748" max="10748" width="5.5703125" style="49" customWidth="1"/>
    <col min="10749" max="10749" width="9" style="49" customWidth="1"/>
    <col min="10750" max="10751" width="9.85546875" style="49" customWidth="1"/>
    <col min="10752" max="10752" width="11.140625" style="49" customWidth="1"/>
    <col min="10753" max="10753" width="2.85546875" style="49" customWidth="1"/>
    <col min="10754" max="10754" width="3.5703125" style="49" customWidth="1"/>
    <col min="10755" max="10999" width="9.140625" style="49"/>
    <col min="11000" max="11000" width="8.7109375" style="49" customWidth="1"/>
    <col min="11001" max="11001" width="9.85546875" style="49" customWidth="1"/>
    <col min="11002" max="11002" width="14.42578125" style="49" customWidth="1"/>
    <col min="11003" max="11003" width="7.28515625" style="49" customWidth="1"/>
    <col min="11004" max="11004" width="5.5703125" style="49" customWidth="1"/>
    <col min="11005" max="11005" width="9" style="49" customWidth="1"/>
    <col min="11006" max="11007" width="9.85546875" style="49" customWidth="1"/>
    <col min="11008" max="11008" width="11.140625" style="49" customWidth="1"/>
    <col min="11009" max="11009" width="2.85546875" style="49" customWidth="1"/>
    <col min="11010" max="11010" width="3.5703125" style="49" customWidth="1"/>
    <col min="11011" max="11255" width="9.140625" style="49"/>
    <col min="11256" max="11256" width="8.7109375" style="49" customWidth="1"/>
    <col min="11257" max="11257" width="9.85546875" style="49" customWidth="1"/>
    <col min="11258" max="11258" width="14.42578125" style="49" customWidth="1"/>
    <col min="11259" max="11259" width="7.28515625" style="49" customWidth="1"/>
    <col min="11260" max="11260" width="5.5703125" style="49" customWidth="1"/>
    <col min="11261" max="11261" width="9" style="49" customWidth="1"/>
    <col min="11262" max="11263" width="9.85546875" style="49" customWidth="1"/>
    <col min="11264" max="11264" width="11.140625" style="49" customWidth="1"/>
    <col min="11265" max="11265" width="2.85546875" style="49" customWidth="1"/>
    <col min="11266" max="11266" width="3.5703125" style="49" customWidth="1"/>
    <col min="11267" max="11511" width="9.140625" style="49"/>
    <col min="11512" max="11512" width="8.7109375" style="49" customWidth="1"/>
    <col min="11513" max="11513" width="9.85546875" style="49" customWidth="1"/>
    <col min="11514" max="11514" width="14.42578125" style="49" customWidth="1"/>
    <col min="11515" max="11515" width="7.28515625" style="49" customWidth="1"/>
    <col min="11516" max="11516" width="5.5703125" style="49" customWidth="1"/>
    <col min="11517" max="11517" width="9" style="49" customWidth="1"/>
    <col min="11518" max="11519" width="9.85546875" style="49" customWidth="1"/>
    <col min="11520" max="11520" width="11.140625" style="49" customWidth="1"/>
    <col min="11521" max="11521" width="2.85546875" style="49" customWidth="1"/>
    <col min="11522" max="11522" width="3.5703125" style="49" customWidth="1"/>
    <col min="11523" max="11767" width="9.140625" style="49"/>
    <col min="11768" max="11768" width="8.7109375" style="49" customWidth="1"/>
    <col min="11769" max="11769" width="9.85546875" style="49" customWidth="1"/>
    <col min="11770" max="11770" width="14.42578125" style="49" customWidth="1"/>
    <col min="11771" max="11771" width="7.28515625" style="49" customWidth="1"/>
    <col min="11772" max="11772" width="5.5703125" style="49" customWidth="1"/>
    <col min="11773" max="11773" width="9" style="49" customWidth="1"/>
    <col min="11774" max="11775" width="9.85546875" style="49" customWidth="1"/>
    <col min="11776" max="11776" width="11.140625" style="49" customWidth="1"/>
    <col min="11777" max="11777" width="2.85546875" style="49" customWidth="1"/>
    <col min="11778" max="11778" width="3.5703125" style="49" customWidth="1"/>
    <col min="11779" max="12023" width="9.140625" style="49"/>
    <col min="12024" max="12024" width="8.7109375" style="49" customWidth="1"/>
    <col min="12025" max="12025" width="9.85546875" style="49" customWidth="1"/>
    <col min="12026" max="12026" width="14.42578125" style="49" customWidth="1"/>
    <col min="12027" max="12027" width="7.28515625" style="49" customWidth="1"/>
    <col min="12028" max="12028" width="5.5703125" style="49" customWidth="1"/>
    <col min="12029" max="12029" width="9" style="49" customWidth="1"/>
    <col min="12030" max="12031" width="9.85546875" style="49" customWidth="1"/>
    <col min="12032" max="12032" width="11.140625" style="49" customWidth="1"/>
    <col min="12033" max="12033" width="2.85546875" style="49" customWidth="1"/>
    <col min="12034" max="12034" width="3.5703125" style="49" customWidth="1"/>
    <col min="12035" max="12279" width="9.140625" style="49"/>
    <col min="12280" max="12280" width="8.7109375" style="49" customWidth="1"/>
    <col min="12281" max="12281" width="9.85546875" style="49" customWidth="1"/>
    <col min="12282" max="12282" width="14.42578125" style="49" customWidth="1"/>
    <col min="12283" max="12283" width="7.28515625" style="49" customWidth="1"/>
    <col min="12284" max="12284" width="5.5703125" style="49" customWidth="1"/>
    <col min="12285" max="12285" width="9" style="49" customWidth="1"/>
    <col min="12286" max="12287" width="9.85546875" style="49" customWidth="1"/>
    <col min="12288" max="12288" width="11.140625" style="49" customWidth="1"/>
    <col min="12289" max="12289" width="2.85546875" style="49" customWidth="1"/>
    <col min="12290" max="12290" width="3.5703125" style="49" customWidth="1"/>
    <col min="12291" max="12535" width="9.140625" style="49"/>
    <col min="12536" max="12536" width="8.7109375" style="49" customWidth="1"/>
    <col min="12537" max="12537" width="9.85546875" style="49" customWidth="1"/>
    <col min="12538" max="12538" width="14.42578125" style="49" customWidth="1"/>
    <col min="12539" max="12539" width="7.28515625" style="49" customWidth="1"/>
    <col min="12540" max="12540" width="5.5703125" style="49" customWidth="1"/>
    <col min="12541" max="12541" width="9" style="49" customWidth="1"/>
    <col min="12542" max="12543" width="9.85546875" style="49" customWidth="1"/>
    <col min="12544" max="12544" width="11.140625" style="49" customWidth="1"/>
    <col min="12545" max="12545" width="2.85546875" style="49" customWidth="1"/>
    <col min="12546" max="12546" width="3.5703125" style="49" customWidth="1"/>
    <col min="12547" max="12791" width="9.140625" style="49"/>
    <col min="12792" max="12792" width="8.7109375" style="49" customWidth="1"/>
    <col min="12793" max="12793" width="9.85546875" style="49" customWidth="1"/>
    <col min="12794" max="12794" width="14.42578125" style="49" customWidth="1"/>
    <col min="12795" max="12795" width="7.28515625" style="49" customWidth="1"/>
    <col min="12796" max="12796" width="5.5703125" style="49" customWidth="1"/>
    <col min="12797" max="12797" width="9" style="49" customWidth="1"/>
    <col min="12798" max="12799" width="9.85546875" style="49" customWidth="1"/>
    <col min="12800" max="12800" width="11.140625" style="49" customWidth="1"/>
    <col min="12801" max="12801" width="2.85546875" style="49" customWidth="1"/>
    <col min="12802" max="12802" width="3.5703125" style="49" customWidth="1"/>
    <col min="12803" max="13047" width="9.140625" style="49"/>
    <col min="13048" max="13048" width="8.7109375" style="49" customWidth="1"/>
    <col min="13049" max="13049" width="9.85546875" style="49" customWidth="1"/>
    <col min="13050" max="13050" width="14.42578125" style="49" customWidth="1"/>
    <col min="13051" max="13051" width="7.28515625" style="49" customWidth="1"/>
    <col min="13052" max="13052" width="5.5703125" style="49" customWidth="1"/>
    <col min="13053" max="13053" width="9" style="49" customWidth="1"/>
    <col min="13054" max="13055" width="9.85546875" style="49" customWidth="1"/>
    <col min="13056" max="13056" width="11.140625" style="49" customWidth="1"/>
    <col min="13057" max="13057" width="2.85546875" style="49" customWidth="1"/>
    <col min="13058" max="13058" width="3.5703125" style="49" customWidth="1"/>
    <col min="13059" max="13303" width="9.140625" style="49"/>
    <col min="13304" max="13304" width="8.7109375" style="49" customWidth="1"/>
    <col min="13305" max="13305" width="9.85546875" style="49" customWidth="1"/>
    <col min="13306" max="13306" width="14.42578125" style="49" customWidth="1"/>
    <col min="13307" max="13307" width="7.28515625" style="49" customWidth="1"/>
    <col min="13308" max="13308" width="5.5703125" style="49" customWidth="1"/>
    <col min="13309" max="13309" width="9" style="49" customWidth="1"/>
    <col min="13310" max="13311" width="9.85546875" style="49" customWidth="1"/>
    <col min="13312" max="13312" width="11.140625" style="49" customWidth="1"/>
    <col min="13313" max="13313" width="2.85546875" style="49" customWidth="1"/>
    <col min="13314" max="13314" width="3.5703125" style="49" customWidth="1"/>
    <col min="13315" max="13559" width="9.140625" style="49"/>
    <col min="13560" max="13560" width="8.7109375" style="49" customWidth="1"/>
    <col min="13561" max="13561" width="9.85546875" style="49" customWidth="1"/>
    <col min="13562" max="13562" width="14.42578125" style="49" customWidth="1"/>
    <col min="13563" max="13563" width="7.28515625" style="49" customWidth="1"/>
    <col min="13564" max="13564" width="5.5703125" style="49" customWidth="1"/>
    <col min="13565" max="13565" width="9" style="49" customWidth="1"/>
    <col min="13566" max="13567" width="9.85546875" style="49" customWidth="1"/>
    <col min="13568" max="13568" width="11.140625" style="49" customWidth="1"/>
    <col min="13569" max="13569" width="2.85546875" style="49" customWidth="1"/>
    <col min="13570" max="13570" width="3.5703125" style="49" customWidth="1"/>
    <col min="13571" max="13815" width="9.140625" style="49"/>
    <col min="13816" max="13816" width="8.7109375" style="49" customWidth="1"/>
    <col min="13817" max="13817" width="9.85546875" style="49" customWidth="1"/>
    <col min="13818" max="13818" width="14.42578125" style="49" customWidth="1"/>
    <col min="13819" max="13819" width="7.28515625" style="49" customWidth="1"/>
    <col min="13820" max="13820" width="5.5703125" style="49" customWidth="1"/>
    <col min="13821" max="13821" width="9" style="49" customWidth="1"/>
    <col min="13822" max="13823" width="9.85546875" style="49" customWidth="1"/>
    <col min="13824" max="13824" width="11.140625" style="49" customWidth="1"/>
    <col min="13825" max="13825" width="2.85546875" style="49" customWidth="1"/>
    <col min="13826" max="13826" width="3.5703125" style="49" customWidth="1"/>
    <col min="13827" max="14071" width="9.140625" style="49"/>
    <col min="14072" max="14072" width="8.7109375" style="49" customWidth="1"/>
    <col min="14073" max="14073" width="9.85546875" style="49" customWidth="1"/>
    <col min="14074" max="14074" width="14.42578125" style="49" customWidth="1"/>
    <col min="14075" max="14075" width="7.28515625" style="49" customWidth="1"/>
    <col min="14076" max="14076" width="5.5703125" style="49" customWidth="1"/>
    <col min="14077" max="14077" width="9" style="49" customWidth="1"/>
    <col min="14078" max="14079" width="9.85546875" style="49" customWidth="1"/>
    <col min="14080" max="14080" width="11.140625" style="49" customWidth="1"/>
    <col min="14081" max="14081" width="2.85546875" style="49" customWidth="1"/>
    <col min="14082" max="14082" width="3.5703125" style="49" customWidth="1"/>
    <col min="14083" max="14327" width="9.140625" style="49"/>
    <col min="14328" max="14328" width="8.7109375" style="49" customWidth="1"/>
    <col min="14329" max="14329" width="9.85546875" style="49" customWidth="1"/>
    <col min="14330" max="14330" width="14.42578125" style="49" customWidth="1"/>
    <col min="14331" max="14331" width="7.28515625" style="49" customWidth="1"/>
    <col min="14332" max="14332" width="5.5703125" style="49" customWidth="1"/>
    <col min="14333" max="14333" width="9" style="49" customWidth="1"/>
    <col min="14334" max="14335" width="9.85546875" style="49" customWidth="1"/>
    <col min="14336" max="14336" width="11.140625" style="49" customWidth="1"/>
    <col min="14337" max="14337" width="2.85546875" style="49" customWidth="1"/>
    <col min="14338" max="14338" width="3.5703125" style="49" customWidth="1"/>
    <col min="14339" max="14583" width="9.140625" style="49"/>
    <col min="14584" max="14584" width="8.7109375" style="49" customWidth="1"/>
    <col min="14585" max="14585" width="9.85546875" style="49" customWidth="1"/>
    <col min="14586" max="14586" width="14.42578125" style="49" customWidth="1"/>
    <col min="14587" max="14587" width="7.28515625" style="49" customWidth="1"/>
    <col min="14588" max="14588" width="5.5703125" style="49" customWidth="1"/>
    <col min="14589" max="14589" width="9" style="49" customWidth="1"/>
    <col min="14590" max="14591" width="9.85546875" style="49" customWidth="1"/>
    <col min="14592" max="14592" width="11.140625" style="49" customWidth="1"/>
    <col min="14593" max="14593" width="2.85546875" style="49" customWidth="1"/>
    <col min="14594" max="14594" width="3.5703125" style="49" customWidth="1"/>
    <col min="14595" max="14839" width="9.140625" style="49"/>
    <col min="14840" max="14840" width="8.7109375" style="49" customWidth="1"/>
    <col min="14841" max="14841" width="9.85546875" style="49" customWidth="1"/>
    <col min="14842" max="14842" width="14.42578125" style="49" customWidth="1"/>
    <col min="14843" max="14843" width="7.28515625" style="49" customWidth="1"/>
    <col min="14844" max="14844" width="5.5703125" style="49" customWidth="1"/>
    <col min="14845" max="14845" width="9" style="49" customWidth="1"/>
    <col min="14846" max="14847" width="9.85546875" style="49" customWidth="1"/>
    <col min="14848" max="14848" width="11.140625" style="49" customWidth="1"/>
    <col min="14849" max="14849" width="2.85546875" style="49" customWidth="1"/>
    <col min="14850" max="14850" width="3.5703125" style="49" customWidth="1"/>
    <col min="14851" max="15095" width="9.140625" style="49"/>
    <col min="15096" max="15096" width="8.7109375" style="49" customWidth="1"/>
    <col min="15097" max="15097" width="9.85546875" style="49" customWidth="1"/>
    <col min="15098" max="15098" width="14.42578125" style="49" customWidth="1"/>
    <col min="15099" max="15099" width="7.28515625" style="49" customWidth="1"/>
    <col min="15100" max="15100" width="5.5703125" style="49" customWidth="1"/>
    <col min="15101" max="15101" width="9" style="49" customWidth="1"/>
    <col min="15102" max="15103" width="9.85546875" style="49" customWidth="1"/>
    <col min="15104" max="15104" width="11.140625" style="49" customWidth="1"/>
    <col min="15105" max="15105" width="2.85546875" style="49" customWidth="1"/>
    <col min="15106" max="15106" width="3.5703125" style="49" customWidth="1"/>
    <col min="15107" max="15351" width="9.140625" style="49"/>
    <col min="15352" max="15352" width="8.7109375" style="49" customWidth="1"/>
    <col min="15353" max="15353" width="9.85546875" style="49" customWidth="1"/>
    <col min="15354" max="15354" width="14.42578125" style="49" customWidth="1"/>
    <col min="15355" max="15355" width="7.28515625" style="49" customWidth="1"/>
    <col min="15356" max="15356" width="5.5703125" style="49" customWidth="1"/>
    <col min="15357" max="15357" width="9" style="49" customWidth="1"/>
    <col min="15358" max="15359" width="9.85546875" style="49" customWidth="1"/>
    <col min="15360" max="15360" width="11.140625" style="49" customWidth="1"/>
    <col min="15361" max="15361" width="2.85546875" style="49" customWidth="1"/>
    <col min="15362" max="15362" width="3.5703125" style="49" customWidth="1"/>
    <col min="15363" max="15607" width="9.140625" style="49"/>
    <col min="15608" max="15608" width="8.7109375" style="49" customWidth="1"/>
    <col min="15609" max="15609" width="9.85546875" style="49" customWidth="1"/>
    <col min="15610" max="15610" width="14.42578125" style="49" customWidth="1"/>
    <col min="15611" max="15611" width="7.28515625" style="49" customWidth="1"/>
    <col min="15612" max="15612" width="5.5703125" style="49" customWidth="1"/>
    <col min="15613" max="15613" width="9" style="49" customWidth="1"/>
    <col min="15614" max="15615" width="9.85546875" style="49" customWidth="1"/>
    <col min="15616" max="15616" width="11.140625" style="49" customWidth="1"/>
    <col min="15617" max="15617" width="2.85546875" style="49" customWidth="1"/>
    <col min="15618" max="15618" width="3.5703125" style="49" customWidth="1"/>
    <col min="15619" max="15863" width="9.140625" style="49"/>
    <col min="15864" max="15864" width="8.7109375" style="49" customWidth="1"/>
    <col min="15865" max="15865" width="9.85546875" style="49" customWidth="1"/>
    <col min="15866" max="15866" width="14.42578125" style="49" customWidth="1"/>
    <col min="15867" max="15867" width="7.28515625" style="49" customWidth="1"/>
    <col min="15868" max="15868" width="5.5703125" style="49" customWidth="1"/>
    <col min="15869" max="15869" width="9" style="49" customWidth="1"/>
    <col min="15870" max="15871" width="9.85546875" style="49" customWidth="1"/>
    <col min="15872" max="15872" width="11.140625" style="49" customWidth="1"/>
    <col min="15873" max="15873" width="2.85546875" style="49" customWidth="1"/>
    <col min="15874" max="15874" width="3.5703125" style="49" customWidth="1"/>
    <col min="15875" max="16119" width="9.140625" style="49"/>
    <col min="16120" max="16120" width="8.7109375" style="49" customWidth="1"/>
    <col min="16121" max="16121" width="9.85546875" style="49" customWidth="1"/>
    <col min="16122" max="16122" width="14.42578125" style="49" customWidth="1"/>
    <col min="16123" max="16123" width="7.28515625" style="49" customWidth="1"/>
    <col min="16124" max="16124" width="5.5703125" style="49" customWidth="1"/>
    <col min="16125" max="16125" width="9" style="49" customWidth="1"/>
    <col min="16126" max="16127" width="9.85546875" style="49" customWidth="1"/>
    <col min="16128" max="16128" width="11.140625" style="49" customWidth="1"/>
    <col min="16129" max="16129" width="2.85546875" style="49" customWidth="1"/>
    <col min="16130" max="16130" width="3.5703125" style="49" customWidth="1"/>
    <col min="16131" max="16384" width="9.140625" style="49"/>
  </cols>
  <sheetData>
    <row r="1" spans="1:8" ht="46.5" customHeight="1" x14ac:dyDescent="0.25">
      <c r="A1" s="310" t="s">
        <v>112</v>
      </c>
      <c r="B1" s="310"/>
      <c r="C1" s="310"/>
      <c r="D1" s="310"/>
      <c r="E1" s="310"/>
      <c r="F1" s="310"/>
      <c r="G1" s="310"/>
      <c r="H1" s="310"/>
    </row>
    <row r="2" spans="1:8" ht="16.5" customHeight="1" x14ac:dyDescent="0.25">
      <c r="A2" s="247" t="s">
        <v>0</v>
      </c>
      <c r="B2" s="247"/>
      <c r="C2" s="247"/>
      <c r="D2" s="247"/>
      <c r="E2" s="247"/>
      <c r="F2" s="247"/>
      <c r="G2" s="247"/>
      <c r="H2" s="247"/>
    </row>
    <row r="3" spans="1:8" x14ac:dyDescent="0.25">
      <c r="A3" s="225" t="s">
        <v>1</v>
      </c>
      <c r="B3" s="225"/>
      <c r="C3" s="225"/>
      <c r="D3" s="225"/>
      <c r="E3" s="309" t="str">
        <f ca="1">TEXT(TODAY(),"DD/MM/YYYY")</f>
        <v>13/08/2025</v>
      </c>
      <c r="F3" s="309"/>
      <c r="G3" s="309"/>
      <c r="H3" s="309"/>
    </row>
    <row r="4" spans="1:8" ht="15" customHeight="1" x14ac:dyDescent="0.25">
      <c r="A4" s="225" t="s">
        <v>2</v>
      </c>
      <c r="B4" s="225"/>
      <c r="C4" s="225"/>
      <c r="D4" s="225"/>
      <c r="E4" s="304" t="s">
        <v>201</v>
      </c>
      <c r="F4" s="304"/>
      <c r="G4" s="304"/>
      <c r="H4" s="304"/>
    </row>
    <row r="5" spans="1:8" x14ac:dyDescent="0.25">
      <c r="A5" s="225" t="s">
        <v>3</v>
      </c>
      <c r="B5" s="225"/>
      <c r="C5" s="225"/>
      <c r="D5" s="225"/>
      <c r="E5" s="309">
        <v>44391</v>
      </c>
      <c r="F5" s="309"/>
      <c r="G5" s="309"/>
      <c r="H5" s="309"/>
    </row>
    <row r="6" spans="1:8" ht="16.5" customHeight="1" x14ac:dyDescent="0.25">
      <c r="A6" s="225" t="s">
        <v>4</v>
      </c>
      <c r="B6" s="225"/>
      <c r="C6" s="225"/>
      <c r="D6" s="225"/>
      <c r="E6" s="226" t="s">
        <v>200</v>
      </c>
      <c r="F6" s="226"/>
      <c r="G6" s="226"/>
      <c r="H6" s="226"/>
    </row>
    <row r="7" spans="1:8" ht="15" customHeight="1" x14ac:dyDescent="0.25">
      <c r="A7" s="225" t="s">
        <v>5</v>
      </c>
      <c r="B7" s="225"/>
      <c r="C7" s="225"/>
      <c r="D7" s="225"/>
      <c r="E7" s="226" t="str">
        <f>E6</f>
        <v>M/s.Mahaavir Buildcon LLP</v>
      </c>
      <c r="F7" s="226"/>
      <c r="G7" s="226"/>
      <c r="H7" s="226"/>
    </row>
    <row r="8" spans="1:8" x14ac:dyDescent="0.25">
      <c r="A8" s="225" t="s">
        <v>6</v>
      </c>
      <c r="B8" s="225"/>
      <c r="C8" s="225"/>
      <c r="D8" s="225"/>
      <c r="E8" s="225" t="s">
        <v>199</v>
      </c>
      <c r="F8" s="225"/>
      <c r="G8" s="225"/>
      <c r="H8" s="225"/>
    </row>
    <row r="9" spans="1:8" x14ac:dyDescent="0.25">
      <c r="A9" s="225" t="s">
        <v>162</v>
      </c>
      <c r="B9" s="225"/>
      <c r="C9" s="225"/>
      <c r="D9" s="225"/>
      <c r="E9" s="287">
        <v>9892509416</v>
      </c>
      <c r="F9" s="287"/>
      <c r="G9" s="287"/>
      <c r="H9" s="287"/>
    </row>
    <row r="10" spans="1:8" x14ac:dyDescent="0.25">
      <c r="A10" s="287" t="s">
        <v>7</v>
      </c>
      <c r="B10" s="287"/>
      <c r="C10" s="287"/>
      <c r="D10" s="287"/>
      <c r="E10" s="287" t="s">
        <v>190</v>
      </c>
      <c r="F10" s="287"/>
      <c r="G10" s="287"/>
      <c r="H10" s="287"/>
    </row>
    <row r="11" spans="1:8" x14ac:dyDescent="0.25">
      <c r="A11" s="225" t="s">
        <v>8</v>
      </c>
      <c r="B11" s="225"/>
      <c r="C11" s="225"/>
      <c r="D11" s="225"/>
      <c r="E11" s="286" t="s">
        <v>195</v>
      </c>
      <c r="F11" s="286"/>
      <c r="G11" s="286"/>
      <c r="H11" s="286"/>
    </row>
    <row r="12" spans="1:8" x14ac:dyDescent="0.25">
      <c r="A12" s="225" t="s">
        <v>9</v>
      </c>
      <c r="B12" s="225"/>
      <c r="C12" s="225"/>
      <c r="D12" s="225"/>
      <c r="E12" s="286" t="s">
        <v>212</v>
      </c>
      <c r="F12" s="287"/>
      <c r="G12" s="287"/>
      <c r="H12" s="287"/>
    </row>
    <row r="13" spans="1:8" ht="36" customHeight="1" x14ac:dyDescent="0.25">
      <c r="A13" s="226" t="s">
        <v>10</v>
      </c>
      <c r="B13" s="226"/>
      <c r="C13" s="226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",(IF(OR(G16="",G16="NA"),"",G16)),".")</f>
        <v>Mahaavir Pride, S No.42/2, 237/5, 259/4, near Sarvodaya Anand CHSL, Manpada Road, Bhopar, Kalyan, Kalyan, Thane.</v>
      </c>
      <c r="D13" s="226"/>
      <c r="E13" s="226"/>
      <c r="F13" s="226"/>
      <c r="G13" s="226"/>
      <c r="H13" s="226"/>
    </row>
    <row r="14" spans="1:8" x14ac:dyDescent="0.25">
      <c r="A14" s="286" t="s">
        <v>191</v>
      </c>
      <c r="B14" s="286"/>
      <c r="C14" s="286" t="s">
        <v>203</v>
      </c>
      <c r="D14" s="286"/>
      <c r="E14" s="286"/>
      <c r="F14" s="286"/>
      <c r="G14" s="286"/>
      <c r="H14" s="286"/>
    </row>
    <row r="15" spans="1:8" ht="15.75" customHeight="1" x14ac:dyDescent="0.25">
      <c r="A15" s="226" t="s">
        <v>11</v>
      </c>
      <c r="B15" s="226"/>
      <c r="C15" s="287" t="s">
        <v>207</v>
      </c>
      <c r="D15" s="287"/>
      <c r="E15" s="226" t="s">
        <v>104</v>
      </c>
      <c r="F15" s="226"/>
      <c r="G15" s="286" t="s">
        <v>205</v>
      </c>
      <c r="H15" s="286"/>
    </row>
    <row r="16" spans="1:8" x14ac:dyDescent="0.25">
      <c r="A16" s="225" t="s">
        <v>13</v>
      </c>
      <c r="B16" s="225"/>
      <c r="C16" s="286" t="s">
        <v>206</v>
      </c>
      <c r="D16" s="286"/>
      <c r="E16" s="226" t="s">
        <v>12</v>
      </c>
      <c r="F16" s="226"/>
      <c r="G16" s="308" t="s">
        <v>204</v>
      </c>
      <c r="H16" s="308"/>
    </row>
    <row r="17" spans="1:8" x14ac:dyDescent="0.25">
      <c r="A17" s="225" t="s">
        <v>105</v>
      </c>
      <c r="B17" s="225"/>
      <c r="C17" s="286" t="s">
        <v>206</v>
      </c>
      <c r="D17" s="286"/>
      <c r="E17" s="226" t="s">
        <v>14</v>
      </c>
      <c r="F17" s="226"/>
      <c r="G17" s="286">
        <v>421201</v>
      </c>
      <c r="H17" s="286"/>
    </row>
    <row r="18" spans="1:8" ht="32.25" customHeight="1" x14ac:dyDescent="0.25">
      <c r="A18" s="225" t="s">
        <v>163</v>
      </c>
      <c r="B18" s="225"/>
      <c r="C18" s="307" t="s">
        <v>208</v>
      </c>
      <c r="D18" s="307"/>
      <c r="E18" s="226" t="s">
        <v>15</v>
      </c>
      <c r="F18" s="226"/>
      <c r="G18" s="286" t="s">
        <v>225</v>
      </c>
      <c r="H18" s="286"/>
    </row>
    <row r="19" spans="1:8" ht="15" customHeight="1" x14ac:dyDescent="0.25">
      <c r="A19" s="226" t="s">
        <v>109</v>
      </c>
      <c r="B19" s="226"/>
      <c r="C19" s="226"/>
      <c r="D19" s="226"/>
      <c r="E19" s="287" t="s">
        <v>16</v>
      </c>
      <c r="F19" s="287"/>
      <c r="G19" s="287"/>
      <c r="H19" s="287"/>
    </row>
    <row r="20" spans="1:8" ht="18.75" customHeight="1" x14ac:dyDescent="0.25">
      <c r="A20" s="226"/>
      <c r="B20" s="226"/>
      <c r="C20" s="226"/>
      <c r="D20" s="226"/>
      <c r="E20" s="287"/>
      <c r="F20" s="287"/>
      <c r="G20" s="287"/>
      <c r="H20" s="287"/>
    </row>
    <row r="21" spans="1:8" ht="15" customHeight="1" x14ac:dyDescent="0.25">
      <c r="A21" s="226" t="s">
        <v>17</v>
      </c>
      <c r="B21" s="226"/>
      <c r="C21" s="226"/>
      <c r="D21" s="226"/>
      <c r="E21" s="286" t="s">
        <v>18</v>
      </c>
      <c r="F21" s="286"/>
      <c r="G21" s="286"/>
      <c r="H21" s="286"/>
    </row>
    <row r="22" spans="1:8" ht="15" customHeight="1" x14ac:dyDescent="0.25">
      <c r="A22" s="225" t="s">
        <v>19</v>
      </c>
      <c r="B22" s="225"/>
      <c r="C22" s="225"/>
      <c r="D22" s="225"/>
      <c r="E22" s="286" t="str">
        <f>IF(AND(G16="Mumbai"),"Upper Class","Middle Class")</f>
        <v>Middle Class</v>
      </c>
      <c r="F22" s="286"/>
      <c r="G22" s="286"/>
      <c r="H22" s="286"/>
    </row>
    <row r="23" spans="1:8" x14ac:dyDescent="0.25">
      <c r="A23" s="225" t="s">
        <v>20</v>
      </c>
      <c r="B23" s="225"/>
      <c r="C23" s="225"/>
      <c r="D23" s="225"/>
      <c r="E23" s="286" t="s">
        <v>21</v>
      </c>
      <c r="F23" s="286"/>
      <c r="G23" s="286"/>
      <c r="H23" s="286"/>
    </row>
    <row r="24" spans="1:8" ht="15.75" customHeight="1" x14ac:dyDescent="0.25">
      <c r="A24" s="225" t="s">
        <v>22</v>
      </c>
      <c r="B24" s="225"/>
      <c r="C24" s="225"/>
      <c r="D24" s="225"/>
      <c r="E24" s="286" t="str">
        <f>IF(AND(G16="Mumbai"),"Developed","Developing")</f>
        <v>Developing</v>
      </c>
      <c r="F24" s="286"/>
      <c r="G24" s="286"/>
      <c r="H24" s="286"/>
    </row>
    <row r="25" spans="1:8" x14ac:dyDescent="0.25">
      <c r="A25" s="225" t="s">
        <v>23</v>
      </c>
      <c r="B25" s="225"/>
      <c r="C25" s="225"/>
      <c r="D25" s="225"/>
      <c r="E25" s="286" t="s">
        <v>24</v>
      </c>
      <c r="F25" s="286"/>
      <c r="G25" s="286"/>
      <c r="H25" s="286"/>
    </row>
    <row r="26" spans="1:8" x14ac:dyDescent="0.25">
      <c r="A26" s="225" t="s">
        <v>115</v>
      </c>
      <c r="B26" s="225"/>
      <c r="C26" s="225"/>
      <c r="D26" s="225"/>
      <c r="E26" s="286" t="s">
        <v>116</v>
      </c>
      <c r="F26" s="286"/>
      <c r="G26" s="286"/>
      <c r="H26" s="286"/>
    </row>
    <row r="27" spans="1:8" ht="15" customHeight="1" x14ac:dyDescent="0.25">
      <c r="A27" s="226" t="s">
        <v>35</v>
      </c>
      <c r="B27" s="226"/>
      <c r="C27" s="226"/>
      <c r="D27" s="226"/>
      <c r="E27" s="304" t="s">
        <v>194</v>
      </c>
      <c r="F27" s="304"/>
      <c r="G27" s="304"/>
      <c r="H27" s="304"/>
    </row>
    <row r="28" spans="1:8" x14ac:dyDescent="0.25">
      <c r="A28" s="226" t="s">
        <v>127</v>
      </c>
      <c r="B28" s="226"/>
      <c r="C28" s="226"/>
      <c r="D28" s="226"/>
      <c r="E28" s="226" t="s">
        <v>36</v>
      </c>
      <c r="F28" s="226"/>
      <c r="G28" s="226"/>
      <c r="H28" s="226"/>
    </row>
    <row r="29" spans="1:8" s="50" customFormat="1" x14ac:dyDescent="0.25">
      <c r="A29" s="305" t="s">
        <v>128</v>
      </c>
      <c r="B29" s="305"/>
      <c r="C29" s="306" t="s">
        <v>29</v>
      </c>
      <c r="D29" s="306"/>
      <c r="E29" s="306"/>
      <c r="F29" s="306" t="s">
        <v>31</v>
      </c>
      <c r="G29" s="306"/>
      <c r="H29" s="306"/>
    </row>
    <row r="30" spans="1:8" s="50" customFormat="1" x14ac:dyDescent="0.25">
      <c r="A30" s="302" t="s">
        <v>25</v>
      </c>
      <c r="B30" s="302" t="s">
        <v>30</v>
      </c>
      <c r="C30" s="303" t="s">
        <v>30</v>
      </c>
      <c r="D30" s="303"/>
      <c r="E30" s="303"/>
      <c r="F30" s="303" t="s">
        <v>207</v>
      </c>
      <c r="G30" s="303"/>
      <c r="H30" s="303"/>
    </row>
    <row r="31" spans="1:8" x14ac:dyDescent="0.25">
      <c r="A31" s="302" t="s">
        <v>26</v>
      </c>
      <c r="B31" s="302" t="s">
        <v>30</v>
      </c>
      <c r="C31" s="303" t="s">
        <v>30</v>
      </c>
      <c r="D31" s="303"/>
      <c r="E31" s="303"/>
      <c r="F31" s="303" t="s">
        <v>210</v>
      </c>
      <c r="G31" s="303"/>
      <c r="H31" s="303"/>
    </row>
    <row r="32" spans="1:8" s="50" customFormat="1" x14ac:dyDescent="0.25">
      <c r="A32" s="302" t="s">
        <v>28</v>
      </c>
      <c r="B32" s="302" t="s">
        <v>30</v>
      </c>
      <c r="C32" s="303" t="s">
        <v>30</v>
      </c>
      <c r="D32" s="303"/>
      <c r="E32" s="303"/>
      <c r="F32" s="303" t="s">
        <v>211</v>
      </c>
      <c r="G32" s="303"/>
      <c r="H32" s="303"/>
    </row>
    <row r="33" spans="1:8" x14ac:dyDescent="0.25">
      <c r="A33" s="302" t="s">
        <v>27</v>
      </c>
      <c r="B33" s="302" t="s">
        <v>30</v>
      </c>
      <c r="C33" s="303" t="s">
        <v>30</v>
      </c>
      <c r="D33" s="303"/>
      <c r="E33" s="303"/>
      <c r="F33" s="303" t="s">
        <v>209</v>
      </c>
      <c r="G33" s="303"/>
      <c r="H33" s="303"/>
    </row>
    <row r="34" spans="1:8" x14ac:dyDescent="0.25">
      <c r="A34" s="225" t="s">
        <v>32</v>
      </c>
      <c r="B34" s="225"/>
      <c r="C34" s="225"/>
      <c r="D34" s="225"/>
      <c r="E34" s="225"/>
      <c r="F34" s="225"/>
      <c r="G34" s="225"/>
      <c r="H34" s="225"/>
    </row>
    <row r="35" spans="1:8" ht="15.75" customHeight="1" x14ac:dyDescent="0.25">
      <c r="A35" s="247" t="s">
        <v>33</v>
      </c>
      <c r="B35" s="247"/>
      <c r="C35" s="300">
        <v>19.192501199999999</v>
      </c>
      <c r="D35" s="300"/>
      <c r="E35" s="247" t="s">
        <v>34</v>
      </c>
      <c r="F35" s="247"/>
      <c r="G35" s="301">
        <v>73.091394699999995</v>
      </c>
      <c r="H35" s="301"/>
    </row>
    <row r="36" spans="1:8" x14ac:dyDescent="0.25">
      <c r="A36" s="250" t="s">
        <v>37</v>
      </c>
      <c r="B36" s="250"/>
      <c r="C36" s="250"/>
      <c r="D36" s="250"/>
      <c r="E36" s="250"/>
      <c r="F36" s="250"/>
      <c r="G36" s="250"/>
      <c r="H36" s="250"/>
    </row>
    <row r="37" spans="1:8" x14ac:dyDescent="0.25">
      <c r="A37" s="225" t="s">
        <v>38</v>
      </c>
      <c r="B37" s="225"/>
      <c r="C37" s="225"/>
      <c r="D37" s="225"/>
      <c r="E37" s="299">
        <v>6131.25</v>
      </c>
      <c r="F37" s="299"/>
      <c r="G37" s="299"/>
      <c r="H37" s="299"/>
    </row>
    <row r="38" spans="1:8" x14ac:dyDescent="0.25">
      <c r="A38" s="225" t="s">
        <v>39</v>
      </c>
      <c r="B38" s="225"/>
      <c r="C38" s="225"/>
      <c r="D38" s="225"/>
      <c r="E38" s="298">
        <v>0.95</v>
      </c>
      <c r="F38" s="298"/>
      <c r="G38" s="298"/>
      <c r="H38" s="298"/>
    </row>
    <row r="39" spans="1:8" x14ac:dyDescent="0.25">
      <c r="A39" s="225" t="s">
        <v>40</v>
      </c>
      <c r="B39" s="225"/>
      <c r="C39" s="225"/>
      <c r="D39" s="225"/>
      <c r="E39" s="297">
        <f>E41/E37-E38</f>
        <v>0.34488277268093781</v>
      </c>
      <c r="F39" s="297"/>
      <c r="G39" s="297"/>
      <c r="H39" s="297"/>
    </row>
    <row r="40" spans="1:8" x14ac:dyDescent="0.25">
      <c r="A40" s="225" t="s">
        <v>41</v>
      </c>
      <c r="B40" s="225"/>
      <c r="C40" s="225"/>
      <c r="D40" s="225"/>
      <c r="E40" s="297">
        <f>E38+E39</f>
        <v>1.2948827726809378</v>
      </c>
      <c r="F40" s="297"/>
      <c r="G40" s="297"/>
      <c r="H40" s="297"/>
    </row>
    <row r="41" spans="1:8" x14ac:dyDescent="0.25">
      <c r="A41" s="225" t="s">
        <v>126</v>
      </c>
      <c r="B41" s="225"/>
      <c r="C41" s="225"/>
      <c r="D41" s="225"/>
      <c r="E41" s="298">
        <v>7939.25</v>
      </c>
      <c r="F41" s="298"/>
      <c r="G41" s="298"/>
      <c r="H41" s="298"/>
    </row>
    <row r="42" spans="1:8" x14ac:dyDescent="0.25">
      <c r="A42" s="287" t="s">
        <v>42</v>
      </c>
      <c r="B42" s="287"/>
      <c r="C42" s="287"/>
      <c r="D42" s="287"/>
      <c r="E42" s="287" t="s">
        <v>189</v>
      </c>
      <c r="F42" s="287"/>
      <c r="G42" s="287"/>
      <c r="H42" s="287"/>
    </row>
    <row r="43" spans="1:8" x14ac:dyDescent="0.25">
      <c r="A43" s="258" t="s">
        <v>43</v>
      </c>
      <c r="B43" s="258"/>
      <c r="C43" s="258"/>
      <c r="D43" s="258"/>
      <c r="E43" s="258"/>
      <c r="F43" s="258"/>
      <c r="G43" s="258"/>
      <c r="H43" s="258"/>
    </row>
    <row r="44" spans="1:8" x14ac:dyDescent="0.25">
      <c r="A44" s="286" t="s">
        <v>44</v>
      </c>
      <c r="B44" s="286"/>
      <c r="C44" s="249" t="s">
        <v>236</v>
      </c>
      <c r="D44" s="249"/>
      <c r="E44" s="249"/>
      <c r="F44" s="51" t="s">
        <v>45</v>
      </c>
      <c r="G44" s="290">
        <v>44144</v>
      </c>
      <c r="H44" s="290"/>
    </row>
    <row r="45" spans="1:8" x14ac:dyDescent="0.25">
      <c r="A45" s="287" t="s">
        <v>46</v>
      </c>
      <c r="B45" s="287"/>
      <c r="C45" s="249" t="str">
        <f>C44</f>
        <v>KDMP/NRV/BP/27village/2020-21/05</v>
      </c>
      <c r="D45" s="249"/>
      <c r="E45" s="249"/>
      <c r="F45" s="51" t="s">
        <v>45</v>
      </c>
      <c r="G45" s="290">
        <f>G44</f>
        <v>44144</v>
      </c>
      <c r="H45" s="290"/>
    </row>
    <row r="46" spans="1:8" s="53" customFormat="1" x14ac:dyDescent="0.25">
      <c r="A46" s="286" t="s">
        <v>47</v>
      </c>
      <c r="B46" s="286"/>
      <c r="C46" s="249" t="str">
        <f>C45</f>
        <v>KDMP/NRV/BP/27village/2020-21/05</v>
      </c>
      <c r="D46" s="248"/>
      <c r="E46" s="248"/>
      <c r="F46" s="52" t="s">
        <v>45</v>
      </c>
      <c r="G46" s="290">
        <f>G45</f>
        <v>44144</v>
      </c>
      <c r="H46" s="290"/>
    </row>
    <row r="47" spans="1:8" s="53" customFormat="1" ht="32.25" customHeight="1" x14ac:dyDescent="0.25">
      <c r="A47" s="286"/>
      <c r="B47" s="286"/>
      <c r="C47" s="291" t="s">
        <v>213</v>
      </c>
      <c r="D47" s="292"/>
      <c r="E47" s="292"/>
      <c r="F47" s="292"/>
      <c r="G47" s="292"/>
      <c r="H47" s="293"/>
    </row>
    <row r="48" spans="1:8" x14ac:dyDescent="0.25">
      <c r="A48" s="259" t="s">
        <v>48</v>
      </c>
      <c r="B48" s="259"/>
      <c r="C48" s="294" t="s">
        <v>142</v>
      </c>
      <c r="D48" s="295"/>
      <c r="E48" s="295" t="s">
        <v>49</v>
      </c>
      <c r="F48" s="54" t="s">
        <v>45</v>
      </c>
      <c r="G48" s="296" t="s">
        <v>30</v>
      </c>
      <c r="H48" s="296"/>
    </row>
    <row r="49" spans="1:14" x14ac:dyDescent="0.25">
      <c r="A49" s="228" t="s">
        <v>51</v>
      </c>
      <c r="B49" s="228"/>
      <c r="C49" s="228"/>
      <c r="D49" s="228"/>
      <c r="E49" s="228"/>
      <c r="F49" s="228"/>
      <c r="G49" s="228"/>
      <c r="H49" s="228"/>
    </row>
    <row r="50" spans="1:14" x14ac:dyDescent="0.25">
      <c r="A50" s="226" t="s">
        <v>125</v>
      </c>
      <c r="B50" s="226"/>
      <c r="C50" s="226"/>
      <c r="D50" s="225">
        <f>E41</f>
        <v>7939.25</v>
      </c>
      <c r="E50" s="225"/>
      <c r="F50" s="225"/>
      <c r="G50" s="225"/>
      <c r="H50" s="225"/>
    </row>
    <row r="51" spans="1:14" x14ac:dyDescent="0.25">
      <c r="A51" s="286" t="s">
        <v>52</v>
      </c>
      <c r="B51" s="287"/>
      <c r="C51" s="287"/>
      <c r="D51" s="287" t="s">
        <v>237</v>
      </c>
      <c r="E51" s="287"/>
      <c r="F51" s="287"/>
      <c r="G51" s="287"/>
      <c r="H51" s="287"/>
      <c r="I51" s="55"/>
    </row>
    <row r="52" spans="1:14" ht="51" customHeight="1" x14ac:dyDescent="0.25">
      <c r="A52" s="274" t="s">
        <v>53</v>
      </c>
      <c r="B52" s="275"/>
      <c r="C52" s="288"/>
      <c r="D52" s="273" t="s">
        <v>238</v>
      </c>
      <c r="E52" s="289"/>
      <c r="F52" s="289"/>
      <c r="G52" s="289"/>
      <c r="H52" s="289"/>
    </row>
    <row r="53" spans="1:14" ht="15.75" customHeight="1" x14ac:dyDescent="0.25">
      <c r="A53" s="274" t="s">
        <v>123</v>
      </c>
      <c r="B53" s="275"/>
      <c r="C53" s="275"/>
      <c r="D53" s="278" t="s">
        <v>239</v>
      </c>
      <c r="E53" s="279"/>
      <c r="F53" s="279"/>
      <c r="G53" s="279"/>
      <c r="H53" s="280"/>
    </row>
    <row r="54" spans="1:14" ht="15.75" customHeight="1" x14ac:dyDescent="0.25">
      <c r="A54" s="276"/>
      <c r="B54" s="277"/>
      <c r="C54" s="277"/>
      <c r="D54" s="281" t="s">
        <v>240</v>
      </c>
      <c r="E54" s="282"/>
      <c r="F54" s="282"/>
      <c r="G54" s="282"/>
      <c r="H54" s="283"/>
    </row>
    <row r="55" spans="1:14" ht="15.75" customHeight="1" x14ac:dyDescent="0.25">
      <c r="A55" s="225" t="s">
        <v>50</v>
      </c>
      <c r="B55" s="225"/>
      <c r="C55" s="225"/>
      <c r="D55" s="284" t="s">
        <v>202</v>
      </c>
      <c r="E55" s="284"/>
      <c r="F55" s="284"/>
      <c r="G55" s="284"/>
      <c r="H55" s="284"/>
      <c r="J55" s="56"/>
      <c r="K55" s="55"/>
      <c r="N55" s="55"/>
    </row>
    <row r="56" spans="1:14" ht="15.75" customHeight="1" x14ac:dyDescent="0.25">
      <c r="A56" s="225" t="s">
        <v>121</v>
      </c>
      <c r="B56" s="225"/>
      <c r="C56" s="225"/>
      <c r="D56" s="285" t="str">
        <f>(IF(G48="NA","60 Years After Completion",IF(G48&lt;&gt;"NA",""&amp;ROUNDDOWN((E3-G48)/360,0)&amp;" Years"," ")))</f>
        <v>60 Years After Completion</v>
      </c>
      <c r="E56" s="285"/>
      <c r="F56" s="285"/>
      <c r="G56" s="285"/>
      <c r="H56" s="285"/>
      <c r="N56" s="55"/>
    </row>
    <row r="57" spans="1:14" ht="15.75" customHeight="1" x14ac:dyDescent="0.25">
      <c r="A57" s="225" t="s">
        <v>122</v>
      </c>
      <c r="B57" s="225"/>
      <c r="C57" s="225"/>
      <c r="D57" s="226" t="s">
        <v>24</v>
      </c>
      <c r="E57" s="226"/>
      <c r="F57" s="226"/>
      <c r="G57" s="226"/>
      <c r="H57" s="226"/>
      <c r="J57" s="57"/>
      <c r="K57" s="57"/>
    </row>
    <row r="58" spans="1:14" ht="15.75" customHeight="1" thickBot="1" x14ac:dyDescent="0.3">
      <c r="A58" s="272" t="s">
        <v>120</v>
      </c>
      <c r="B58" s="272"/>
      <c r="C58" s="272"/>
      <c r="D58" s="273" t="str">
        <f ca="1">(IF(G63&gt;95%,"Nothing",IF(G63&gt;0%,"Cement, Aggregate, Steel, etc",IF(G63=0%,"Work not yet Started"))))</f>
        <v>Cement, Aggregate, Steel, etc</v>
      </c>
      <c r="E58" s="273"/>
      <c r="F58" s="273"/>
      <c r="G58" s="273"/>
      <c r="H58" s="273"/>
      <c r="J58" s="57"/>
      <c r="K58" s="57"/>
    </row>
    <row r="59" spans="1:14" ht="15.75" customHeight="1" x14ac:dyDescent="0.25">
      <c r="A59" s="264" t="s">
        <v>182</v>
      </c>
      <c r="B59" s="265"/>
      <c r="C59" s="266" t="str">
        <f>D53</f>
        <v>A Wing = G + 1st Commerical + 2nd to 28th Floor</v>
      </c>
      <c r="D59" s="267"/>
      <c r="E59" s="267"/>
      <c r="F59" s="267"/>
      <c r="G59" s="267"/>
      <c r="H59" s="268"/>
      <c r="I59" s="58" t="str">
        <f ca="1">(IF(C63=0,"Work not yet Started.",IF(D63=25%,"Piling work in process",IF(D63=50%,"Excavation work in process",IF(D63=100%,"Excavation work completed, ","0")))&amp;(IF(C64=0%,"",IF(C64=K65,"Footing work is process",IF(C64=K66,"Footing work Completed",IF(C64=K67,"1st Basement Completed",IF(C64=K68,"1st &amp; 2nd Basement Completed",IF(C64=K69,"1st to 3rd Basement Completed",IF(C64=K70,"1st to 4th Basement Completed",IF(C64=K71,"Plinth work is process",IF(C64=K72,"Plinth work completed","0")))))))))))&amp;(IF(C65&gt;0,", RCC upto "&amp;C65&amp;" Slab completed",""))&amp;(IF(C66&gt;0,", Brickwork upto "&amp;C66&amp;" Floor completed"," "))&amp;(IF(C67&gt;0,", Internal Plaster upto "&amp;C67&amp;" Floor completed"," "))&amp;(IF(C68&gt;0,", External Plaster upto "&amp;C68&amp;" Floor completed"," "))&amp;(IF(C69&gt;0,", Flooring upto "&amp;C69&amp;" Floor completed"," "))&amp;(IF(C70&gt;0,", Painting upto "&amp;C70&amp;" Floor completed"," "))&amp;(IF(C71&gt;0,", Finishing upto "&amp;C71&amp;" Floor completed"," ")))</f>
        <v xml:space="preserve">Excavation work completed, Plinth work completed      </v>
      </c>
      <c r="J59" s="58"/>
      <c r="K59" s="59"/>
    </row>
    <row r="60" spans="1:14" x14ac:dyDescent="0.25">
      <c r="A60" s="60" t="s">
        <v>184</v>
      </c>
      <c r="B60" s="61">
        <v>1</v>
      </c>
      <c r="C60" s="61" t="s">
        <v>103</v>
      </c>
      <c r="D60" s="61">
        <v>1</v>
      </c>
      <c r="E60" s="61" t="s">
        <v>102</v>
      </c>
      <c r="F60" s="61">
        <v>0</v>
      </c>
      <c r="G60" s="61" t="s">
        <v>114</v>
      </c>
      <c r="H60" s="62">
        <f ca="1">--TRIM(RIGHT(SUBSTITUTE(LEFT(C59,_xlfn.AGGREGATE(16,6,FIND({0,1,2,3,4,5,6,7,8,9},C59,ROW(INDIRECT("1:"&amp;LEN(C59)))),1))," ",REPT(" ",LEN(C59))),LEN(C59)))</f>
        <v>28</v>
      </c>
      <c r="I60" s="57" t="s">
        <v>156</v>
      </c>
      <c r="J60" s="57"/>
      <c r="K60" s="63"/>
    </row>
    <row r="61" spans="1:14" x14ac:dyDescent="0.25">
      <c r="A61" s="269" t="s">
        <v>124</v>
      </c>
      <c r="B61" s="258"/>
      <c r="C61" s="259" t="str">
        <f ca="1">I59</f>
        <v xml:space="preserve">Excavation work completed, Plinth work completed      </v>
      </c>
      <c r="D61" s="259"/>
      <c r="E61" s="259"/>
      <c r="F61" s="259"/>
      <c r="G61" s="259"/>
      <c r="H61" s="270"/>
      <c r="I61" s="57" t="s">
        <v>141</v>
      </c>
      <c r="J61" s="57"/>
      <c r="K61" s="63"/>
    </row>
    <row r="62" spans="1:14" x14ac:dyDescent="0.25">
      <c r="A62" s="251" t="s">
        <v>54</v>
      </c>
      <c r="B62" s="252"/>
      <c r="C62" s="64" t="s">
        <v>181</v>
      </c>
      <c r="D62" s="64" t="s">
        <v>117</v>
      </c>
      <c r="E62" s="252" t="s">
        <v>119</v>
      </c>
      <c r="F62" s="252"/>
      <c r="G62" s="252" t="s">
        <v>118</v>
      </c>
      <c r="H62" s="271"/>
      <c r="I62" s="34" t="s">
        <v>183</v>
      </c>
      <c r="K62" s="65">
        <f ca="1">H60*25%</f>
        <v>7</v>
      </c>
    </row>
    <row r="63" spans="1:14" x14ac:dyDescent="0.25">
      <c r="A63" s="251" t="s">
        <v>170</v>
      </c>
      <c r="B63" s="252"/>
      <c r="C63" s="66">
        <f ca="1">K64</f>
        <v>28</v>
      </c>
      <c r="D63" s="67">
        <f ca="1">((100/H60)*C63)/100</f>
        <v>1</v>
      </c>
      <c r="E63" s="260">
        <f ca="1">(IF(C61=I60,"100%",IF(C61=I61,"100%",(((C64/H60*10)+(40/(D60+F60+H60)*C65)+(7.5/(H60)*C66)+(7.5/(H60)*C67)+(10/H60*C68)+(10/H60*C69)+(5/H60*C70)+(5/H60*C71)+(5/H60*C72))/100))))</f>
        <v>9.9999999999999978E-2</v>
      </c>
      <c r="F63" s="260"/>
      <c r="G63" s="260">
        <f ca="1">((((C63/H60)*20)+((C64/H60)*25)+(30/(H60+F60+D60)*C65)+(5/H60*C66)+(5/H60*C67)+(5/H60*C68)+(5/H60*C69)+(0/H60*C70)+(0/H60*C71)+(5/H60*C72))/100)</f>
        <v>0.44999999999999996</v>
      </c>
      <c r="H63" s="262"/>
      <c r="I63" s="34" t="s">
        <v>135</v>
      </c>
      <c r="J63" s="18"/>
      <c r="K63" s="37">
        <f ca="1">H60*50%</f>
        <v>14</v>
      </c>
    </row>
    <row r="64" spans="1:14" x14ac:dyDescent="0.25">
      <c r="A64" s="251" t="s">
        <v>55</v>
      </c>
      <c r="B64" s="252"/>
      <c r="C64" s="68">
        <f ca="1">K72</f>
        <v>27.999999999999993</v>
      </c>
      <c r="D64" s="67">
        <f ca="1">((100/H60)*C64)/100</f>
        <v>0.99999999999999989</v>
      </c>
      <c r="E64" s="260"/>
      <c r="F64" s="260"/>
      <c r="G64" s="260"/>
      <c r="H64" s="262"/>
      <c r="I64" s="34" t="s">
        <v>136</v>
      </c>
      <c r="J64" s="18"/>
      <c r="K64" s="37">
        <f ca="1">H60</f>
        <v>28</v>
      </c>
    </row>
    <row r="65" spans="1:11" ht="15.75" customHeight="1" x14ac:dyDescent="0.25">
      <c r="A65" s="251" t="s">
        <v>171</v>
      </c>
      <c r="B65" s="252"/>
      <c r="C65" s="68">
        <v>0</v>
      </c>
      <c r="D65" s="67">
        <f ca="1">((100/(D60+F60+H60))*C65)/100</f>
        <v>0</v>
      </c>
      <c r="E65" s="260"/>
      <c r="F65" s="260"/>
      <c r="G65" s="260"/>
      <c r="H65" s="262"/>
      <c r="I65" s="34" t="s">
        <v>137</v>
      </c>
      <c r="J65" s="18"/>
      <c r="K65" s="42">
        <f ca="1">(IF(B60=0,H60/4,(H60/(B60+4))))</f>
        <v>5.6</v>
      </c>
    </row>
    <row r="66" spans="1:11" ht="15.75" customHeight="1" x14ac:dyDescent="0.25">
      <c r="A66" s="251" t="s">
        <v>178</v>
      </c>
      <c r="B66" s="252" t="s">
        <v>172</v>
      </c>
      <c r="C66" s="66">
        <v>0</v>
      </c>
      <c r="D66" s="67">
        <f ca="1">((100/H60)*C66)/100</f>
        <v>0</v>
      </c>
      <c r="E66" s="260"/>
      <c r="F66" s="260"/>
      <c r="G66" s="260"/>
      <c r="H66" s="262"/>
      <c r="I66" s="34" t="s">
        <v>138</v>
      </c>
      <c r="J66" s="18"/>
      <c r="K66" s="42">
        <f ca="1">(IF(B60=0,H60/4+K65,(H60/(B60+4)+K65)))</f>
        <v>11.2</v>
      </c>
    </row>
    <row r="67" spans="1:11" ht="15.75" customHeight="1" x14ac:dyDescent="0.25">
      <c r="A67" s="251" t="s">
        <v>179</v>
      </c>
      <c r="B67" s="252" t="s">
        <v>172</v>
      </c>
      <c r="C67" s="66">
        <v>0</v>
      </c>
      <c r="D67" s="67">
        <f ca="1">((100/H60)*C67)/100</f>
        <v>0</v>
      </c>
      <c r="E67" s="260"/>
      <c r="F67" s="260"/>
      <c r="G67" s="260"/>
      <c r="H67" s="262"/>
      <c r="I67" s="34" t="s">
        <v>185</v>
      </c>
      <c r="J67" s="47"/>
      <c r="K67" s="42">
        <f ca="1">(IF(B60=0,0,(H60/(B60+4)+K66)))</f>
        <v>16.799999999999997</v>
      </c>
    </row>
    <row r="68" spans="1:11" ht="15" customHeight="1" x14ac:dyDescent="0.25">
      <c r="A68" s="251" t="s">
        <v>177</v>
      </c>
      <c r="B68" s="252" t="s">
        <v>174</v>
      </c>
      <c r="C68" s="66">
        <v>0</v>
      </c>
      <c r="D68" s="67">
        <f ca="1">((100/(H60))*C68)/100</f>
        <v>0</v>
      </c>
      <c r="E68" s="260"/>
      <c r="F68" s="260"/>
      <c r="G68" s="260"/>
      <c r="H68" s="262"/>
      <c r="I68" s="34" t="s">
        <v>186</v>
      </c>
      <c r="J68" s="47"/>
      <c r="K68" s="42">
        <f>(IF(B60&gt;1,(H60/(B60+4)+K67),0))</f>
        <v>0</v>
      </c>
    </row>
    <row r="69" spans="1:11" ht="15.75" customHeight="1" x14ac:dyDescent="0.25">
      <c r="A69" s="251" t="s">
        <v>173</v>
      </c>
      <c r="B69" s="252" t="s">
        <v>173</v>
      </c>
      <c r="C69" s="66">
        <v>0</v>
      </c>
      <c r="D69" s="67">
        <f ca="1">((100/H60)*C69)/100</f>
        <v>0</v>
      </c>
      <c r="E69" s="260"/>
      <c r="F69" s="260"/>
      <c r="G69" s="260"/>
      <c r="H69" s="262"/>
      <c r="I69" s="34" t="s">
        <v>187</v>
      </c>
      <c r="J69" s="41"/>
      <c r="K69" s="43">
        <f>(IF(B60&gt;2,(H60/(B60+4)+K68),0))</f>
        <v>0</v>
      </c>
    </row>
    <row r="70" spans="1:11" ht="15.75" customHeight="1" x14ac:dyDescent="0.25">
      <c r="A70" s="251" t="s">
        <v>180</v>
      </c>
      <c r="B70" s="252"/>
      <c r="C70" s="66">
        <v>0</v>
      </c>
      <c r="D70" s="67">
        <f ca="1">((100/H60)*C70)/100</f>
        <v>0</v>
      </c>
      <c r="E70" s="260"/>
      <c r="F70" s="260"/>
      <c r="G70" s="260"/>
      <c r="H70" s="262"/>
      <c r="I70" s="34" t="s">
        <v>188</v>
      </c>
      <c r="J70"/>
      <c r="K70" s="46">
        <f>(IF(B60&gt;3,(H60/(B60+4)+K69),0))</f>
        <v>0</v>
      </c>
    </row>
    <row r="71" spans="1:11" ht="15.75" customHeight="1" x14ac:dyDescent="0.25">
      <c r="A71" s="251" t="s">
        <v>175</v>
      </c>
      <c r="B71" s="252" t="s">
        <v>175</v>
      </c>
      <c r="C71" s="66">
        <v>0</v>
      </c>
      <c r="D71" s="67">
        <f ca="1">((100/(H60))*C71)/100</f>
        <v>0</v>
      </c>
      <c r="E71" s="260"/>
      <c r="F71" s="260"/>
      <c r="G71" s="260"/>
      <c r="H71" s="262"/>
      <c r="I71" s="34" t="s">
        <v>139</v>
      </c>
      <c r="J71" s="18"/>
      <c r="K71" s="42">
        <f ca="1">(IF(B60=0,H60/4+K66,(H60/(B60+4)+K66+MAX(0,K67-K66)+MAX(0,K68-K67)+MAX(0,K69-K68)+MAX(0,K70-K69))))</f>
        <v>22.399999999999995</v>
      </c>
    </row>
    <row r="72" spans="1:11" ht="16.5" thickBot="1" x14ac:dyDescent="0.3">
      <c r="A72" s="253" t="s">
        <v>176</v>
      </c>
      <c r="B72" s="254"/>
      <c r="C72" s="69">
        <v>0</v>
      </c>
      <c r="D72" s="70">
        <f ca="1">((100/(H60))*C72)/100</f>
        <v>0</v>
      </c>
      <c r="E72" s="261"/>
      <c r="F72" s="261"/>
      <c r="G72" s="261"/>
      <c r="H72" s="263"/>
      <c r="I72" s="39" t="s">
        <v>140</v>
      </c>
      <c r="J72" s="40"/>
      <c r="K72" s="44">
        <f ca="1">(IF(B60=0,H60/4+K71,(H60/(B60+4)+K71)))</f>
        <v>27.999999999999993</v>
      </c>
    </row>
    <row r="73" spans="1:11" ht="15.75" customHeight="1" x14ac:dyDescent="0.25">
      <c r="A73" s="264" t="s">
        <v>182</v>
      </c>
      <c r="B73" s="265"/>
      <c r="C73" s="266" t="str">
        <f>D54</f>
        <v>B Wing = G + 1st Commerical + 2nd to 28th Floor</v>
      </c>
      <c r="D73" s="267"/>
      <c r="E73" s="267"/>
      <c r="F73" s="267"/>
      <c r="G73" s="267"/>
      <c r="H73" s="268"/>
      <c r="I73" s="58" t="str">
        <f ca="1">(IF(C77=0,"Work not yet Started.",IF(D77=25%,"Piling work in process",IF(D77=50%,"Excavation work in process",IF(D77=100%,"Excavation work completed, ","0")))&amp;(IF(C78=0%,"",IF(C78=K79,"Footing work is process",IF(C78=K80,"Footing work Completed",IF(C78=K81,"1st Basement Completed",IF(C78=K82,"1st &amp; 2nd Basement Completed",IF(C78=K83,"1st to 3rd Basement Completed",IF(C78=K84,"1st to 4th Basement Completed",IF(C78=K85,"Plinth work is process",IF(C78=K86,"Plinth work completed","0")))))))))))&amp;(IF(C79&gt;0,", RCC upto "&amp;C79&amp;" Slab completed",""))&amp;(IF(C80&gt;0,", Brickwork upto "&amp;C80&amp;" Floor completed"," "))&amp;(IF(C81&gt;0,", Internal Plaster upto "&amp;C81&amp;" Floor completed"," "))&amp;(IF(C82&gt;0,", External Plaster upto "&amp;C82&amp;" Floor completed"," "))&amp;(IF(C83&gt;0,", Flooring upto "&amp;C83&amp;" Floor completed"," "))&amp;(IF(C84&gt;0,", Painting upto "&amp;C84&amp;" Floor completed"," "))&amp;(IF(C85&gt;0,", Finishing upto "&amp;C85&amp;" Floor completed"," ")))</f>
        <v xml:space="preserve">Excavation work completed, Plinth work completed      </v>
      </c>
      <c r="J73" s="58"/>
      <c r="K73" s="59"/>
    </row>
    <row r="74" spans="1:11" x14ac:dyDescent="0.25">
      <c r="A74" s="60" t="s">
        <v>184</v>
      </c>
      <c r="B74" s="61">
        <v>1</v>
      </c>
      <c r="C74" s="61" t="s">
        <v>103</v>
      </c>
      <c r="D74" s="61">
        <v>1</v>
      </c>
      <c r="E74" s="61" t="s">
        <v>102</v>
      </c>
      <c r="F74" s="61">
        <v>0</v>
      </c>
      <c r="G74" s="61" t="s">
        <v>114</v>
      </c>
      <c r="H74" s="62">
        <f ca="1">--TRIM(RIGHT(SUBSTITUTE(LEFT(C73,_xlfn.AGGREGATE(16,6,FIND({0,1,2,3,4,5,6,7,8,9},C73,ROW(INDIRECT("1:"&amp;LEN(C73)))),1))," ",REPT(" ",LEN(C73))),LEN(C73)))</f>
        <v>28</v>
      </c>
      <c r="I74" s="57" t="s">
        <v>156</v>
      </c>
      <c r="J74" s="57"/>
      <c r="K74" s="63"/>
    </row>
    <row r="75" spans="1:11" x14ac:dyDescent="0.25">
      <c r="A75" s="269" t="s">
        <v>124</v>
      </c>
      <c r="B75" s="258"/>
      <c r="C75" s="259" t="str">
        <f ca="1">I73</f>
        <v xml:space="preserve">Excavation work completed, Plinth work completed      </v>
      </c>
      <c r="D75" s="259"/>
      <c r="E75" s="259"/>
      <c r="F75" s="259"/>
      <c r="G75" s="259"/>
      <c r="H75" s="270"/>
      <c r="I75" s="57" t="s">
        <v>141</v>
      </c>
      <c r="J75" s="57"/>
      <c r="K75" s="63"/>
    </row>
    <row r="76" spans="1:11" x14ac:dyDescent="0.25">
      <c r="A76" s="251" t="s">
        <v>54</v>
      </c>
      <c r="B76" s="252"/>
      <c r="C76" s="64" t="s">
        <v>181</v>
      </c>
      <c r="D76" s="64" t="s">
        <v>117</v>
      </c>
      <c r="E76" s="252" t="s">
        <v>119</v>
      </c>
      <c r="F76" s="252"/>
      <c r="G76" s="252" t="s">
        <v>118</v>
      </c>
      <c r="H76" s="271"/>
      <c r="I76" s="34" t="s">
        <v>183</v>
      </c>
      <c r="K76" s="65">
        <f ca="1">H74*25%</f>
        <v>7</v>
      </c>
    </row>
    <row r="77" spans="1:11" x14ac:dyDescent="0.25">
      <c r="A77" s="251" t="s">
        <v>170</v>
      </c>
      <c r="B77" s="252"/>
      <c r="C77" s="66">
        <f ca="1">K78</f>
        <v>28</v>
      </c>
      <c r="D77" s="67">
        <f ca="1">((100/H74)*C77)/100</f>
        <v>1</v>
      </c>
      <c r="E77" s="260">
        <f ca="1">(IF(C75=I74,"100%",IF(C75=I75,"100%",(((C78/H74*10)+(40/(D74+F74+H74)*C79)+(7.5/(H74)*C80)+(7.5/(H74)*C81)+(10/H74*C82)+(10/H74*C83)+(5/H74*C84)+(5/H74*C85)+(5/H74*C86))/100))))</f>
        <v>9.9999999999999978E-2</v>
      </c>
      <c r="F77" s="260"/>
      <c r="G77" s="260">
        <f ca="1">((((C77/H74)*20)+((C78/H74)*25)+(30/(H74+F74+D74)*C79)+(5/H74*C80)+(5/H74*C81)+(5/H74*C82)+(5/H74*C83)+(0/H74*C84)+(0/H74*C85)+(5/H74*C86))/100)</f>
        <v>0.44999999999999996</v>
      </c>
      <c r="H77" s="262"/>
      <c r="I77" s="34" t="s">
        <v>135</v>
      </c>
      <c r="J77" s="18"/>
      <c r="K77" s="37">
        <f ca="1">H74*50%</f>
        <v>14</v>
      </c>
    </row>
    <row r="78" spans="1:11" x14ac:dyDescent="0.25">
      <c r="A78" s="251" t="s">
        <v>55</v>
      </c>
      <c r="B78" s="252"/>
      <c r="C78" s="68">
        <f ca="1">K86</f>
        <v>27.999999999999993</v>
      </c>
      <c r="D78" s="67">
        <f ca="1">((100/H74)*C78)/100</f>
        <v>0.99999999999999989</v>
      </c>
      <c r="E78" s="260"/>
      <c r="F78" s="260"/>
      <c r="G78" s="260"/>
      <c r="H78" s="262"/>
      <c r="I78" s="34" t="s">
        <v>136</v>
      </c>
      <c r="J78" s="18"/>
      <c r="K78" s="37">
        <f ca="1">H74</f>
        <v>28</v>
      </c>
    </row>
    <row r="79" spans="1:11" ht="15.75" customHeight="1" x14ac:dyDescent="0.25">
      <c r="A79" s="251" t="s">
        <v>171</v>
      </c>
      <c r="B79" s="252"/>
      <c r="C79" s="68">
        <v>0</v>
      </c>
      <c r="D79" s="67">
        <f ca="1">((100/(D74+F74+H74))*C79)/100</f>
        <v>0</v>
      </c>
      <c r="E79" s="260"/>
      <c r="F79" s="260"/>
      <c r="G79" s="260"/>
      <c r="H79" s="262"/>
      <c r="I79" s="34" t="s">
        <v>137</v>
      </c>
      <c r="J79" s="18"/>
      <c r="K79" s="42">
        <f ca="1">(IF(B74=0,H74/4,(H74/(B74+4))))</f>
        <v>5.6</v>
      </c>
    </row>
    <row r="80" spans="1:11" ht="15.75" customHeight="1" x14ac:dyDescent="0.25">
      <c r="A80" s="251" t="s">
        <v>178</v>
      </c>
      <c r="B80" s="252" t="s">
        <v>172</v>
      </c>
      <c r="C80" s="66">
        <v>0</v>
      </c>
      <c r="D80" s="67">
        <f ca="1">((100/H74)*C80)/100</f>
        <v>0</v>
      </c>
      <c r="E80" s="260"/>
      <c r="F80" s="260"/>
      <c r="G80" s="260"/>
      <c r="H80" s="262"/>
      <c r="I80" s="34" t="s">
        <v>138</v>
      </c>
      <c r="J80" s="18"/>
      <c r="K80" s="42">
        <f ca="1">(IF(B74=0,H74/4+K79,(H74/(B74+4)+K79)))</f>
        <v>11.2</v>
      </c>
    </row>
    <row r="81" spans="1:11" ht="15.75" customHeight="1" x14ac:dyDescent="0.25">
      <c r="A81" s="251" t="s">
        <v>179</v>
      </c>
      <c r="B81" s="252" t="s">
        <v>172</v>
      </c>
      <c r="C81" s="66">
        <v>0</v>
      </c>
      <c r="D81" s="67">
        <f ca="1">((100/H74)*C81)/100</f>
        <v>0</v>
      </c>
      <c r="E81" s="260"/>
      <c r="F81" s="260"/>
      <c r="G81" s="260"/>
      <c r="H81" s="262"/>
      <c r="I81" s="34" t="s">
        <v>185</v>
      </c>
      <c r="J81" s="47"/>
      <c r="K81" s="42">
        <f ca="1">(IF(B74=0,0,(H74/(B74+4)+K80)))</f>
        <v>16.799999999999997</v>
      </c>
    </row>
    <row r="82" spans="1:11" ht="15" customHeight="1" x14ac:dyDescent="0.25">
      <c r="A82" s="251" t="s">
        <v>177</v>
      </c>
      <c r="B82" s="252" t="s">
        <v>174</v>
      </c>
      <c r="C82" s="66">
        <v>0</v>
      </c>
      <c r="D82" s="67">
        <f ca="1">((100/(H74))*C82)/100</f>
        <v>0</v>
      </c>
      <c r="E82" s="260"/>
      <c r="F82" s="260"/>
      <c r="G82" s="260"/>
      <c r="H82" s="262"/>
      <c r="I82" s="34" t="s">
        <v>186</v>
      </c>
      <c r="J82" s="47"/>
      <c r="K82" s="42">
        <f>(IF(B74&gt;1,(H74/(B74+4)+K81),0))</f>
        <v>0</v>
      </c>
    </row>
    <row r="83" spans="1:11" ht="15.75" customHeight="1" x14ac:dyDescent="0.25">
      <c r="A83" s="251" t="s">
        <v>173</v>
      </c>
      <c r="B83" s="252" t="s">
        <v>173</v>
      </c>
      <c r="C83" s="66">
        <v>0</v>
      </c>
      <c r="D83" s="67">
        <f ca="1">((100/H74)*C83)/100</f>
        <v>0</v>
      </c>
      <c r="E83" s="260"/>
      <c r="F83" s="260"/>
      <c r="G83" s="260"/>
      <c r="H83" s="262"/>
      <c r="I83" s="34" t="s">
        <v>187</v>
      </c>
      <c r="J83" s="41"/>
      <c r="K83" s="43">
        <f>(IF(B74&gt;2,(H74/(B74+4)+K82),0))</f>
        <v>0</v>
      </c>
    </row>
    <row r="84" spans="1:11" ht="15.75" customHeight="1" x14ac:dyDescent="0.25">
      <c r="A84" s="251" t="s">
        <v>180</v>
      </c>
      <c r="B84" s="252"/>
      <c r="C84" s="66">
        <v>0</v>
      </c>
      <c r="D84" s="67">
        <f ca="1">((100/H74)*C84)/100</f>
        <v>0</v>
      </c>
      <c r="E84" s="260"/>
      <c r="F84" s="260"/>
      <c r="G84" s="260"/>
      <c r="H84" s="262"/>
      <c r="I84" s="34" t="s">
        <v>188</v>
      </c>
      <c r="J84"/>
      <c r="K84" s="46">
        <f>(IF(B74&gt;3,(H74/(B74+4)+K83),0))</f>
        <v>0</v>
      </c>
    </row>
    <row r="85" spans="1:11" ht="15.75" customHeight="1" x14ac:dyDescent="0.25">
      <c r="A85" s="251" t="s">
        <v>175</v>
      </c>
      <c r="B85" s="252" t="s">
        <v>175</v>
      </c>
      <c r="C85" s="66">
        <v>0</v>
      </c>
      <c r="D85" s="67">
        <f ca="1">((100/(H74))*C85)/100</f>
        <v>0</v>
      </c>
      <c r="E85" s="260"/>
      <c r="F85" s="260"/>
      <c r="G85" s="260"/>
      <c r="H85" s="262"/>
      <c r="I85" s="34" t="s">
        <v>139</v>
      </c>
      <c r="J85" s="18"/>
      <c r="K85" s="42">
        <f ca="1">(IF(B74=0,H74/4+K80,(H74/(B74+4)+K80+MAX(0,K81-K80)+MAX(0,K82-K81)+MAX(0,K83-K82)+MAX(0,K84-K83))))</f>
        <v>22.399999999999995</v>
      </c>
    </row>
    <row r="86" spans="1:11" ht="16.5" thickBot="1" x14ac:dyDescent="0.3">
      <c r="A86" s="253" t="s">
        <v>176</v>
      </c>
      <c r="B86" s="254"/>
      <c r="C86" s="69">
        <v>0</v>
      </c>
      <c r="D86" s="70">
        <f ca="1">((100/(H74))*C86)/100</f>
        <v>0</v>
      </c>
      <c r="E86" s="261"/>
      <c r="F86" s="261"/>
      <c r="G86" s="261"/>
      <c r="H86" s="263"/>
      <c r="I86" s="39" t="s">
        <v>140</v>
      </c>
      <c r="J86" s="40"/>
      <c r="K86" s="44">
        <f ca="1">(IF(B74=0,H74/4+K85,(H74/(B74+4)+K85)))</f>
        <v>27.999999999999993</v>
      </c>
    </row>
    <row r="87" spans="1:11" x14ac:dyDescent="0.25">
      <c r="A87" s="255" t="s">
        <v>157</v>
      </c>
      <c r="B87" s="256"/>
      <c r="C87" s="256"/>
      <c r="D87" s="256"/>
      <c r="E87" s="257"/>
      <c r="F87" s="255" t="str">
        <f ca="1">(IF(G63="100%","Yes",IF(G63&gt;0%,"Under Construction",IF(G63=0%,"Work not yet Started"))))</f>
        <v>Under Construction</v>
      </c>
      <c r="G87" s="256"/>
      <c r="H87" s="257"/>
    </row>
    <row r="88" spans="1:11" x14ac:dyDescent="0.25">
      <c r="A88" s="225" t="s">
        <v>56</v>
      </c>
      <c r="B88" s="225"/>
      <c r="C88" s="225"/>
      <c r="D88" s="225"/>
      <c r="E88" s="225"/>
      <c r="F88" s="225"/>
      <c r="G88" s="225"/>
      <c r="H88" s="225"/>
    </row>
    <row r="89" spans="1:11" ht="15" customHeight="1" x14ac:dyDescent="0.25">
      <c r="A89" s="258" t="s">
        <v>106</v>
      </c>
      <c r="B89" s="258"/>
      <c r="C89" s="259" t="s">
        <v>107</v>
      </c>
      <c r="D89" s="259"/>
      <c r="E89" s="259"/>
      <c r="F89" s="259"/>
      <c r="G89" s="259"/>
      <c r="H89" s="259"/>
    </row>
    <row r="90" spans="1:11" x14ac:dyDescent="0.25">
      <c r="A90" s="250" t="s">
        <v>57</v>
      </c>
      <c r="B90" s="250"/>
      <c r="C90" s="250"/>
      <c r="D90" s="250"/>
      <c r="E90" s="250"/>
      <c r="F90" s="250"/>
      <c r="G90" s="250"/>
      <c r="H90" s="250"/>
    </row>
    <row r="91" spans="1:11" x14ac:dyDescent="0.25">
      <c r="A91" s="225" t="s">
        <v>108</v>
      </c>
      <c r="B91" s="225"/>
      <c r="C91" s="225"/>
      <c r="D91" s="225"/>
      <c r="E91" s="225"/>
      <c r="F91" s="248">
        <v>7500</v>
      </c>
      <c r="G91" s="248"/>
      <c r="H91" s="248"/>
    </row>
    <row r="92" spans="1:11" x14ac:dyDescent="0.25">
      <c r="A92" s="225" t="s">
        <v>231</v>
      </c>
      <c r="B92" s="225"/>
      <c r="C92" s="225"/>
      <c r="D92" s="225"/>
      <c r="E92" s="225"/>
      <c r="F92" s="248">
        <v>10000</v>
      </c>
      <c r="G92" s="248"/>
      <c r="H92" s="248"/>
    </row>
    <row r="93" spans="1:11" x14ac:dyDescent="0.25">
      <c r="A93" s="225" t="s">
        <v>230</v>
      </c>
      <c r="B93" s="225"/>
      <c r="C93" s="225"/>
      <c r="D93" s="225"/>
      <c r="E93" s="225"/>
      <c r="F93" s="248">
        <v>14000</v>
      </c>
      <c r="G93" s="248"/>
      <c r="H93" s="248"/>
    </row>
    <row r="94" spans="1:11" s="71" customFormat="1" ht="33.75" customHeight="1" x14ac:dyDescent="0.25">
      <c r="A94" s="225" t="s">
        <v>233</v>
      </c>
      <c r="B94" s="225"/>
      <c r="C94" s="225"/>
      <c r="D94" s="225"/>
      <c r="E94" s="225"/>
      <c r="F94" s="249" t="s">
        <v>229</v>
      </c>
      <c r="G94" s="248"/>
      <c r="H94" s="248"/>
    </row>
    <row r="95" spans="1:11" s="71" customFormat="1" hidden="1" x14ac:dyDescent="0.25">
      <c r="A95" s="225" t="s">
        <v>129</v>
      </c>
      <c r="B95" s="225"/>
      <c r="C95" s="225"/>
      <c r="D95" s="225"/>
      <c r="E95" s="225"/>
      <c r="F95" s="248" t="s">
        <v>30</v>
      </c>
      <c r="G95" s="248"/>
      <c r="H95" s="248"/>
    </row>
    <row r="96" spans="1:11" s="71" customFormat="1" hidden="1" x14ac:dyDescent="0.25">
      <c r="A96" s="225" t="s">
        <v>130</v>
      </c>
      <c r="B96" s="225"/>
      <c r="C96" s="225"/>
      <c r="D96" s="225"/>
      <c r="E96" s="225"/>
      <c r="F96" s="248" t="s">
        <v>30</v>
      </c>
      <c r="G96" s="248"/>
      <c r="H96" s="248"/>
    </row>
    <row r="97" spans="1:8" s="71" customFormat="1" hidden="1" x14ac:dyDescent="0.25">
      <c r="A97" s="225" t="s">
        <v>131</v>
      </c>
      <c r="B97" s="225"/>
      <c r="C97" s="225"/>
      <c r="D97" s="225"/>
      <c r="E97" s="225"/>
      <c r="F97" s="248" t="s">
        <v>30</v>
      </c>
      <c r="G97" s="248"/>
      <c r="H97" s="248"/>
    </row>
    <row r="98" spans="1:8" s="71" customFormat="1" hidden="1" x14ac:dyDescent="0.25">
      <c r="A98" s="225" t="s">
        <v>132</v>
      </c>
      <c r="B98" s="225"/>
      <c r="C98" s="225"/>
      <c r="D98" s="225"/>
      <c r="E98" s="225"/>
      <c r="F98" s="248" t="s">
        <v>30</v>
      </c>
      <c r="G98" s="248"/>
      <c r="H98" s="248"/>
    </row>
    <row r="99" spans="1:8" s="71" customFormat="1" hidden="1" x14ac:dyDescent="0.25">
      <c r="A99" s="225" t="s">
        <v>133</v>
      </c>
      <c r="B99" s="225"/>
      <c r="C99" s="225"/>
      <c r="D99" s="225"/>
      <c r="E99" s="225"/>
      <c r="F99" s="248" t="s">
        <v>30</v>
      </c>
      <c r="G99" s="248"/>
      <c r="H99" s="248"/>
    </row>
    <row r="100" spans="1:8" s="71" customFormat="1" hidden="1" x14ac:dyDescent="0.25">
      <c r="A100" s="225" t="s">
        <v>134</v>
      </c>
      <c r="B100" s="225"/>
      <c r="C100" s="225"/>
      <c r="D100" s="225"/>
      <c r="E100" s="225"/>
      <c r="F100" s="248" t="s">
        <v>30</v>
      </c>
      <c r="G100" s="248"/>
      <c r="H100" s="248"/>
    </row>
    <row r="101" spans="1:8" x14ac:dyDescent="0.25">
      <c r="A101" s="225" t="s">
        <v>58</v>
      </c>
      <c r="B101" s="225"/>
      <c r="C101" s="225"/>
      <c r="D101" s="225"/>
      <c r="E101" s="225"/>
      <c r="F101" s="249" t="s">
        <v>232</v>
      </c>
      <c r="G101" s="249"/>
      <c r="H101" s="249"/>
    </row>
    <row r="102" spans="1:8" s="8" customFormat="1" x14ac:dyDescent="0.25">
      <c r="A102" s="250" t="s">
        <v>59</v>
      </c>
      <c r="B102" s="250"/>
      <c r="C102" s="250"/>
      <c r="D102" s="250"/>
      <c r="E102" s="250"/>
      <c r="F102" s="248">
        <f>F91*0.8</f>
        <v>6000</v>
      </c>
      <c r="G102" s="248"/>
      <c r="H102" s="248"/>
    </row>
    <row r="103" spans="1:8" s="1" customFormat="1" x14ac:dyDescent="0.25">
      <c r="A103" s="154" t="s">
        <v>220</v>
      </c>
      <c r="B103" s="154"/>
      <c r="C103" s="154"/>
      <c r="D103" s="154"/>
      <c r="E103" s="154"/>
      <c r="F103" s="154"/>
      <c r="G103" s="154"/>
      <c r="H103" s="154"/>
    </row>
    <row r="104" spans="1:8" s="1" customFormat="1" ht="15.75" customHeight="1" x14ac:dyDescent="0.25">
      <c r="A104" s="152" t="s">
        <v>60</v>
      </c>
      <c r="B104" s="152"/>
      <c r="C104" s="159" t="s">
        <v>111</v>
      </c>
      <c r="D104" s="159"/>
      <c r="E104" s="160" t="s">
        <v>61</v>
      </c>
      <c r="F104" s="160"/>
      <c r="G104" s="152" t="s">
        <v>62</v>
      </c>
      <c r="H104" s="152"/>
    </row>
    <row r="105" spans="1:8" s="1" customFormat="1" x14ac:dyDescent="0.25">
      <c r="A105" s="153" t="s">
        <v>221</v>
      </c>
      <c r="B105" s="153"/>
      <c r="C105" s="150">
        <f>COUNT(D120:D154)</f>
        <v>35</v>
      </c>
      <c r="D105" s="150"/>
      <c r="E105" s="149">
        <f>SUM(D120:D154)</f>
        <v>16195.625269200007</v>
      </c>
      <c r="F105" s="150"/>
      <c r="G105" s="149">
        <f>SUM(F120:F154)</f>
        <v>25913.000430720003</v>
      </c>
      <c r="H105" s="150"/>
    </row>
    <row r="106" spans="1:8" s="1" customFormat="1" x14ac:dyDescent="0.25">
      <c r="A106" s="153" t="s">
        <v>222</v>
      </c>
      <c r="B106" s="153"/>
      <c r="C106" s="149">
        <f>COUNT(D156:D188)</f>
        <v>33</v>
      </c>
      <c r="D106" s="150"/>
      <c r="E106" s="149">
        <f>SUM(D156:D188)</f>
        <v>16546.372362000006</v>
      </c>
      <c r="F106" s="150"/>
      <c r="G106" s="149">
        <f>SUM(F156:F188)</f>
        <v>26474.195779199996</v>
      </c>
      <c r="H106" s="150"/>
    </row>
    <row r="107" spans="1:8" s="1" customFormat="1" x14ac:dyDescent="0.25">
      <c r="A107" s="153" t="s">
        <v>64</v>
      </c>
      <c r="B107" s="153"/>
      <c r="C107" s="159">
        <f>SUM(C105:D106)</f>
        <v>68</v>
      </c>
      <c r="D107" s="159"/>
      <c r="E107" s="158">
        <f>SUM(E105:F106)</f>
        <v>32741.997631200014</v>
      </c>
      <c r="F107" s="159"/>
      <c r="G107" s="158">
        <f>SUM(G105:H106)</f>
        <v>52387.196209920003</v>
      </c>
      <c r="H107" s="159"/>
    </row>
    <row r="108" spans="1:8" s="1" customFormat="1" x14ac:dyDescent="0.25">
      <c r="A108" s="154" t="s">
        <v>101</v>
      </c>
      <c r="B108" s="154"/>
      <c r="C108" s="154"/>
      <c r="D108" s="154"/>
      <c r="E108" s="154"/>
      <c r="F108" s="154"/>
      <c r="G108" s="154"/>
      <c r="H108" s="154"/>
    </row>
    <row r="109" spans="1:8" s="1" customFormat="1" ht="15.75" customHeight="1" x14ac:dyDescent="0.25">
      <c r="A109" s="152" t="s">
        <v>60</v>
      </c>
      <c r="B109" s="152"/>
      <c r="C109" s="159" t="s">
        <v>111</v>
      </c>
      <c r="D109" s="159"/>
      <c r="E109" s="160" t="s">
        <v>61</v>
      </c>
      <c r="F109" s="160"/>
      <c r="G109" s="152" t="s">
        <v>62</v>
      </c>
      <c r="H109" s="152"/>
    </row>
    <row r="110" spans="1:8" s="1" customFormat="1" x14ac:dyDescent="0.25">
      <c r="A110" s="153" t="s">
        <v>227</v>
      </c>
      <c r="B110" s="153"/>
      <c r="C110" s="150">
        <f>COUNT(D194:D200,D202:D208)+COUNT(D210:D216)*4+COUNT(D218:D224)*4</f>
        <v>70</v>
      </c>
      <c r="D110" s="150"/>
      <c r="E110" s="149">
        <f>SUM(D194:D200,D202:D208)+SUM(D210:D216)*4+SUM(D218:D224)*4</f>
        <v>44262.429120000001</v>
      </c>
      <c r="F110" s="149"/>
      <c r="G110" s="149">
        <f>SUM(F194:F200,F202:F208)+SUM(F210:F216)*4+SUM(F218:F224)*4</f>
        <v>68740.493484000006</v>
      </c>
      <c r="H110" s="149"/>
    </row>
    <row r="111" spans="1:8" s="1" customFormat="1" x14ac:dyDescent="0.25">
      <c r="A111" s="153" t="s">
        <v>226</v>
      </c>
      <c r="B111" s="153"/>
      <c r="C111" s="149">
        <f>COUNT(D257:D265)</f>
        <v>9</v>
      </c>
      <c r="D111" s="150"/>
      <c r="E111" s="149">
        <f>SUM(D257:D265)</f>
        <v>3778.1639999999998</v>
      </c>
      <c r="F111" s="149"/>
      <c r="G111" s="149">
        <f>SUM(F257:F265)</f>
        <v>6001.4681999999984</v>
      </c>
      <c r="H111" s="149"/>
    </row>
    <row r="112" spans="1:8" s="1" customFormat="1" x14ac:dyDescent="0.25">
      <c r="A112" s="153" t="s">
        <v>228</v>
      </c>
      <c r="B112" s="153"/>
      <c r="C112" s="149">
        <f>COUNT(D227:D235,D237:D245,D247:D255)</f>
        <v>27</v>
      </c>
      <c r="D112" s="150"/>
      <c r="E112" s="149">
        <f>SUM(D227:D235,D237:D245,D247:D255)</f>
        <v>11334.491999999995</v>
      </c>
      <c r="F112" s="149"/>
      <c r="G112" s="149">
        <f>SUM(F227:F235,F237:F245,F247:F255)</f>
        <v>18429.672299999991</v>
      </c>
      <c r="H112" s="149"/>
    </row>
    <row r="113" spans="1:14" s="1" customFormat="1" x14ac:dyDescent="0.25">
      <c r="A113" s="153" t="s">
        <v>64</v>
      </c>
      <c r="B113" s="153"/>
      <c r="C113" s="159">
        <f>SUM(C110:D112)</f>
        <v>106</v>
      </c>
      <c r="D113" s="159"/>
      <c r="E113" s="158">
        <f>SUM(E110:F112)</f>
        <v>59375.085119999989</v>
      </c>
      <c r="F113" s="159"/>
      <c r="G113" s="158">
        <f>SUM(G110:H112)</f>
        <v>93171.633984</v>
      </c>
      <c r="H113" s="159"/>
    </row>
    <row r="114" spans="1:14" s="8" customFormat="1" x14ac:dyDescent="0.25">
      <c r="A114" s="247" t="s">
        <v>65</v>
      </c>
      <c r="B114" s="247"/>
      <c r="C114" s="247"/>
      <c r="D114" s="247"/>
      <c r="E114" s="247"/>
      <c r="F114" s="247"/>
      <c r="G114" s="247"/>
      <c r="H114" s="247"/>
    </row>
    <row r="115" spans="1:14" x14ac:dyDescent="0.25">
      <c r="A115" s="247" t="s">
        <v>66</v>
      </c>
      <c r="B115" s="247"/>
      <c r="C115" s="247"/>
      <c r="D115" s="247"/>
      <c r="E115" s="247"/>
      <c r="F115" s="247"/>
      <c r="G115" s="247"/>
      <c r="H115" s="247"/>
    </row>
    <row r="116" spans="1:14" ht="47.25" customHeight="1" x14ac:dyDescent="0.25">
      <c r="A116" s="243" t="s">
        <v>214</v>
      </c>
      <c r="B116" s="243" t="s">
        <v>215</v>
      </c>
      <c r="C116" s="243" t="s">
        <v>67</v>
      </c>
      <c r="D116" s="243" t="s">
        <v>68</v>
      </c>
      <c r="E116" s="245" t="s">
        <v>69</v>
      </c>
      <c r="F116" s="72" t="s">
        <v>158</v>
      </c>
      <c r="G116" s="238" t="s">
        <v>70</v>
      </c>
      <c r="H116" s="239"/>
    </row>
    <row r="117" spans="1:14" s="73" customFormat="1" x14ac:dyDescent="0.25">
      <c r="A117" s="244"/>
      <c r="B117" s="244"/>
      <c r="C117" s="244"/>
      <c r="D117" s="244"/>
      <c r="E117" s="246"/>
      <c r="F117" s="31">
        <v>0.6</v>
      </c>
      <c r="G117" s="240"/>
      <c r="H117" s="241"/>
    </row>
    <row r="118" spans="1:14" s="73" customFormat="1" x14ac:dyDescent="0.25">
      <c r="A118" s="235" t="s">
        <v>219</v>
      </c>
      <c r="B118" s="236"/>
      <c r="C118" s="236"/>
      <c r="D118" s="236"/>
      <c r="E118" s="236"/>
      <c r="F118" s="236"/>
      <c r="G118" s="236"/>
      <c r="H118" s="237"/>
    </row>
    <row r="119" spans="1:14" s="73" customFormat="1" x14ac:dyDescent="0.25">
      <c r="A119" s="235" t="s">
        <v>216</v>
      </c>
      <c r="B119" s="236"/>
      <c r="C119" s="236"/>
      <c r="D119" s="236"/>
      <c r="E119" s="236"/>
      <c r="F119" s="236"/>
      <c r="G119" s="236"/>
      <c r="H119" s="237"/>
    </row>
    <row r="120" spans="1:14" s="73" customFormat="1" x14ac:dyDescent="0.25">
      <c r="A120" s="233">
        <v>1</v>
      </c>
      <c r="B120" s="234"/>
      <c r="C120" s="74" t="s">
        <v>217</v>
      </c>
      <c r="D120" s="74">
        <f>(2.75*7.5+2.75*5.25+1.45*1.6+1.2*1.6)*10.764</f>
        <v>423.05210999999997</v>
      </c>
      <c r="E120" s="74">
        <v>0</v>
      </c>
      <c r="F120" s="74">
        <f>D120*(($F$117)+1)+E120</f>
        <v>676.883376</v>
      </c>
      <c r="G120" s="233" t="s">
        <v>159</v>
      </c>
      <c r="H120" s="234"/>
      <c r="I120" s="75"/>
      <c r="L120" s="232"/>
      <c r="M120" s="232"/>
      <c r="N120" s="75"/>
    </row>
    <row r="121" spans="1:14" s="73" customFormat="1" x14ac:dyDescent="0.25">
      <c r="A121" s="233">
        <f>A120+1</f>
        <v>2</v>
      </c>
      <c r="B121" s="234"/>
      <c r="C121" s="74" t="s">
        <v>217</v>
      </c>
      <c r="D121" s="74">
        <f>(2.75*7.5+2.75*5.25+1.45*1.6+1.2*1.6)*10.764</f>
        <v>423.05210999999997</v>
      </c>
      <c r="E121" s="74">
        <v>0</v>
      </c>
      <c r="F121" s="74">
        <f t="shared" ref="F121:F154" si="0">D121*(($F$117)+1)+E121</f>
        <v>676.883376</v>
      </c>
      <c r="G121" s="233" t="str">
        <f t="shared" ref="G121:G154" si="1">G120</f>
        <v>Ground Floor</v>
      </c>
      <c r="H121" s="234"/>
      <c r="I121" s="75"/>
      <c r="L121" s="232"/>
      <c r="M121" s="232"/>
      <c r="N121" s="75"/>
    </row>
    <row r="122" spans="1:14" s="73" customFormat="1" x14ac:dyDescent="0.25">
      <c r="A122" s="233">
        <f t="shared" ref="A122:A154" si="2">A121+1</f>
        <v>3</v>
      </c>
      <c r="B122" s="234"/>
      <c r="C122" s="74" t="s">
        <v>217</v>
      </c>
      <c r="D122" s="74">
        <f>(3*7.5+3*5.25+1.7*1.6+1.2*1.6)*10.764</f>
        <v>461.66795999999999</v>
      </c>
      <c r="E122" s="74">
        <v>0</v>
      </c>
      <c r="F122" s="74">
        <f t="shared" si="0"/>
        <v>738.66873600000008</v>
      </c>
      <c r="G122" s="233" t="str">
        <f t="shared" si="1"/>
        <v>Ground Floor</v>
      </c>
      <c r="H122" s="234"/>
      <c r="I122" s="75"/>
      <c r="L122" s="232"/>
      <c r="M122" s="232"/>
      <c r="N122" s="75"/>
    </row>
    <row r="123" spans="1:14" s="73" customFormat="1" x14ac:dyDescent="0.25">
      <c r="A123" s="233">
        <f t="shared" si="2"/>
        <v>4</v>
      </c>
      <c r="B123" s="234"/>
      <c r="C123" s="74" t="s">
        <v>217</v>
      </c>
      <c r="D123" s="74">
        <f t="shared" ref="D123:D126" si="3">(2.75*7.5+2.75*5.25+1.45*1.6+1.2*1.6)*10.764</f>
        <v>423.05210999999997</v>
      </c>
      <c r="E123" s="74">
        <v>0</v>
      </c>
      <c r="F123" s="74">
        <f t="shared" si="0"/>
        <v>676.883376</v>
      </c>
      <c r="G123" s="233" t="str">
        <f t="shared" si="1"/>
        <v>Ground Floor</v>
      </c>
      <c r="H123" s="234"/>
      <c r="I123" s="75"/>
      <c r="L123" s="232"/>
      <c r="M123" s="232"/>
      <c r="N123" s="75"/>
    </row>
    <row r="124" spans="1:14" s="73" customFormat="1" x14ac:dyDescent="0.25">
      <c r="A124" s="233">
        <f t="shared" si="2"/>
        <v>5</v>
      </c>
      <c r="B124" s="234"/>
      <c r="C124" s="74" t="s">
        <v>217</v>
      </c>
      <c r="D124" s="74">
        <f t="shared" si="3"/>
        <v>423.05210999999997</v>
      </c>
      <c r="E124" s="74">
        <v>0</v>
      </c>
      <c r="F124" s="74">
        <f t="shared" si="0"/>
        <v>676.883376</v>
      </c>
      <c r="G124" s="233" t="str">
        <f t="shared" si="1"/>
        <v>Ground Floor</v>
      </c>
      <c r="H124" s="234"/>
      <c r="I124" s="75"/>
      <c r="L124" s="232"/>
      <c r="M124" s="232"/>
      <c r="N124" s="75"/>
    </row>
    <row r="125" spans="1:14" s="73" customFormat="1" x14ac:dyDescent="0.25">
      <c r="A125" s="233">
        <f t="shared" si="2"/>
        <v>6</v>
      </c>
      <c r="B125" s="234"/>
      <c r="C125" s="74" t="s">
        <v>217</v>
      </c>
      <c r="D125" s="74">
        <f t="shared" si="3"/>
        <v>423.05210999999997</v>
      </c>
      <c r="E125" s="74">
        <v>0</v>
      </c>
      <c r="F125" s="74">
        <f t="shared" si="0"/>
        <v>676.883376</v>
      </c>
      <c r="G125" s="233" t="str">
        <f t="shared" si="1"/>
        <v>Ground Floor</v>
      </c>
      <c r="H125" s="234"/>
      <c r="I125" s="75"/>
      <c r="L125" s="232"/>
      <c r="M125" s="232"/>
      <c r="N125" s="75"/>
    </row>
    <row r="126" spans="1:14" s="73" customFormat="1" x14ac:dyDescent="0.25">
      <c r="A126" s="233">
        <f t="shared" si="2"/>
        <v>7</v>
      </c>
      <c r="B126" s="234"/>
      <c r="C126" s="74" t="s">
        <v>217</v>
      </c>
      <c r="D126" s="74">
        <f t="shared" si="3"/>
        <v>423.05210999999997</v>
      </c>
      <c r="E126" s="74">
        <v>0</v>
      </c>
      <c r="F126" s="74">
        <f t="shared" si="0"/>
        <v>676.883376</v>
      </c>
      <c r="G126" s="233" t="str">
        <f t="shared" si="1"/>
        <v>Ground Floor</v>
      </c>
      <c r="H126" s="234"/>
      <c r="I126" s="75"/>
      <c r="L126" s="232"/>
      <c r="M126" s="232"/>
      <c r="N126" s="75"/>
    </row>
    <row r="127" spans="1:14" s="73" customFormat="1" x14ac:dyDescent="0.25">
      <c r="A127" s="233">
        <f>A126+1</f>
        <v>8</v>
      </c>
      <c r="B127" s="234"/>
      <c r="C127" s="74" t="s">
        <v>217</v>
      </c>
      <c r="D127" s="74">
        <f>(3*7.5+3*5.25+1.7*1.6+1.2*1.6)*10.764</f>
        <v>461.66795999999999</v>
      </c>
      <c r="E127" s="74">
        <v>0</v>
      </c>
      <c r="F127" s="74">
        <f t="shared" si="0"/>
        <v>738.66873600000008</v>
      </c>
      <c r="G127" s="233" t="str">
        <f t="shared" si="1"/>
        <v>Ground Floor</v>
      </c>
      <c r="H127" s="234"/>
      <c r="I127" s="75"/>
      <c r="L127" s="232"/>
      <c r="M127" s="232"/>
      <c r="N127" s="75"/>
    </row>
    <row r="128" spans="1:14" s="73" customFormat="1" x14ac:dyDescent="0.25">
      <c r="A128" s="233">
        <f t="shared" si="2"/>
        <v>9</v>
      </c>
      <c r="B128" s="234"/>
      <c r="C128" s="74" t="s">
        <v>217</v>
      </c>
      <c r="D128" s="74">
        <f>(3.75*7.5+3.75*5.25+3.1*1.5+1.2*1.5)*10.764</f>
        <v>584.08154999999988</v>
      </c>
      <c r="E128" s="74">
        <v>0</v>
      </c>
      <c r="F128" s="74">
        <f t="shared" si="0"/>
        <v>934.5304799999999</v>
      </c>
      <c r="G128" s="233" t="str">
        <f t="shared" si="1"/>
        <v>Ground Floor</v>
      </c>
      <c r="H128" s="234"/>
      <c r="I128" s="75"/>
      <c r="L128" s="232"/>
      <c r="M128" s="232"/>
      <c r="N128" s="75"/>
    </row>
    <row r="129" spans="1:14" s="73" customFormat="1" x14ac:dyDescent="0.25">
      <c r="A129" s="233">
        <f t="shared" si="2"/>
        <v>10</v>
      </c>
      <c r="B129" s="234"/>
      <c r="C129" s="74" t="s">
        <v>217</v>
      </c>
      <c r="D129" s="74">
        <f>(3.13*7.5+3.13*5.25+2.3*1.5+1.2*2)*10.764</f>
        <v>492.53372999999999</v>
      </c>
      <c r="E129" s="74">
        <v>0</v>
      </c>
      <c r="F129" s="74">
        <f t="shared" si="0"/>
        <v>788.05396800000005</v>
      </c>
      <c r="G129" s="233" t="str">
        <f t="shared" si="1"/>
        <v>Ground Floor</v>
      </c>
      <c r="H129" s="234"/>
      <c r="I129" s="75"/>
      <c r="L129" s="232"/>
      <c r="M129" s="232"/>
      <c r="N129" s="75"/>
    </row>
    <row r="130" spans="1:14" s="73" customFormat="1" x14ac:dyDescent="0.25">
      <c r="A130" s="233">
        <f t="shared" si="2"/>
        <v>11</v>
      </c>
      <c r="B130" s="234"/>
      <c r="C130" s="74" t="s">
        <v>217</v>
      </c>
      <c r="D130" s="74">
        <f>(3.1*7.5+3.1*5.25+1.8*1.6+1.2*1.6)*10.764</f>
        <v>477.11430000000007</v>
      </c>
      <c r="E130" s="74">
        <v>0</v>
      </c>
      <c r="F130" s="74">
        <f t="shared" si="0"/>
        <v>763.38288000000011</v>
      </c>
      <c r="G130" s="233" t="str">
        <f t="shared" si="1"/>
        <v>Ground Floor</v>
      </c>
      <c r="H130" s="234"/>
      <c r="I130" s="75"/>
      <c r="L130" s="232"/>
      <c r="M130" s="232"/>
      <c r="N130" s="75"/>
    </row>
    <row r="131" spans="1:14" s="73" customFormat="1" x14ac:dyDescent="0.25">
      <c r="A131" s="233">
        <f t="shared" si="2"/>
        <v>12</v>
      </c>
      <c r="B131" s="234"/>
      <c r="C131" s="74" t="s">
        <v>217</v>
      </c>
      <c r="D131" s="74">
        <f t="shared" ref="D131:D133" si="4">(3.1*7.5+3.1*5.25+1.8*1.6+1.2*1.6)*10.764</f>
        <v>477.11430000000007</v>
      </c>
      <c r="E131" s="74">
        <v>0</v>
      </c>
      <c r="F131" s="74">
        <f t="shared" si="0"/>
        <v>763.38288000000011</v>
      </c>
      <c r="G131" s="233" t="str">
        <f t="shared" si="1"/>
        <v>Ground Floor</v>
      </c>
      <c r="H131" s="234"/>
      <c r="I131" s="75"/>
      <c r="L131" s="232"/>
      <c r="M131" s="232"/>
      <c r="N131" s="75"/>
    </row>
    <row r="132" spans="1:14" s="73" customFormat="1" x14ac:dyDescent="0.25">
      <c r="A132" s="233">
        <f t="shared" si="2"/>
        <v>13</v>
      </c>
      <c r="B132" s="234"/>
      <c r="C132" s="74" t="s">
        <v>217</v>
      </c>
      <c r="D132" s="74">
        <f t="shared" si="4"/>
        <v>477.11430000000007</v>
      </c>
      <c r="E132" s="74">
        <v>0</v>
      </c>
      <c r="F132" s="74">
        <f t="shared" si="0"/>
        <v>763.38288000000011</v>
      </c>
      <c r="G132" s="233" t="str">
        <f t="shared" si="1"/>
        <v>Ground Floor</v>
      </c>
      <c r="H132" s="234"/>
      <c r="I132" s="75"/>
      <c r="L132" s="232"/>
      <c r="M132" s="232"/>
      <c r="N132" s="75"/>
    </row>
    <row r="133" spans="1:14" s="73" customFormat="1" x14ac:dyDescent="0.25">
      <c r="A133" s="233">
        <f>A132+1</f>
        <v>14</v>
      </c>
      <c r="B133" s="234"/>
      <c r="C133" s="74" t="s">
        <v>217</v>
      </c>
      <c r="D133" s="74">
        <f t="shared" si="4"/>
        <v>477.11430000000007</v>
      </c>
      <c r="E133" s="74">
        <v>0</v>
      </c>
      <c r="F133" s="74">
        <f t="shared" si="0"/>
        <v>763.38288000000011</v>
      </c>
      <c r="G133" s="233" t="str">
        <f t="shared" si="1"/>
        <v>Ground Floor</v>
      </c>
      <c r="H133" s="234"/>
      <c r="I133" s="75"/>
      <c r="L133" s="232"/>
      <c r="M133" s="232"/>
      <c r="N133" s="75"/>
    </row>
    <row r="134" spans="1:14" s="73" customFormat="1" x14ac:dyDescent="0.25">
      <c r="A134" s="233">
        <f t="shared" si="2"/>
        <v>15</v>
      </c>
      <c r="B134" s="234"/>
      <c r="C134" s="74" t="s">
        <v>217</v>
      </c>
      <c r="D134" s="74">
        <f>(2.85*7.5+2.85*5.25+1.95*1.6+1.2*1.6)*10.764</f>
        <v>445.38740999999993</v>
      </c>
      <c r="E134" s="74">
        <v>0</v>
      </c>
      <c r="F134" s="74">
        <f t="shared" si="0"/>
        <v>712.61985599999991</v>
      </c>
      <c r="G134" s="233" t="str">
        <f t="shared" si="1"/>
        <v>Ground Floor</v>
      </c>
      <c r="H134" s="234"/>
      <c r="I134" s="75"/>
      <c r="L134" s="232"/>
      <c r="M134" s="232"/>
      <c r="N134" s="75"/>
    </row>
    <row r="135" spans="1:14" s="73" customFormat="1" x14ac:dyDescent="0.25">
      <c r="A135" s="233">
        <f t="shared" si="2"/>
        <v>16</v>
      </c>
      <c r="B135" s="234"/>
      <c r="C135" s="74" t="s">
        <v>217</v>
      </c>
      <c r="D135" s="74">
        <f t="shared" ref="D135:D137" si="5">(2.85*7.5+2.85*5.25+1.95*1.6+1.2*1.6)*10.764</f>
        <v>445.38740999999993</v>
      </c>
      <c r="E135" s="74">
        <v>0</v>
      </c>
      <c r="F135" s="74">
        <f t="shared" si="0"/>
        <v>712.61985599999991</v>
      </c>
      <c r="G135" s="233" t="str">
        <f t="shared" si="1"/>
        <v>Ground Floor</v>
      </c>
      <c r="H135" s="234"/>
      <c r="I135" s="75"/>
      <c r="L135" s="232"/>
      <c r="M135" s="232"/>
      <c r="N135" s="75"/>
    </row>
    <row r="136" spans="1:14" s="73" customFormat="1" x14ac:dyDescent="0.25">
      <c r="A136" s="233">
        <f t="shared" si="2"/>
        <v>17</v>
      </c>
      <c r="B136" s="234"/>
      <c r="C136" s="74" t="s">
        <v>217</v>
      </c>
      <c r="D136" s="74">
        <f t="shared" si="5"/>
        <v>445.38740999999993</v>
      </c>
      <c r="E136" s="74">
        <v>0</v>
      </c>
      <c r="F136" s="74">
        <f t="shared" si="0"/>
        <v>712.61985599999991</v>
      </c>
      <c r="G136" s="233" t="str">
        <f t="shared" si="1"/>
        <v>Ground Floor</v>
      </c>
      <c r="H136" s="234"/>
      <c r="I136" s="75"/>
      <c r="L136" s="232"/>
      <c r="M136" s="232"/>
      <c r="N136" s="75"/>
    </row>
    <row r="137" spans="1:14" s="73" customFormat="1" x14ac:dyDescent="0.25">
      <c r="A137" s="233">
        <f t="shared" si="2"/>
        <v>18</v>
      </c>
      <c r="B137" s="234"/>
      <c r="C137" s="74" t="s">
        <v>217</v>
      </c>
      <c r="D137" s="74">
        <f t="shared" si="5"/>
        <v>445.38740999999993</v>
      </c>
      <c r="E137" s="74">
        <v>0</v>
      </c>
      <c r="F137" s="74">
        <f t="shared" si="0"/>
        <v>712.61985599999991</v>
      </c>
      <c r="G137" s="233" t="str">
        <f t="shared" si="1"/>
        <v>Ground Floor</v>
      </c>
      <c r="H137" s="234"/>
      <c r="I137" s="75"/>
      <c r="L137" s="232"/>
      <c r="M137" s="232"/>
      <c r="N137" s="75"/>
    </row>
    <row r="138" spans="1:14" s="73" customFormat="1" x14ac:dyDescent="0.25">
      <c r="A138" s="233">
        <f t="shared" si="2"/>
        <v>19</v>
      </c>
      <c r="B138" s="234"/>
      <c r="C138" s="74" t="s">
        <v>217</v>
      </c>
      <c r="D138" s="74">
        <f>(2.75*7.5+2.75*5.25+1.45*1.6+1.2*1.6)*10.764</f>
        <v>423.05210999999997</v>
      </c>
      <c r="E138" s="74">
        <v>0</v>
      </c>
      <c r="F138" s="74">
        <f t="shared" si="0"/>
        <v>676.883376</v>
      </c>
      <c r="G138" s="233" t="str">
        <f t="shared" si="1"/>
        <v>Ground Floor</v>
      </c>
      <c r="H138" s="234"/>
      <c r="I138" s="75"/>
      <c r="L138" s="232"/>
      <c r="M138" s="232"/>
      <c r="N138" s="75"/>
    </row>
    <row r="139" spans="1:14" s="73" customFormat="1" x14ac:dyDescent="0.25">
      <c r="A139" s="233">
        <f>A138+1</f>
        <v>20</v>
      </c>
      <c r="B139" s="234"/>
      <c r="C139" s="74" t="s">
        <v>217</v>
      </c>
      <c r="D139" s="74">
        <f>(3*7.5+3*5.25+1.7*1.6+1.2*1.6)*10.764</f>
        <v>461.66795999999999</v>
      </c>
      <c r="E139" s="74">
        <v>0</v>
      </c>
      <c r="F139" s="74">
        <f t="shared" si="0"/>
        <v>738.66873600000008</v>
      </c>
      <c r="G139" s="233" t="str">
        <f t="shared" si="1"/>
        <v>Ground Floor</v>
      </c>
      <c r="H139" s="234"/>
      <c r="I139" s="75"/>
      <c r="L139" s="232"/>
      <c r="M139" s="232"/>
      <c r="N139" s="75"/>
    </row>
    <row r="140" spans="1:14" s="73" customFormat="1" x14ac:dyDescent="0.25">
      <c r="A140" s="233">
        <f t="shared" si="2"/>
        <v>21</v>
      </c>
      <c r="B140" s="234"/>
      <c r="C140" s="74" t="s">
        <v>217</v>
      </c>
      <c r="D140" s="74">
        <f t="shared" ref="D140:D141" si="6">(2.75*7.5+2.75*5.25+1.45*1.6+1.2*1.6)*10.764</f>
        <v>423.05210999999997</v>
      </c>
      <c r="E140" s="74">
        <v>0</v>
      </c>
      <c r="F140" s="74">
        <f t="shared" si="0"/>
        <v>676.883376</v>
      </c>
      <c r="G140" s="233" t="str">
        <f t="shared" si="1"/>
        <v>Ground Floor</v>
      </c>
      <c r="H140" s="234"/>
      <c r="I140" s="75"/>
      <c r="L140" s="232"/>
      <c r="M140" s="232"/>
      <c r="N140" s="75"/>
    </row>
    <row r="141" spans="1:14" s="73" customFormat="1" x14ac:dyDescent="0.25">
      <c r="A141" s="233">
        <f t="shared" si="2"/>
        <v>22</v>
      </c>
      <c r="B141" s="234"/>
      <c r="C141" s="74" t="s">
        <v>217</v>
      </c>
      <c r="D141" s="74">
        <f t="shared" si="6"/>
        <v>423.05210999999997</v>
      </c>
      <c r="E141" s="74">
        <v>0</v>
      </c>
      <c r="F141" s="74">
        <f t="shared" si="0"/>
        <v>676.883376</v>
      </c>
      <c r="G141" s="233" t="str">
        <f t="shared" si="1"/>
        <v>Ground Floor</v>
      </c>
      <c r="H141" s="234"/>
      <c r="I141" s="75"/>
      <c r="L141" s="232"/>
      <c r="M141" s="232"/>
      <c r="N141" s="75"/>
    </row>
    <row r="142" spans="1:14" s="73" customFormat="1" x14ac:dyDescent="0.25">
      <c r="A142" s="233">
        <f t="shared" si="2"/>
        <v>23</v>
      </c>
      <c r="B142" s="234"/>
      <c r="C142" s="74" t="s">
        <v>217</v>
      </c>
      <c r="D142" s="74">
        <f>(3*7.5+3*5.25+1.7*1.6+1.2*1.6)*10.764</f>
        <v>461.66795999999999</v>
      </c>
      <c r="E142" s="74">
        <v>0</v>
      </c>
      <c r="F142" s="74">
        <f t="shared" si="0"/>
        <v>738.66873600000008</v>
      </c>
      <c r="G142" s="233" t="str">
        <f t="shared" si="1"/>
        <v>Ground Floor</v>
      </c>
      <c r="H142" s="234"/>
      <c r="I142" s="75"/>
      <c r="L142" s="232"/>
      <c r="M142" s="232"/>
      <c r="N142" s="75"/>
    </row>
    <row r="143" spans="1:14" s="73" customFormat="1" x14ac:dyDescent="0.25">
      <c r="A143" s="233">
        <f t="shared" si="2"/>
        <v>24</v>
      </c>
      <c r="B143" s="234"/>
      <c r="C143" s="74" t="s">
        <v>217</v>
      </c>
      <c r="D143" s="74">
        <f>(3.4*7.5+3.4*5.25+2.1*1+1.2*1.6)*10.764</f>
        <v>509.89067999999992</v>
      </c>
      <c r="E143" s="74">
        <v>0</v>
      </c>
      <c r="F143" s="74">
        <f t="shared" si="0"/>
        <v>815.82508799999994</v>
      </c>
      <c r="G143" s="233" t="str">
        <f t="shared" si="1"/>
        <v>Ground Floor</v>
      </c>
      <c r="H143" s="234"/>
      <c r="I143" s="75"/>
      <c r="L143" s="232"/>
      <c r="M143" s="232"/>
      <c r="N143" s="75"/>
    </row>
    <row r="144" spans="1:14" s="73" customFormat="1" x14ac:dyDescent="0.25">
      <c r="A144" s="233">
        <f t="shared" si="2"/>
        <v>25</v>
      </c>
      <c r="B144" s="234"/>
      <c r="C144" s="74" t="s">
        <v>217</v>
      </c>
      <c r="D144" s="74">
        <f>(3.4*7+3.4*1.4+1.27*1.8)*10.764</f>
        <v>332.02634399999999</v>
      </c>
      <c r="E144" s="74">
        <v>0</v>
      </c>
      <c r="F144" s="74">
        <f t="shared" si="0"/>
        <v>531.24215040000001</v>
      </c>
      <c r="G144" s="233" t="str">
        <f t="shared" si="1"/>
        <v>Ground Floor</v>
      </c>
      <c r="H144" s="234"/>
      <c r="I144" s="75"/>
      <c r="L144" s="232"/>
      <c r="M144" s="232"/>
      <c r="N144" s="75"/>
    </row>
    <row r="145" spans="1:14" s="73" customFormat="1" x14ac:dyDescent="0.25">
      <c r="A145" s="233">
        <f>A144+1</f>
        <v>26</v>
      </c>
      <c r="B145" s="234"/>
      <c r="C145" s="74" t="s">
        <v>217</v>
      </c>
      <c r="D145" s="74">
        <f>(11.86*5.38+1.2*1.5)*10.764</f>
        <v>706.19159519999982</v>
      </c>
      <c r="E145" s="74">
        <v>0</v>
      </c>
      <c r="F145" s="74">
        <f t="shared" si="0"/>
        <v>1129.9065523199997</v>
      </c>
      <c r="G145" s="233" t="str">
        <f t="shared" si="1"/>
        <v>Ground Floor</v>
      </c>
      <c r="H145" s="234"/>
      <c r="I145" s="75"/>
      <c r="L145" s="232"/>
      <c r="M145" s="232"/>
      <c r="N145" s="75"/>
    </row>
    <row r="146" spans="1:14" s="73" customFormat="1" x14ac:dyDescent="0.25">
      <c r="A146" s="233">
        <f t="shared" si="2"/>
        <v>27</v>
      </c>
      <c r="B146" s="234"/>
      <c r="C146" s="74" t="s">
        <v>217</v>
      </c>
      <c r="D146" s="74">
        <f>(7.5*3+1.26*1.5+2.8*1.5+1.6*1.2)*10.764</f>
        <v>328.40963999999997</v>
      </c>
      <c r="E146" s="74">
        <v>0</v>
      </c>
      <c r="F146" s="74">
        <f t="shared" si="0"/>
        <v>525.45542399999999</v>
      </c>
      <c r="G146" s="233" t="str">
        <f t="shared" si="1"/>
        <v>Ground Floor</v>
      </c>
      <c r="H146" s="234"/>
      <c r="I146" s="75"/>
      <c r="L146" s="232"/>
      <c r="M146" s="232"/>
      <c r="N146" s="75"/>
    </row>
    <row r="147" spans="1:14" s="73" customFormat="1" x14ac:dyDescent="0.25">
      <c r="A147" s="233">
        <f t="shared" si="2"/>
        <v>28</v>
      </c>
      <c r="B147" s="234"/>
      <c r="C147" s="74" t="s">
        <v>217</v>
      </c>
      <c r="D147" s="74">
        <f>(7.5*3.1+4.25*3.1+1.2*1.5)*10.764</f>
        <v>411.45389999999992</v>
      </c>
      <c r="E147" s="74">
        <v>0</v>
      </c>
      <c r="F147" s="74">
        <f t="shared" si="0"/>
        <v>658.32623999999987</v>
      </c>
      <c r="G147" s="233" t="str">
        <f t="shared" si="1"/>
        <v>Ground Floor</v>
      </c>
      <c r="H147" s="234"/>
      <c r="I147" s="75"/>
      <c r="L147" s="232"/>
      <c r="M147" s="232"/>
      <c r="N147" s="75"/>
    </row>
    <row r="148" spans="1:14" s="73" customFormat="1" x14ac:dyDescent="0.25">
      <c r="A148" s="233">
        <f t="shared" si="2"/>
        <v>29</v>
      </c>
      <c r="B148" s="234"/>
      <c r="C148" s="74" t="s">
        <v>217</v>
      </c>
      <c r="D148" s="74">
        <f>(7.5*3+5*3+1.2*1.7)*10.764</f>
        <v>425.60855999999995</v>
      </c>
      <c r="E148" s="74">
        <v>0</v>
      </c>
      <c r="F148" s="74">
        <f t="shared" si="0"/>
        <v>680.97369600000002</v>
      </c>
      <c r="G148" s="233" t="str">
        <f t="shared" si="1"/>
        <v>Ground Floor</v>
      </c>
      <c r="H148" s="234"/>
      <c r="I148" s="75"/>
      <c r="L148" s="232"/>
      <c r="M148" s="232"/>
      <c r="N148" s="75"/>
    </row>
    <row r="149" spans="1:14" s="73" customFormat="1" x14ac:dyDescent="0.25">
      <c r="A149" s="233">
        <f t="shared" si="2"/>
        <v>30</v>
      </c>
      <c r="B149" s="234"/>
      <c r="C149" s="74" t="s">
        <v>217</v>
      </c>
      <c r="D149" s="74">
        <f t="shared" ref="D149:D150" si="7">(7.5*3+5*3+1.2*1.7)*10.764</f>
        <v>425.60855999999995</v>
      </c>
      <c r="E149" s="74">
        <v>0</v>
      </c>
      <c r="F149" s="74">
        <f t="shared" si="0"/>
        <v>680.97369600000002</v>
      </c>
      <c r="G149" s="233" t="str">
        <f t="shared" si="1"/>
        <v>Ground Floor</v>
      </c>
      <c r="H149" s="234"/>
      <c r="I149" s="75"/>
      <c r="L149" s="232"/>
      <c r="M149" s="232"/>
      <c r="N149" s="75"/>
    </row>
    <row r="150" spans="1:14" s="73" customFormat="1" x14ac:dyDescent="0.25">
      <c r="A150" s="233">
        <f t="shared" si="2"/>
        <v>31</v>
      </c>
      <c r="B150" s="234"/>
      <c r="C150" s="74" t="s">
        <v>217</v>
      </c>
      <c r="D150" s="74">
        <f t="shared" si="7"/>
        <v>425.60855999999995</v>
      </c>
      <c r="E150" s="74">
        <v>0</v>
      </c>
      <c r="F150" s="74">
        <f t="shared" si="0"/>
        <v>680.97369600000002</v>
      </c>
      <c r="G150" s="233" t="str">
        <f t="shared" si="1"/>
        <v>Ground Floor</v>
      </c>
      <c r="H150" s="234"/>
      <c r="I150" s="75"/>
      <c r="L150" s="232"/>
      <c r="M150" s="232"/>
      <c r="N150" s="75"/>
    </row>
    <row r="151" spans="1:14" s="73" customFormat="1" x14ac:dyDescent="0.25">
      <c r="A151" s="233">
        <f>A150+1</f>
        <v>32</v>
      </c>
      <c r="B151" s="234"/>
      <c r="C151" s="74" t="s">
        <v>217</v>
      </c>
      <c r="D151" s="74">
        <f>(7.5*3.1+8.4*3.1+1.2*1.7)*10.764</f>
        <v>552.51612</v>
      </c>
      <c r="E151" s="74">
        <v>0</v>
      </c>
      <c r="F151" s="74">
        <f t="shared" si="0"/>
        <v>884.02579200000002</v>
      </c>
      <c r="G151" s="233" t="str">
        <f t="shared" si="1"/>
        <v>Ground Floor</v>
      </c>
      <c r="H151" s="234"/>
      <c r="I151" s="75"/>
      <c r="L151" s="232"/>
      <c r="M151" s="232"/>
      <c r="N151" s="75"/>
    </row>
    <row r="152" spans="1:14" s="73" customFormat="1" x14ac:dyDescent="0.25">
      <c r="A152" s="233">
        <f t="shared" si="2"/>
        <v>33</v>
      </c>
      <c r="B152" s="234"/>
      <c r="C152" s="74" t="s">
        <v>217</v>
      </c>
      <c r="D152" s="74">
        <f t="shared" ref="D152:D154" si="8">(7.5*3.1+8.4*3.1+1.2*1.7)*10.764</f>
        <v>552.51612</v>
      </c>
      <c r="E152" s="74">
        <v>0</v>
      </c>
      <c r="F152" s="74">
        <f t="shared" si="0"/>
        <v>884.02579200000002</v>
      </c>
      <c r="G152" s="233" t="str">
        <f t="shared" si="1"/>
        <v>Ground Floor</v>
      </c>
      <c r="H152" s="234"/>
      <c r="I152" s="75"/>
      <c r="L152" s="232"/>
      <c r="M152" s="232"/>
      <c r="N152" s="75"/>
    </row>
    <row r="153" spans="1:14" s="73" customFormat="1" x14ac:dyDescent="0.25">
      <c r="A153" s="233">
        <f t="shared" si="2"/>
        <v>34</v>
      </c>
      <c r="B153" s="234"/>
      <c r="C153" s="74" t="s">
        <v>217</v>
      </c>
      <c r="D153" s="74">
        <f t="shared" si="8"/>
        <v>552.51612</v>
      </c>
      <c r="E153" s="74">
        <v>0</v>
      </c>
      <c r="F153" s="74">
        <f t="shared" si="0"/>
        <v>884.02579200000002</v>
      </c>
      <c r="G153" s="233" t="str">
        <f t="shared" si="1"/>
        <v>Ground Floor</v>
      </c>
      <c r="H153" s="234"/>
      <c r="I153" s="75"/>
      <c r="L153" s="232"/>
      <c r="M153" s="232"/>
      <c r="N153" s="75"/>
    </row>
    <row r="154" spans="1:14" s="73" customFormat="1" x14ac:dyDescent="0.25">
      <c r="A154" s="233">
        <f t="shared" si="2"/>
        <v>35</v>
      </c>
      <c r="B154" s="234"/>
      <c r="C154" s="74" t="s">
        <v>217</v>
      </c>
      <c r="D154" s="74">
        <f t="shared" si="8"/>
        <v>552.51612</v>
      </c>
      <c r="E154" s="74">
        <v>0</v>
      </c>
      <c r="F154" s="74">
        <f t="shared" si="0"/>
        <v>884.02579200000002</v>
      </c>
      <c r="G154" s="233" t="str">
        <f t="shared" si="1"/>
        <v>Ground Floor</v>
      </c>
      <c r="H154" s="234"/>
      <c r="I154" s="75"/>
      <c r="L154" s="232"/>
      <c r="M154" s="232"/>
      <c r="N154" s="75"/>
    </row>
    <row r="155" spans="1:14" s="73" customFormat="1" x14ac:dyDescent="0.25">
      <c r="A155" s="231" t="s">
        <v>197</v>
      </c>
      <c r="B155" s="231"/>
      <c r="C155" s="231"/>
      <c r="D155" s="231"/>
      <c r="E155" s="231"/>
      <c r="F155" s="231"/>
      <c r="G155" s="231"/>
      <c r="H155" s="231"/>
      <c r="I155" s="75"/>
      <c r="L155" s="232"/>
      <c r="M155" s="232"/>
    </row>
    <row r="156" spans="1:14" s="73" customFormat="1" x14ac:dyDescent="0.25">
      <c r="A156" s="230">
        <f>LEFT(A155,SUM(LEN(A155)-LEN(SUBSTITUTE(A155,{"0","1","2","3","4","5","6","7","8","9"},""))))*100+1</f>
        <v>101</v>
      </c>
      <c r="B156" s="230"/>
      <c r="C156" s="74" t="s">
        <v>218</v>
      </c>
      <c r="D156" s="74">
        <f>(2.75*7.5+2.75*5.25+1.45*1.6+1.2*1.6)*10.764</f>
        <v>423.05210999999997</v>
      </c>
      <c r="E156" s="74">
        <v>0</v>
      </c>
      <c r="F156" s="74">
        <f>D156*(($F$117)+1)+E156</f>
        <v>676.883376</v>
      </c>
      <c r="G156" s="230" t="str">
        <f>A155</f>
        <v>1st Floor</v>
      </c>
      <c r="H156" s="230"/>
      <c r="I156" s="75"/>
      <c r="N156" s="75"/>
    </row>
    <row r="157" spans="1:14" s="73" customFormat="1" x14ac:dyDescent="0.25">
      <c r="A157" s="230">
        <f t="shared" ref="A157:A188" si="9">A156+1</f>
        <v>102</v>
      </c>
      <c r="B157" s="230"/>
      <c r="C157" s="74" t="s">
        <v>218</v>
      </c>
      <c r="D157" s="74">
        <f>(2.75*7.5+2.75*5.25+1.45*1.6+1.2*1.6)*10.764</f>
        <v>423.05210999999997</v>
      </c>
      <c r="E157" s="74">
        <v>0</v>
      </c>
      <c r="F157" s="74">
        <f t="shared" ref="F157:F188" si="10">D157*(($F$117)+1)+E157</f>
        <v>676.883376</v>
      </c>
      <c r="G157" s="230" t="str">
        <f t="shared" ref="G157:G188" si="11">G156</f>
        <v>1st Floor</v>
      </c>
      <c r="H157" s="230"/>
      <c r="I157" s="75"/>
      <c r="N157" s="75"/>
    </row>
    <row r="158" spans="1:14" s="73" customFormat="1" x14ac:dyDescent="0.25">
      <c r="A158" s="230">
        <f t="shared" si="9"/>
        <v>103</v>
      </c>
      <c r="B158" s="230"/>
      <c r="C158" s="74" t="s">
        <v>218</v>
      </c>
      <c r="D158" s="74">
        <f>(3*7.5+3*5.25+1.7*1.6+1.2*1.6)*10.764</f>
        <v>461.66795999999999</v>
      </c>
      <c r="E158" s="74">
        <v>0</v>
      </c>
      <c r="F158" s="74">
        <f t="shared" si="10"/>
        <v>738.66873600000008</v>
      </c>
      <c r="G158" s="230" t="str">
        <f t="shared" si="11"/>
        <v>1st Floor</v>
      </c>
      <c r="H158" s="230"/>
      <c r="I158" s="75"/>
      <c r="N158" s="75"/>
    </row>
    <row r="159" spans="1:14" s="73" customFormat="1" x14ac:dyDescent="0.25">
      <c r="A159" s="230">
        <f t="shared" si="9"/>
        <v>104</v>
      </c>
      <c r="B159" s="230"/>
      <c r="C159" s="74" t="s">
        <v>218</v>
      </c>
      <c r="D159" s="74">
        <f t="shared" ref="D159:D162" si="12">(2.75*7.5+2.75*5.25+1.45*1.6+1.2*1.6)*10.764</f>
        <v>423.05210999999997</v>
      </c>
      <c r="E159" s="74">
        <v>0</v>
      </c>
      <c r="F159" s="74">
        <f t="shared" si="10"/>
        <v>676.883376</v>
      </c>
      <c r="G159" s="230" t="str">
        <f t="shared" si="11"/>
        <v>1st Floor</v>
      </c>
      <c r="H159" s="230"/>
      <c r="I159" s="75"/>
      <c r="N159" s="75"/>
    </row>
    <row r="160" spans="1:14" s="73" customFormat="1" x14ac:dyDescent="0.25">
      <c r="A160" s="230">
        <f t="shared" si="9"/>
        <v>105</v>
      </c>
      <c r="B160" s="230"/>
      <c r="C160" s="74" t="s">
        <v>218</v>
      </c>
      <c r="D160" s="74">
        <f t="shared" si="12"/>
        <v>423.05210999999997</v>
      </c>
      <c r="E160" s="74">
        <v>0</v>
      </c>
      <c r="F160" s="74">
        <f t="shared" si="10"/>
        <v>676.883376</v>
      </c>
      <c r="G160" s="230" t="str">
        <f t="shared" si="11"/>
        <v>1st Floor</v>
      </c>
      <c r="H160" s="230"/>
      <c r="I160" s="75"/>
      <c r="N160" s="75"/>
    </row>
    <row r="161" spans="1:14" s="73" customFormat="1" x14ac:dyDescent="0.25">
      <c r="A161" s="230">
        <f t="shared" si="9"/>
        <v>106</v>
      </c>
      <c r="B161" s="230"/>
      <c r="C161" s="74" t="s">
        <v>218</v>
      </c>
      <c r="D161" s="74">
        <f t="shared" si="12"/>
        <v>423.05210999999997</v>
      </c>
      <c r="E161" s="74">
        <v>0</v>
      </c>
      <c r="F161" s="74">
        <f t="shared" si="10"/>
        <v>676.883376</v>
      </c>
      <c r="G161" s="230" t="str">
        <f t="shared" si="11"/>
        <v>1st Floor</v>
      </c>
      <c r="H161" s="230"/>
      <c r="I161" s="75"/>
      <c r="N161" s="75"/>
    </row>
    <row r="162" spans="1:14" s="73" customFormat="1" x14ac:dyDescent="0.25">
      <c r="A162" s="230">
        <f t="shared" si="9"/>
        <v>107</v>
      </c>
      <c r="B162" s="230"/>
      <c r="C162" s="74" t="s">
        <v>218</v>
      </c>
      <c r="D162" s="74">
        <f t="shared" si="12"/>
        <v>423.05210999999997</v>
      </c>
      <c r="E162" s="74">
        <v>0</v>
      </c>
      <c r="F162" s="74">
        <f t="shared" si="10"/>
        <v>676.883376</v>
      </c>
      <c r="G162" s="230" t="str">
        <f t="shared" si="11"/>
        <v>1st Floor</v>
      </c>
      <c r="H162" s="230"/>
      <c r="I162" s="75"/>
      <c r="N162" s="75"/>
    </row>
    <row r="163" spans="1:14" s="73" customFormat="1" x14ac:dyDescent="0.25">
      <c r="A163" s="230">
        <f t="shared" si="9"/>
        <v>108</v>
      </c>
      <c r="B163" s="230"/>
      <c r="C163" s="74" t="s">
        <v>218</v>
      </c>
      <c r="D163" s="74">
        <f>(3*7.5+3*5.25+1.7*1.6+1.2*1.6)*10.764</f>
        <v>461.66795999999999</v>
      </c>
      <c r="E163" s="74">
        <v>0</v>
      </c>
      <c r="F163" s="74">
        <f t="shared" si="10"/>
        <v>738.66873600000008</v>
      </c>
      <c r="G163" s="230" t="str">
        <f t="shared" si="11"/>
        <v>1st Floor</v>
      </c>
      <c r="H163" s="230"/>
      <c r="I163" s="75"/>
      <c r="N163" s="75"/>
    </row>
    <row r="164" spans="1:14" s="73" customFormat="1" x14ac:dyDescent="0.25">
      <c r="A164" s="230">
        <f t="shared" si="9"/>
        <v>109</v>
      </c>
      <c r="B164" s="230"/>
      <c r="C164" s="74" t="s">
        <v>218</v>
      </c>
      <c r="D164" s="74">
        <f>(3.75*7.5+3.75*5.25+3.1*1.5+1.2*1.5)*10.764</f>
        <v>584.08154999999988</v>
      </c>
      <c r="E164" s="74">
        <v>0</v>
      </c>
      <c r="F164" s="74">
        <f t="shared" si="10"/>
        <v>934.5304799999999</v>
      </c>
      <c r="G164" s="230" t="str">
        <f t="shared" si="11"/>
        <v>1st Floor</v>
      </c>
      <c r="H164" s="230"/>
      <c r="I164" s="75"/>
      <c r="N164" s="75"/>
    </row>
    <row r="165" spans="1:14" s="73" customFormat="1" x14ac:dyDescent="0.25">
      <c r="A165" s="230">
        <f t="shared" si="9"/>
        <v>110</v>
      </c>
      <c r="B165" s="230"/>
      <c r="C165" s="74" t="s">
        <v>218</v>
      </c>
      <c r="D165" s="74">
        <f>(3.13*7.5+3.13*5.25+2.3*1.5+1.2*2)*10.764</f>
        <v>492.53372999999999</v>
      </c>
      <c r="E165" s="74">
        <v>0</v>
      </c>
      <c r="F165" s="74">
        <f t="shared" si="10"/>
        <v>788.05396800000005</v>
      </c>
      <c r="G165" s="230" t="str">
        <f t="shared" si="11"/>
        <v>1st Floor</v>
      </c>
      <c r="H165" s="230"/>
      <c r="I165" s="75"/>
      <c r="N165" s="75"/>
    </row>
    <row r="166" spans="1:14" s="73" customFormat="1" x14ac:dyDescent="0.25">
      <c r="A166" s="230">
        <f t="shared" si="9"/>
        <v>111</v>
      </c>
      <c r="B166" s="230"/>
      <c r="C166" s="74" t="s">
        <v>218</v>
      </c>
      <c r="D166" s="74">
        <f>(3.1*7.5+3.1*5.25+1.8*1.6+1.2*1.6)*10.764</f>
        <v>477.11430000000007</v>
      </c>
      <c r="E166" s="74">
        <v>0</v>
      </c>
      <c r="F166" s="74">
        <f t="shared" si="10"/>
        <v>763.38288000000011</v>
      </c>
      <c r="G166" s="230" t="str">
        <f t="shared" si="11"/>
        <v>1st Floor</v>
      </c>
      <c r="H166" s="230"/>
      <c r="I166" s="75"/>
      <c r="N166" s="75"/>
    </row>
    <row r="167" spans="1:14" s="73" customFormat="1" x14ac:dyDescent="0.25">
      <c r="A167" s="230">
        <f t="shared" si="9"/>
        <v>112</v>
      </c>
      <c r="B167" s="230"/>
      <c r="C167" s="74" t="s">
        <v>218</v>
      </c>
      <c r="D167" s="74">
        <f t="shared" ref="D167:D169" si="13">(3.1*7.5+3.1*5.25+1.8*1.6+1.2*1.6)*10.764</f>
        <v>477.11430000000007</v>
      </c>
      <c r="E167" s="74">
        <v>0</v>
      </c>
      <c r="F167" s="74">
        <f t="shared" si="10"/>
        <v>763.38288000000011</v>
      </c>
      <c r="G167" s="230" t="str">
        <f t="shared" si="11"/>
        <v>1st Floor</v>
      </c>
      <c r="H167" s="230"/>
      <c r="I167" s="75"/>
      <c r="N167" s="75"/>
    </row>
    <row r="168" spans="1:14" s="73" customFormat="1" x14ac:dyDescent="0.25">
      <c r="A168" s="230">
        <f t="shared" si="9"/>
        <v>113</v>
      </c>
      <c r="B168" s="230"/>
      <c r="C168" s="74" t="s">
        <v>218</v>
      </c>
      <c r="D168" s="74">
        <f t="shared" si="13"/>
        <v>477.11430000000007</v>
      </c>
      <c r="E168" s="74">
        <v>0</v>
      </c>
      <c r="F168" s="74">
        <f t="shared" si="10"/>
        <v>763.38288000000011</v>
      </c>
      <c r="G168" s="230" t="str">
        <f t="shared" si="11"/>
        <v>1st Floor</v>
      </c>
      <c r="H168" s="230"/>
      <c r="I168" s="75"/>
      <c r="N168" s="75"/>
    </row>
    <row r="169" spans="1:14" s="73" customFormat="1" x14ac:dyDescent="0.25">
      <c r="A169" s="230">
        <f t="shared" si="9"/>
        <v>114</v>
      </c>
      <c r="B169" s="230"/>
      <c r="C169" s="74" t="s">
        <v>218</v>
      </c>
      <c r="D169" s="74">
        <f t="shared" si="13"/>
        <v>477.11430000000007</v>
      </c>
      <c r="E169" s="74">
        <v>0</v>
      </c>
      <c r="F169" s="74">
        <f t="shared" si="10"/>
        <v>763.38288000000011</v>
      </c>
      <c r="G169" s="230" t="str">
        <f t="shared" si="11"/>
        <v>1st Floor</v>
      </c>
      <c r="H169" s="230"/>
      <c r="I169" s="75"/>
      <c r="N169" s="75"/>
    </row>
    <row r="170" spans="1:14" s="73" customFormat="1" x14ac:dyDescent="0.25">
      <c r="A170" s="230">
        <f t="shared" si="9"/>
        <v>115</v>
      </c>
      <c r="B170" s="230"/>
      <c r="C170" s="74" t="s">
        <v>218</v>
      </c>
      <c r="D170" s="74">
        <f>(2.85*7.5+2.85*5.25+1.95*1.6+1.2*1.6)*10.764</f>
        <v>445.38740999999993</v>
      </c>
      <c r="E170" s="74">
        <v>0</v>
      </c>
      <c r="F170" s="74">
        <f t="shared" si="10"/>
        <v>712.61985599999991</v>
      </c>
      <c r="G170" s="230" t="str">
        <f t="shared" si="11"/>
        <v>1st Floor</v>
      </c>
      <c r="H170" s="230"/>
      <c r="I170" s="75"/>
      <c r="N170" s="75"/>
    </row>
    <row r="171" spans="1:14" s="73" customFormat="1" x14ac:dyDescent="0.25">
      <c r="A171" s="230">
        <f t="shared" si="9"/>
        <v>116</v>
      </c>
      <c r="B171" s="230"/>
      <c r="C171" s="74" t="s">
        <v>218</v>
      </c>
      <c r="D171" s="74">
        <f t="shared" ref="D171:D173" si="14">(2.85*7.5+2.85*5.25+1.95*1.6+1.2*1.6)*10.764</f>
        <v>445.38740999999993</v>
      </c>
      <c r="E171" s="74">
        <v>0</v>
      </c>
      <c r="F171" s="74">
        <f t="shared" si="10"/>
        <v>712.61985599999991</v>
      </c>
      <c r="G171" s="230" t="str">
        <f t="shared" si="11"/>
        <v>1st Floor</v>
      </c>
      <c r="H171" s="230"/>
      <c r="I171" s="75"/>
      <c r="N171" s="75"/>
    </row>
    <row r="172" spans="1:14" s="73" customFormat="1" x14ac:dyDescent="0.25">
      <c r="A172" s="230">
        <f t="shared" si="9"/>
        <v>117</v>
      </c>
      <c r="B172" s="230"/>
      <c r="C172" s="74" t="s">
        <v>218</v>
      </c>
      <c r="D172" s="74">
        <f t="shared" si="14"/>
        <v>445.38740999999993</v>
      </c>
      <c r="E172" s="74">
        <v>0</v>
      </c>
      <c r="F172" s="74">
        <f t="shared" si="10"/>
        <v>712.61985599999991</v>
      </c>
      <c r="G172" s="230" t="str">
        <f t="shared" si="11"/>
        <v>1st Floor</v>
      </c>
      <c r="H172" s="230"/>
      <c r="I172" s="75"/>
      <c r="N172" s="75"/>
    </row>
    <row r="173" spans="1:14" s="73" customFormat="1" x14ac:dyDescent="0.25">
      <c r="A173" s="230">
        <f t="shared" si="9"/>
        <v>118</v>
      </c>
      <c r="B173" s="230"/>
      <c r="C173" s="74" t="s">
        <v>218</v>
      </c>
      <c r="D173" s="74">
        <f t="shared" si="14"/>
        <v>445.38740999999993</v>
      </c>
      <c r="E173" s="74">
        <v>0</v>
      </c>
      <c r="F173" s="74">
        <f t="shared" si="10"/>
        <v>712.61985599999991</v>
      </c>
      <c r="G173" s="230" t="str">
        <f t="shared" si="11"/>
        <v>1st Floor</v>
      </c>
      <c r="H173" s="230"/>
      <c r="I173" s="75"/>
      <c r="N173" s="75"/>
    </row>
    <row r="174" spans="1:14" s="73" customFormat="1" x14ac:dyDescent="0.25">
      <c r="A174" s="230">
        <f t="shared" si="9"/>
        <v>119</v>
      </c>
      <c r="B174" s="230"/>
      <c r="C174" s="74" t="s">
        <v>218</v>
      </c>
      <c r="D174" s="74">
        <f>(2.75*7.5+2.75*5.25+1.45*1.6+1.2*1.6)*10.764</f>
        <v>423.05210999999997</v>
      </c>
      <c r="E174" s="74">
        <v>0</v>
      </c>
      <c r="F174" s="74">
        <f t="shared" si="10"/>
        <v>676.883376</v>
      </c>
      <c r="G174" s="230" t="str">
        <f t="shared" si="11"/>
        <v>1st Floor</v>
      </c>
      <c r="H174" s="230"/>
      <c r="I174" s="75"/>
      <c r="N174" s="75"/>
    </row>
    <row r="175" spans="1:14" s="73" customFormat="1" x14ac:dyDescent="0.25">
      <c r="A175" s="230">
        <f t="shared" si="9"/>
        <v>120</v>
      </c>
      <c r="B175" s="230"/>
      <c r="C175" s="74" t="s">
        <v>218</v>
      </c>
      <c r="D175" s="74">
        <f>(3*7.5+3*5.25+1.7*1.6+1.2*1.6)*10.764</f>
        <v>461.66795999999999</v>
      </c>
      <c r="E175" s="74">
        <v>0</v>
      </c>
      <c r="F175" s="74">
        <f t="shared" si="10"/>
        <v>738.66873600000008</v>
      </c>
      <c r="G175" s="230" t="str">
        <f t="shared" si="11"/>
        <v>1st Floor</v>
      </c>
      <c r="H175" s="230"/>
      <c r="I175" s="75"/>
      <c r="N175" s="75"/>
    </row>
    <row r="176" spans="1:14" s="73" customFormat="1" x14ac:dyDescent="0.25">
      <c r="A176" s="230">
        <f t="shared" si="9"/>
        <v>121</v>
      </c>
      <c r="B176" s="230"/>
      <c r="C176" s="74" t="s">
        <v>218</v>
      </c>
      <c r="D176" s="74">
        <f t="shared" ref="D176:D177" si="15">(2.75*7.5+2.75*5.25+1.45*1.6+1.2*1.6)*10.764</f>
        <v>423.05210999999997</v>
      </c>
      <c r="E176" s="74">
        <v>0</v>
      </c>
      <c r="F176" s="74">
        <f t="shared" si="10"/>
        <v>676.883376</v>
      </c>
      <c r="G176" s="230" t="str">
        <f t="shared" si="11"/>
        <v>1st Floor</v>
      </c>
      <c r="H176" s="230"/>
      <c r="I176" s="75"/>
      <c r="N176" s="75"/>
    </row>
    <row r="177" spans="1:14" s="73" customFormat="1" x14ac:dyDescent="0.25">
      <c r="A177" s="230">
        <f t="shared" si="9"/>
        <v>122</v>
      </c>
      <c r="B177" s="230"/>
      <c r="C177" s="74" t="s">
        <v>218</v>
      </c>
      <c r="D177" s="74">
        <f t="shared" si="15"/>
        <v>423.05210999999997</v>
      </c>
      <c r="E177" s="74">
        <v>0</v>
      </c>
      <c r="F177" s="74">
        <f t="shared" si="10"/>
        <v>676.883376</v>
      </c>
      <c r="G177" s="230" t="str">
        <f t="shared" si="11"/>
        <v>1st Floor</v>
      </c>
      <c r="H177" s="230"/>
      <c r="I177" s="75"/>
      <c r="N177" s="75"/>
    </row>
    <row r="178" spans="1:14" s="73" customFormat="1" x14ac:dyDescent="0.25">
      <c r="A178" s="230">
        <f t="shared" si="9"/>
        <v>123</v>
      </c>
      <c r="B178" s="230"/>
      <c r="C178" s="74" t="s">
        <v>218</v>
      </c>
      <c r="D178" s="74">
        <f>(3*7.5+3*5.25+1.7*1.6+1.2*1.6)*10.764</f>
        <v>461.66795999999999</v>
      </c>
      <c r="E178" s="74">
        <v>0</v>
      </c>
      <c r="F178" s="74">
        <f t="shared" si="10"/>
        <v>738.66873600000008</v>
      </c>
      <c r="G178" s="230" t="str">
        <f t="shared" si="11"/>
        <v>1st Floor</v>
      </c>
      <c r="H178" s="230"/>
      <c r="I178" s="75"/>
      <c r="N178" s="75"/>
    </row>
    <row r="179" spans="1:14" s="73" customFormat="1" x14ac:dyDescent="0.25">
      <c r="A179" s="230">
        <f t="shared" si="9"/>
        <v>124</v>
      </c>
      <c r="B179" s="230"/>
      <c r="C179" s="74" t="s">
        <v>218</v>
      </c>
      <c r="D179" s="74">
        <f>(3.4*7.5+3.4*5.25+2.1*1+1.2*1.6)*10.764</f>
        <v>509.89067999999992</v>
      </c>
      <c r="E179" s="74">
        <v>0</v>
      </c>
      <c r="F179" s="74">
        <f t="shared" si="10"/>
        <v>815.82508799999994</v>
      </c>
      <c r="G179" s="230" t="str">
        <f t="shared" si="11"/>
        <v>1st Floor</v>
      </c>
      <c r="H179" s="230"/>
      <c r="I179" s="75"/>
      <c r="N179" s="75"/>
    </row>
    <row r="180" spans="1:14" s="73" customFormat="1" x14ac:dyDescent="0.25">
      <c r="A180" s="230">
        <f t="shared" si="9"/>
        <v>125</v>
      </c>
      <c r="B180" s="230"/>
      <c r="C180" s="74" t="s">
        <v>218</v>
      </c>
      <c r="D180" s="74">
        <f>(15.26*10.3)*10.764</f>
        <v>1691.8639919999998</v>
      </c>
      <c r="E180" s="74">
        <v>0</v>
      </c>
      <c r="F180" s="74">
        <f t="shared" si="10"/>
        <v>2706.9823871999997</v>
      </c>
      <c r="G180" s="230" t="str">
        <f t="shared" si="11"/>
        <v>1st Floor</v>
      </c>
      <c r="H180" s="230"/>
      <c r="I180" s="75"/>
      <c r="N180" s="75"/>
    </row>
    <row r="181" spans="1:14" s="73" customFormat="1" x14ac:dyDescent="0.25">
      <c r="A181" s="230">
        <f t="shared" si="9"/>
        <v>126</v>
      </c>
      <c r="B181" s="230"/>
      <c r="C181" s="74" t="s">
        <v>218</v>
      </c>
      <c r="D181" s="74">
        <f>(11.75*3.1+1.2*1.7)*10.764</f>
        <v>414.03726</v>
      </c>
      <c r="E181" s="74">
        <v>0</v>
      </c>
      <c r="F181" s="74">
        <f t="shared" si="10"/>
        <v>662.4596160000001</v>
      </c>
      <c r="G181" s="230" t="str">
        <f t="shared" si="11"/>
        <v>1st Floor</v>
      </c>
      <c r="H181" s="230"/>
      <c r="I181" s="75"/>
      <c r="N181" s="75"/>
    </row>
    <row r="182" spans="1:14" s="73" customFormat="1" x14ac:dyDescent="0.25">
      <c r="A182" s="230">
        <f t="shared" si="9"/>
        <v>127</v>
      </c>
      <c r="B182" s="230"/>
      <c r="C182" s="74" t="s">
        <v>218</v>
      </c>
      <c r="D182" s="74">
        <f>(14.45*3)*10.764</f>
        <v>466.61939999999993</v>
      </c>
      <c r="E182" s="74">
        <v>0</v>
      </c>
      <c r="F182" s="74">
        <f t="shared" si="10"/>
        <v>746.59103999999991</v>
      </c>
      <c r="G182" s="230" t="str">
        <f t="shared" si="11"/>
        <v>1st Floor</v>
      </c>
      <c r="H182" s="230"/>
      <c r="I182" s="75"/>
      <c r="N182" s="75"/>
    </row>
    <row r="183" spans="1:14" s="73" customFormat="1" x14ac:dyDescent="0.25">
      <c r="A183" s="230">
        <f t="shared" si="9"/>
        <v>128</v>
      </c>
      <c r="B183" s="230"/>
      <c r="C183" s="74" t="s">
        <v>218</v>
      </c>
      <c r="D183" s="74">
        <f>(11.5*3+3*1.7+1.5*1.2)*10.764</f>
        <v>445.62959999999998</v>
      </c>
      <c r="E183" s="74">
        <v>0</v>
      </c>
      <c r="F183" s="74">
        <f t="shared" si="10"/>
        <v>713.00736000000006</v>
      </c>
      <c r="G183" s="230" t="str">
        <f t="shared" si="11"/>
        <v>1st Floor</v>
      </c>
      <c r="H183" s="230"/>
      <c r="I183" s="75"/>
      <c r="N183" s="75"/>
    </row>
    <row r="184" spans="1:14" s="73" customFormat="1" x14ac:dyDescent="0.25">
      <c r="A184" s="230">
        <f t="shared" si="9"/>
        <v>129</v>
      </c>
      <c r="B184" s="230"/>
      <c r="C184" s="74" t="s">
        <v>218</v>
      </c>
      <c r="D184" s="74">
        <f t="shared" ref="D184" si="16">(11.5*3+3*1.7+1.5*1.2)*10.764</f>
        <v>445.62959999999998</v>
      </c>
      <c r="E184" s="74">
        <v>0</v>
      </c>
      <c r="F184" s="74">
        <f t="shared" si="10"/>
        <v>713.00736000000006</v>
      </c>
      <c r="G184" s="230" t="str">
        <f t="shared" si="11"/>
        <v>1st Floor</v>
      </c>
      <c r="H184" s="230"/>
      <c r="I184" s="75"/>
      <c r="N184" s="75"/>
    </row>
    <row r="185" spans="1:14" s="73" customFormat="1" x14ac:dyDescent="0.25">
      <c r="A185" s="230">
        <f t="shared" si="9"/>
        <v>130</v>
      </c>
      <c r="B185" s="230"/>
      <c r="C185" s="74" t="s">
        <v>218</v>
      </c>
      <c r="D185" s="74">
        <f>(14.36*3+3*1.7+1.5*1.2)*10.764</f>
        <v>537.98471999999992</v>
      </c>
      <c r="E185" s="74">
        <v>0</v>
      </c>
      <c r="F185" s="74">
        <f t="shared" si="10"/>
        <v>860.77555199999995</v>
      </c>
      <c r="G185" s="230" t="str">
        <f t="shared" si="11"/>
        <v>1st Floor</v>
      </c>
      <c r="H185" s="230"/>
      <c r="I185" s="75"/>
      <c r="N185" s="75"/>
    </row>
    <row r="186" spans="1:14" s="73" customFormat="1" x14ac:dyDescent="0.25">
      <c r="A186" s="230">
        <f t="shared" si="9"/>
        <v>131</v>
      </c>
      <c r="B186" s="230"/>
      <c r="C186" s="74" t="s">
        <v>218</v>
      </c>
      <c r="D186" s="74">
        <f t="shared" ref="D186:D188" si="17">(14.36*3+3*1.7+1.5*1.2)*10.764</f>
        <v>537.98471999999992</v>
      </c>
      <c r="E186" s="74">
        <v>0</v>
      </c>
      <c r="F186" s="74">
        <f t="shared" si="10"/>
        <v>860.77555199999995</v>
      </c>
      <c r="G186" s="230" t="str">
        <f t="shared" si="11"/>
        <v>1st Floor</v>
      </c>
      <c r="H186" s="230"/>
      <c r="I186" s="75"/>
      <c r="N186" s="75"/>
    </row>
    <row r="187" spans="1:14" s="73" customFormat="1" x14ac:dyDescent="0.25">
      <c r="A187" s="230">
        <f t="shared" si="9"/>
        <v>132</v>
      </c>
      <c r="B187" s="230"/>
      <c r="C187" s="74" t="s">
        <v>218</v>
      </c>
      <c r="D187" s="74">
        <f t="shared" si="17"/>
        <v>537.98471999999992</v>
      </c>
      <c r="E187" s="74">
        <v>0</v>
      </c>
      <c r="F187" s="74">
        <f t="shared" si="10"/>
        <v>860.77555199999995</v>
      </c>
      <c r="G187" s="230" t="str">
        <f t="shared" si="11"/>
        <v>1st Floor</v>
      </c>
      <c r="H187" s="230"/>
      <c r="I187" s="75"/>
      <c r="N187" s="75"/>
    </row>
    <row r="188" spans="1:14" s="73" customFormat="1" x14ac:dyDescent="0.25">
      <c r="A188" s="230">
        <f t="shared" si="9"/>
        <v>133</v>
      </c>
      <c r="B188" s="230"/>
      <c r="C188" s="74" t="s">
        <v>218</v>
      </c>
      <c r="D188" s="74">
        <f t="shared" si="17"/>
        <v>537.98471999999992</v>
      </c>
      <c r="E188" s="74">
        <v>0</v>
      </c>
      <c r="F188" s="74">
        <f t="shared" si="10"/>
        <v>860.77555199999995</v>
      </c>
      <c r="G188" s="230" t="str">
        <f t="shared" si="11"/>
        <v>1st Floor</v>
      </c>
      <c r="H188" s="230"/>
      <c r="I188" s="75"/>
      <c r="N188" s="75"/>
    </row>
    <row r="189" spans="1:14" s="73" customFormat="1" x14ac:dyDescent="0.25">
      <c r="A189" s="233"/>
      <c r="B189" s="242"/>
      <c r="C189" s="242"/>
      <c r="D189" s="242"/>
      <c r="E189" s="242"/>
      <c r="F189" s="242"/>
      <c r="G189" s="242"/>
      <c r="H189" s="234"/>
      <c r="I189" s="75"/>
      <c r="N189" s="75"/>
    </row>
    <row r="190" spans="1:14" ht="47.25" customHeight="1" x14ac:dyDescent="0.25">
      <c r="A190" s="238" t="s">
        <v>160</v>
      </c>
      <c r="B190" s="238" t="s">
        <v>161</v>
      </c>
      <c r="C190" s="243" t="s">
        <v>67</v>
      </c>
      <c r="D190" s="243" t="s">
        <v>68</v>
      </c>
      <c r="E190" s="245" t="s">
        <v>69</v>
      </c>
      <c r="F190" s="72" t="s">
        <v>158</v>
      </c>
      <c r="G190" s="238" t="s">
        <v>70</v>
      </c>
      <c r="H190" s="239"/>
      <c r="I190" s="75"/>
    </row>
    <row r="191" spans="1:14" s="73" customFormat="1" x14ac:dyDescent="0.25">
      <c r="A191" s="240"/>
      <c r="B191" s="240"/>
      <c r="C191" s="244"/>
      <c r="D191" s="244"/>
      <c r="E191" s="246"/>
      <c r="F191" s="31">
        <v>0.45</v>
      </c>
      <c r="G191" s="240"/>
      <c r="H191" s="241"/>
      <c r="I191" s="75"/>
    </row>
    <row r="192" spans="1:14" s="73" customFormat="1" x14ac:dyDescent="0.25">
      <c r="A192" s="231" t="s">
        <v>196</v>
      </c>
      <c r="B192" s="231"/>
      <c r="C192" s="231"/>
      <c r="D192" s="231"/>
      <c r="E192" s="231"/>
      <c r="F192" s="231"/>
      <c r="G192" s="231"/>
      <c r="H192" s="231"/>
      <c r="I192" s="75"/>
      <c r="L192" s="232"/>
      <c r="M192" s="232"/>
    </row>
    <row r="193" spans="1:14" s="73" customFormat="1" ht="15.75" customHeight="1" x14ac:dyDescent="0.25">
      <c r="A193" s="231" t="s">
        <v>241</v>
      </c>
      <c r="B193" s="231"/>
      <c r="C193" s="231"/>
      <c r="D193" s="231"/>
      <c r="E193" s="231"/>
      <c r="F193" s="231"/>
      <c r="G193" s="231"/>
      <c r="H193" s="231"/>
      <c r="I193" s="75"/>
      <c r="L193" s="232"/>
      <c r="M193" s="232"/>
    </row>
    <row r="194" spans="1:14" s="73" customFormat="1" ht="15.75" customHeight="1" x14ac:dyDescent="0.25">
      <c r="A194" s="230">
        <f>LEFT(A193,SUM(LEN(A193)-LEN(SUBSTITUTE(A193,{"0","1","2","3","4","5","6","7","8","9"},""))))*100+1</f>
        <v>201</v>
      </c>
      <c r="B194" s="230"/>
      <c r="C194" s="74" t="s">
        <v>223</v>
      </c>
      <c r="D194" s="74">
        <f>(50.59+2.4*1.2)*10.764</f>
        <v>575.55108000000007</v>
      </c>
      <c r="E194" s="74">
        <v>0</v>
      </c>
      <c r="F194" s="74">
        <f>D194*(($F$191)+1)+E194</f>
        <v>834.54906600000004</v>
      </c>
      <c r="G194" s="230" t="str">
        <f>A193</f>
        <v>2nd Floor</v>
      </c>
      <c r="H194" s="230"/>
      <c r="I194" s="75"/>
      <c r="N194" s="75"/>
    </row>
    <row r="195" spans="1:14" s="73" customFormat="1" ht="15.75" customHeight="1" x14ac:dyDescent="0.25">
      <c r="A195" s="230">
        <f>A194+1</f>
        <v>202</v>
      </c>
      <c r="B195" s="230"/>
      <c r="C195" s="74" t="s">
        <v>223</v>
      </c>
      <c r="D195" s="74">
        <f t="shared" ref="D195" si="18">(50.59+2.4*1.2)*10.764</f>
        <v>575.55108000000007</v>
      </c>
      <c r="E195" s="74">
        <f>(2.15*11+2.75*7+2.75*7+3*10)*10.764</f>
        <v>991.90260000000001</v>
      </c>
      <c r="F195" s="74">
        <f>D195*(($F$191)+1)+E195/6</f>
        <v>999.86616600000002</v>
      </c>
      <c r="G195" s="230" t="str">
        <f t="shared" ref="G195:G200" si="19">G194</f>
        <v>2nd Floor</v>
      </c>
      <c r="H195" s="230"/>
      <c r="I195" s="75"/>
      <c r="N195" s="75"/>
    </row>
    <row r="196" spans="1:14" s="73" customFormat="1" ht="15.75" customHeight="1" x14ac:dyDescent="0.25">
      <c r="A196" s="230">
        <f>A195+1</f>
        <v>203</v>
      </c>
      <c r="B196" s="230"/>
      <c r="C196" s="74" t="s">
        <v>223</v>
      </c>
      <c r="D196" s="74">
        <f>(51.48)*10.764</f>
        <v>554.13071999999988</v>
      </c>
      <c r="E196" s="76">
        <f>(3.1*8+2.75*10+3*15)*10.764</f>
        <v>1047.3371999999999</v>
      </c>
      <c r="F196" s="74">
        <f t="shared" ref="F196:F199" si="20">D196*(($F$191)+1)+E196/6</f>
        <v>978.04574399999979</v>
      </c>
      <c r="G196" s="230" t="str">
        <f t="shared" si="19"/>
        <v>2nd Floor</v>
      </c>
      <c r="H196" s="230"/>
      <c r="I196" s="75"/>
      <c r="N196" s="75"/>
    </row>
    <row r="197" spans="1:14" s="73" customFormat="1" x14ac:dyDescent="0.25">
      <c r="A197" s="230">
        <f t="shared" ref="A197:A200" si="21">A196+1</f>
        <v>204</v>
      </c>
      <c r="B197" s="230"/>
      <c r="C197" s="74" t="s">
        <v>223</v>
      </c>
      <c r="D197" s="74">
        <f>(51.48)*10.764</f>
        <v>554.13071999999988</v>
      </c>
      <c r="E197" s="76">
        <f>(3.1*8+2.75*10+3*15)*10.764</f>
        <v>1047.3371999999999</v>
      </c>
      <c r="F197" s="74">
        <f t="shared" si="20"/>
        <v>978.04574399999979</v>
      </c>
      <c r="G197" s="230" t="str">
        <f t="shared" si="19"/>
        <v>2nd Floor</v>
      </c>
      <c r="H197" s="230"/>
      <c r="I197" s="75"/>
      <c r="N197" s="75"/>
    </row>
    <row r="198" spans="1:14" s="73" customFormat="1" ht="15.75" customHeight="1" x14ac:dyDescent="0.25">
      <c r="A198" s="230">
        <f>A197+1</f>
        <v>205</v>
      </c>
      <c r="B198" s="230"/>
      <c r="C198" s="74" t="s">
        <v>150</v>
      </c>
      <c r="D198" s="74">
        <f>(66.88)*10.764</f>
        <v>719.89631999999995</v>
      </c>
      <c r="E198" s="76">
        <f>(3.05*15+3.05*8+3.1*8+10*6+6*6)*10.764</f>
        <v>2055.3857999999996</v>
      </c>
      <c r="F198" s="74">
        <f t="shared" si="20"/>
        <v>1386.4139639999999</v>
      </c>
      <c r="G198" s="230" t="str">
        <f t="shared" si="19"/>
        <v>2nd Floor</v>
      </c>
      <c r="H198" s="230"/>
      <c r="I198" s="75"/>
      <c r="N198" s="75"/>
    </row>
    <row r="199" spans="1:14" s="73" customFormat="1" x14ac:dyDescent="0.25">
      <c r="A199" s="230">
        <f t="shared" si="21"/>
        <v>206</v>
      </c>
      <c r="B199" s="230"/>
      <c r="C199" s="74" t="s">
        <v>150</v>
      </c>
      <c r="D199" s="74">
        <f>(69.93)*10.764</f>
        <v>752.72652000000005</v>
      </c>
      <c r="E199" s="76">
        <f>(3.05*11+3.05*11*2+3*18)*10.764</f>
        <v>1664.6525999999997</v>
      </c>
      <c r="F199" s="74">
        <f t="shared" si="20"/>
        <v>1368.8955539999999</v>
      </c>
      <c r="G199" s="230" t="str">
        <f t="shared" si="19"/>
        <v>2nd Floor</v>
      </c>
      <c r="H199" s="230"/>
      <c r="I199" s="75"/>
      <c r="N199" s="75"/>
    </row>
    <row r="200" spans="1:14" s="73" customFormat="1" x14ac:dyDescent="0.25">
      <c r="A200" s="230">
        <f t="shared" si="21"/>
        <v>207</v>
      </c>
      <c r="B200" s="230"/>
      <c r="C200" s="74" t="s">
        <v>223</v>
      </c>
      <c r="D200" s="74">
        <f>(49.49+2.75*1.28)*10.764</f>
        <v>570.59964000000002</v>
      </c>
      <c r="E200" s="74">
        <v>0</v>
      </c>
      <c r="F200" s="74">
        <f>D200*(($F$191)+1)+E200</f>
        <v>827.36947799999996</v>
      </c>
      <c r="G200" s="230" t="str">
        <f t="shared" si="19"/>
        <v>2nd Floor</v>
      </c>
      <c r="H200" s="230"/>
      <c r="I200" s="75"/>
      <c r="N200" s="75"/>
    </row>
    <row r="201" spans="1:14" s="73" customFormat="1" ht="15.75" customHeight="1" x14ac:dyDescent="0.25">
      <c r="A201" s="231" t="s">
        <v>242</v>
      </c>
      <c r="B201" s="231"/>
      <c r="C201" s="231"/>
      <c r="D201" s="231"/>
      <c r="E201" s="231"/>
      <c r="F201" s="231"/>
      <c r="G201" s="231"/>
      <c r="H201" s="231"/>
      <c r="I201" s="75"/>
      <c r="L201" s="232"/>
      <c r="M201" s="232"/>
    </row>
    <row r="202" spans="1:14" s="73" customFormat="1" ht="15.75" customHeight="1" x14ac:dyDescent="0.25">
      <c r="A202" s="230">
        <f>LEFT(A201,SUM(LEN(A201)-LEN(SUBSTITUTE(A201,{"0","1","2","3","4","5","6","7","8","9"},""))))*100+1</f>
        <v>301</v>
      </c>
      <c r="B202" s="230"/>
      <c r="C202" s="74" t="s">
        <v>223</v>
      </c>
      <c r="D202" s="74">
        <f>(50.59+2.4*1.2)*10.764</f>
        <v>575.55108000000007</v>
      </c>
      <c r="E202" s="74">
        <f t="shared" ref="E202" si="22">3*1.8*10.764</f>
        <v>58.125599999999999</v>
      </c>
      <c r="F202" s="74">
        <f t="shared" ref="F202:F208" si="23">D202*(($F$191)+1)+E202</f>
        <v>892.674666</v>
      </c>
      <c r="G202" s="230" t="str">
        <f>A201</f>
        <v>3rd Floor</v>
      </c>
      <c r="H202" s="230"/>
      <c r="I202" s="75"/>
      <c r="N202" s="75"/>
    </row>
    <row r="203" spans="1:14" s="73" customFormat="1" ht="15.75" customHeight="1" x14ac:dyDescent="0.25">
      <c r="A203" s="230">
        <f>A202+1</f>
        <v>302</v>
      </c>
      <c r="B203" s="230"/>
      <c r="C203" s="74" t="s">
        <v>223</v>
      </c>
      <c r="D203" s="74">
        <f t="shared" ref="D203" si="24">(50.59+2.4*1.2)*10.764</f>
        <v>575.55108000000007</v>
      </c>
      <c r="E203" s="74">
        <v>0</v>
      </c>
      <c r="F203" s="74">
        <f t="shared" si="23"/>
        <v>834.54906600000004</v>
      </c>
      <c r="G203" s="230" t="str">
        <f t="shared" ref="G203:G208" si="25">G202</f>
        <v>3rd Floor</v>
      </c>
      <c r="H203" s="230"/>
      <c r="I203" s="75"/>
      <c r="N203" s="75"/>
    </row>
    <row r="204" spans="1:14" s="73" customFormat="1" ht="15.75" customHeight="1" x14ac:dyDescent="0.25">
      <c r="A204" s="230">
        <f>A203+1</f>
        <v>303</v>
      </c>
      <c r="B204" s="230"/>
      <c r="C204" s="74" t="s">
        <v>223</v>
      </c>
      <c r="D204" s="74">
        <f>(51.48)*10.764</f>
        <v>554.13071999999988</v>
      </c>
      <c r="E204" s="74">
        <v>0</v>
      </c>
      <c r="F204" s="74">
        <f t="shared" si="23"/>
        <v>803.4895439999998</v>
      </c>
      <c r="G204" s="230" t="str">
        <f t="shared" si="25"/>
        <v>3rd Floor</v>
      </c>
      <c r="H204" s="230"/>
      <c r="I204" s="75"/>
      <c r="N204" s="75"/>
    </row>
    <row r="205" spans="1:14" s="73" customFormat="1" x14ac:dyDescent="0.25">
      <c r="A205" s="230">
        <f t="shared" ref="A205:A208" si="26">A204+1</f>
        <v>304</v>
      </c>
      <c r="B205" s="230"/>
      <c r="C205" s="74" t="s">
        <v>223</v>
      </c>
      <c r="D205" s="74">
        <f>(51.48)*10.764</f>
        <v>554.13071999999988</v>
      </c>
      <c r="E205" s="74">
        <v>0</v>
      </c>
      <c r="F205" s="74">
        <f t="shared" si="23"/>
        <v>803.4895439999998</v>
      </c>
      <c r="G205" s="230" t="str">
        <f t="shared" si="25"/>
        <v>3rd Floor</v>
      </c>
      <c r="H205" s="230"/>
      <c r="I205" s="75"/>
      <c r="N205" s="75"/>
    </row>
    <row r="206" spans="1:14" s="73" customFormat="1" ht="15.75" customHeight="1" x14ac:dyDescent="0.25">
      <c r="A206" s="230">
        <f>A205+1</f>
        <v>305</v>
      </c>
      <c r="B206" s="230"/>
      <c r="C206" s="74" t="s">
        <v>150</v>
      </c>
      <c r="D206" s="74">
        <f>(66.88)*10.764</f>
        <v>719.89631999999995</v>
      </c>
      <c r="E206" s="74">
        <v>0</v>
      </c>
      <c r="F206" s="74">
        <f t="shared" si="23"/>
        <v>1043.8496639999998</v>
      </c>
      <c r="G206" s="230" t="str">
        <f t="shared" si="25"/>
        <v>3rd Floor</v>
      </c>
      <c r="H206" s="230"/>
      <c r="I206" s="75"/>
      <c r="N206" s="75"/>
    </row>
    <row r="207" spans="1:14" s="73" customFormat="1" x14ac:dyDescent="0.25">
      <c r="A207" s="230">
        <f t="shared" si="26"/>
        <v>306</v>
      </c>
      <c r="B207" s="230"/>
      <c r="C207" s="74" t="s">
        <v>150</v>
      </c>
      <c r="D207" s="74">
        <f>(69.93)*10.764</f>
        <v>752.72652000000005</v>
      </c>
      <c r="E207" s="74">
        <v>0</v>
      </c>
      <c r="F207" s="74">
        <f t="shared" si="23"/>
        <v>1091.453454</v>
      </c>
      <c r="G207" s="230" t="str">
        <f t="shared" si="25"/>
        <v>3rd Floor</v>
      </c>
      <c r="H207" s="230"/>
      <c r="I207" s="75"/>
      <c r="N207" s="75"/>
    </row>
    <row r="208" spans="1:14" s="73" customFormat="1" x14ac:dyDescent="0.25">
      <c r="A208" s="230">
        <f t="shared" si="26"/>
        <v>307</v>
      </c>
      <c r="B208" s="230"/>
      <c r="C208" s="74" t="s">
        <v>223</v>
      </c>
      <c r="D208" s="74">
        <f>(49.49+2.75*1.28)*10.764</f>
        <v>570.59964000000002</v>
      </c>
      <c r="E208" s="74">
        <f t="shared" ref="E208" si="27">3*1.8*10.764</f>
        <v>58.125599999999999</v>
      </c>
      <c r="F208" s="74">
        <f t="shared" si="23"/>
        <v>885.49507799999992</v>
      </c>
      <c r="G208" s="230" t="str">
        <f t="shared" si="25"/>
        <v>3rd Floor</v>
      </c>
      <c r="H208" s="230"/>
      <c r="I208" s="75"/>
      <c r="N208" s="75"/>
    </row>
    <row r="209" spans="1:16" s="73" customFormat="1" ht="15.75" customHeight="1" x14ac:dyDescent="0.25">
      <c r="A209" s="235" t="s">
        <v>243</v>
      </c>
      <c r="B209" s="236"/>
      <c r="C209" s="236"/>
      <c r="D209" s="236"/>
      <c r="E209" s="236"/>
      <c r="F209" s="236"/>
      <c r="G209" s="236"/>
      <c r="H209" s="237"/>
      <c r="I209" s="75"/>
    </row>
    <row r="210" spans="1:16" s="73" customFormat="1" x14ac:dyDescent="0.25">
      <c r="A210" s="233" t="str">
        <f t="shared" ref="A210:A216" ca="1" si="28">N210</f>
        <v>401,..,1001</v>
      </c>
      <c r="B210" s="234"/>
      <c r="C210" s="74" t="s">
        <v>223</v>
      </c>
      <c r="D210" s="74">
        <f>(50.59+2.4*1.2)*10.764</f>
        <v>575.55108000000007</v>
      </c>
      <c r="E210" s="74">
        <f>3.1*1.8*10.764</f>
        <v>60.063119999999998</v>
      </c>
      <c r="F210" s="74">
        <f t="shared" ref="F210:F216" si="29">D210*(($F$191)+1)+E210</f>
        <v>894.61218600000007</v>
      </c>
      <c r="G210" s="233" t="str">
        <f>A209</f>
        <v>4th, 6th, 8th, 10th Floor</v>
      </c>
      <c r="H210" s="234"/>
      <c r="I210" s="75">
        <f>7075000/F210</f>
        <v>7908.454759188804</v>
      </c>
      <c r="N210" s="73" t="str">
        <f t="shared" ref="N210:N216" ca="1" si="30">O210&amp;""&amp;",..,"&amp;""&amp;P210</f>
        <v>401,..,1001</v>
      </c>
      <c r="O210" s="73">
        <f ca="1">(SUMPRODUCT(MID(0&amp;(LEFT(A209,SUM(LEN(A209)-LEN(SUBSTITUTE(A209,{"0","1","2"},""))))), LARGE(INDEX(ISNUMBER(--MID((LEFT(A209,SUM(LEN(A209)-LEN(SUBSTITUTE(A209,{"0","1","2"},""))))), ROW(INDIRECT("1:"&amp;LEN((LEFT(A209,SUM(LEN(A209)-LEN(SUBSTITUTE(A209,{"0","1","2"},"")))))))), 1)) * ROW(INDIRECT("1:"&amp;LEN((LEFT(A209,SUM(LEN(A209)-LEN(SUBSTITUTE(A209,{"0","1","2"},"")))))))), 0), ROW(INDIRECT("1:"&amp;LEN((LEFT(A209,SUM(LEN(A209)-LEN(SUBSTITUTE(A209,{"0","1","2"},"")))))))))+1, 1) * 10^ROW(INDIRECT("1:"&amp;LEN((LEFT(A209,SUM(LEN(A209)-LEN(SUBSTITUTE(A209,{"0","1","2"},""))))))))/10))*100+1</f>
        <v>401</v>
      </c>
      <c r="P210" s="73">
        <f ca="1">(SUMPRODUCT(MID(0&amp;(--TRIM(RIGHT(SUBSTITUTE(LEFT(A209,_xlfn.AGGREGATE(16,6,FIND({0,1,2,3,4,5,6,7,8,9},A209,ROW(INDIRECT("1:"&amp;LEN(A209)))),1))," ",REPT(" ",LEN(A209))),LEN(A209)))), LARGE(INDEX(ISNUMBER(--MID((--TRIM(RIGHT(SUBSTITUTE(LEFT(A209,_xlfn.AGGREGATE(16,6,FIND({0,1,2,3,4,5,6,7,8,9},A209,ROW(INDIRECT("1:"&amp;LEN(A209)))),1))," ",REPT(" ",LEN(A209))),LEN(A209)))), ROW(INDIRECT("1:"&amp;LEN((--TRIM(RIGHT(SUBSTITUTE(LEFT(A209,_xlfn.AGGREGATE(16,6,FIND({0,1,2,3,4,5,6,7,8,9},A209,ROW(INDIRECT("1:"&amp;LEN(A209)))),1))," ",REPT(" ",LEN(A209))),LEN(A209))))))), 1)) * ROW(INDIRECT("1:"&amp;LEN((--TRIM(RIGHT(SUBSTITUTE(LEFT(A209,_xlfn.AGGREGATE(16,6,FIND({0,1,2,3,4,5,6,7,8,9},A209,ROW(INDIRECT("1:"&amp;LEN(A209)))),1))," ",REPT(" ",LEN(A209))),LEN(A209))))))), 0), ROW(INDIRECT("1:"&amp;LEN((--TRIM(RIGHT(SUBSTITUTE(LEFT(A209,_xlfn.AGGREGATE(16,6,FIND({0,1,2,3,4,5,6,7,8,9},A209,ROW(INDIRECT("1:"&amp;LEN(A209)))),1))," ",REPT(" ",LEN(A209))),LEN(A209))))))))+1, 1) * 10^ROW(INDIRECT("1:"&amp;LEN((--TRIM(RIGHT(SUBSTITUTE(LEFT(A209,_xlfn.AGGREGATE(16,6,FIND({0,1,2,3,4,5,6,7,8,9},A209,ROW(INDIRECT("1:"&amp;LEN(A209)))),1))," ",REPT(" ",LEN(A209))),LEN(A209)))))))/10))*100+1</f>
        <v>1001</v>
      </c>
    </row>
    <row r="211" spans="1:16" s="73" customFormat="1" x14ac:dyDescent="0.25">
      <c r="A211" s="233" t="str">
        <f t="shared" ca="1" si="28"/>
        <v>402,..,1002</v>
      </c>
      <c r="B211" s="234"/>
      <c r="C211" s="74" t="s">
        <v>223</v>
      </c>
      <c r="D211" s="74">
        <f t="shared" ref="D211" si="31">(50.59+2.4*1.2)*10.764</f>
        <v>575.55108000000007</v>
      </c>
      <c r="E211" s="74">
        <f t="shared" ref="E211:E216" si="32">3.1*1.8*10.764</f>
        <v>60.063119999999998</v>
      </c>
      <c r="F211" s="74">
        <f t="shared" si="29"/>
        <v>894.61218600000007</v>
      </c>
      <c r="G211" s="233" t="str">
        <f t="shared" ref="G211:G216" si="33">G210</f>
        <v>4th, 6th, 8th, 10th Floor</v>
      </c>
      <c r="H211" s="234"/>
      <c r="I211" s="75"/>
      <c r="N211" s="73" t="str">
        <f t="shared" ca="1" si="30"/>
        <v>402,..,1002</v>
      </c>
      <c r="O211" s="73">
        <f t="shared" ref="O211:P216" ca="1" si="34">O210+1</f>
        <v>402</v>
      </c>
      <c r="P211" s="73">
        <f t="shared" ca="1" si="34"/>
        <v>1002</v>
      </c>
    </row>
    <row r="212" spans="1:16" s="73" customFormat="1" x14ac:dyDescent="0.25">
      <c r="A212" s="233" t="str">
        <f t="shared" ca="1" si="28"/>
        <v>403,..,1003</v>
      </c>
      <c r="B212" s="234"/>
      <c r="C212" s="74" t="s">
        <v>223</v>
      </c>
      <c r="D212" s="74">
        <f>(51.48+2.75*1.28)*10.764</f>
        <v>592.02</v>
      </c>
      <c r="E212" s="74">
        <f t="shared" si="32"/>
        <v>60.063119999999998</v>
      </c>
      <c r="F212" s="74">
        <f t="shared" si="29"/>
        <v>918.49212</v>
      </c>
      <c r="G212" s="233" t="str">
        <f t="shared" si="33"/>
        <v>4th, 6th, 8th, 10th Floor</v>
      </c>
      <c r="H212" s="234"/>
      <c r="I212" s="75">
        <f>7131000/F212</f>
        <v>7763.8118441342749</v>
      </c>
      <c r="N212" s="73" t="str">
        <f t="shared" ca="1" si="30"/>
        <v>403,..,1003</v>
      </c>
      <c r="O212" s="73">
        <f t="shared" ca="1" si="34"/>
        <v>403</v>
      </c>
      <c r="P212" s="73">
        <f t="shared" ca="1" si="34"/>
        <v>1003</v>
      </c>
    </row>
    <row r="213" spans="1:16" s="73" customFormat="1" x14ac:dyDescent="0.25">
      <c r="A213" s="233" t="str">
        <f t="shared" ca="1" si="28"/>
        <v>404,..,1004</v>
      </c>
      <c r="B213" s="234"/>
      <c r="C213" s="74" t="s">
        <v>223</v>
      </c>
      <c r="D213" s="74">
        <f>(51.48+2.75*1.28)*10.764</f>
        <v>592.02</v>
      </c>
      <c r="E213" s="74">
        <f t="shared" si="32"/>
        <v>60.063119999999998</v>
      </c>
      <c r="F213" s="74">
        <f t="shared" si="29"/>
        <v>918.49212</v>
      </c>
      <c r="G213" s="233" t="str">
        <f t="shared" si="33"/>
        <v>4th, 6th, 8th, 10th Floor</v>
      </c>
      <c r="H213" s="234"/>
      <c r="I213" s="75"/>
      <c r="N213" s="73" t="str">
        <f t="shared" ca="1" si="30"/>
        <v>404,..,1004</v>
      </c>
      <c r="O213" s="73">
        <f t="shared" ca="1" si="34"/>
        <v>404</v>
      </c>
      <c r="P213" s="73">
        <f t="shared" ca="1" si="34"/>
        <v>1004</v>
      </c>
    </row>
    <row r="214" spans="1:16" s="73" customFormat="1" x14ac:dyDescent="0.25">
      <c r="A214" s="233" t="str">
        <f t="shared" ca="1" si="28"/>
        <v>405,..,1005</v>
      </c>
      <c r="B214" s="234"/>
      <c r="C214" s="74" t="s">
        <v>150</v>
      </c>
      <c r="D214" s="74">
        <f>(66.88+3.05*1.2)*10.764</f>
        <v>759.29255999999987</v>
      </c>
      <c r="E214" s="74">
        <f t="shared" si="32"/>
        <v>60.063119999999998</v>
      </c>
      <c r="F214" s="74">
        <f t="shared" si="29"/>
        <v>1161.0373319999999</v>
      </c>
      <c r="G214" s="233" t="str">
        <f t="shared" si="33"/>
        <v>4th, 6th, 8th, 10th Floor</v>
      </c>
      <c r="H214" s="234"/>
      <c r="I214" s="75">
        <f>9803000/F214</f>
        <v>8443.3116229892257</v>
      </c>
      <c r="N214" s="73" t="str">
        <f t="shared" ca="1" si="30"/>
        <v>405,..,1005</v>
      </c>
      <c r="O214" s="73">
        <f t="shared" ca="1" si="34"/>
        <v>405</v>
      </c>
      <c r="P214" s="73">
        <f t="shared" ca="1" si="34"/>
        <v>1005</v>
      </c>
    </row>
    <row r="215" spans="1:16" s="73" customFormat="1" x14ac:dyDescent="0.25">
      <c r="A215" s="233" t="str">
        <f t="shared" ca="1" si="28"/>
        <v>406,..,1006</v>
      </c>
      <c r="B215" s="234"/>
      <c r="C215" s="74" t="s">
        <v>150</v>
      </c>
      <c r="D215" s="74">
        <f>(69.93+3.05*1.2)*10.764</f>
        <v>792.12275999999997</v>
      </c>
      <c r="E215" s="74">
        <f t="shared" si="32"/>
        <v>60.063119999999998</v>
      </c>
      <c r="F215" s="74">
        <f t="shared" si="29"/>
        <v>1208.641122</v>
      </c>
      <c r="G215" s="233" t="str">
        <f t="shared" si="33"/>
        <v>4th, 6th, 8th, 10th Floor</v>
      </c>
      <c r="H215" s="234"/>
      <c r="I215" s="75">
        <f>10000000/F215</f>
        <v>8273.7545645083555</v>
      </c>
      <c r="N215" s="73" t="str">
        <f t="shared" ca="1" si="30"/>
        <v>406,..,1006</v>
      </c>
      <c r="O215" s="73">
        <f t="shared" ca="1" si="34"/>
        <v>406</v>
      </c>
      <c r="P215" s="73">
        <f t="shared" ca="1" si="34"/>
        <v>1006</v>
      </c>
    </row>
    <row r="216" spans="1:16" s="73" customFormat="1" x14ac:dyDescent="0.25">
      <c r="A216" s="233" t="str">
        <f t="shared" ca="1" si="28"/>
        <v>407,..,1007</v>
      </c>
      <c r="B216" s="234"/>
      <c r="C216" s="74" t="s">
        <v>223</v>
      </c>
      <c r="D216" s="74">
        <f>(49.49+2.75*1.28)*10.764</f>
        <v>570.59964000000002</v>
      </c>
      <c r="E216" s="74">
        <f t="shared" si="32"/>
        <v>60.063119999999998</v>
      </c>
      <c r="F216" s="74">
        <f t="shared" si="29"/>
        <v>887.43259799999998</v>
      </c>
      <c r="G216" s="233" t="str">
        <f t="shared" si="33"/>
        <v>4th, 6th, 8th, 10th Floor</v>
      </c>
      <c r="H216" s="234"/>
      <c r="I216" s="75">
        <f>6845000/F216</f>
        <v>7713.261847070441</v>
      </c>
      <c r="N216" s="73" t="str">
        <f t="shared" ca="1" si="30"/>
        <v>407,..,1007</v>
      </c>
      <c r="O216" s="73">
        <f t="shared" ca="1" si="34"/>
        <v>407</v>
      </c>
      <c r="P216" s="73">
        <f t="shared" ca="1" si="34"/>
        <v>1007</v>
      </c>
    </row>
    <row r="217" spans="1:16" s="73" customFormat="1" ht="15.75" customHeight="1" x14ac:dyDescent="0.25">
      <c r="A217" s="235" t="s">
        <v>244</v>
      </c>
      <c r="B217" s="236"/>
      <c r="C217" s="236"/>
      <c r="D217" s="236"/>
      <c r="E217" s="236"/>
      <c r="F217" s="236"/>
      <c r="G217" s="236"/>
      <c r="H217" s="237"/>
      <c r="I217" s="75"/>
    </row>
    <row r="218" spans="1:16" s="73" customFormat="1" x14ac:dyDescent="0.25">
      <c r="A218" s="233" t="str">
        <f t="shared" ref="A218:A224" ca="1" si="35">N218</f>
        <v>501,..,1101</v>
      </c>
      <c r="B218" s="234"/>
      <c r="C218" s="74" t="s">
        <v>223</v>
      </c>
      <c r="D218" s="74">
        <f>(50.59+2.4*1.2)*10.764</f>
        <v>575.55108000000007</v>
      </c>
      <c r="E218" s="74">
        <f>3*1.8*10.764</f>
        <v>58.125599999999999</v>
      </c>
      <c r="F218" s="74">
        <f t="shared" ref="F218:F224" si="36">D218*(($F$191)+1)+E218</f>
        <v>892.674666</v>
      </c>
      <c r="G218" s="233" t="str">
        <f>A217</f>
        <v>5th, 7th, 9th, 11th Floor</v>
      </c>
      <c r="H218" s="234"/>
      <c r="I218" s="75"/>
      <c r="N218" s="73" t="str">
        <f t="shared" ref="N218:N224" ca="1" si="37">O218&amp;""&amp;",..,"&amp;""&amp;P218</f>
        <v>501,..,1101</v>
      </c>
      <c r="O218" s="73">
        <f ca="1">(SUMPRODUCT(MID(0&amp;(LEFT(A217,SUM(LEN(A217)-LEN(SUBSTITUTE(A217,{"0","1","2"},""))))), LARGE(INDEX(ISNUMBER(--MID((LEFT(A217,SUM(LEN(A217)-LEN(SUBSTITUTE(A217,{"0","1","2"},""))))), ROW(INDIRECT("1:"&amp;LEN((LEFT(A217,SUM(LEN(A217)-LEN(SUBSTITUTE(A217,{"0","1","2"},"")))))))), 1)) * ROW(INDIRECT("1:"&amp;LEN((LEFT(A217,SUM(LEN(A217)-LEN(SUBSTITUTE(A217,{"0","1","2"},"")))))))), 0), ROW(INDIRECT("1:"&amp;LEN((LEFT(A217,SUM(LEN(A217)-LEN(SUBSTITUTE(A217,{"0","1","2"},"")))))))))+1, 1) * 10^ROW(INDIRECT("1:"&amp;LEN((LEFT(A217,SUM(LEN(A217)-LEN(SUBSTITUTE(A217,{"0","1","2"},""))))))))/10))*100+1</f>
        <v>501</v>
      </c>
      <c r="P218" s="73">
        <f ca="1">(SUMPRODUCT(MID(0&amp;(--TRIM(RIGHT(SUBSTITUTE(LEFT(A217,_xlfn.AGGREGATE(16,6,FIND({0,1,2,3,4,5,6,7,8,9},A217,ROW(INDIRECT("1:"&amp;LEN(A217)))),1))," ",REPT(" ",LEN(A217))),LEN(A217)))), LARGE(INDEX(ISNUMBER(--MID((--TRIM(RIGHT(SUBSTITUTE(LEFT(A217,_xlfn.AGGREGATE(16,6,FIND({0,1,2,3,4,5,6,7,8,9},A217,ROW(INDIRECT("1:"&amp;LEN(A217)))),1))," ",REPT(" ",LEN(A217))),LEN(A217)))), ROW(INDIRECT("1:"&amp;LEN((--TRIM(RIGHT(SUBSTITUTE(LEFT(A217,_xlfn.AGGREGATE(16,6,FIND({0,1,2,3,4,5,6,7,8,9},A217,ROW(INDIRECT("1:"&amp;LEN(A217)))),1))," ",REPT(" ",LEN(A217))),LEN(A217))))))), 1)) * ROW(INDIRECT("1:"&amp;LEN((--TRIM(RIGHT(SUBSTITUTE(LEFT(A217,_xlfn.AGGREGATE(16,6,FIND({0,1,2,3,4,5,6,7,8,9},A217,ROW(INDIRECT("1:"&amp;LEN(A217)))),1))," ",REPT(" ",LEN(A217))),LEN(A217))))))), 0), ROW(INDIRECT("1:"&amp;LEN((--TRIM(RIGHT(SUBSTITUTE(LEFT(A217,_xlfn.AGGREGATE(16,6,FIND({0,1,2,3,4,5,6,7,8,9},A217,ROW(INDIRECT("1:"&amp;LEN(A217)))),1))," ",REPT(" ",LEN(A217))),LEN(A217))))))))+1, 1) * 10^ROW(INDIRECT("1:"&amp;LEN((--TRIM(RIGHT(SUBSTITUTE(LEFT(A217,_xlfn.AGGREGATE(16,6,FIND({0,1,2,3,4,5,6,7,8,9},A217,ROW(INDIRECT("1:"&amp;LEN(A217)))),1))," ",REPT(" ",LEN(A217))),LEN(A217)))))))/10))*100+1</f>
        <v>1101</v>
      </c>
    </row>
    <row r="219" spans="1:16" s="73" customFormat="1" x14ac:dyDescent="0.25">
      <c r="A219" s="233" t="str">
        <f t="shared" ca="1" si="35"/>
        <v>502,..,1102</v>
      </c>
      <c r="B219" s="234"/>
      <c r="C219" s="74" t="s">
        <v>223</v>
      </c>
      <c r="D219" s="74">
        <f t="shared" ref="D219" si="38">(50.59+2.4*1.2)*10.764</f>
        <v>575.55108000000007</v>
      </c>
      <c r="E219" s="74">
        <f t="shared" ref="E219:E224" si="39">3*1.8*10.764</f>
        <v>58.125599999999999</v>
      </c>
      <c r="F219" s="74">
        <f t="shared" si="36"/>
        <v>892.674666</v>
      </c>
      <c r="G219" s="233" t="str">
        <f t="shared" ref="G219:G224" si="40">G218</f>
        <v>5th, 7th, 9th, 11th Floor</v>
      </c>
      <c r="H219" s="234"/>
      <c r="I219" s="75"/>
      <c r="N219" s="73" t="str">
        <f t="shared" ca="1" si="37"/>
        <v>502,..,1102</v>
      </c>
      <c r="O219" s="73">
        <f t="shared" ref="O219:P224" ca="1" si="41">O218+1</f>
        <v>502</v>
      </c>
      <c r="P219" s="73">
        <f t="shared" ca="1" si="41"/>
        <v>1102</v>
      </c>
    </row>
    <row r="220" spans="1:16" s="73" customFormat="1" x14ac:dyDescent="0.25">
      <c r="A220" s="233" t="str">
        <f t="shared" ca="1" si="35"/>
        <v>503,..,1103</v>
      </c>
      <c r="B220" s="234"/>
      <c r="C220" s="74" t="s">
        <v>223</v>
      </c>
      <c r="D220" s="74">
        <f>(51.48+2.75*1.28)*10.764</f>
        <v>592.02</v>
      </c>
      <c r="E220" s="74">
        <f t="shared" si="39"/>
        <v>58.125599999999999</v>
      </c>
      <c r="F220" s="74">
        <f t="shared" si="36"/>
        <v>916.55459999999994</v>
      </c>
      <c r="G220" s="233" t="str">
        <f t="shared" si="40"/>
        <v>5th, 7th, 9th, 11th Floor</v>
      </c>
      <c r="H220" s="234"/>
      <c r="I220" s="75"/>
      <c r="N220" s="73" t="str">
        <f t="shared" ca="1" si="37"/>
        <v>503,..,1103</v>
      </c>
      <c r="O220" s="73">
        <f t="shared" ca="1" si="41"/>
        <v>503</v>
      </c>
      <c r="P220" s="73">
        <f t="shared" ca="1" si="41"/>
        <v>1103</v>
      </c>
    </row>
    <row r="221" spans="1:16" s="73" customFormat="1" x14ac:dyDescent="0.25">
      <c r="A221" s="233" t="str">
        <f t="shared" ca="1" si="35"/>
        <v>504,..,1104</v>
      </c>
      <c r="B221" s="234"/>
      <c r="C221" s="74" t="s">
        <v>223</v>
      </c>
      <c r="D221" s="74">
        <f>(51.48+2.75*1.28)*10.764</f>
        <v>592.02</v>
      </c>
      <c r="E221" s="74">
        <f t="shared" si="39"/>
        <v>58.125599999999999</v>
      </c>
      <c r="F221" s="74">
        <f t="shared" si="36"/>
        <v>916.55459999999994</v>
      </c>
      <c r="G221" s="233" t="str">
        <f t="shared" si="40"/>
        <v>5th, 7th, 9th, 11th Floor</v>
      </c>
      <c r="H221" s="234"/>
      <c r="I221" s="75"/>
      <c r="N221" s="73" t="str">
        <f t="shared" ca="1" si="37"/>
        <v>504,..,1104</v>
      </c>
      <c r="O221" s="73">
        <f t="shared" ca="1" si="41"/>
        <v>504</v>
      </c>
      <c r="P221" s="73">
        <f t="shared" ca="1" si="41"/>
        <v>1104</v>
      </c>
    </row>
    <row r="222" spans="1:16" s="73" customFormat="1" x14ac:dyDescent="0.25">
      <c r="A222" s="233" t="str">
        <f t="shared" ca="1" si="35"/>
        <v>505,..,1105</v>
      </c>
      <c r="B222" s="234"/>
      <c r="C222" s="74" t="s">
        <v>150</v>
      </c>
      <c r="D222" s="74">
        <f>(66.88+3.05*1.2)*10.764</f>
        <v>759.29255999999987</v>
      </c>
      <c r="E222" s="74">
        <f t="shared" si="39"/>
        <v>58.125599999999999</v>
      </c>
      <c r="F222" s="74">
        <f t="shared" si="36"/>
        <v>1159.0998119999999</v>
      </c>
      <c r="G222" s="233" t="str">
        <f t="shared" si="40"/>
        <v>5th, 7th, 9th, 11th Floor</v>
      </c>
      <c r="H222" s="234"/>
      <c r="I222" s="75"/>
      <c r="N222" s="73" t="str">
        <f t="shared" ca="1" si="37"/>
        <v>505,..,1105</v>
      </c>
      <c r="O222" s="73">
        <f t="shared" ca="1" si="41"/>
        <v>505</v>
      </c>
      <c r="P222" s="73">
        <f t="shared" ca="1" si="41"/>
        <v>1105</v>
      </c>
    </row>
    <row r="223" spans="1:16" s="73" customFormat="1" x14ac:dyDescent="0.25">
      <c r="A223" s="233" t="str">
        <f t="shared" ca="1" si="35"/>
        <v>506,..,1106</v>
      </c>
      <c r="B223" s="234"/>
      <c r="C223" s="74" t="s">
        <v>150</v>
      </c>
      <c r="D223" s="74">
        <f>(69.93+3.05*1.2)*10.764</f>
        <v>792.12275999999997</v>
      </c>
      <c r="E223" s="74">
        <f t="shared" si="39"/>
        <v>58.125599999999999</v>
      </c>
      <c r="F223" s="74">
        <f t="shared" si="36"/>
        <v>1206.703602</v>
      </c>
      <c r="G223" s="233" t="str">
        <f t="shared" si="40"/>
        <v>5th, 7th, 9th, 11th Floor</v>
      </c>
      <c r="H223" s="234"/>
      <c r="I223" s="75"/>
      <c r="N223" s="73" t="str">
        <f t="shared" ca="1" si="37"/>
        <v>506,..,1106</v>
      </c>
      <c r="O223" s="73">
        <f t="shared" ca="1" si="41"/>
        <v>506</v>
      </c>
      <c r="P223" s="73">
        <f t="shared" ca="1" si="41"/>
        <v>1106</v>
      </c>
    </row>
    <row r="224" spans="1:16" s="73" customFormat="1" x14ac:dyDescent="0.25">
      <c r="A224" s="233" t="str">
        <f t="shared" ca="1" si="35"/>
        <v>507,..,1107</v>
      </c>
      <c r="B224" s="234"/>
      <c r="C224" s="74" t="s">
        <v>223</v>
      </c>
      <c r="D224" s="74">
        <f>(49.49+2.75*1.28)*10.764</f>
        <v>570.59964000000002</v>
      </c>
      <c r="E224" s="74">
        <f t="shared" si="39"/>
        <v>58.125599999999999</v>
      </c>
      <c r="F224" s="74">
        <f t="shared" si="36"/>
        <v>885.49507799999992</v>
      </c>
      <c r="G224" s="233" t="str">
        <f t="shared" si="40"/>
        <v>5th, 7th, 9th, 11th Floor</v>
      </c>
      <c r="H224" s="234"/>
      <c r="I224" s="75"/>
      <c r="N224" s="73" t="str">
        <f t="shared" ca="1" si="37"/>
        <v>507,..,1107</v>
      </c>
      <c r="O224" s="73">
        <f t="shared" ca="1" si="41"/>
        <v>507</v>
      </c>
      <c r="P224" s="73">
        <f t="shared" ca="1" si="41"/>
        <v>1107</v>
      </c>
    </row>
    <row r="225" spans="1:14" s="73" customFormat="1" x14ac:dyDescent="0.25">
      <c r="A225" s="231" t="s">
        <v>198</v>
      </c>
      <c r="B225" s="231"/>
      <c r="C225" s="231"/>
      <c r="D225" s="231"/>
      <c r="E225" s="231"/>
      <c r="F225" s="231"/>
      <c r="G225" s="231"/>
      <c r="H225" s="231"/>
      <c r="I225" s="75"/>
      <c r="L225" s="232"/>
      <c r="M225" s="232"/>
    </row>
    <row r="226" spans="1:14" s="73" customFormat="1" ht="15.75" customHeight="1" x14ac:dyDescent="0.25">
      <c r="A226" s="231" t="s">
        <v>245</v>
      </c>
      <c r="B226" s="231"/>
      <c r="C226" s="231"/>
      <c r="D226" s="231"/>
      <c r="E226" s="231"/>
      <c r="F226" s="231"/>
      <c r="G226" s="231"/>
      <c r="H226" s="231"/>
      <c r="I226" s="75"/>
      <c r="L226" s="232"/>
      <c r="M226" s="232"/>
    </row>
    <row r="227" spans="1:14" s="73" customFormat="1" ht="15.75" customHeight="1" x14ac:dyDescent="0.25">
      <c r="A227" s="230">
        <f>LEFT(A226,SUM(LEN(A226)-LEN(SUBSTITUTE(A226,{"0","1","2","3","4","5","6","7","8","9"},""))))*100+1</f>
        <v>201</v>
      </c>
      <c r="B227" s="230"/>
      <c r="C227" s="74" t="s">
        <v>224</v>
      </c>
      <c r="D227" s="74">
        <f>(35.24+2.75*1.2)*10.764</f>
        <v>414.84455999999994</v>
      </c>
      <c r="E227" s="74">
        <f>2.75*1.8*10.764</f>
        <v>53.281799999999997</v>
      </c>
      <c r="F227" s="74">
        <f>D227*(($F$191)+1)+E227</f>
        <v>654.80641199999991</v>
      </c>
      <c r="G227" s="230" t="str">
        <f>A226</f>
        <v>2nd Floor (For Mhada)</v>
      </c>
      <c r="H227" s="230"/>
      <c r="I227" s="75"/>
      <c r="N227" s="75"/>
    </row>
    <row r="228" spans="1:14" s="73" customFormat="1" ht="15.75" customHeight="1" x14ac:dyDescent="0.25">
      <c r="A228" s="230">
        <f>A227+1</f>
        <v>202</v>
      </c>
      <c r="B228" s="230"/>
      <c r="C228" s="74" t="s">
        <v>224</v>
      </c>
      <c r="D228" s="74">
        <f>(35.24+2.75*1.2)*10.764</f>
        <v>414.84455999999994</v>
      </c>
      <c r="E228" s="74">
        <f>2.75*1.8*10.764</f>
        <v>53.281799999999997</v>
      </c>
      <c r="F228" s="74">
        <f>D228*(($F$191)+1)+E228</f>
        <v>654.80641199999991</v>
      </c>
      <c r="G228" s="230" t="str">
        <f t="shared" ref="G228:G235" si="42">G227</f>
        <v>2nd Floor (For Mhada)</v>
      </c>
      <c r="H228" s="230"/>
      <c r="I228" s="75"/>
      <c r="N228" s="75"/>
    </row>
    <row r="229" spans="1:14" s="73" customFormat="1" ht="15.75" customHeight="1" x14ac:dyDescent="0.25">
      <c r="A229" s="230">
        <f>A228+1</f>
        <v>203</v>
      </c>
      <c r="B229" s="230"/>
      <c r="C229" s="74" t="s">
        <v>224</v>
      </c>
      <c r="D229" s="74">
        <f>(36.62+2.75*1.2)*10.764</f>
        <v>429.69887999999992</v>
      </c>
      <c r="E229" s="74">
        <f>(2.15*11+2.75*7+2.75*7+3*10)*10.764</f>
        <v>991.90260000000001</v>
      </c>
      <c r="F229" s="74">
        <f>D229*(($F$191)+1)+E229/6</f>
        <v>788.38047599999982</v>
      </c>
      <c r="G229" s="230" t="str">
        <f t="shared" si="42"/>
        <v>2nd Floor (For Mhada)</v>
      </c>
      <c r="H229" s="230"/>
      <c r="I229" s="75"/>
      <c r="N229" s="75"/>
    </row>
    <row r="230" spans="1:14" s="73" customFormat="1" x14ac:dyDescent="0.25">
      <c r="A230" s="230">
        <f t="shared" ref="A230:A235" si="43">A229+1</f>
        <v>204</v>
      </c>
      <c r="B230" s="230"/>
      <c r="C230" s="74" t="s">
        <v>224</v>
      </c>
      <c r="D230" s="74">
        <f t="shared" ref="D230:D231" si="44">(36.62+2.75*1.2)*10.764</f>
        <v>429.69887999999992</v>
      </c>
      <c r="E230" s="74">
        <f>(2.15*11+2.75*7+2.75*7+3*10)*10.764</f>
        <v>991.90260000000001</v>
      </c>
      <c r="F230" s="74">
        <f>D230*(($F$191)+1)+E230/6</f>
        <v>788.38047599999982</v>
      </c>
      <c r="G230" s="230" t="str">
        <f t="shared" si="42"/>
        <v>2nd Floor (For Mhada)</v>
      </c>
      <c r="H230" s="230"/>
      <c r="I230" s="75"/>
      <c r="N230" s="75"/>
    </row>
    <row r="231" spans="1:14" s="73" customFormat="1" ht="15.75" customHeight="1" x14ac:dyDescent="0.25">
      <c r="A231" s="230">
        <f>A230+1</f>
        <v>205</v>
      </c>
      <c r="B231" s="230"/>
      <c r="C231" s="74" t="s">
        <v>224</v>
      </c>
      <c r="D231" s="74">
        <f t="shared" si="44"/>
        <v>429.69887999999992</v>
      </c>
      <c r="E231" s="74">
        <f t="shared" ref="E231" si="45">(2.15*11+2.75*7+2.75*7+3*10)*10.764</f>
        <v>991.90260000000001</v>
      </c>
      <c r="F231" s="74">
        <f>D231*(($F$191)+1)+E231/6</f>
        <v>788.38047599999982</v>
      </c>
      <c r="G231" s="230" t="str">
        <f t="shared" si="42"/>
        <v>2nd Floor (For Mhada)</v>
      </c>
      <c r="H231" s="230"/>
      <c r="I231" s="75"/>
      <c r="N231" s="75"/>
    </row>
    <row r="232" spans="1:14" s="73" customFormat="1" x14ac:dyDescent="0.25">
      <c r="A232" s="230">
        <f t="shared" si="43"/>
        <v>206</v>
      </c>
      <c r="B232" s="230"/>
      <c r="C232" s="74" t="s">
        <v>224</v>
      </c>
      <c r="D232" s="74">
        <f t="shared" ref="D232:D235" si="46">(35.24+2.75*1.2)*10.764</f>
        <v>414.84455999999994</v>
      </c>
      <c r="E232" s="74">
        <f>(2.75*12+2.75*10+4.5*15)*10.764</f>
        <v>1377.7919999999999</v>
      </c>
      <c r="F232" s="74">
        <f>D232*(($F$191)+1)+E232/6</f>
        <v>831.15661199999988</v>
      </c>
      <c r="G232" s="230" t="str">
        <f t="shared" si="42"/>
        <v>2nd Floor (For Mhada)</v>
      </c>
      <c r="H232" s="230"/>
      <c r="I232" s="75"/>
      <c r="N232" s="75"/>
    </row>
    <row r="233" spans="1:14" s="73" customFormat="1" x14ac:dyDescent="0.25">
      <c r="A233" s="230">
        <f t="shared" si="43"/>
        <v>207</v>
      </c>
      <c r="B233" s="230"/>
      <c r="C233" s="74" t="s">
        <v>224</v>
      </c>
      <c r="D233" s="74">
        <f t="shared" si="46"/>
        <v>414.84455999999994</v>
      </c>
      <c r="E233" s="74">
        <f>2.75*1.8*10.764</f>
        <v>53.281799999999997</v>
      </c>
      <c r="F233" s="74">
        <f>D233*(($F$191)+1)+E233</f>
        <v>654.80641199999991</v>
      </c>
      <c r="G233" s="230" t="str">
        <f t="shared" si="42"/>
        <v>2nd Floor (For Mhada)</v>
      </c>
      <c r="H233" s="230"/>
      <c r="I233" s="75"/>
      <c r="N233" s="75"/>
    </row>
    <row r="234" spans="1:14" s="73" customFormat="1" ht="15.75" customHeight="1" x14ac:dyDescent="0.25">
      <c r="A234" s="230">
        <f>A233+1</f>
        <v>208</v>
      </c>
      <c r="B234" s="230"/>
      <c r="C234" s="74" t="s">
        <v>224</v>
      </c>
      <c r="D234" s="74">
        <f t="shared" si="46"/>
        <v>414.84455999999994</v>
      </c>
      <c r="E234" s="74">
        <f t="shared" ref="E234:E235" si="47">2.75*1.8*10.764</f>
        <v>53.281799999999997</v>
      </c>
      <c r="F234" s="74">
        <f>D234*(($F$191)+1)+E234</f>
        <v>654.80641199999991</v>
      </c>
      <c r="G234" s="230" t="str">
        <f t="shared" si="42"/>
        <v>2nd Floor (For Mhada)</v>
      </c>
      <c r="H234" s="230"/>
      <c r="I234" s="75"/>
      <c r="N234" s="75"/>
    </row>
    <row r="235" spans="1:14" s="73" customFormat="1" x14ac:dyDescent="0.25">
      <c r="A235" s="230">
        <f t="shared" si="43"/>
        <v>209</v>
      </c>
      <c r="B235" s="230"/>
      <c r="C235" s="74" t="s">
        <v>224</v>
      </c>
      <c r="D235" s="74">
        <f t="shared" si="46"/>
        <v>414.84455999999994</v>
      </c>
      <c r="E235" s="74">
        <f t="shared" si="47"/>
        <v>53.281799999999997</v>
      </c>
      <c r="F235" s="74">
        <f>D235*(($F$191)+1)+E235</f>
        <v>654.80641199999991</v>
      </c>
      <c r="G235" s="230" t="str">
        <f t="shared" si="42"/>
        <v>2nd Floor (For Mhada)</v>
      </c>
      <c r="H235" s="230"/>
      <c r="I235" s="75"/>
      <c r="N235" s="75"/>
    </row>
    <row r="236" spans="1:14" s="73" customFormat="1" ht="15.75" customHeight="1" x14ac:dyDescent="0.25">
      <c r="A236" s="231" t="s">
        <v>246</v>
      </c>
      <c r="B236" s="231"/>
      <c r="C236" s="231"/>
      <c r="D236" s="231"/>
      <c r="E236" s="231"/>
      <c r="F236" s="231"/>
      <c r="G236" s="231"/>
      <c r="H236" s="231"/>
      <c r="I236" s="75"/>
      <c r="L236" s="232"/>
      <c r="M236" s="232"/>
    </row>
    <row r="237" spans="1:14" s="73" customFormat="1" ht="15.75" customHeight="1" x14ac:dyDescent="0.25">
      <c r="A237" s="230">
        <f>LEFT(A236,SUM(LEN(A236)-LEN(SUBSTITUTE(A236,{"0","1","2","3","4","5","6","7","8","9"},""))))*100+1</f>
        <v>301</v>
      </c>
      <c r="B237" s="230"/>
      <c r="C237" s="74" t="s">
        <v>224</v>
      </c>
      <c r="D237" s="74">
        <f>(35.24+2.75*1.2)*10.764</f>
        <v>414.84455999999994</v>
      </c>
      <c r="E237" s="74">
        <f>3*1.8*10.764</f>
        <v>58.125599999999999</v>
      </c>
      <c r="F237" s="74">
        <f t="shared" ref="F237:F245" si="48">D237*(($F$191)+1)+E237</f>
        <v>659.6502119999999</v>
      </c>
      <c r="G237" s="230" t="str">
        <f>A236</f>
        <v>3rd Floor (For Mhada)</v>
      </c>
      <c r="H237" s="230"/>
      <c r="I237" s="75"/>
      <c r="N237" s="75"/>
    </row>
    <row r="238" spans="1:14" s="73" customFormat="1" ht="15.75" customHeight="1" x14ac:dyDescent="0.25">
      <c r="A238" s="230">
        <f>A237+1</f>
        <v>302</v>
      </c>
      <c r="B238" s="230"/>
      <c r="C238" s="74" t="s">
        <v>224</v>
      </c>
      <c r="D238" s="74">
        <f>(35.24+2.75*1.2)*10.764</f>
        <v>414.84455999999994</v>
      </c>
      <c r="E238" s="74">
        <f t="shared" ref="E238:E245" si="49">3*1.8*10.764</f>
        <v>58.125599999999999</v>
      </c>
      <c r="F238" s="74">
        <f t="shared" si="48"/>
        <v>659.6502119999999</v>
      </c>
      <c r="G238" s="230" t="str">
        <f t="shared" ref="G238:G245" si="50">G237</f>
        <v>3rd Floor (For Mhada)</v>
      </c>
      <c r="H238" s="230"/>
      <c r="I238" s="75"/>
      <c r="N238" s="75"/>
    </row>
    <row r="239" spans="1:14" s="73" customFormat="1" ht="15.75" customHeight="1" x14ac:dyDescent="0.25">
      <c r="A239" s="230">
        <f>A238+1</f>
        <v>303</v>
      </c>
      <c r="B239" s="230"/>
      <c r="C239" s="74" t="s">
        <v>224</v>
      </c>
      <c r="D239" s="74">
        <f>(36.62+2.75*1.2)*10.764</f>
        <v>429.69887999999992</v>
      </c>
      <c r="E239" s="74">
        <f t="shared" si="49"/>
        <v>58.125599999999999</v>
      </c>
      <c r="F239" s="74">
        <f t="shared" si="48"/>
        <v>681.1889759999998</v>
      </c>
      <c r="G239" s="230" t="str">
        <f t="shared" si="50"/>
        <v>3rd Floor (For Mhada)</v>
      </c>
      <c r="H239" s="230"/>
      <c r="I239" s="75"/>
      <c r="N239" s="75"/>
    </row>
    <row r="240" spans="1:14" s="73" customFormat="1" x14ac:dyDescent="0.25">
      <c r="A240" s="230">
        <f t="shared" ref="A240:A245" si="51">A239+1</f>
        <v>304</v>
      </c>
      <c r="B240" s="230"/>
      <c r="C240" s="74" t="s">
        <v>224</v>
      </c>
      <c r="D240" s="74">
        <f t="shared" ref="D240:D241" si="52">(36.62+2.75*1.2)*10.764</f>
        <v>429.69887999999992</v>
      </c>
      <c r="E240" s="74">
        <f t="shared" si="49"/>
        <v>58.125599999999999</v>
      </c>
      <c r="F240" s="74">
        <f t="shared" si="48"/>
        <v>681.1889759999998</v>
      </c>
      <c r="G240" s="230" t="str">
        <f t="shared" si="50"/>
        <v>3rd Floor (For Mhada)</v>
      </c>
      <c r="H240" s="230"/>
      <c r="I240" s="75"/>
      <c r="N240" s="75"/>
    </row>
    <row r="241" spans="1:14" s="73" customFormat="1" ht="15.75" customHeight="1" x14ac:dyDescent="0.25">
      <c r="A241" s="230">
        <f>A240+1</f>
        <v>305</v>
      </c>
      <c r="B241" s="230"/>
      <c r="C241" s="74" t="s">
        <v>224</v>
      </c>
      <c r="D241" s="74">
        <f t="shared" si="52"/>
        <v>429.69887999999992</v>
      </c>
      <c r="E241" s="74">
        <f t="shared" si="49"/>
        <v>58.125599999999999</v>
      </c>
      <c r="F241" s="74">
        <f t="shared" si="48"/>
        <v>681.1889759999998</v>
      </c>
      <c r="G241" s="230" t="str">
        <f t="shared" si="50"/>
        <v>3rd Floor (For Mhada)</v>
      </c>
      <c r="H241" s="230"/>
      <c r="I241" s="75"/>
      <c r="N241" s="75"/>
    </row>
    <row r="242" spans="1:14" s="73" customFormat="1" x14ac:dyDescent="0.25">
      <c r="A242" s="230">
        <f t="shared" si="51"/>
        <v>306</v>
      </c>
      <c r="B242" s="230"/>
      <c r="C242" s="74" t="s">
        <v>224</v>
      </c>
      <c r="D242" s="74">
        <f t="shared" ref="D242:D245" si="53">(35.24+2.75*1.2)*10.764</f>
        <v>414.84455999999994</v>
      </c>
      <c r="E242" s="74">
        <f t="shared" si="49"/>
        <v>58.125599999999999</v>
      </c>
      <c r="F242" s="74">
        <f t="shared" si="48"/>
        <v>659.6502119999999</v>
      </c>
      <c r="G242" s="230" t="str">
        <f t="shared" si="50"/>
        <v>3rd Floor (For Mhada)</v>
      </c>
      <c r="H242" s="230"/>
      <c r="I242" s="75"/>
      <c r="N242" s="75"/>
    </row>
    <row r="243" spans="1:14" s="73" customFormat="1" x14ac:dyDescent="0.25">
      <c r="A243" s="230">
        <f t="shared" si="51"/>
        <v>307</v>
      </c>
      <c r="B243" s="230"/>
      <c r="C243" s="74" t="s">
        <v>224</v>
      </c>
      <c r="D243" s="74">
        <f t="shared" si="53"/>
        <v>414.84455999999994</v>
      </c>
      <c r="E243" s="74">
        <f t="shared" si="49"/>
        <v>58.125599999999999</v>
      </c>
      <c r="F243" s="74">
        <f t="shared" si="48"/>
        <v>659.6502119999999</v>
      </c>
      <c r="G243" s="230" t="str">
        <f t="shared" si="50"/>
        <v>3rd Floor (For Mhada)</v>
      </c>
      <c r="H243" s="230"/>
      <c r="I243" s="75"/>
      <c r="N243" s="75"/>
    </row>
    <row r="244" spans="1:14" s="73" customFormat="1" ht="15.75" customHeight="1" x14ac:dyDescent="0.25">
      <c r="A244" s="230">
        <f>A243+1</f>
        <v>308</v>
      </c>
      <c r="B244" s="230"/>
      <c r="C244" s="74" t="s">
        <v>224</v>
      </c>
      <c r="D244" s="74">
        <f t="shared" si="53"/>
        <v>414.84455999999994</v>
      </c>
      <c r="E244" s="74">
        <f t="shared" si="49"/>
        <v>58.125599999999999</v>
      </c>
      <c r="F244" s="74">
        <f t="shared" si="48"/>
        <v>659.6502119999999</v>
      </c>
      <c r="G244" s="230" t="str">
        <f t="shared" si="50"/>
        <v>3rd Floor (For Mhada)</v>
      </c>
      <c r="H244" s="230"/>
      <c r="I244" s="75"/>
      <c r="N244" s="75"/>
    </row>
    <row r="245" spans="1:14" s="73" customFormat="1" x14ac:dyDescent="0.25">
      <c r="A245" s="230">
        <f t="shared" si="51"/>
        <v>309</v>
      </c>
      <c r="B245" s="230"/>
      <c r="C245" s="74" t="s">
        <v>224</v>
      </c>
      <c r="D245" s="74">
        <f t="shared" si="53"/>
        <v>414.84455999999994</v>
      </c>
      <c r="E245" s="74">
        <f t="shared" si="49"/>
        <v>58.125599999999999</v>
      </c>
      <c r="F245" s="74">
        <f t="shared" si="48"/>
        <v>659.6502119999999</v>
      </c>
      <c r="G245" s="230" t="str">
        <f t="shared" si="50"/>
        <v>3rd Floor (For Mhada)</v>
      </c>
      <c r="H245" s="230"/>
      <c r="I245" s="75"/>
      <c r="N245" s="75"/>
    </row>
    <row r="246" spans="1:14" s="73" customFormat="1" ht="15.75" customHeight="1" x14ac:dyDescent="0.25">
      <c r="A246" s="231" t="s">
        <v>247</v>
      </c>
      <c r="B246" s="231"/>
      <c r="C246" s="231"/>
      <c r="D246" s="231"/>
      <c r="E246" s="231"/>
      <c r="F246" s="231"/>
      <c r="G246" s="231"/>
      <c r="H246" s="231"/>
      <c r="I246" s="75"/>
      <c r="L246" s="232"/>
      <c r="M246" s="232"/>
    </row>
    <row r="247" spans="1:14" s="73" customFormat="1" ht="15.75" customHeight="1" x14ac:dyDescent="0.25">
      <c r="A247" s="230">
        <f>LEFT(A246,SUM(LEN(A246)-LEN(SUBSTITUTE(A246,{"0","1","2","3","4","5","6","7","8","9"},""))))*100+1</f>
        <v>401</v>
      </c>
      <c r="B247" s="230"/>
      <c r="C247" s="74" t="s">
        <v>224</v>
      </c>
      <c r="D247" s="74">
        <f>(35.24+2.75*1.2)*10.764</f>
        <v>414.84455999999994</v>
      </c>
      <c r="E247" s="74">
        <f>2.75*1.8*10.764</f>
        <v>53.281799999999997</v>
      </c>
      <c r="F247" s="74">
        <f t="shared" ref="F247:F255" si="54">D247*(($F$191)+1)+E247</f>
        <v>654.80641199999991</v>
      </c>
      <c r="G247" s="230" t="str">
        <f>A246</f>
        <v>4th Floor (For Mhada)</v>
      </c>
      <c r="H247" s="230"/>
      <c r="I247" s="75"/>
      <c r="N247" s="75"/>
    </row>
    <row r="248" spans="1:14" s="73" customFormat="1" ht="15.75" customHeight="1" x14ac:dyDescent="0.25">
      <c r="A248" s="230">
        <f>A247+1</f>
        <v>402</v>
      </c>
      <c r="B248" s="230"/>
      <c r="C248" s="74" t="s">
        <v>224</v>
      </c>
      <c r="D248" s="74">
        <f>(35.24+2.75*1.2)*10.764</f>
        <v>414.84455999999994</v>
      </c>
      <c r="E248" s="74">
        <f t="shared" ref="E248:E255" si="55">2.75*1.8*10.764</f>
        <v>53.281799999999997</v>
      </c>
      <c r="F248" s="74">
        <f t="shared" si="54"/>
        <v>654.80641199999991</v>
      </c>
      <c r="G248" s="230" t="str">
        <f t="shared" ref="G248:G255" si="56">G247</f>
        <v>4th Floor (For Mhada)</v>
      </c>
      <c r="H248" s="230"/>
      <c r="I248" s="75"/>
      <c r="N248" s="75"/>
    </row>
    <row r="249" spans="1:14" s="73" customFormat="1" ht="15.75" customHeight="1" x14ac:dyDescent="0.25">
      <c r="A249" s="230">
        <f>A248+1</f>
        <v>403</v>
      </c>
      <c r="B249" s="230"/>
      <c r="C249" s="74" t="s">
        <v>224</v>
      </c>
      <c r="D249" s="74">
        <f>(36.62+2.75*1.2)*10.764</f>
        <v>429.69887999999992</v>
      </c>
      <c r="E249" s="74">
        <f t="shared" si="55"/>
        <v>53.281799999999997</v>
      </c>
      <c r="F249" s="74">
        <f t="shared" si="54"/>
        <v>676.34517599999981</v>
      </c>
      <c r="G249" s="230" t="str">
        <f t="shared" si="56"/>
        <v>4th Floor (For Mhada)</v>
      </c>
      <c r="H249" s="230"/>
      <c r="I249" s="75"/>
      <c r="N249" s="75"/>
    </row>
    <row r="250" spans="1:14" s="73" customFormat="1" x14ac:dyDescent="0.25">
      <c r="A250" s="230">
        <f t="shared" ref="A250:A255" si="57">A249+1</f>
        <v>404</v>
      </c>
      <c r="B250" s="230"/>
      <c r="C250" s="74" t="s">
        <v>224</v>
      </c>
      <c r="D250" s="74">
        <f t="shared" ref="D250:D251" si="58">(36.62+2.75*1.2)*10.764</f>
        <v>429.69887999999992</v>
      </c>
      <c r="E250" s="74">
        <f t="shared" si="55"/>
        <v>53.281799999999997</v>
      </c>
      <c r="F250" s="74">
        <f t="shared" si="54"/>
        <v>676.34517599999981</v>
      </c>
      <c r="G250" s="230" t="str">
        <f t="shared" si="56"/>
        <v>4th Floor (For Mhada)</v>
      </c>
      <c r="H250" s="230"/>
      <c r="I250" s="75"/>
      <c r="N250" s="75"/>
    </row>
    <row r="251" spans="1:14" s="73" customFormat="1" ht="15.75" customHeight="1" x14ac:dyDescent="0.25">
      <c r="A251" s="230">
        <f>A250+1</f>
        <v>405</v>
      </c>
      <c r="B251" s="230"/>
      <c r="C251" s="74" t="s">
        <v>224</v>
      </c>
      <c r="D251" s="74">
        <f t="shared" si="58"/>
        <v>429.69887999999992</v>
      </c>
      <c r="E251" s="74">
        <f t="shared" si="55"/>
        <v>53.281799999999997</v>
      </c>
      <c r="F251" s="74">
        <f t="shared" si="54"/>
        <v>676.34517599999981</v>
      </c>
      <c r="G251" s="230" t="str">
        <f t="shared" si="56"/>
        <v>4th Floor (For Mhada)</v>
      </c>
      <c r="H251" s="230"/>
      <c r="I251" s="75"/>
      <c r="N251" s="75"/>
    </row>
    <row r="252" spans="1:14" s="73" customFormat="1" x14ac:dyDescent="0.25">
      <c r="A252" s="230">
        <f t="shared" si="57"/>
        <v>406</v>
      </c>
      <c r="B252" s="230"/>
      <c r="C252" s="74" t="s">
        <v>224</v>
      </c>
      <c r="D252" s="74">
        <f t="shared" ref="D252:D255" si="59">(35.24+2.75*1.2)*10.764</f>
        <v>414.84455999999994</v>
      </c>
      <c r="E252" s="74">
        <f t="shared" si="55"/>
        <v>53.281799999999997</v>
      </c>
      <c r="F252" s="74">
        <f t="shared" si="54"/>
        <v>654.80641199999991</v>
      </c>
      <c r="G252" s="230" t="str">
        <f t="shared" si="56"/>
        <v>4th Floor (For Mhada)</v>
      </c>
      <c r="H252" s="230"/>
      <c r="I252" s="75"/>
      <c r="N252" s="75"/>
    </row>
    <row r="253" spans="1:14" s="73" customFormat="1" x14ac:dyDescent="0.25">
      <c r="A253" s="230">
        <f t="shared" si="57"/>
        <v>407</v>
      </c>
      <c r="B253" s="230"/>
      <c r="C253" s="74" t="s">
        <v>224</v>
      </c>
      <c r="D253" s="74">
        <f t="shared" si="59"/>
        <v>414.84455999999994</v>
      </c>
      <c r="E253" s="74">
        <f t="shared" si="55"/>
        <v>53.281799999999997</v>
      </c>
      <c r="F253" s="74">
        <f t="shared" si="54"/>
        <v>654.80641199999991</v>
      </c>
      <c r="G253" s="230" t="str">
        <f t="shared" si="56"/>
        <v>4th Floor (For Mhada)</v>
      </c>
      <c r="H253" s="230"/>
      <c r="I253" s="75"/>
      <c r="N253" s="75"/>
    </row>
    <row r="254" spans="1:14" s="73" customFormat="1" ht="15.75" customHeight="1" x14ac:dyDescent="0.25">
      <c r="A254" s="230">
        <f>A253+1</f>
        <v>408</v>
      </c>
      <c r="B254" s="230"/>
      <c r="C254" s="74" t="s">
        <v>224</v>
      </c>
      <c r="D254" s="74">
        <f t="shared" si="59"/>
        <v>414.84455999999994</v>
      </c>
      <c r="E254" s="74">
        <f t="shared" si="55"/>
        <v>53.281799999999997</v>
      </c>
      <c r="F254" s="74">
        <f t="shared" si="54"/>
        <v>654.80641199999991</v>
      </c>
      <c r="G254" s="230" t="str">
        <f t="shared" si="56"/>
        <v>4th Floor (For Mhada)</v>
      </c>
      <c r="H254" s="230"/>
      <c r="I254" s="75"/>
      <c r="N254" s="75"/>
    </row>
    <row r="255" spans="1:14" s="73" customFormat="1" x14ac:dyDescent="0.25">
      <c r="A255" s="230">
        <f t="shared" si="57"/>
        <v>409</v>
      </c>
      <c r="B255" s="230"/>
      <c r="C255" s="74" t="s">
        <v>224</v>
      </c>
      <c r="D255" s="74">
        <f t="shared" si="59"/>
        <v>414.84455999999994</v>
      </c>
      <c r="E255" s="74">
        <f t="shared" si="55"/>
        <v>53.281799999999997</v>
      </c>
      <c r="F255" s="74">
        <f t="shared" si="54"/>
        <v>654.80641199999991</v>
      </c>
      <c r="G255" s="230" t="str">
        <f t="shared" si="56"/>
        <v>4th Floor (For Mhada)</v>
      </c>
      <c r="H255" s="230"/>
      <c r="I255" s="75"/>
      <c r="N255" s="75"/>
    </row>
    <row r="256" spans="1:14" s="73" customFormat="1" ht="15.75" customHeight="1" x14ac:dyDescent="0.25">
      <c r="A256" s="231" t="s">
        <v>248</v>
      </c>
      <c r="B256" s="231"/>
      <c r="C256" s="231"/>
      <c r="D256" s="231"/>
      <c r="E256" s="231"/>
      <c r="F256" s="231"/>
      <c r="G256" s="231"/>
      <c r="H256" s="231"/>
      <c r="I256" s="75"/>
      <c r="L256" s="232"/>
      <c r="M256" s="232"/>
    </row>
    <row r="257" spans="1:14" s="73" customFormat="1" ht="15.75" customHeight="1" x14ac:dyDescent="0.25">
      <c r="A257" s="230">
        <f>LEFT(A256,SUM(LEN(A256)-LEN(SUBSTITUTE(A256,{"0","1","2","3","4","5","6","7","8","9"},""))))*100+1</f>
        <v>501</v>
      </c>
      <c r="B257" s="230"/>
      <c r="C257" s="74" t="s">
        <v>224</v>
      </c>
      <c r="D257" s="74">
        <f>(35.24+2.75*1.2)*10.764</f>
        <v>414.84455999999994</v>
      </c>
      <c r="E257" s="74">
        <f>3*1.8*10.764</f>
        <v>58.125599999999999</v>
      </c>
      <c r="F257" s="74">
        <f t="shared" ref="F257:F265" si="60">D257*(($F$191)+1)+E257</f>
        <v>659.6502119999999</v>
      </c>
      <c r="G257" s="230" t="str">
        <f>A256</f>
        <v>5th Floor</v>
      </c>
      <c r="H257" s="230"/>
      <c r="I257" s="75"/>
      <c r="N257" s="75"/>
    </row>
    <row r="258" spans="1:14" s="73" customFormat="1" ht="15.75" customHeight="1" x14ac:dyDescent="0.25">
      <c r="A258" s="230">
        <f>A257+1</f>
        <v>502</v>
      </c>
      <c r="B258" s="230"/>
      <c r="C258" s="74" t="s">
        <v>224</v>
      </c>
      <c r="D258" s="74">
        <f>(35.24+2.75*1.2)*10.764</f>
        <v>414.84455999999994</v>
      </c>
      <c r="E258" s="74">
        <f t="shared" ref="E258:E265" si="61">3*1.8*10.764</f>
        <v>58.125599999999999</v>
      </c>
      <c r="F258" s="74">
        <f t="shared" si="60"/>
        <v>659.6502119999999</v>
      </c>
      <c r="G258" s="230" t="str">
        <f t="shared" ref="G258:G265" si="62">G257</f>
        <v>5th Floor</v>
      </c>
      <c r="H258" s="230"/>
      <c r="I258" s="75"/>
      <c r="N258" s="75"/>
    </row>
    <row r="259" spans="1:14" s="73" customFormat="1" ht="15.75" customHeight="1" x14ac:dyDescent="0.25">
      <c r="A259" s="230">
        <f>A258+1</f>
        <v>503</v>
      </c>
      <c r="B259" s="230"/>
      <c r="C259" s="74" t="s">
        <v>224</v>
      </c>
      <c r="D259" s="74">
        <f>(36.62+2.75*1.2)*10.764</f>
        <v>429.69887999999992</v>
      </c>
      <c r="E259" s="74">
        <f t="shared" si="61"/>
        <v>58.125599999999999</v>
      </c>
      <c r="F259" s="74">
        <f t="shared" si="60"/>
        <v>681.1889759999998</v>
      </c>
      <c r="G259" s="230" t="str">
        <f t="shared" si="62"/>
        <v>5th Floor</v>
      </c>
      <c r="H259" s="230"/>
      <c r="I259" s="75"/>
      <c r="N259" s="75"/>
    </row>
    <row r="260" spans="1:14" s="73" customFormat="1" x14ac:dyDescent="0.25">
      <c r="A260" s="230">
        <f t="shared" ref="A260:A265" si="63">A259+1</f>
        <v>504</v>
      </c>
      <c r="B260" s="230"/>
      <c r="C260" s="74" t="s">
        <v>224</v>
      </c>
      <c r="D260" s="74">
        <f t="shared" ref="D260:D261" si="64">(36.62+2.75*1.2)*10.764</f>
        <v>429.69887999999992</v>
      </c>
      <c r="E260" s="74">
        <f t="shared" si="61"/>
        <v>58.125599999999999</v>
      </c>
      <c r="F260" s="74">
        <f t="shared" si="60"/>
        <v>681.1889759999998</v>
      </c>
      <c r="G260" s="230" t="str">
        <f t="shared" si="62"/>
        <v>5th Floor</v>
      </c>
      <c r="H260" s="230"/>
      <c r="I260" s="75"/>
      <c r="N260" s="75"/>
    </row>
    <row r="261" spans="1:14" s="73" customFormat="1" ht="15.75" customHeight="1" x14ac:dyDescent="0.25">
      <c r="A261" s="230">
        <f>A260+1</f>
        <v>505</v>
      </c>
      <c r="B261" s="230"/>
      <c r="C261" s="74" t="s">
        <v>224</v>
      </c>
      <c r="D261" s="74">
        <f t="shared" si="64"/>
        <v>429.69887999999992</v>
      </c>
      <c r="E261" s="74">
        <f t="shared" si="61"/>
        <v>58.125599999999999</v>
      </c>
      <c r="F261" s="74">
        <f t="shared" si="60"/>
        <v>681.1889759999998</v>
      </c>
      <c r="G261" s="230" t="str">
        <f t="shared" si="62"/>
        <v>5th Floor</v>
      </c>
      <c r="H261" s="230"/>
      <c r="I261" s="75"/>
      <c r="N261" s="75"/>
    </row>
    <row r="262" spans="1:14" s="73" customFormat="1" x14ac:dyDescent="0.25">
      <c r="A262" s="230">
        <f t="shared" si="63"/>
        <v>506</v>
      </c>
      <c r="B262" s="230"/>
      <c r="C262" s="74" t="s">
        <v>224</v>
      </c>
      <c r="D262" s="74">
        <f t="shared" ref="D262:D265" si="65">(35.24+2.75*1.2)*10.764</f>
        <v>414.84455999999994</v>
      </c>
      <c r="E262" s="74">
        <f t="shared" si="61"/>
        <v>58.125599999999999</v>
      </c>
      <c r="F262" s="74">
        <f t="shared" si="60"/>
        <v>659.6502119999999</v>
      </c>
      <c r="G262" s="230" t="str">
        <f t="shared" si="62"/>
        <v>5th Floor</v>
      </c>
      <c r="H262" s="230"/>
      <c r="I262" s="75"/>
      <c r="N262" s="75"/>
    </row>
    <row r="263" spans="1:14" s="73" customFormat="1" x14ac:dyDescent="0.25">
      <c r="A263" s="230">
        <f t="shared" si="63"/>
        <v>507</v>
      </c>
      <c r="B263" s="230"/>
      <c r="C263" s="74" t="s">
        <v>224</v>
      </c>
      <c r="D263" s="74">
        <f t="shared" si="65"/>
        <v>414.84455999999994</v>
      </c>
      <c r="E263" s="74">
        <f t="shared" si="61"/>
        <v>58.125599999999999</v>
      </c>
      <c r="F263" s="74">
        <f t="shared" si="60"/>
        <v>659.6502119999999</v>
      </c>
      <c r="G263" s="230" t="str">
        <f t="shared" si="62"/>
        <v>5th Floor</v>
      </c>
      <c r="H263" s="230"/>
      <c r="I263" s="75"/>
      <c r="N263" s="75"/>
    </row>
    <row r="264" spans="1:14" s="73" customFormat="1" ht="15.75" customHeight="1" x14ac:dyDescent="0.25">
      <c r="A264" s="230">
        <f>A263+1</f>
        <v>508</v>
      </c>
      <c r="B264" s="230"/>
      <c r="C264" s="74" t="s">
        <v>224</v>
      </c>
      <c r="D264" s="74">
        <f t="shared" si="65"/>
        <v>414.84455999999994</v>
      </c>
      <c r="E264" s="74">
        <f t="shared" si="61"/>
        <v>58.125599999999999</v>
      </c>
      <c r="F264" s="74">
        <f t="shared" si="60"/>
        <v>659.6502119999999</v>
      </c>
      <c r="G264" s="230" t="str">
        <f t="shared" si="62"/>
        <v>5th Floor</v>
      </c>
      <c r="H264" s="230"/>
      <c r="I264" s="75"/>
      <c r="N264" s="75"/>
    </row>
    <row r="265" spans="1:14" s="73" customFormat="1" x14ac:dyDescent="0.25">
      <c r="A265" s="230">
        <f t="shared" si="63"/>
        <v>509</v>
      </c>
      <c r="B265" s="230"/>
      <c r="C265" s="74" t="s">
        <v>224</v>
      </c>
      <c r="D265" s="74">
        <f t="shared" si="65"/>
        <v>414.84455999999994</v>
      </c>
      <c r="E265" s="74">
        <f t="shared" si="61"/>
        <v>58.125599999999999</v>
      </c>
      <c r="F265" s="74">
        <f t="shared" si="60"/>
        <v>659.6502119999999</v>
      </c>
      <c r="G265" s="230" t="str">
        <f t="shared" si="62"/>
        <v>5th Floor</v>
      </c>
      <c r="H265" s="230"/>
      <c r="I265" s="75"/>
      <c r="N265" s="75"/>
    </row>
    <row r="266" spans="1:14" s="1" customFormat="1" x14ac:dyDescent="0.25">
      <c r="A266" s="180" t="s">
        <v>78</v>
      </c>
      <c r="B266" s="180"/>
      <c r="C266" s="180"/>
      <c r="D266" s="180"/>
      <c r="E266" s="180"/>
      <c r="F266" s="180"/>
      <c r="G266" s="180"/>
      <c r="H266" s="180"/>
    </row>
    <row r="267" spans="1:14" s="1" customFormat="1" x14ac:dyDescent="0.25">
      <c r="A267" s="48">
        <v>1</v>
      </c>
      <c r="B267" s="122" t="s">
        <v>193</v>
      </c>
      <c r="C267" s="123"/>
      <c r="D267" s="123"/>
      <c r="E267" s="123"/>
      <c r="F267" s="123"/>
      <c r="G267" s="123"/>
      <c r="H267" s="124"/>
    </row>
    <row r="268" spans="1:14" s="1" customFormat="1" x14ac:dyDescent="0.25">
      <c r="A268" s="48">
        <f>A267+1</f>
        <v>2</v>
      </c>
      <c r="B268" s="122" t="s">
        <v>235</v>
      </c>
      <c r="C268" s="123"/>
      <c r="D268" s="123"/>
      <c r="E268" s="123"/>
      <c r="F268" s="123"/>
      <c r="G268" s="123"/>
      <c r="H268" s="124"/>
    </row>
    <row r="269" spans="1:14" s="1" customFormat="1" x14ac:dyDescent="0.25">
      <c r="A269" s="48">
        <f t="shared" ref="A269:A273" si="66">A268+1</f>
        <v>3</v>
      </c>
      <c r="B269" s="209" t="s">
        <v>164</v>
      </c>
      <c r="C269" s="210"/>
      <c r="D269" s="210"/>
      <c r="E269" s="210"/>
      <c r="F269" s="210"/>
      <c r="G269" s="210"/>
      <c r="H269" s="211"/>
    </row>
    <row r="270" spans="1:14" s="1" customFormat="1" x14ac:dyDescent="0.25">
      <c r="A270" s="48">
        <f t="shared" si="66"/>
        <v>4</v>
      </c>
      <c r="B270" s="209" t="s">
        <v>165</v>
      </c>
      <c r="C270" s="210"/>
      <c r="D270" s="210"/>
      <c r="E270" s="210"/>
      <c r="F270" s="210"/>
      <c r="G270" s="210"/>
      <c r="H270" s="211"/>
    </row>
    <row r="271" spans="1:14" s="1" customFormat="1" x14ac:dyDescent="0.25">
      <c r="A271" s="48">
        <f t="shared" si="66"/>
        <v>5</v>
      </c>
      <c r="B271" s="209" t="s">
        <v>166</v>
      </c>
      <c r="C271" s="210"/>
      <c r="D271" s="210"/>
      <c r="E271" s="210"/>
      <c r="F271" s="210"/>
      <c r="G271" s="210"/>
      <c r="H271" s="211"/>
    </row>
    <row r="272" spans="1:14" s="1" customFormat="1" x14ac:dyDescent="0.25">
      <c r="A272" s="48">
        <f t="shared" si="66"/>
        <v>6</v>
      </c>
      <c r="B272" s="209" t="s">
        <v>167</v>
      </c>
      <c r="C272" s="210"/>
      <c r="D272" s="210"/>
      <c r="E272" s="210"/>
      <c r="F272" s="210"/>
      <c r="G272" s="210"/>
      <c r="H272" s="211"/>
    </row>
    <row r="273" spans="1:8" s="1" customFormat="1" x14ac:dyDescent="0.25">
      <c r="A273" s="48">
        <f t="shared" si="66"/>
        <v>7</v>
      </c>
      <c r="B273" s="122" t="s">
        <v>234</v>
      </c>
      <c r="C273" s="123"/>
      <c r="D273" s="123"/>
      <c r="E273" s="123"/>
      <c r="F273" s="123"/>
      <c r="G273" s="123"/>
      <c r="H273" s="124"/>
    </row>
    <row r="274" spans="1:8" x14ac:dyDescent="0.25">
      <c r="A274" s="228" t="s">
        <v>71</v>
      </c>
      <c r="B274" s="228"/>
      <c r="C274" s="228"/>
      <c r="D274" s="228"/>
      <c r="E274" s="228"/>
      <c r="F274" s="228"/>
      <c r="G274" s="228"/>
      <c r="H274" s="228"/>
    </row>
    <row r="275" spans="1:8" x14ac:dyDescent="0.25">
      <c r="A275" s="225" t="s">
        <v>72</v>
      </c>
      <c r="B275" s="225"/>
      <c r="C275" s="225"/>
      <c r="D275" s="225"/>
      <c r="E275" s="225"/>
      <c r="F275" s="225"/>
      <c r="G275" s="225"/>
      <c r="H275" s="225"/>
    </row>
    <row r="276" spans="1:8" ht="15.75" customHeight="1" x14ac:dyDescent="0.25">
      <c r="A276" s="229" t="s">
        <v>73</v>
      </c>
      <c r="B276" s="229"/>
      <c r="C276" s="229"/>
      <c r="D276" s="229"/>
      <c r="E276" s="229"/>
      <c r="F276" s="229"/>
      <c r="G276" s="229"/>
      <c r="H276" s="229"/>
    </row>
    <row r="277" spans="1:8" x14ac:dyDescent="0.25">
      <c r="A277" s="225" t="s">
        <v>74</v>
      </c>
      <c r="B277" s="225"/>
      <c r="C277" s="225"/>
      <c r="D277" s="225"/>
      <c r="E277" s="225"/>
      <c r="F277" s="225"/>
      <c r="G277" s="225"/>
      <c r="H277" s="225"/>
    </row>
    <row r="278" spans="1:8" x14ac:dyDescent="0.25">
      <c r="A278" s="225" t="s">
        <v>75</v>
      </c>
      <c r="B278" s="225"/>
      <c r="C278" s="225"/>
      <c r="D278" s="225"/>
      <c r="E278" s="225"/>
      <c r="F278" s="225"/>
      <c r="G278" s="225"/>
      <c r="H278" s="225"/>
    </row>
    <row r="279" spans="1:8" x14ac:dyDescent="0.25">
      <c r="A279" s="225" t="s">
        <v>168</v>
      </c>
      <c r="B279" s="225"/>
      <c r="C279" s="225"/>
      <c r="D279" s="225"/>
      <c r="E279" s="225"/>
      <c r="F279" s="225"/>
      <c r="G279" s="225"/>
      <c r="H279" s="225"/>
    </row>
    <row r="280" spans="1:8" ht="35.25" customHeight="1" x14ac:dyDescent="0.25">
      <c r="A280" s="226" t="s">
        <v>169</v>
      </c>
      <c r="B280" s="226"/>
      <c r="C280" s="226"/>
      <c r="D280" s="226"/>
      <c r="E280" s="226"/>
      <c r="F280" s="226"/>
      <c r="G280" s="226"/>
      <c r="H280" s="226"/>
    </row>
    <row r="281" spans="1:8" x14ac:dyDescent="0.25">
      <c r="A281" s="227" t="s">
        <v>110</v>
      </c>
      <c r="B281" s="227"/>
      <c r="C281" s="227" t="s">
        <v>249</v>
      </c>
      <c r="D281" s="227"/>
      <c r="E281" s="227" t="s">
        <v>143</v>
      </c>
      <c r="F281" s="227"/>
      <c r="G281" s="227" t="s">
        <v>192</v>
      </c>
      <c r="H281" s="227"/>
    </row>
    <row r="282" spans="1:8" x14ac:dyDescent="0.25">
      <c r="A282" s="224" t="s">
        <v>113</v>
      </c>
      <c r="B282" s="224"/>
      <c r="C282" s="224"/>
      <c r="D282" s="224"/>
      <c r="E282" s="224"/>
      <c r="F282" s="224"/>
      <c r="G282" s="224"/>
      <c r="H282" s="224"/>
    </row>
    <row r="283" spans="1:8" x14ac:dyDescent="0.25">
      <c r="A283" s="224"/>
      <c r="B283" s="224"/>
      <c r="C283" s="224"/>
      <c r="D283" s="224"/>
      <c r="E283" s="224"/>
      <c r="F283" s="224"/>
      <c r="G283" s="224"/>
      <c r="H283" s="224"/>
    </row>
    <row r="284" spans="1:8" x14ac:dyDescent="0.25">
      <c r="A284" s="224"/>
      <c r="B284" s="224"/>
      <c r="C284" s="224"/>
      <c r="D284" s="224"/>
      <c r="E284" s="224"/>
      <c r="F284" s="224"/>
      <c r="G284" s="224"/>
      <c r="H284" s="224"/>
    </row>
    <row r="285" spans="1:8" x14ac:dyDescent="0.25">
      <c r="A285" s="224"/>
      <c r="B285" s="224"/>
      <c r="C285" s="224"/>
      <c r="D285" s="224"/>
      <c r="E285" s="224"/>
      <c r="F285" s="224"/>
      <c r="G285" s="224"/>
      <c r="H285" s="224"/>
    </row>
    <row r="286" spans="1:8" x14ac:dyDescent="0.25">
      <c r="A286" s="77" t="s">
        <v>76</v>
      </c>
      <c r="B286" s="78"/>
      <c r="C286" s="78"/>
      <c r="D286" s="77" t="str">
        <f>E8</f>
        <v>Mahaavir Pride</v>
      </c>
      <c r="F286" s="78"/>
      <c r="G286" s="78"/>
      <c r="H286" s="78"/>
    </row>
    <row r="287" spans="1:8" x14ac:dyDescent="0.25">
      <c r="A287" s="78"/>
      <c r="B287" s="78"/>
      <c r="C287" s="78"/>
      <c r="D287" s="78"/>
      <c r="E287" s="78"/>
      <c r="F287" s="78"/>
      <c r="G287" s="78"/>
      <c r="H287" s="78"/>
    </row>
    <row r="288" spans="1:8" x14ac:dyDescent="0.25">
      <c r="A288" s="78"/>
      <c r="B288" s="78"/>
      <c r="C288" s="78"/>
      <c r="D288" s="78"/>
      <c r="E288" s="78"/>
      <c r="F288" s="78"/>
      <c r="G288" s="78"/>
      <c r="H288" s="78"/>
    </row>
    <row r="289" ht="15" customHeight="1" x14ac:dyDescent="0.25"/>
    <row r="374" spans="1:8" x14ac:dyDescent="0.25">
      <c r="A374" s="80" t="s">
        <v>77</v>
      </c>
      <c r="B374" s="49"/>
      <c r="C374" s="49"/>
      <c r="D374" s="49"/>
      <c r="E374" s="49"/>
      <c r="F374" s="49"/>
      <c r="G374" s="49"/>
      <c r="H374" s="49"/>
    </row>
  </sheetData>
  <mergeCells count="587">
    <mergeCell ref="A5:D5"/>
    <mergeCell ref="E5:H5"/>
    <mergeCell ref="A6:D6"/>
    <mergeCell ref="E6:H6"/>
    <mergeCell ref="A7:D7"/>
    <mergeCell ref="E7:H7"/>
    <mergeCell ref="A1:H1"/>
    <mergeCell ref="A2:H2"/>
    <mergeCell ref="A3:D3"/>
    <mergeCell ref="E3:H3"/>
    <mergeCell ref="A4:D4"/>
    <mergeCell ref="E4:H4"/>
    <mergeCell ref="A11:D11"/>
    <mergeCell ref="E11:H11"/>
    <mergeCell ref="A12:D12"/>
    <mergeCell ref="E12:H12"/>
    <mergeCell ref="A13:B13"/>
    <mergeCell ref="C13:H13"/>
    <mergeCell ref="A8:D8"/>
    <mergeCell ref="E8:H8"/>
    <mergeCell ref="A9:D9"/>
    <mergeCell ref="E9:H9"/>
    <mergeCell ref="A10:D10"/>
    <mergeCell ref="E10:H10"/>
    <mergeCell ref="A16:B16"/>
    <mergeCell ref="C16:D16"/>
    <mergeCell ref="E16:F16"/>
    <mergeCell ref="G16:H16"/>
    <mergeCell ref="A17:B17"/>
    <mergeCell ref="C17:D17"/>
    <mergeCell ref="E17:F17"/>
    <mergeCell ref="G17:H17"/>
    <mergeCell ref="A14:B14"/>
    <mergeCell ref="C14:H14"/>
    <mergeCell ref="A15:B15"/>
    <mergeCell ref="C15:D15"/>
    <mergeCell ref="E15:F15"/>
    <mergeCell ref="G15:H15"/>
    <mergeCell ref="A21:D21"/>
    <mergeCell ref="E21:H21"/>
    <mergeCell ref="A22:D22"/>
    <mergeCell ref="E22:H22"/>
    <mergeCell ref="A23:D23"/>
    <mergeCell ref="E23:H23"/>
    <mergeCell ref="A18:B18"/>
    <mergeCell ref="C18:D18"/>
    <mergeCell ref="E18:F18"/>
    <mergeCell ref="G18:H18"/>
    <mergeCell ref="A19:D20"/>
    <mergeCell ref="E19:H20"/>
    <mergeCell ref="A27:D27"/>
    <mergeCell ref="E27:H27"/>
    <mergeCell ref="A28:D28"/>
    <mergeCell ref="E28:H28"/>
    <mergeCell ref="A29:B29"/>
    <mergeCell ref="C29:E29"/>
    <mergeCell ref="F29:H29"/>
    <mergeCell ref="A24:D24"/>
    <mergeCell ref="E24:H24"/>
    <mergeCell ref="A25:D25"/>
    <mergeCell ref="E25:H25"/>
    <mergeCell ref="A26:D26"/>
    <mergeCell ref="E26:H26"/>
    <mergeCell ref="A32:B32"/>
    <mergeCell ref="C32:E32"/>
    <mergeCell ref="F32:H32"/>
    <mergeCell ref="A33:B33"/>
    <mergeCell ref="C33:E33"/>
    <mergeCell ref="F33:H33"/>
    <mergeCell ref="A30:B30"/>
    <mergeCell ref="C30:E30"/>
    <mergeCell ref="F30:H30"/>
    <mergeCell ref="A31:B31"/>
    <mergeCell ref="C31:E31"/>
    <mergeCell ref="F31:H31"/>
    <mergeCell ref="A37:D37"/>
    <mergeCell ref="E37:H37"/>
    <mergeCell ref="A38:D38"/>
    <mergeCell ref="E38:H38"/>
    <mergeCell ref="A39:D39"/>
    <mergeCell ref="E39:H39"/>
    <mergeCell ref="A34:H34"/>
    <mergeCell ref="A35:B35"/>
    <mergeCell ref="C35:D35"/>
    <mergeCell ref="E35:F35"/>
    <mergeCell ref="G35:H35"/>
    <mergeCell ref="A36:H36"/>
    <mergeCell ref="A43:H43"/>
    <mergeCell ref="A44:B44"/>
    <mergeCell ref="C44:E44"/>
    <mergeCell ref="G44:H44"/>
    <mergeCell ref="A45:B45"/>
    <mergeCell ref="C45:E45"/>
    <mergeCell ref="G45:H45"/>
    <mergeCell ref="A40:D40"/>
    <mergeCell ref="E40:H40"/>
    <mergeCell ref="A41:D41"/>
    <mergeCell ref="E41:H41"/>
    <mergeCell ref="A42:D42"/>
    <mergeCell ref="E42:H42"/>
    <mergeCell ref="A49:H49"/>
    <mergeCell ref="A50:C50"/>
    <mergeCell ref="D50:H50"/>
    <mergeCell ref="A51:C51"/>
    <mergeCell ref="D51:H51"/>
    <mergeCell ref="A52:C52"/>
    <mergeCell ref="D52:H52"/>
    <mergeCell ref="A46:B47"/>
    <mergeCell ref="C46:E46"/>
    <mergeCell ref="G46:H46"/>
    <mergeCell ref="C47:H47"/>
    <mergeCell ref="A48:B48"/>
    <mergeCell ref="C48:E48"/>
    <mergeCell ref="G48:H48"/>
    <mergeCell ref="A57:C57"/>
    <mergeCell ref="D57:H57"/>
    <mergeCell ref="A58:C58"/>
    <mergeCell ref="D58:H58"/>
    <mergeCell ref="A59:B59"/>
    <mergeCell ref="C59:H59"/>
    <mergeCell ref="A53:C54"/>
    <mergeCell ref="D53:H53"/>
    <mergeCell ref="D54:H54"/>
    <mergeCell ref="A55:C55"/>
    <mergeCell ref="D55:H55"/>
    <mergeCell ref="A56:C56"/>
    <mergeCell ref="D56:H56"/>
    <mergeCell ref="A61:B61"/>
    <mergeCell ref="C61:H61"/>
    <mergeCell ref="A62:B62"/>
    <mergeCell ref="E62:F62"/>
    <mergeCell ref="G62:H62"/>
    <mergeCell ref="A63:B63"/>
    <mergeCell ref="E63:F72"/>
    <mergeCell ref="G63:H72"/>
    <mergeCell ref="A64:B64"/>
    <mergeCell ref="A65:B65"/>
    <mergeCell ref="A72:B72"/>
    <mergeCell ref="A73:B73"/>
    <mergeCell ref="C73:H73"/>
    <mergeCell ref="A75:B75"/>
    <mergeCell ref="C75:H75"/>
    <mergeCell ref="A76:B76"/>
    <mergeCell ref="E76:F76"/>
    <mergeCell ref="G76:H76"/>
    <mergeCell ref="A66:B66"/>
    <mergeCell ref="A67:B67"/>
    <mergeCell ref="A68:B68"/>
    <mergeCell ref="A69:B69"/>
    <mergeCell ref="A70:B70"/>
    <mergeCell ref="A71:B71"/>
    <mergeCell ref="A85:B85"/>
    <mergeCell ref="A86:B86"/>
    <mergeCell ref="A87:E87"/>
    <mergeCell ref="F87:H87"/>
    <mergeCell ref="A88:H88"/>
    <mergeCell ref="A89:B89"/>
    <mergeCell ref="C89:H89"/>
    <mergeCell ref="A77:B77"/>
    <mergeCell ref="E77:F86"/>
    <mergeCell ref="G77:H86"/>
    <mergeCell ref="A78:B78"/>
    <mergeCell ref="A79:B79"/>
    <mergeCell ref="A80:B80"/>
    <mergeCell ref="A81:B81"/>
    <mergeCell ref="A82:B82"/>
    <mergeCell ref="A83:B83"/>
    <mergeCell ref="A84:B84"/>
    <mergeCell ref="A94:E94"/>
    <mergeCell ref="F94:H94"/>
    <mergeCell ref="A95:E95"/>
    <mergeCell ref="F95:H95"/>
    <mergeCell ref="A96:E96"/>
    <mergeCell ref="F96:H96"/>
    <mergeCell ref="A90:H90"/>
    <mergeCell ref="A91:E91"/>
    <mergeCell ref="F91:H91"/>
    <mergeCell ref="A92:E92"/>
    <mergeCell ref="F92:H92"/>
    <mergeCell ref="A93:E93"/>
    <mergeCell ref="F93:H93"/>
    <mergeCell ref="A100:E100"/>
    <mergeCell ref="F100:H100"/>
    <mergeCell ref="A101:E101"/>
    <mergeCell ref="F101:H101"/>
    <mergeCell ref="A102:E102"/>
    <mergeCell ref="F102:H102"/>
    <mergeCell ref="A97:E97"/>
    <mergeCell ref="F97:H97"/>
    <mergeCell ref="A98:E98"/>
    <mergeCell ref="F98:H98"/>
    <mergeCell ref="A99:E99"/>
    <mergeCell ref="F99:H99"/>
    <mergeCell ref="A106:B106"/>
    <mergeCell ref="C106:D106"/>
    <mergeCell ref="E106:F106"/>
    <mergeCell ref="G106:H106"/>
    <mergeCell ref="A107:B107"/>
    <mergeCell ref="C107:D107"/>
    <mergeCell ref="E107:F107"/>
    <mergeCell ref="G107:H107"/>
    <mergeCell ref="A103:H103"/>
    <mergeCell ref="A104:B104"/>
    <mergeCell ref="C104:D104"/>
    <mergeCell ref="E104:F104"/>
    <mergeCell ref="G104:H104"/>
    <mergeCell ref="A105:B105"/>
    <mergeCell ref="C105:D105"/>
    <mergeCell ref="E105:F105"/>
    <mergeCell ref="G105:H105"/>
    <mergeCell ref="A111:B111"/>
    <mergeCell ref="C111:D111"/>
    <mergeCell ref="E111:F111"/>
    <mergeCell ref="G111:H111"/>
    <mergeCell ref="A112:B112"/>
    <mergeCell ref="C112:D112"/>
    <mergeCell ref="E112:F112"/>
    <mergeCell ref="G112:H112"/>
    <mergeCell ref="A108:H108"/>
    <mergeCell ref="A109:B109"/>
    <mergeCell ref="C109:D109"/>
    <mergeCell ref="E109:F109"/>
    <mergeCell ref="G109:H109"/>
    <mergeCell ref="A110:B110"/>
    <mergeCell ref="C110:D110"/>
    <mergeCell ref="E110:F110"/>
    <mergeCell ref="G110:H110"/>
    <mergeCell ref="A116:A117"/>
    <mergeCell ref="B116:B117"/>
    <mergeCell ref="C116:C117"/>
    <mergeCell ref="D116:D117"/>
    <mergeCell ref="E116:E117"/>
    <mergeCell ref="G116:H117"/>
    <mergeCell ref="A113:B113"/>
    <mergeCell ref="C113:D113"/>
    <mergeCell ref="E113:F113"/>
    <mergeCell ref="G113:H113"/>
    <mergeCell ref="A114:H114"/>
    <mergeCell ref="A115:H115"/>
    <mergeCell ref="A122:B122"/>
    <mergeCell ref="G122:H122"/>
    <mergeCell ref="L122:M122"/>
    <mergeCell ref="A123:B123"/>
    <mergeCell ref="G123:H123"/>
    <mergeCell ref="L123:M123"/>
    <mergeCell ref="A118:H118"/>
    <mergeCell ref="A119:H119"/>
    <mergeCell ref="A120:B120"/>
    <mergeCell ref="G120:H120"/>
    <mergeCell ref="L120:M120"/>
    <mergeCell ref="A121:B121"/>
    <mergeCell ref="G121:H121"/>
    <mergeCell ref="L121:M121"/>
    <mergeCell ref="A126:B126"/>
    <mergeCell ref="G126:H126"/>
    <mergeCell ref="L126:M126"/>
    <mergeCell ref="A127:B127"/>
    <mergeCell ref="G127:H127"/>
    <mergeCell ref="L127:M127"/>
    <mergeCell ref="A124:B124"/>
    <mergeCell ref="G124:H124"/>
    <mergeCell ref="L124:M124"/>
    <mergeCell ref="A125:B125"/>
    <mergeCell ref="G125:H125"/>
    <mergeCell ref="L125:M125"/>
    <mergeCell ref="A130:B130"/>
    <mergeCell ref="G130:H130"/>
    <mergeCell ref="L130:M130"/>
    <mergeCell ref="A131:B131"/>
    <mergeCell ref="G131:H131"/>
    <mergeCell ref="L131:M131"/>
    <mergeCell ref="A128:B128"/>
    <mergeCell ref="G128:H128"/>
    <mergeCell ref="L128:M128"/>
    <mergeCell ref="A129:B129"/>
    <mergeCell ref="G129:H129"/>
    <mergeCell ref="L129:M129"/>
    <mergeCell ref="A134:B134"/>
    <mergeCell ref="G134:H134"/>
    <mergeCell ref="L134:M134"/>
    <mergeCell ref="A135:B135"/>
    <mergeCell ref="G135:H135"/>
    <mergeCell ref="L135:M135"/>
    <mergeCell ref="A132:B132"/>
    <mergeCell ref="G132:H132"/>
    <mergeCell ref="L132:M132"/>
    <mergeCell ref="A133:B133"/>
    <mergeCell ref="G133:H133"/>
    <mergeCell ref="L133:M133"/>
    <mergeCell ref="A138:B138"/>
    <mergeCell ref="G138:H138"/>
    <mergeCell ref="L138:M138"/>
    <mergeCell ref="A139:B139"/>
    <mergeCell ref="G139:H139"/>
    <mergeCell ref="L139:M139"/>
    <mergeCell ref="A136:B136"/>
    <mergeCell ref="G136:H136"/>
    <mergeCell ref="L136:M136"/>
    <mergeCell ref="A137:B137"/>
    <mergeCell ref="G137:H137"/>
    <mergeCell ref="L137:M137"/>
    <mergeCell ref="A142:B142"/>
    <mergeCell ref="G142:H142"/>
    <mergeCell ref="L142:M142"/>
    <mergeCell ref="A143:B143"/>
    <mergeCell ref="G143:H143"/>
    <mergeCell ref="L143:M143"/>
    <mergeCell ref="A140:B140"/>
    <mergeCell ref="G140:H140"/>
    <mergeCell ref="L140:M140"/>
    <mergeCell ref="A141:B141"/>
    <mergeCell ref="G141:H141"/>
    <mergeCell ref="L141:M141"/>
    <mergeCell ref="A146:B146"/>
    <mergeCell ref="G146:H146"/>
    <mergeCell ref="L146:M146"/>
    <mergeCell ref="A147:B147"/>
    <mergeCell ref="G147:H147"/>
    <mergeCell ref="L147:M147"/>
    <mergeCell ref="A144:B144"/>
    <mergeCell ref="G144:H144"/>
    <mergeCell ref="L144:M144"/>
    <mergeCell ref="A145:B145"/>
    <mergeCell ref="G145:H145"/>
    <mergeCell ref="L145:M145"/>
    <mergeCell ref="A150:B150"/>
    <mergeCell ref="G150:H150"/>
    <mergeCell ref="L150:M150"/>
    <mergeCell ref="A151:B151"/>
    <mergeCell ref="G151:H151"/>
    <mergeCell ref="L151:M151"/>
    <mergeCell ref="A148:B148"/>
    <mergeCell ref="G148:H148"/>
    <mergeCell ref="L148:M148"/>
    <mergeCell ref="A149:B149"/>
    <mergeCell ref="G149:H149"/>
    <mergeCell ref="L149:M149"/>
    <mergeCell ref="A154:B154"/>
    <mergeCell ref="G154:H154"/>
    <mergeCell ref="L154:M154"/>
    <mergeCell ref="A155:H155"/>
    <mergeCell ref="L155:M155"/>
    <mergeCell ref="A156:B156"/>
    <mergeCell ref="G156:H156"/>
    <mergeCell ref="A152:B152"/>
    <mergeCell ref="G152:H152"/>
    <mergeCell ref="L152:M152"/>
    <mergeCell ref="A153:B153"/>
    <mergeCell ref="G153:H153"/>
    <mergeCell ref="L153:M153"/>
    <mergeCell ref="A160:B160"/>
    <mergeCell ref="G160:H160"/>
    <mergeCell ref="A161:B161"/>
    <mergeCell ref="G161:H161"/>
    <mergeCell ref="A162:B162"/>
    <mergeCell ref="G162:H162"/>
    <mergeCell ref="A157:B157"/>
    <mergeCell ref="G157:H157"/>
    <mergeCell ref="A158:B158"/>
    <mergeCell ref="G158:H158"/>
    <mergeCell ref="A159:B159"/>
    <mergeCell ref="G159:H159"/>
    <mergeCell ref="A166:B166"/>
    <mergeCell ref="G166:H166"/>
    <mergeCell ref="A167:B167"/>
    <mergeCell ref="G167:H167"/>
    <mergeCell ref="A168:B168"/>
    <mergeCell ref="G168:H168"/>
    <mergeCell ref="A163:B163"/>
    <mergeCell ref="G163:H163"/>
    <mergeCell ref="A164:B164"/>
    <mergeCell ref="G164:H164"/>
    <mergeCell ref="A165:B165"/>
    <mergeCell ref="G165:H165"/>
    <mergeCell ref="A172:B172"/>
    <mergeCell ref="G172:H172"/>
    <mergeCell ref="A173:B173"/>
    <mergeCell ref="G173:H173"/>
    <mergeCell ref="A174:B174"/>
    <mergeCell ref="G174:H174"/>
    <mergeCell ref="A169:B169"/>
    <mergeCell ref="G169:H169"/>
    <mergeCell ref="A170:B170"/>
    <mergeCell ref="G170:H170"/>
    <mergeCell ref="A171:B171"/>
    <mergeCell ref="G171:H171"/>
    <mergeCell ref="A178:B178"/>
    <mergeCell ref="G178:H178"/>
    <mergeCell ref="A179:B179"/>
    <mergeCell ref="G179:H179"/>
    <mergeCell ref="A180:B180"/>
    <mergeCell ref="G180:H180"/>
    <mergeCell ref="A175:B175"/>
    <mergeCell ref="G175:H175"/>
    <mergeCell ref="A176:B176"/>
    <mergeCell ref="G176:H176"/>
    <mergeCell ref="A177:B177"/>
    <mergeCell ref="G177:H177"/>
    <mergeCell ref="A184:B184"/>
    <mergeCell ref="G184:H184"/>
    <mergeCell ref="A185:B185"/>
    <mergeCell ref="G185:H185"/>
    <mergeCell ref="A186:B186"/>
    <mergeCell ref="G186:H186"/>
    <mergeCell ref="A181:B181"/>
    <mergeCell ref="G181:H181"/>
    <mergeCell ref="A182:B182"/>
    <mergeCell ref="G182:H182"/>
    <mergeCell ref="A183:B183"/>
    <mergeCell ref="G183:H183"/>
    <mergeCell ref="G190:H191"/>
    <mergeCell ref="A192:H192"/>
    <mergeCell ref="L192:M192"/>
    <mergeCell ref="A193:H193"/>
    <mergeCell ref="L193:M193"/>
    <mergeCell ref="A194:B194"/>
    <mergeCell ref="G194:H194"/>
    <mergeCell ref="A187:B187"/>
    <mergeCell ref="G187:H187"/>
    <mergeCell ref="A188:B188"/>
    <mergeCell ref="G188:H188"/>
    <mergeCell ref="A189:H189"/>
    <mergeCell ref="A190:A191"/>
    <mergeCell ref="B190:B191"/>
    <mergeCell ref="C190:C191"/>
    <mergeCell ref="D190:D191"/>
    <mergeCell ref="E190:E191"/>
    <mergeCell ref="A198:B198"/>
    <mergeCell ref="G198:H198"/>
    <mergeCell ref="A199:B199"/>
    <mergeCell ref="G199:H199"/>
    <mergeCell ref="A200:B200"/>
    <mergeCell ref="G200:H200"/>
    <mergeCell ref="A195:B195"/>
    <mergeCell ref="G195:H195"/>
    <mergeCell ref="A196:B196"/>
    <mergeCell ref="G196:H196"/>
    <mergeCell ref="A197:B197"/>
    <mergeCell ref="G197:H197"/>
    <mergeCell ref="A204:B204"/>
    <mergeCell ref="G204:H204"/>
    <mergeCell ref="A205:B205"/>
    <mergeCell ref="G205:H205"/>
    <mergeCell ref="A206:B206"/>
    <mergeCell ref="G206:H206"/>
    <mergeCell ref="A201:H201"/>
    <mergeCell ref="L201:M201"/>
    <mergeCell ref="A202:B202"/>
    <mergeCell ref="G202:H202"/>
    <mergeCell ref="A203:B203"/>
    <mergeCell ref="G203:H203"/>
    <mergeCell ref="A211:B211"/>
    <mergeCell ref="G211:H211"/>
    <mergeCell ref="A212:B212"/>
    <mergeCell ref="G212:H212"/>
    <mergeCell ref="A213:B213"/>
    <mergeCell ref="G213:H213"/>
    <mergeCell ref="A207:B207"/>
    <mergeCell ref="G207:H207"/>
    <mergeCell ref="A208:B208"/>
    <mergeCell ref="G208:H208"/>
    <mergeCell ref="A209:H209"/>
    <mergeCell ref="A210:B210"/>
    <mergeCell ref="G210:H210"/>
    <mergeCell ref="A217:H217"/>
    <mergeCell ref="A218:B218"/>
    <mergeCell ref="G218:H218"/>
    <mergeCell ref="A219:B219"/>
    <mergeCell ref="G219:H219"/>
    <mergeCell ref="A220:B220"/>
    <mergeCell ref="G220:H220"/>
    <mergeCell ref="A214:B214"/>
    <mergeCell ref="G214:H214"/>
    <mergeCell ref="A215:B215"/>
    <mergeCell ref="G215:H215"/>
    <mergeCell ref="A216:B216"/>
    <mergeCell ref="G216:H216"/>
    <mergeCell ref="L225:M225"/>
    <mergeCell ref="A226:H226"/>
    <mergeCell ref="L226:M226"/>
    <mergeCell ref="A221:B221"/>
    <mergeCell ref="G221:H221"/>
    <mergeCell ref="A222:B222"/>
    <mergeCell ref="G222:H222"/>
    <mergeCell ref="A223:B223"/>
    <mergeCell ref="G223:H223"/>
    <mergeCell ref="A227:B227"/>
    <mergeCell ref="G227:H227"/>
    <mergeCell ref="A228:B228"/>
    <mergeCell ref="G228:H228"/>
    <mergeCell ref="A229:B229"/>
    <mergeCell ref="G229:H229"/>
    <mergeCell ref="A224:B224"/>
    <mergeCell ref="G224:H224"/>
    <mergeCell ref="A225:H225"/>
    <mergeCell ref="A233:B233"/>
    <mergeCell ref="G233:H233"/>
    <mergeCell ref="A234:B234"/>
    <mergeCell ref="G234:H234"/>
    <mergeCell ref="A235:B235"/>
    <mergeCell ref="G235:H235"/>
    <mergeCell ref="A230:B230"/>
    <mergeCell ref="G230:H230"/>
    <mergeCell ref="A231:B231"/>
    <mergeCell ref="G231:H231"/>
    <mergeCell ref="A232:B232"/>
    <mergeCell ref="G232:H232"/>
    <mergeCell ref="A239:B239"/>
    <mergeCell ref="G239:H239"/>
    <mergeCell ref="A240:B240"/>
    <mergeCell ref="G240:H240"/>
    <mergeCell ref="A241:B241"/>
    <mergeCell ref="G241:H241"/>
    <mergeCell ref="A236:H236"/>
    <mergeCell ref="L236:M236"/>
    <mergeCell ref="A237:B237"/>
    <mergeCell ref="G237:H237"/>
    <mergeCell ref="A238:B238"/>
    <mergeCell ref="G238:H238"/>
    <mergeCell ref="L246:M246"/>
    <mergeCell ref="A247:B247"/>
    <mergeCell ref="G247:H247"/>
    <mergeCell ref="A242:B242"/>
    <mergeCell ref="G242:H242"/>
    <mergeCell ref="A243:B243"/>
    <mergeCell ref="G243:H243"/>
    <mergeCell ref="A244:B244"/>
    <mergeCell ref="G244:H244"/>
    <mergeCell ref="A248:B248"/>
    <mergeCell ref="G248:H248"/>
    <mergeCell ref="A249:B249"/>
    <mergeCell ref="G249:H249"/>
    <mergeCell ref="A250:B250"/>
    <mergeCell ref="G250:H250"/>
    <mergeCell ref="A245:B245"/>
    <mergeCell ref="G245:H245"/>
    <mergeCell ref="A246:H246"/>
    <mergeCell ref="A254:B254"/>
    <mergeCell ref="G254:H254"/>
    <mergeCell ref="A255:B255"/>
    <mergeCell ref="G255:H255"/>
    <mergeCell ref="A256:H256"/>
    <mergeCell ref="L256:M256"/>
    <mergeCell ref="A251:B251"/>
    <mergeCell ref="G251:H251"/>
    <mergeCell ref="A252:B252"/>
    <mergeCell ref="G252:H252"/>
    <mergeCell ref="A253:B253"/>
    <mergeCell ref="G253:H253"/>
    <mergeCell ref="A260:B260"/>
    <mergeCell ref="G260:H260"/>
    <mergeCell ref="A261:B261"/>
    <mergeCell ref="G261:H261"/>
    <mergeCell ref="A262:B262"/>
    <mergeCell ref="G262:H262"/>
    <mergeCell ref="A257:B257"/>
    <mergeCell ref="G257:H257"/>
    <mergeCell ref="A258:B258"/>
    <mergeCell ref="G258:H258"/>
    <mergeCell ref="A259:B259"/>
    <mergeCell ref="G259:H259"/>
    <mergeCell ref="A266:H266"/>
    <mergeCell ref="B267:H267"/>
    <mergeCell ref="B268:H268"/>
    <mergeCell ref="B269:H269"/>
    <mergeCell ref="B270:H270"/>
    <mergeCell ref="B271:H271"/>
    <mergeCell ref="A263:B263"/>
    <mergeCell ref="G263:H263"/>
    <mergeCell ref="A264:B264"/>
    <mergeCell ref="G264:H264"/>
    <mergeCell ref="A265:B265"/>
    <mergeCell ref="G265:H265"/>
    <mergeCell ref="A282:H285"/>
    <mergeCell ref="A278:H278"/>
    <mergeCell ref="A279:H279"/>
    <mergeCell ref="A280:H280"/>
    <mergeCell ref="A281:B281"/>
    <mergeCell ref="C281:D281"/>
    <mergeCell ref="E281:F281"/>
    <mergeCell ref="G281:H281"/>
    <mergeCell ref="B272:H272"/>
    <mergeCell ref="B273:H273"/>
    <mergeCell ref="A274:H274"/>
    <mergeCell ref="A275:H275"/>
    <mergeCell ref="A276:H276"/>
    <mergeCell ref="A277:H277"/>
  </mergeCells>
  <printOptions horizontalCentered="1"/>
  <pageMargins left="0.39370078740157483" right="0.39370078740157483" top="0.78740157480314965" bottom="0.78740157480314965" header="0.19685039370078741" footer="0.19685039370078741"/>
  <pageSetup orientation="portrait" r:id="rId1"/>
  <headerFooter>
    <oddHeader>&amp;C&amp;G</oddHeader>
    <oddFooter>&amp;L&amp;"Times New Roman,Bold"&amp;12Ref No: &amp;F&amp;R&amp;"Times New Roman,Bold"&amp;12&amp;G                                                           &amp;P</oddFooter>
  </headerFooter>
  <rowBreaks count="3" manualBreakCount="3">
    <brk id="72" max="7" man="1"/>
    <brk id="285" max="16383" man="1"/>
    <brk id="373" max="16383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L36"/>
  <sheetViews>
    <sheetView topLeftCell="A7" workbookViewId="0">
      <selection activeCell="E22" sqref="E22"/>
    </sheetView>
  </sheetViews>
  <sheetFormatPr defaultRowHeight="15" x14ac:dyDescent="0.25"/>
  <cols>
    <col min="2" max="2" width="12.28515625" customWidth="1"/>
  </cols>
  <sheetData>
    <row r="2" spans="1:12" x14ac:dyDescent="0.25">
      <c r="B2" s="2" t="s">
        <v>79</v>
      </c>
      <c r="C2" s="311"/>
      <c r="D2" s="311"/>
    </row>
    <row r="3" spans="1:12" x14ac:dyDescent="0.25">
      <c r="D3" s="3"/>
      <c r="E3" s="3"/>
      <c r="F3" s="3"/>
      <c r="G3" s="3"/>
      <c r="H3" s="3"/>
      <c r="I3" s="3"/>
    </row>
    <row r="4" spans="1:12" x14ac:dyDescent="0.25">
      <c r="A4" s="2" t="s">
        <v>80</v>
      </c>
      <c r="B4" s="4" t="s">
        <v>81</v>
      </c>
      <c r="C4" s="312" t="s">
        <v>82</v>
      </c>
      <c r="D4" s="312"/>
      <c r="E4" s="312"/>
      <c r="F4" s="5"/>
      <c r="G4" s="312" t="s">
        <v>83</v>
      </c>
      <c r="H4" s="312"/>
      <c r="I4" s="312"/>
      <c r="J4" s="312" t="s">
        <v>84</v>
      </c>
      <c r="K4" s="312"/>
      <c r="L4" s="312"/>
    </row>
    <row r="5" spans="1:12" x14ac:dyDescent="0.25">
      <c r="A5" s="2">
        <v>202</v>
      </c>
      <c r="B5" s="4"/>
      <c r="C5" s="4" t="s">
        <v>85</v>
      </c>
      <c r="D5" s="4" t="s">
        <v>86</v>
      </c>
      <c r="E5" s="4" t="s">
        <v>63</v>
      </c>
      <c r="F5" s="4"/>
      <c r="G5" s="4" t="s">
        <v>85</v>
      </c>
      <c r="H5" s="4" t="s">
        <v>86</v>
      </c>
      <c r="I5" s="4" t="s">
        <v>63</v>
      </c>
      <c r="J5" s="4" t="s">
        <v>85</v>
      </c>
      <c r="K5" s="4" t="s">
        <v>86</v>
      </c>
      <c r="L5" s="4" t="s">
        <v>63</v>
      </c>
    </row>
    <row r="6" spans="1:12" x14ac:dyDescent="0.25">
      <c r="B6" s="6" t="s">
        <v>87</v>
      </c>
      <c r="C6" s="6"/>
      <c r="D6" s="6"/>
      <c r="E6" s="6">
        <f>C6*D6</f>
        <v>0</v>
      </c>
      <c r="F6" s="6" t="s">
        <v>88</v>
      </c>
      <c r="G6" s="6"/>
      <c r="H6" s="6"/>
      <c r="I6" s="6">
        <f>G6*H6</f>
        <v>0</v>
      </c>
      <c r="J6" s="6"/>
      <c r="K6" s="6"/>
      <c r="L6" s="6">
        <f>J6*K6</f>
        <v>0</v>
      </c>
    </row>
    <row r="7" spans="1:12" x14ac:dyDescent="0.25">
      <c r="B7" s="6"/>
      <c r="C7" s="6"/>
      <c r="D7" s="6"/>
      <c r="E7" s="6">
        <f t="shared" ref="E7:E33" si="0">C7*D7</f>
        <v>0</v>
      </c>
      <c r="F7" s="6" t="s">
        <v>89</v>
      </c>
      <c r="G7" s="6"/>
      <c r="H7" s="6"/>
      <c r="I7" s="6">
        <f t="shared" ref="I7:I29" si="1">G7*H7</f>
        <v>0</v>
      </c>
      <c r="J7" s="6"/>
      <c r="K7" s="6"/>
      <c r="L7" s="6">
        <f t="shared" ref="L7:L29" si="2">J7*K7</f>
        <v>0</v>
      </c>
    </row>
    <row r="8" spans="1:12" x14ac:dyDescent="0.25">
      <c r="B8" s="6"/>
      <c r="C8" s="6"/>
      <c r="D8" s="6"/>
      <c r="E8" s="6">
        <f t="shared" si="0"/>
        <v>0</v>
      </c>
      <c r="F8" s="6"/>
      <c r="G8" s="6"/>
      <c r="H8" s="6"/>
      <c r="I8" s="6">
        <f t="shared" si="1"/>
        <v>0</v>
      </c>
      <c r="J8" s="6"/>
      <c r="K8" s="6"/>
      <c r="L8" s="6">
        <f t="shared" si="2"/>
        <v>0</v>
      </c>
    </row>
    <row r="9" spans="1:12" x14ac:dyDescent="0.25">
      <c r="B9" s="6" t="s">
        <v>90</v>
      </c>
      <c r="C9" s="6"/>
      <c r="D9" s="6"/>
      <c r="E9" s="6">
        <f t="shared" si="0"/>
        <v>0</v>
      </c>
      <c r="F9" s="6" t="s">
        <v>88</v>
      </c>
      <c r="G9" s="6"/>
      <c r="H9" s="6"/>
      <c r="I9" s="6">
        <f t="shared" si="1"/>
        <v>0</v>
      </c>
      <c r="J9" s="6"/>
      <c r="K9" s="6"/>
      <c r="L9" s="6">
        <f t="shared" si="2"/>
        <v>0</v>
      </c>
    </row>
    <row r="10" spans="1:12" x14ac:dyDescent="0.25">
      <c r="B10" s="6"/>
      <c r="C10" s="6"/>
      <c r="D10" s="6"/>
      <c r="E10" s="6">
        <f t="shared" si="0"/>
        <v>0</v>
      </c>
      <c r="F10" s="6" t="s">
        <v>89</v>
      </c>
      <c r="G10" s="6"/>
      <c r="H10" s="6"/>
      <c r="I10" s="6">
        <f t="shared" si="1"/>
        <v>0</v>
      </c>
      <c r="J10" s="6"/>
      <c r="K10" s="6"/>
      <c r="L10" s="6">
        <f t="shared" si="2"/>
        <v>0</v>
      </c>
    </row>
    <row r="11" spans="1:12" x14ac:dyDescent="0.25">
      <c r="B11" s="6"/>
      <c r="C11" s="6"/>
      <c r="D11" s="6"/>
      <c r="E11" s="6">
        <f t="shared" si="0"/>
        <v>0</v>
      </c>
      <c r="F11" s="6"/>
      <c r="G11" s="6"/>
      <c r="H11" s="6"/>
      <c r="I11" s="6">
        <f t="shared" si="1"/>
        <v>0</v>
      </c>
      <c r="J11" s="6"/>
      <c r="K11" s="6"/>
      <c r="L11" s="6">
        <f t="shared" si="2"/>
        <v>0</v>
      </c>
    </row>
    <row r="12" spans="1:12" x14ac:dyDescent="0.25">
      <c r="B12" s="6"/>
      <c r="C12" s="6"/>
      <c r="D12" s="6"/>
      <c r="E12" s="6">
        <f t="shared" si="0"/>
        <v>0</v>
      </c>
      <c r="F12" s="6"/>
      <c r="G12" s="6"/>
      <c r="H12" s="6"/>
      <c r="I12" s="6">
        <f t="shared" si="1"/>
        <v>0</v>
      </c>
      <c r="J12" s="6"/>
      <c r="K12" s="6"/>
      <c r="L12" s="6">
        <f t="shared" si="2"/>
        <v>0</v>
      </c>
    </row>
    <row r="13" spans="1:12" x14ac:dyDescent="0.25">
      <c r="B13" s="6" t="s">
        <v>91</v>
      </c>
      <c r="C13" s="6"/>
      <c r="D13" s="6"/>
      <c r="E13" s="6">
        <f t="shared" si="0"/>
        <v>0</v>
      </c>
      <c r="F13" s="6" t="s">
        <v>88</v>
      </c>
      <c r="G13" s="6"/>
      <c r="H13" s="6"/>
      <c r="I13" s="6">
        <f t="shared" si="1"/>
        <v>0</v>
      </c>
      <c r="J13" s="6"/>
      <c r="K13" s="6"/>
      <c r="L13" s="6">
        <f t="shared" si="2"/>
        <v>0</v>
      </c>
    </row>
    <row r="14" spans="1:12" x14ac:dyDescent="0.25">
      <c r="B14" s="6"/>
      <c r="C14" s="6"/>
      <c r="D14" s="6"/>
      <c r="E14" s="6">
        <f t="shared" si="0"/>
        <v>0</v>
      </c>
      <c r="F14" s="6" t="s">
        <v>89</v>
      </c>
      <c r="G14" s="6"/>
      <c r="H14" s="6"/>
      <c r="I14" s="6">
        <f t="shared" si="1"/>
        <v>0</v>
      </c>
      <c r="J14" s="6"/>
      <c r="K14" s="6"/>
      <c r="L14" s="6">
        <f t="shared" si="2"/>
        <v>0</v>
      </c>
    </row>
    <row r="15" spans="1:12" x14ac:dyDescent="0.25">
      <c r="B15" s="6"/>
      <c r="C15" s="6"/>
      <c r="D15" s="6"/>
      <c r="E15" s="6">
        <f t="shared" si="0"/>
        <v>0</v>
      </c>
      <c r="F15" s="6"/>
      <c r="G15" s="6"/>
      <c r="H15" s="6"/>
      <c r="I15" s="6">
        <f t="shared" si="1"/>
        <v>0</v>
      </c>
      <c r="J15" s="6"/>
      <c r="K15" s="6"/>
      <c r="L15" s="6">
        <f t="shared" si="2"/>
        <v>0</v>
      </c>
    </row>
    <row r="16" spans="1:12" x14ac:dyDescent="0.25">
      <c r="B16" s="6"/>
      <c r="C16" s="6"/>
      <c r="D16" s="6"/>
      <c r="E16" s="6">
        <f t="shared" si="0"/>
        <v>0</v>
      </c>
      <c r="F16" s="6"/>
      <c r="G16" s="6"/>
      <c r="H16" s="6"/>
      <c r="I16" s="6">
        <f t="shared" si="1"/>
        <v>0</v>
      </c>
      <c r="J16" s="6"/>
      <c r="K16" s="6"/>
      <c r="L16" s="6">
        <f t="shared" si="2"/>
        <v>0</v>
      </c>
    </row>
    <row r="17" spans="2:12" x14ac:dyDescent="0.25">
      <c r="B17" s="6" t="s">
        <v>92</v>
      </c>
      <c r="C17" s="6"/>
      <c r="D17" s="6"/>
      <c r="E17" s="6">
        <f t="shared" si="0"/>
        <v>0</v>
      </c>
      <c r="F17" s="6" t="s">
        <v>88</v>
      </c>
      <c r="G17" s="6"/>
      <c r="H17" s="6"/>
      <c r="I17" s="6">
        <f t="shared" si="1"/>
        <v>0</v>
      </c>
      <c r="J17" s="6"/>
      <c r="K17" s="6"/>
      <c r="L17" s="6">
        <f t="shared" si="2"/>
        <v>0</v>
      </c>
    </row>
    <row r="18" spans="2:12" x14ac:dyDescent="0.25">
      <c r="B18" s="6"/>
      <c r="C18" s="6"/>
      <c r="D18" s="6"/>
      <c r="E18" s="6">
        <f t="shared" si="0"/>
        <v>0</v>
      </c>
      <c r="F18" s="6" t="s">
        <v>89</v>
      </c>
      <c r="G18" s="6"/>
      <c r="H18" s="6"/>
      <c r="I18" s="6">
        <f t="shared" si="1"/>
        <v>0</v>
      </c>
      <c r="J18" s="6"/>
      <c r="K18" s="6"/>
      <c r="L18" s="6">
        <f t="shared" si="2"/>
        <v>0</v>
      </c>
    </row>
    <row r="19" spans="2:12" x14ac:dyDescent="0.25">
      <c r="B19" s="6"/>
      <c r="C19" s="6"/>
      <c r="D19" s="6"/>
      <c r="E19" s="6">
        <f t="shared" si="0"/>
        <v>0</v>
      </c>
      <c r="F19" s="6"/>
      <c r="G19" s="6"/>
      <c r="H19" s="6"/>
      <c r="I19" s="6">
        <f t="shared" si="1"/>
        <v>0</v>
      </c>
      <c r="J19" s="6"/>
      <c r="K19" s="6"/>
      <c r="L19" s="6">
        <f t="shared" si="2"/>
        <v>0</v>
      </c>
    </row>
    <row r="20" spans="2:12" x14ac:dyDescent="0.25">
      <c r="B20" s="6" t="s">
        <v>92</v>
      </c>
      <c r="C20" s="6"/>
      <c r="D20" s="6"/>
      <c r="E20" s="6">
        <f t="shared" si="0"/>
        <v>0</v>
      </c>
      <c r="F20" s="6" t="s">
        <v>88</v>
      </c>
      <c r="G20" s="6"/>
      <c r="H20" s="6"/>
      <c r="I20" s="6">
        <f t="shared" si="1"/>
        <v>0</v>
      </c>
      <c r="J20" s="6"/>
      <c r="K20" s="6"/>
      <c r="L20" s="6">
        <f t="shared" si="2"/>
        <v>0</v>
      </c>
    </row>
    <row r="21" spans="2:12" x14ac:dyDescent="0.25">
      <c r="B21" s="6"/>
      <c r="C21" s="6"/>
      <c r="D21" s="6"/>
      <c r="E21" s="6">
        <f t="shared" si="0"/>
        <v>0</v>
      </c>
      <c r="F21" s="6" t="s">
        <v>89</v>
      </c>
      <c r="G21" s="6"/>
      <c r="H21" s="6"/>
      <c r="I21" s="6">
        <f t="shared" si="1"/>
        <v>0</v>
      </c>
      <c r="J21" s="6"/>
      <c r="K21" s="6"/>
      <c r="L21" s="6">
        <f t="shared" si="2"/>
        <v>0</v>
      </c>
    </row>
    <row r="22" spans="2:12" x14ac:dyDescent="0.25">
      <c r="B22" s="6"/>
      <c r="C22" s="6"/>
      <c r="D22" s="6"/>
      <c r="E22" s="6">
        <f t="shared" si="0"/>
        <v>0</v>
      </c>
      <c r="F22" s="6"/>
      <c r="G22" s="6"/>
      <c r="H22" s="6"/>
      <c r="I22" s="6">
        <f t="shared" si="1"/>
        <v>0</v>
      </c>
      <c r="J22" s="6"/>
      <c r="K22" s="6"/>
      <c r="L22" s="6">
        <f t="shared" si="2"/>
        <v>0</v>
      </c>
    </row>
    <row r="23" spans="2:12" x14ac:dyDescent="0.25">
      <c r="B23" s="6" t="s">
        <v>93</v>
      </c>
      <c r="C23" s="6"/>
      <c r="D23" s="6"/>
      <c r="E23" s="6">
        <f t="shared" si="0"/>
        <v>0</v>
      </c>
      <c r="F23" s="6" t="s">
        <v>94</v>
      </c>
      <c r="G23" s="6"/>
      <c r="H23" s="6"/>
      <c r="I23" s="6">
        <f t="shared" si="1"/>
        <v>0</v>
      </c>
      <c r="J23" s="6"/>
      <c r="K23" s="6"/>
      <c r="L23" s="6">
        <f t="shared" si="2"/>
        <v>0</v>
      </c>
    </row>
    <row r="24" spans="2:12" x14ac:dyDescent="0.25">
      <c r="B24" s="6" t="s">
        <v>95</v>
      </c>
      <c r="C24" s="6"/>
      <c r="D24" s="6"/>
      <c r="E24" s="6">
        <f t="shared" si="0"/>
        <v>0</v>
      </c>
      <c r="F24" s="6" t="s">
        <v>94</v>
      </c>
      <c r="G24" s="6"/>
      <c r="H24" s="6"/>
      <c r="I24" s="6">
        <f t="shared" si="1"/>
        <v>0</v>
      </c>
      <c r="J24" s="6"/>
      <c r="K24" s="6"/>
      <c r="L24" s="6">
        <f t="shared" si="2"/>
        <v>0</v>
      </c>
    </row>
    <row r="25" spans="2:12" x14ac:dyDescent="0.25">
      <c r="B25" s="6" t="s">
        <v>96</v>
      </c>
      <c r="C25" s="6"/>
      <c r="D25" s="6"/>
      <c r="E25" s="6">
        <f t="shared" si="0"/>
        <v>0</v>
      </c>
      <c r="F25" s="6" t="s">
        <v>94</v>
      </c>
      <c r="G25" s="6"/>
      <c r="H25" s="6"/>
      <c r="I25" s="6">
        <f t="shared" si="1"/>
        <v>0</v>
      </c>
      <c r="J25" s="6"/>
      <c r="K25" s="6"/>
      <c r="L25" s="6">
        <f t="shared" si="2"/>
        <v>0</v>
      </c>
    </row>
    <row r="26" spans="2:12" x14ac:dyDescent="0.25">
      <c r="B26" s="6"/>
      <c r="C26" s="6"/>
      <c r="D26" s="6"/>
      <c r="E26" s="6">
        <f t="shared" si="0"/>
        <v>0</v>
      </c>
      <c r="F26" s="6"/>
      <c r="G26" s="6"/>
      <c r="H26" s="6"/>
      <c r="I26" s="6">
        <f t="shared" si="1"/>
        <v>0</v>
      </c>
      <c r="J26" s="6"/>
      <c r="K26" s="6"/>
      <c r="L26" s="6">
        <f t="shared" si="2"/>
        <v>0</v>
      </c>
    </row>
    <row r="27" spans="2:12" x14ac:dyDescent="0.25">
      <c r="B27" s="6" t="s">
        <v>97</v>
      </c>
      <c r="C27" s="6"/>
      <c r="D27" s="6"/>
      <c r="E27" s="6">
        <f t="shared" si="0"/>
        <v>0</v>
      </c>
      <c r="F27" s="6"/>
      <c r="G27" s="6"/>
      <c r="H27" s="6"/>
      <c r="I27" s="6">
        <f t="shared" si="1"/>
        <v>0</v>
      </c>
      <c r="J27" s="6"/>
      <c r="K27" s="6"/>
      <c r="L27" s="6">
        <f t="shared" si="2"/>
        <v>0</v>
      </c>
    </row>
    <row r="28" spans="2:12" x14ac:dyDescent="0.25">
      <c r="B28" s="6" t="s">
        <v>98</v>
      </c>
      <c r="C28" s="6"/>
      <c r="D28" s="6"/>
      <c r="E28" s="6">
        <f t="shared" si="0"/>
        <v>0</v>
      </c>
      <c r="F28" s="6"/>
      <c r="G28" s="6"/>
      <c r="H28" s="6"/>
      <c r="I28" s="6">
        <f t="shared" si="1"/>
        <v>0</v>
      </c>
      <c r="J28" s="6"/>
      <c r="K28" s="6"/>
      <c r="L28" s="6">
        <f t="shared" si="2"/>
        <v>0</v>
      </c>
    </row>
    <row r="29" spans="2:12" x14ac:dyDescent="0.25">
      <c r="B29" s="6" t="s">
        <v>99</v>
      </c>
      <c r="C29" s="6"/>
      <c r="D29" s="6"/>
      <c r="E29" s="6">
        <f t="shared" si="0"/>
        <v>0</v>
      </c>
      <c r="F29" s="6"/>
      <c r="G29" s="6"/>
      <c r="H29" s="6"/>
      <c r="I29" s="6">
        <f t="shared" si="1"/>
        <v>0</v>
      </c>
      <c r="J29" s="6"/>
      <c r="K29" s="6"/>
      <c r="L29" s="6">
        <f t="shared" si="2"/>
        <v>0</v>
      </c>
    </row>
    <row r="30" spans="2:12" x14ac:dyDescent="0.25">
      <c r="B30" s="6" t="s">
        <v>100</v>
      </c>
      <c r="C30" s="6"/>
      <c r="D30" s="6"/>
      <c r="E30" s="6">
        <f t="shared" si="0"/>
        <v>0</v>
      </c>
      <c r="F30" s="6"/>
      <c r="G30" s="6"/>
      <c r="H30" s="6"/>
      <c r="I30" s="6">
        <f>G30*H30</f>
        <v>0</v>
      </c>
      <c r="J30" s="6"/>
      <c r="K30" s="6"/>
      <c r="L30" s="6">
        <f>J30*K30</f>
        <v>0</v>
      </c>
    </row>
    <row r="31" spans="2:12" x14ac:dyDescent="0.25">
      <c r="B31" s="6"/>
      <c r="C31" s="6"/>
      <c r="D31" s="6"/>
      <c r="E31" s="6">
        <f t="shared" si="0"/>
        <v>0</v>
      </c>
      <c r="F31" s="6"/>
      <c r="G31" s="6"/>
      <c r="H31" s="6"/>
      <c r="I31" s="6">
        <f>G31*H31</f>
        <v>0</v>
      </c>
      <c r="J31" s="6"/>
      <c r="K31" s="6"/>
      <c r="L31" s="6">
        <f>J31*K31</f>
        <v>0</v>
      </c>
    </row>
    <row r="32" spans="2:12" x14ac:dyDescent="0.25">
      <c r="B32" s="6"/>
      <c r="C32" s="6"/>
      <c r="D32" s="6"/>
      <c r="E32" s="6">
        <f t="shared" si="0"/>
        <v>0</v>
      </c>
      <c r="F32" s="6"/>
      <c r="G32" s="6"/>
      <c r="H32" s="6"/>
      <c r="I32" s="6">
        <f>G32*H32</f>
        <v>0</v>
      </c>
      <c r="J32" s="6"/>
      <c r="K32" s="6"/>
      <c r="L32" s="6">
        <f>J32*K32</f>
        <v>0</v>
      </c>
    </row>
    <row r="33" spans="2:12" x14ac:dyDescent="0.25">
      <c r="B33" s="6"/>
      <c r="C33" s="6"/>
      <c r="D33" s="6"/>
      <c r="E33" s="6">
        <f t="shared" si="0"/>
        <v>0</v>
      </c>
      <c r="F33" s="6"/>
      <c r="G33" s="6"/>
      <c r="H33" s="6"/>
      <c r="I33" s="6">
        <f>G33*H33</f>
        <v>0</v>
      </c>
      <c r="J33" s="6"/>
      <c r="K33" s="6"/>
      <c r="L33" s="6">
        <f>J33*K33</f>
        <v>0</v>
      </c>
    </row>
    <row r="34" spans="2:12" x14ac:dyDescent="0.25">
      <c r="B34" s="6" t="s">
        <v>64</v>
      </c>
      <c r="C34" s="6"/>
      <c r="D34" s="6">
        <f>E34*10.764</f>
        <v>0</v>
      </c>
      <c r="E34" s="6">
        <f>SUM(E6:E33)</f>
        <v>0</v>
      </c>
      <c r="F34" s="6"/>
      <c r="G34" s="6"/>
      <c r="H34" s="6">
        <f>I34*10.764</f>
        <v>0</v>
      </c>
      <c r="I34" s="6">
        <f>SUM(I6:I33)</f>
        <v>0</v>
      </c>
      <c r="J34" s="6"/>
      <c r="K34" s="6">
        <f>L34*10.764</f>
        <v>0</v>
      </c>
      <c r="L34" s="6">
        <f>SUM(L6:L33)</f>
        <v>0</v>
      </c>
    </row>
    <row r="36" spans="2:12" x14ac:dyDescent="0.25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13" zoomScale="115" zoomScaleNormal="115" workbookViewId="0">
      <selection activeCell="B27" sqref="B27"/>
    </sheetView>
  </sheetViews>
  <sheetFormatPr defaultColWidth="8.7109375" defaultRowHeight="15" x14ac:dyDescent="0.25"/>
  <cols>
    <col min="1" max="1" width="8.7109375" style="19"/>
    <col min="2" max="2" width="22.140625" style="19" customWidth="1"/>
    <col min="3" max="3" width="37" style="19" customWidth="1"/>
    <col min="4" max="5" width="11.42578125" style="19" customWidth="1"/>
    <col min="6" max="6" width="14" style="19" customWidth="1"/>
    <col min="7" max="7" width="20" style="19" customWidth="1"/>
    <col min="8" max="8" width="16.42578125" style="19" customWidth="1"/>
    <col min="9" max="16384" width="8.7109375" style="19"/>
  </cols>
  <sheetData>
    <row r="1" spans="1:9" ht="15" customHeight="1" x14ac:dyDescent="0.25"/>
    <row r="2" spans="1:9" ht="15" customHeight="1" x14ac:dyDescent="0.25">
      <c r="A2" s="20"/>
      <c r="B2" s="20"/>
      <c r="C2" s="20"/>
      <c r="D2" s="20"/>
      <c r="E2" s="20"/>
      <c r="F2" s="20"/>
      <c r="G2" s="20"/>
      <c r="H2" s="20"/>
    </row>
    <row r="3" spans="1:9" ht="15.75" customHeight="1" x14ac:dyDescent="0.25">
      <c r="A3" s="20"/>
      <c r="B3" s="313" t="s">
        <v>144</v>
      </c>
      <c r="C3" s="313"/>
      <c r="D3" s="313"/>
      <c r="E3" s="313"/>
      <c r="F3" s="313"/>
      <c r="G3" s="313"/>
      <c r="H3" s="313"/>
    </row>
    <row r="4" spans="1:9" x14ac:dyDescent="0.25">
      <c r="A4" s="20"/>
      <c r="B4" s="21" t="s">
        <v>145</v>
      </c>
      <c r="C4" s="21" t="s">
        <v>146</v>
      </c>
      <c r="D4" s="21" t="s">
        <v>80</v>
      </c>
      <c r="E4" s="21" t="s">
        <v>147</v>
      </c>
      <c r="F4" s="21" t="s">
        <v>154</v>
      </c>
      <c r="G4" s="21" t="s">
        <v>155</v>
      </c>
      <c r="H4" s="21" t="s">
        <v>148</v>
      </c>
    </row>
    <row r="5" spans="1:9" ht="15" customHeight="1" x14ac:dyDescent="0.25">
      <c r="A5" s="20"/>
      <c r="B5" s="23" t="s">
        <v>149</v>
      </c>
      <c r="C5" s="24"/>
      <c r="D5" s="23" t="s">
        <v>150</v>
      </c>
      <c r="E5" s="23">
        <v>1106</v>
      </c>
      <c r="F5" s="25">
        <f>E5*1.6</f>
        <v>1769.6000000000001</v>
      </c>
      <c r="G5" s="25">
        <f>H5/F5</f>
        <v>31532.549728752259</v>
      </c>
      <c r="H5" s="26">
        <v>55800000</v>
      </c>
    </row>
    <row r="6" spans="1:9" x14ac:dyDescent="0.25">
      <c r="A6" s="20"/>
      <c r="B6" s="23" t="s">
        <v>149</v>
      </c>
      <c r="C6" s="27"/>
      <c r="D6" s="23"/>
      <c r="E6" s="23"/>
      <c r="F6" s="25">
        <f t="shared" ref="F6:F11" si="0">E6*1.6</f>
        <v>0</v>
      </c>
      <c r="G6" s="25" t="e">
        <f t="shared" ref="G6:G11" si="1">H6/F6</f>
        <v>#DIV/0!</v>
      </c>
      <c r="H6" s="26"/>
    </row>
    <row r="7" spans="1:9" ht="15" customHeight="1" x14ac:dyDescent="0.25">
      <c r="A7" s="20"/>
      <c r="B7" s="23" t="s">
        <v>149</v>
      </c>
      <c r="C7" s="24"/>
      <c r="D7" s="23"/>
      <c r="E7" s="23"/>
      <c r="F7" s="25">
        <f t="shared" si="0"/>
        <v>0</v>
      </c>
      <c r="G7" s="25" t="e">
        <f t="shared" si="1"/>
        <v>#DIV/0!</v>
      </c>
      <c r="H7" s="26"/>
    </row>
    <row r="8" spans="1:9" x14ac:dyDescent="0.25">
      <c r="A8" s="20"/>
      <c r="B8" s="23" t="s">
        <v>149</v>
      </c>
      <c r="C8" s="27"/>
      <c r="D8" s="23"/>
      <c r="E8" s="23"/>
      <c r="F8" s="25">
        <f t="shared" si="0"/>
        <v>0</v>
      </c>
      <c r="G8" s="25" t="e">
        <f t="shared" si="1"/>
        <v>#DIV/0!</v>
      </c>
      <c r="H8" s="26"/>
    </row>
    <row r="9" spans="1:9" ht="15" customHeight="1" x14ac:dyDescent="0.25">
      <c r="A9" s="20"/>
      <c r="B9" s="23" t="s">
        <v>149</v>
      </c>
      <c r="C9" s="27"/>
      <c r="D9" s="23"/>
      <c r="E9" s="23"/>
      <c r="F9" s="25">
        <f t="shared" si="0"/>
        <v>0</v>
      </c>
      <c r="G9" s="25" t="e">
        <f t="shared" si="1"/>
        <v>#DIV/0!</v>
      </c>
      <c r="H9" s="26"/>
    </row>
    <row r="10" spans="1:9" ht="15" customHeight="1" x14ac:dyDescent="0.25">
      <c r="A10" s="20"/>
      <c r="B10" s="23" t="s">
        <v>151</v>
      </c>
      <c r="C10" s="24"/>
      <c r="D10" s="23"/>
      <c r="E10" s="23"/>
      <c r="F10" s="25">
        <f t="shared" si="0"/>
        <v>0</v>
      </c>
      <c r="G10" s="25" t="e">
        <f t="shared" si="1"/>
        <v>#DIV/0!</v>
      </c>
      <c r="H10" s="26"/>
    </row>
    <row r="11" spans="1:9" ht="15" customHeight="1" x14ac:dyDescent="0.25">
      <c r="A11" s="20"/>
      <c r="B11" s="23" t="s">
        <v>151</v>
      </c>
      <c r="C11" s="24"/>
      <c r="D11" s="23"/>
      <c r="E11" s="23"/>
      <c r="F11" s="25">
        <f t="shared" si="0"/>
        <v>0</v>
      </c>
      <c r="G11" s="25" t="e">
        <f t="shared" si="1"/>
        <v>#DIV/0!</v>
      </c>
      <c r="H11" s="26"/>
    </row>
    <row r="12" spans="1:9" ht="15" customHeight="1" x14ac:dyDescent="0.25">
      <c r="A12" s="20"/>
      <c r="B12" s="28" t="s">
        <v>152</v>
      </c>
      <c r="C12" s="23"/>
      <c r="D12" s="23"/>
      <c r="E12" s="23"/>
      <c r="F12" s="23"/>
      <c r="G12" s="29" t="e">
        <f>AVERAGE(G5:G11)</f>
        <v>#DIV/0!</v>
      </c>
      <c r="H12" s="23"/>
    </row>
    <row r="13" spans="1:9" ht="15" customHeight="1" x14ac:dyDescent="0.25">
      <c r="B13" s="28" t="s">
        <v>153</v>
      </c>
      <c r="C13" s="23"/>
      <c r="D13" s="23"/>
      <c r="E13" s="23"/>
      <c r="F13" s="30"/>
      <c r="G13" s="28"/>
      <c r="H13" s="28"/>
      <c r="I13" s="22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G16" sqref="G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Report</vt:lpstr>
      <vt:lpstr>Old Plan Report </vt:lpstr>
      <vt:lpstr>Flat detail</vt:lpstr>
      <vt:lpstr>valuation</vt:lpstr>
      <vt:lpstr>Note</vt:lpstr>
      <vt:lpstr>'Old Plan Report '!Print_Area</vt:lpstr>
      <vt:lpstr>Report!Print_Area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Welcome</cp:lastModifiedBy>
  <cp:lastPrinted>2025-08-13T12:22:29Z</cp:lastPrinted>
  <dcterms:created xsi:type="dcterms:W3CDTF">2019-07-16T09:29:46Z</dcterms:created>
  <dcterms:modified xsi:type="dcterms:W3CDTF">2025-08-13T12:22:36Z</dcterms:modified>
</cp:coreProperties>
</file>