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Aug 25\Dump\DUMP\New folder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5" i="1" l="1"/>
  <c r="C71" i="1" l="1"/>
  <c r="D163" i="1" l="1"/>
  <c r="F163" i="1" s="1"/>
  <c r="D162" i="1"/>
  <c r="F162" i="1" s="1"/>
  <c r="D161" i="1"/>
  <c r="F161" i="1" s="1"/>
  <c r="D159" i="1"/>
  <c r="F159" i="1" s="1"/>
  <c r="J158" i="1"/>
  <c r="G158" i="1"/>
  <c r="D158" i="1"/>
  <c r="F158" i="1" s="1"/>
  <c r="I158" i="1" s="1"/>
  <c r="D156" i="1"/>
  <c r="F156" i="1" s="1"/>
  <c r="D154" i="1"/>
  <c r="F154" i="1" s="1"/>
  <c r="D151" i="1"/>
  <c r="F151" i="1" s="1"/>
  <c r="I151" i="1" s="1"/>
  <c r="D149" i="1"/>
  <c r="D155" i="1"/>
  <c r="F155" i="1" s="1"/>
  <c r="D153" i="1"/>
  <c r="F153" i="1" s="1"/>
  <c r="D152" i="1"/>
  <c r="F152" i="1" s="1"/>
  <c r="J151" i="1"/>
  <c r="G151" i="1"/>
  <c r="G149" i="1"/>
  <c r="D146" i="1"/>
  <c r="F146" i="1" s="1"/>
  <c r="G146" i="1"/>
  <c r="D144" i="1"/>
  <c r="D143" i="1"/>
  <c r="D141" i="1"/>
  <c r="D140" i="1"/>
  <c r="D139" i="1"/>
  <c r="D136" i="1"/>
  <c r="D135" i="1"/>
  <c r="D134" i="1"/>
  <c r="D137" i="1"/>
  <c r="D133" i="1"/>
  <c r="D132" i="1"/>
  <c r="J132" i="1"/>
  <c r="D130" i="1"/>
  <c r="E113" i="1" l="1"/>
  <c r="E114" i="1"/>
  <c r="C113" i="1"/>
  <c r="C114" i="1"/>
  <c r="K114" i="1"/>
  <c r="J114" i="1"/>
  <c r="F149" i="1"/>
  <c r="G114" i="1" s="1"/>
  <c r="F144" i="1"/>
  <c r="J113" i="1"/>
  <c r="G139" i="1"/>
  <c r="F135" i="1"/>
  <c r="F136" i="1"/>
  <c r="F133" i="1"/>
  <c r="F132" i="1"/>
  <c r="I132" i="1" s="1"/>
  <c r="F137" i="1"/>
  <c r="F134" i="1"/>
  <c r="G132" i="1"/>
  <c r="E115" i="1" l="1"/>
  <c r="J115" i="1"/>
  <c r="J116" i="1" s="1"/>
  <c r="K113" i="1"/>
  <c r="K116" i="1" s="1"/>
  <c r="K117" i="1" s="1"/>
  <c r="K115" i="1"/>
  <c r="E27" i="1"/>
  <c r="C115" i="1" l="1"/>
  <c r="F130" i="1"/>
  <c r="G130" i="1"/>
  <c r="F105" i="1" l="1"/>
  <c r="F122" i="1" l="1"/>
  <c r="F123" i="1"/>
  <c r="F124" i="1"/>
  <c r="F121" i="1"/>
  <c r="B166" i="1" l="1"/>
  <c r="C13" i="1" l="1"/>
  <c r="F143" i="1" l="1"/>
  <c r="F141" i="1"/>
  <c r="I141" i="1" s="1"/>
  <c r="F140" i="1"/>
  <c r="F139" i="1"/>
  <c r="G113" i="1" l="1"/>
  <c r="G115" i="1" s="1"/>
  <c r="B16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9" i="1"/>
  <c r="A122" i="1"/>
  <c r="A123" i="1" s="1"/>
  <c r="A124" i="1" s="1"/>
  <c r="G121" i="1"/>
  <c r="G122" i="1" s="1"/>
  <c r="G123" i="1" s="1"/>
  <c r="G124" i="1" s="1"/>
  <c r="J89" i="1"/>
  <c r="J88" i="1"/>
  <c r="J87" i="1"/>
  <c r="J86" i="1"/>
  <c r="C78" i="1"/>
  <c r="J75" i="1"/>
  <c r="J74" i="1"/>
  <c r="J73" i="1"/>
  <c r="J72" i="1"/>
  <c r="D52" i="1"/>
  <c r="G47" i="1"/>
  <c r="G48" i="1" s="1"/>
  <c r="C47" i="1"/>
  <c r="E40" i="1"/>
  <c r="E41" i="1" s="1"/>
  <c r="E24" i="1"/>
  <c r="E22" i="1"/>
  <c r="E7" i="1"/>
  <c r="E3" i="1"/>
  <c r="D58" i="1" s="1"/>
  <c r="H65" i="1"/>
  <c r="H79" i="1"/>
  <c r="D89" i="1" l="1"/>
  <c r="D90" i="1"/>
  <c r="D91" i="1"/>
  <c r="D85" i="1"/>
  <c r="D86" i="1"/>
  <c r="D87" i="1"/>
  <c r="D88" i="1"/>
  <c r="D84" i="1"/>
  <c r="D77" i="1"/>
  <c r="D75" i="1"/>
  <c r="D74" i="1"/>
  <c r="D73" i="1"/>
  <c r="D71" i="1"/>
  <c r="D70" i="1"/>
  <c r="D76" i="1"/>
  <c r="D72" i="1"/>
  <c r="J68" i="1"/>
  <c r="J69" i="1"/>
  <c r="C68" i="1" s="1"/>
  <c r="J67" i="1"/>
  <c r="J70" i="1"/>
  <c r="J84" i="1"/>
  <c r="J85" i="1" s="1"/>
  <c r="J90" i="1" s="1"/>
  <c r="J91" i="1" s="1"/>
  <c r="C83" i="1" s="1"/>
  <c r="G82" i="1" s="1"/>
  <c r="J82" i="1"/>
  <c r="J83" i="1"/>
  <c r="J81" i="1"/>
  <c r="J71" i="1" l="1"/>
  <c r="J76" i="1" s="1"/>
  <c r="D68" i="1"/>
  <c r="E82" i="1"/>
  <c r="D83" i="1"/>
  <c r="D82" i="1"/>
  <c r="J77" i="1" l="1"/>
  <c r="C69" i="1" s="1"/>
  <c r="G68" i="1" s="1"/>
  <c r="D62" i="1" s="1"/>
  <c r="D63" i="1" s="1"/>
  <c r="I78" i="1"/>
  <c r="C80" i="1" s="1"/>
  <c r="D69" i="1" l="1"/>
  <c r="E68" i="1"/>
  <c r="I64" i="1" s="1"/>
  <c r="C66" i="1" s="1"/>
  <c r="F63" i="1"/>
</calcChain>
</file>

<file path=xl/sharedStrings.xml><?xml version="1.0" encoding="utf-8"?>
<sst xmlns="http://schemas.openxmlformats.org/spreadsheetml/2006/main" count="337" uniqueCount="229">
  <si>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</si>
  <si>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</si>
  <si>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</si>
  <si>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</si>
  <si>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</si>
  <si>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</si>
  <si>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</si>
  <si>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</si>
  <si>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</si>
  <si>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</si>
  <si>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</si>
  <si>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</si>
  <si>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</si>
  <si>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</si>
  <si>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</si>
  <si>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</si>
  <si>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</si>
  <si>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</si>
  <si>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</si>
  <si>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</si>
  <si>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</si>
  <si>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</si>
  <si>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</si>
  <si>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</si>
  <si>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</si>
  <si>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</si>
  <si>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</si>
  <si>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</si>
  <si>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</si>
  <si>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</si>
  <si>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</si>
  <si>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</si>
  <si>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</si>
  <si>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</si>
  <si>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</si>
  <si>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</si>
  <si>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</si>
  <si>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</si>
  <si>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</si>
  <si>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</si>
  <si>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</si>
  <si>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</si>
  <si>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</si>
  <si>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</si>
  <si>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</si>
  <si>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</si>
  <si>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</si>
  <si>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</si>
  <si>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</si>
  <si>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</si>
  <si>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</si>
  <si>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</si>
  <si>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</si>
  <si>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</si>
  <si>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</si>
  <si>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</si>
  <si>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</si>
  <si>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</si>
  <si>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</si>
  <si>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</si>
  <si>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</si>
  <si>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</si>
  <si>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</si>
  <si>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</si>
  <si>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</si>
  <si>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</si>
  <si>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</si>
  <si>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</si>
  <si>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</si>
  <si>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</si>
  <si>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</si>
  <si>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</si>
  <si>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</si>
  <si>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</si>
  <si>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</si>
  <si>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</si>
  <si>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</si>
  <si>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</si>
  <si>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</si>
  <si>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</si>
  <si>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</si>
  <si>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</si>
  <si>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</si>
  <si>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</si>
  <si>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</si>
  <si>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</si>
  <si>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</si>
  <si>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</si>
  <si>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</si>
  <si>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</si>
  <si>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</si>
  <si>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</si>
  <si>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</si>
  <si>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</si>
  <si>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</si>
  <si>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</si>
  <si>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</si>
  <si>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</si>
  <si>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</si>
  <si>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</si>
  <si>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</si>
  <si>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</si>
  <si>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</si>
  <si>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</si>
  <si>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</si>
  <si>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</si>
  <si>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</si>
  <si>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</si>
  <si>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</si>
  <si>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</si>
  <si>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</si>
  <si>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</si>
  <si>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</si>
  <si>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</si>
  <si>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</si>
  <si>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</si>
  <si>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</si>
  <si>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</si>
  <si>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</si>
  <si>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</si>
  <si>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</si>
  <si>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</si>
  <si>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</si>
  <si>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</si>
  <si>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</si>
  <si>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</si>
  <si>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</si>
  <si>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</si>
  <si>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</si>
  <si>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</si>
  <si>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</si>
  <si>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</si>
  <si>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</si>
  <si>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</si>
  <si>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</si>
  <si>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</si>
  <si>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</si>
  <si>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</si>
  <si>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</si>
  <si>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</si>
  <si>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</si>
  <si>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</si>
  <si>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</si>
  <si>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</si>
  <si>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</si>
  <si>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</si>
  <si>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</si>
  <si>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</si>
  <si>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</si>
  <si>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</si>
  <si>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</si>
  <si>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</si>
  <si>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</si>
  <si>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</si>
  <si>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</si>
  <si>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</si>
  <si>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</si>
  <si>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</si>
  <si>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</si>
  <si>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</si>
  <si>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</si>
  <si>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</si>
  <si>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</si>
  <si>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</si>
  <si>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</si>
  <si>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</si>
  <si>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</si>
  <si>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</si>
  <si>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</si>
  <si>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</si>
  <si>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</si>
  <si>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Axis Sanpada</t>
  </si>
  <si>
    <t>M/s.Macrotech Developers Limited</t>
  </si>
  <si>
    <t>P51700034071</t>
  </si>
  <si>
    <t>Survey No</t>
  </si>
  <si>
    <t>85/1B, 86/2, 82/1/A/2(Pt)</t>
  </si>
  <si>
    <t>Ghodbander</t>
  </si>
  <si>
    <t>Thane</t>
  </si>
  <si>
    <t>Poonam Sargam Chsl</t>
  </si>
  <si>
    <t>Vishal Residency</t>
  </si>
  <si>
    <t>Gaurav samrudhi Apartment</t>
  </si>
  <si>
    <t>Approved Plans, CC</t>
  </si>
  <si>
    <t>Unique Signature</t>
  </si>
  <si>
    <t>6.6 KM from Mira Road Railway Station</t>
  </si>
  <si>
    <t>Mira Road</t>
  </si>
  <si>
    <t>Internal Road</t>
  </si>
  <si>
    <t>As per RERA - 31/03/2026</t>
  </si>
  <si>
    <t>2 Buildings</t>
  </si>
  <si>
    <t>Mira-Bhayandar Municipal Corporation</t>
  </si>
  <si>
    <t>MBNBP/NR/43621/2021-22</t>
  </si>
  <si>
    <t>MNP/NR/4362/2021-2022</t>
  </si>
  <si>
    <t>Tower 1</t>
  </si>
  <si>
    <t>2BHK</t>
  </si>
  <si>
    <t>2.5BHK</t>
  </si>
  <si>
    <t>8th, 13th, 18th, 23rd &amp; 28th Floor (Part Refuge Floor)</t>
  </si>
  <si>
    <t>Refuge Area</t>
  </si>
  <si>
    <t>3BHK</t>
  </si>
  <si>
    <t>Tower 2</t>
  </si>
  <si>
    <t xml:space="preserve">We considered Gross carpet area = Net carpet + balcony + C.B Area </t>
  </si>
  <si>
    <t>Sheet</t>
  </si>
  <si>
    <t>On Carpet Area</t>
  </si>
  <si>
    <t>on Saleable Area</t>
  </si>
  <si>
    <t>Housing</t>
  </si>
  <si>
    <t>Lodha Miraroad Tower 1 &amp; 2</t>
  </si>
  <si>
    <t>Tower 1 &amp; 2</t>
  </si>
  <si>
    <t>Provisional Building Common Area Maintenance (CAM) Charges for 18 months</t>
  </si>
  <si>
    <t>Utility Connection &amp; Related Expenses*</t>
  </si>
  <si>
    <t>Piped Gas Connection &amp; related expenses*</t>
  </si>
  <si>
    <t>Land Under Construction (LUC) Reimbursement Charges*</t>
  </si>
  <si>
    <t>Tower 1 = Gr/St + 1st to 30th Floor
Tower 2 = Gr/St + 1st to 31st Floor</t>
  </si>
  <si>
    <t>Tower 2 = Gr/St + 1st to 31st Floor</t>
  </si>
  <si>
    <t>Ground Floor for Residential, Parking &amp; Society Office</t>
  </si>
  <si>
    <t>1st to 7th, 9th to 12th, 14th to 17th, 19th to 22nd, 24th to 27th &amp; 29th Floor</t>
  </si>
  <si>
    <t>30th Floor for Residential (Part Terrace Area)</t>
  </si>
  <si>
    <t>1st to 7th, 9th to 12th, 14th to 17th, 19th to 22nd, 24th to 27th, 29th, 30th &amp; 31st Floor</t>
  </si>
  <si>
    <t>We have updated revised approved floor plan &amp; C.C (on 18/11/2022).</t>
  </si>
  <si>
    <t>Part Refuge Area</t>
  </si>
  <si>
    <t>Flats -353</t>
  </si>
  <si>
    <t>Location Link</t>
  </si>
  <si>
    <t>https://goo.gl/maps/yCGesKVs2jxT83Ka7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</si>
  <si>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              Email : vsjcapf@gmail.com. Web site : www.vsjadon.com
</t>
  </si>
  <si>
    <t>On Site, we meet Mr. Rajendra Giri : 9820248856.</t>
  </si>
  <si>
    <t>Tower 1 = Gr/St + 1st to 31st Floor</t>
  </si>
  <si>
    <t xml:space="preserve">Tower 1 &amp; 2 = Construction work is in process at the time of Visit. Internal photographs not allowed.
</t>
  </si>
  <si>
    <t>Tower 1 Construction work goes beyond approved no. of floor. Please provide latest Approved Plans &amp; CC.</t>
  </si>
  <si>
    <t>Rajendra Giri 9820248856</t>
  </si>
  <si>
    <t>Shruti Tathare</t>
  </si>
  <si>
    <t>Suraj Mali</t>
  </si>
  <si>
    <t>Tower 1 &amp; 2 = Gr/St + 1st to 31st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</si>
</sst>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8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10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3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17" fillId="0" borderId="12" xfId="0" applyFont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167" fontId="7" fillId="0" borderId="0" xfId="9" applyNumberFormat="1" applyFont="1" applyFill="1" applyAlignment="1">
      <alignment horizontal="right" vertical="center"/>
    </xf>
    <xf numFmtId="0" fontId="15" fillId="0" borderId="0" xfId="2" applyFont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167" fontId="7" fillId="2" borderId="0" xfId="9" applyNumberFormat="1" applyFont="1" applyFill="1" applyAlignment="1">
      <alignment horizontal="right" vertical="center"/>
    </xf>
    <xf numFmtId="0" fontId="15" fillId="2" borderId="0" xfId="2" applyFont="1" applyFill="1"/>
    <xf numFmtId="167" fontId="15" fillId="2" borderId="0" xfId="9" applyNumberFormat="1" applyFont="1" applyFill="1" applyAlignment="1">
      <alignment horizontal="right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3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9" fontId="12" fillId="0" borderId="19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9" fontId="12" fillId="0" borderId="30" xfId="8" applyFont="1" applyFill="1" applyBorder="1" applyAlignment="1" applyProtection="1">
      <alignment horizontal="center" vertical="center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8" fillId="0" borderId="18" xfId="1" applyFont="1" applyBorder="1" applyAlignment="1" applyProtection="1">
      <alignment horizontal="left" vertical="top"/>
      <protection locked="0"/>
    </xf>
    <xf numFmtId="0" fontId="8" fillId="0" borderId="18" xfId="1" applyFont="1" applyBorder="1" applyAlignment="1" applyProtection="1">
      <alignment horizontal="center" vertical="top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31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8" xfId="10" applyBorder="1" applyAlignment="1" applyProtection="1">
      <alignment horizontal="left"/>
      <protection locked="0"/>
    </xf>
    <xf numFmtId="0" fontId="12" fillId="0" borderId="23" xfId="1" applyFont="1" applyBorder="1" applyAlignment="1" applyProtection="1">
      <alignment horizontal="left"/>
      <protection locked="0"/>
    </xf>
    <xf numFmtId="0" fontId="12" fillId="0" borderId="9" xfId="1" applyFont="1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6" fillId="0" borderId="22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3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6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440344</xdr:colOff>
      <xdr:row>232</xdr:row>
      <xdr:rowOff>103101</xdr:rowOff>
    </xdr:from>
    <xdr:to>
      <xdr:col>7</xdr:col>
      <xdr:colOff>549632</xdr:colOff>
      <xdr:row>269</xdr:row>
      <xdr:rowOff>72989</xdr:rowOff>
    </xdr:to>
    <xdr:grpSp>
      <xdr:nvGrpSpPr>
        <xdr:cNvPr id="8" name="Group 7"/>
        <xdr:cNvGrpSpPr/>
      </xdr:nvGrpSpPr>
      <xdr:grpSpPr>
        <a:xfrm>
          <a:off x="440344" y="44194326"/>
          <a:ext cx="5767138" cy="7370813"/>
          <a:chOff x="360062" y="44847468"/>
          <a:chExt cx="5783467" cy="752185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xmlns="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0062" y="48656278"/>
            <a:ext cx="5769861" cy="371304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3668" y="44847468"/>
            <a:ext cx="5769861" cy="3713044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495300</xdr:colOff>
      <xdr:row>189</xdr:row>
      <xdr:rowOff>38100</xdr:rowOff>
    </xdr:from>
    <xdr:to>
      <xdr:col>7</xdr:col>
      <xdr:colOff>442913</xdr:colOff>
      <xdr:row>230</xdr:row>
      <xdr:rowOff>16875</xdr:rowOff>
    </xdr:to>
    <xdr:grpSp>
      <xdr:nvGrpSpPr>
        <xdr:cNvPr id="7" name="Group 6"/>
        <xdr:cNvGrpSpPr/>
      </xdr:nvGrpSpPr>
      <xdr:grpSpPr>
        <a:xfrm>
          <a:off x="495300" y="35537775"/>
          <a:ext cx="5605463" cy="8170275"/>
          <a:chOff x="428625" y="39281100"/>
          <a:chExt cx="5605463" cy="8170275"/>
        </a:xfrm>
      </xdr:grpSpPr>
      <xdr:pic>
        <xdr:nvPicPr>
          <xdr:cNvPr id="18" name="Picture 17" descr="https://vsjcllp.vsjadon.com/upload/insp-24325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43275" y="45291375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4325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8625" y="39281100"/>
            <a:ext cx="2757488" cy="36766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3258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52900" y="43043475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3258-84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33425" y="43043475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3258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38400" y="43043475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43258-84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76600" y="39281100"/>
            <a:ext cx="2757488" cy="36766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4325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9251" y="45289787"/>
            <a:ext cx="16210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CGesKVs2jxT83Ka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32"/>
  <sheetViews>
    <sheetView tabSelected="1" view="pageBreakPreview" topLeftCell="A156" zoomScaleNormal="100" zoomScaleSheetLayoutView="100" workbookViewId="0">
      <selection activeCell="K165" sqref="K165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5703125" style="40" customWidth="1"/>
    <col min="4" max="4" width="14.140625" style="40" customWidth="1"/>
    <col min="5" max="7" width="11.5703125" style="40" customWidth="1"/>
    <col min="8" max="8" width="12.42578125" style="40" customWidth="1"/>
    <col min="9" max="9" width="17.42578125" style="20" customWidth="1"/>
    <col min="10" max="10" width="11.42578125" style="20" customWidth="1"/>
    <col min="11" max="11" width="12.42578125" style="20" bestFit="1" customWidth="1"/>
    <col min="12" max="12" width="10.5703125" style="20" customWidth="1"/>
    <col min="13" max="13" width="11.85546875" style="20" customWidth="1"/>
    <col min="14" max="14" width="12.5703125" style="20" customWidth="1"/>
    <col min="15" max="15" width="9.85546875" style="20" customWidth="1"/>
    <col min="16" max="16" width="11.5703125" style="20" customWidth="1"/>
    <col min="17" max="247" width="9.140625" style="20"/>
    <col min="248" max="248" width="8.5703125" style="20" customWidth="1"/>
    <col min="249" max="249" width="9.85546875" style="20" customWidth="1"/>
    <col min="250" max="250" width="14.42578125" style="20" customWidth="1"/>
    <col min="251" max="251" width="7.425781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5703125" style="20" customWidth="1"/>
    <col min="505" max="505" width="9.85546875" style="20" customWidth="1"/>
    <col min="506" max="506" width="14.42578125" style="20" customWidth="1"/>
    <col min="507" max="507" width="7.425781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5703125" style="20" customWidth="1"/>
    <col min="761" max="761" width="9.85546875" style="20" customWidth="1"/>
    <col min="762" max="762" width="14.42578125" style="20" customWidth="1"/>
    <col min="763" max="763" width="7.425781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5703125" style="20" customWidth="1"/>
    <col min="1017" max="1017" width="9.85546875" style="20" customWidth="1"/>
    <col min="1018" max="1018" width="14.42578125" style="20" customWidth="1"/>
    <col min="1019" max="1019" width="7.425781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5703125" style="20" customWidth="1"/>
    <col min="1273" max="1273" width="9.85546875" style="20" customWidth="1"/>
    <col min="1274" max="1274" width="14.42578125" style="20" customWidth="1"/>
    <col min="1275" max="1275" width="7.425781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5703125" style="20" customWidth="1"/>
    <col min="1529" max="1529" width="9.85546875" style="20" customWidth="1"/>
    <col min="1530" max="1530" width="14.42578125" style="20" customWidth="1"/>
    <col min="1531" max="1531" width="7.425781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5703125" style="20" customWidth="1"/>
    <col min="1785" max="1785" width="9.85546875" style="20" customWidth="1"/>
    <col min="1786" max="1786" width="14.42578125" style="20" customWidth="1"/>
    <col min="1787" max="1787" width="7.425781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5703125" style="20" customWidth="1"/>
    <col min="2041" max="2041" width="9.85546875" style="20" customWidth="1"/>
    <col min="2042" max="2042" width="14.42578125" style="20" customWidth="1"/>
    <col min="2043" max="2043" width="7.425781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5703125" style="20" customWidth="1"/>
    <col min="2297" max="2297" width="9.85546875" style="20" customWidth="1"/>
    <col min="2298" max="2298" width="14.42578125" style="20" customWidth="1"/>
    <col min="2299" max="2299" width="7.425781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5703125" style="20" customWidth="1"/>
    <col min="2553" max="2553" width="9.85546875" style="20" customWidth="1"/>
    <col min="2554" max="2554" width="14.42578125" style="20" customWidth="1"/>
    <col min="2555" max="2555" width="7.425781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5703125" style="20" customWidth="1"/>
    <col min="2809" max="2809" width="9.85546875" style="20" customWidth="1"/>
    <col min="2810" max="2810" width="14.42578125" style="20" customWidth="1"/>
    <col min="2811" max="2811" width="7.425781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5703125" style="20" customWidth="1"/>
    <col min="3065" max="3065" width="9.85546875" style="20" customWidth="1"/>
    <col min="3066" max="3066" width="14.42578125" style="20" customWidth="1"/>
    <col min="3067" max="3067" width="7.425781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5703125" style="20" customWidth="1"/>
    <col min="3321" max="3321" width="9.85546875" style="20" customWidth="1"/>
    <col min="3322" max="3322" width="14.42578125" style="20" customWidth="1"/>
    <col min="3323" max="3323" width="7.425781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5703125" style="20" customWidth="1"/>
    <col min="3577" max="3577" width="9.85546875" style="20" customWidth="1"/>
    <col min="3578" max="3578" width="14.42578125" style="20" customWidth="1"/>
    <col min="3579" max="3579" width="7.425781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5703125" style="20" customWidth="1"/>
    <col min="3833" max="3833" width="9.85546875" style="20" customWidth="1"/>
    <col min="3834" max="3834" width="14.42578125" style="20" customWidth="1"/>
    <col min="3835" max="3835" width="7.425781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5703125" style="20" customWidth="1"/>
    <col min="4089" max="4089" width="9.85546875" style="20" customWidth="1"/>
    <col min="4090" max="4090" width="14.42578125" style="20" customWidth="1"/>
    <col min="4091" max="4091" width="7.425781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5703125" style="20" customWidth="1"/>
    <col min="4345" max="4345" width="9.85546875" style="20" customWidth="1"/>
    <col min="4346" max="4346" width="14.42578125" style="20" customWidth="1"/>
    <col min="4347" max="4347" width="7.425781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5703125" style="20" customWidth="1"/>
    <col min="4601" max="4601" width="9.85546875" style="20" customWidth="1"/>
    <col min="4602" max="4602" width="14.42578125" style="20" customWidth="1"/>
    <col min="4603" max="4603" width="7.425781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5703125" style="20" customWidth="1"/>
    <col min="4857" max="4857" width="9.85546875" style="20" customWidth="1"/>
    <col min="4858" max="4858" width="14.42578125" style="20" customWidth="1"/>
    <col min="4859" max="4859" width="7.425781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5703125" style="20" customWidth="1"/>
    <col min="5113" max="5113" width="9.85546875" style="20" customWidth="1"/>
    <col min="5114" max="5114" width="14.42578125" style="20" customWidth="1"/>
    <col min="5115" max="5115" width="7.425781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5703125" style="20" customWidth="1"/>
    <col min="5369" max="5369" width="9.85546875" style="20" customWidth="1"/>
    <col min="5370" max="5370" width="14.42578125" style="20" customWidth="1"/>
    <col min="5371" max="5371" width="7.425781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5703125" style="20" customWidth="1"/>
    <col min="5625" max="5625" width="9.85546875" style="20" customWidth="1"/>
    <col min="5626" max="5626" width="14.42578125" style="20" customWidth="1"/>
    <col min="5627" max="5627" width="7.425781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5703125" style="20" customWidth="1"/>
    <col min="5881" max="5881" width="9.85546875" style="20" customWidth="1"/>
    <col min="5882" max="5882" width="14.42578125" style="20" customWidth="1"/>
    <col min="5883" max="5883" width="7.425781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5703125" style="20" customWidth="1"/>
    <col min="6137" max="6137" width="9.85546875" style="20" customWidth="1"/>
    <col min="6138" max="6138" width="14.42578125" style="20" customWidth="1"/>
    <col min="6139" max="6139" width="7.425781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5703125" style="20" customWidth="1"/>
    <col min="6393" max="6393" width="9.85546875" style="20" customWidth="1"/>
    <col min="6394" max="6394" width="14.42578125" style="20" customWidth="1"/>
    <col min="6395" max="6395" width="7.425781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5703125" style="20" customWidth="1"/>
    <col min="6649" max="6649" width="9.85546875" style="20" customWidth="1"/>
    <col min="6650" max="6650" width="14.42578125" style="20" customWidth="1"/>
    <col min="6651" max="6651" width="7.425781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5703125" style="20" customWidth="1"/>
    <col min="6905" max="6905" width="9.85546875" style="20" customWidth="1"/>
    <col min="6906" max="6906" width="14.42578125" style="20" customWidth="1"/>
    <col min="6907" max="6907" width="7.425781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5703125" style="20" customWidth="1"/>
    <col min="7161" max="7161" width="9.85546875" style="20" customWidth="1"/>
    <col min="7162" max="7162" width="14.42578125" style="20" customWidth="1"/>
    <col min="7163" max="7163" width="7.425781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5703125" style="20" customWidth="1"/>
    <col min="7417" max="7417" width="9.85546875" style="20" customWidth="1"/>
    <col min="7418" max="7418" width="14.42578125" style="20" customWidth="1"/>
    <col min="7419" max="7419" width="7.425781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5703125" style="20" customWidth="1"/>
    <col min="7673" max="7673" width="9.85546875" style="20" customWidth="1"/>
    <col min="7674" max="7674" width="14.42578125" style="20" customWidth="1"/>
    <col min="7675" max="7675" width="7.425781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5703125" style="20" customWidth="1"/>
    <col min="7929" max="7929" width="9.85546875" style="20" customWidth="1"/>
    <col min="7930" max="7930" width="14.42578125" style="20" customWidth="1"/>
    <col min="7931" max="7931" width="7.425781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5703125" style="20" customWidth="1"/>
    <col min="8185" max="8185" width="9.85546875" style="20" customWidth="1"/>
    <col min="8186" max="8186" width="14.42578125" style="20" customWidth="1"/>
    <col min="8187" max="8187" width="7.425781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5703125" style="20" customWidth="1"/>
    <col min="8441" max="8441" width="9.85546875" style="20" customWidth="1"/>
    <col min="8442" max="8442" width="14.42578125" style="20" customWidth="1"/>
    <col min="8443" max="8443" width="7.425781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5703125" style="20" customWidth="1"/>
    <col min="8697" max="8697" width="9.85546875" style="20" customWidth="1"/>
    <col min="8698" max="8698" width="14.42578125" style="20" customWidth="1"/>
    <col min="8699" max="8699" width="7.425781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5703125" style="20" customWidth="1"/>
    <col min="8953" max="8953" width="9.85546875" style="20" customWidth="1"/>
    <col min="8954" max="8954" width="14.42578125" style="20" customWidth="1"/>
    <col min="8955" max="8955" width="7.425781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5703125" style="20" customWidth="1"/>
    <col min="9209" max="9209" width="9.85546875" style="20" customWidth="1"/>
    <col min="9210" max="9210" width="14.42578125" style="20" customWidth="1"/>
    <col min="9211" max="9211" width="7.425781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5703125" style="20" customWidth="1"/>
    <col min="9465" max="9465" width="9.85546875" style="20" customWidth="1"/>
    <col min="9466" max="9466" width="14.42578125" style="20" customWidth="1"/>
    <col min="9467" max="9467" width="7.425781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5703125" style="20" customWidth="1"/>
    <col min="9721" max="9721" width="9.85546875" style="20" customWidth="1"/>
    <col min="9722" max="9722" width="14.42578125" style="20" customWidth="1"/>
    <col min="9723" max="9723" width="7.425781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5703125" style="20" customWidth="1"/>
    <col min="9977" max="9977" width="9.85546875" style="20" customWidth="1"/>
    <col min="9978" max="9978" width="14.42578125" style="20" customWidth="1"/>
    <col min="9979" max="9979" width="7.425781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5703125" style="20" customWidth="1"/>
    <col min="10233" max="10233" width="9.85546875" style="20" customWidth="1"/>
    <col min="10234" max="10234" width="14.42578125" style="20" customWidth="1"/>
    <col min="10235" max="10235" width="7.425781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5703125" style="20" customWidth="1"/>
    <col min="10489" max="10489" width="9.85546875" style="20" customWidth="1"/>
    <col min="10490" max="10490" width="14.42578125" style="20" customWidth="1"/>
    <col min="10491" max="10491" width="7.425781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5703125" style="20" customWidth="1"/>
    <col min="10745" max="10745" width="9.85546875" style="20" customWidth="1"/>
    <col min="10746" max="10746" width="14.42578125" style="20" customWidth="1"/>
    <col min="10747" max="10747" width="7.425781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5703125" style="20" customWidth="1"/>
    <col min="11001" max="11001" width="9.85546875" style="20" customWidth="1"/>
    <col min="11002" max="11002" width="14.42578125" style="20" customWidth="1"/>
    <col min="11003" max="11003" width="7.425781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5703125" style="20" customWidth="1"/>
    <col min="11257" max="11257" width="9.85546875" style="20" customWidth="1"/>
    <col min="11258" max="11258" width="14.42578125" style="20" customWidth="1"/>
    <col min="11259" max="11259" width="7.425781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5703125" style="20" customWidth="1"/>
    <col min="11513" max="11513" width="9.85546875" style="20" customWidth="1"/>
    <col min="11514" max="11514" width="14.42578125" style="20" customWidth="1"/>
    <col min="11515" max="11515" width="7.425781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5703125" style="20" customWidth="1"/>
    <col min="11769" max="11769" width="9.85546875" style="20" customWidth="1"/>
    <col min="11770" max="11770" width="14.42578125" style="20" customWidth="1"/>
    <col min="11771" max="11771" width="7.425781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5703125" style="20" customWidth="1"/>
    <col min="12025" max="12025" width="9.85546875" style="20" customWidth="1"/>
    <col min="12026" max="12026" width="14.42578125" style="20" customWidth="1"/>
    <col min="12027" max="12027" width="7.425781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5703125" style="20" customWidth="1"/>
    <col min="12281" max="12281" width="9.85546875" style="20" customWidth="1"/>
    <col min="12282" max="12282" width="14.42578125" style="20" customWidth="1"/>
    <col min="12283" max="12283" width="7.425781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5703125" style="20" customWidth="1"/>
    <col min="12537" max="12537" width="9.85546875" style="20" customWidth="1"/>
    <col min="12538" max="12538" width="14.42578125" style="20" customWidth="1"/>
    <col min="12539" max="12539" width="7.425781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5703125" style="20" customWidth="1"/>
    <col min="12793" max="12793" width="9.85546875" style="20" customWidth="1"/>
    <col min="12794" max="12794" width="14.42578125" style="20" customWidth="1"/>
    <col min="12795" max="12795" width="7.425781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5703125" style="20" customWidth="1"/>
    <col min="13049" max="13049" width="9.85546875" style="20" customWidth="1"/>
    <col min="13050" max="13050" width="14.42578125" style="20" customWidth="1"/>
    <col min="13051" max="13051" width="7.425781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5703125" style="20" customWidth="1"/>
    <col min="13305" max="13305" width="9.85546875" style="20" customWidth="1"/>
    <col min="13306" max="13306" width="14.42578125" style="20" customWidth="1"/>
    <col min="13307" max="13307" width="7.425781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5703125" style="20" customWidth="1"/>
    <col min="13561" max="13561" width="9.85546875" style="20" customWidth="1"/>
    <col min="13562" max="13562" width="14.42578125" style="20" customWidth="1"/>
    <col min="13563" max="13563" width="7.425781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5703125" style="20" customWidth="1"/>
    <col min="13817" max="13817" width="9.85546875" style="20" customWidth="1"/>
    <col min="13818" max="13818" width="14.42578125" style="20" customWidth="1"/>
    <col min="13819" max="13819" width="7.425781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5703125" style="20" customWidth="1"/>
    <col min="14073" max="14073" width="9.85546875" style="20" customWidth="1"/>
    <col min="14074" max="14074" width="14.42578125" style="20" customWidth="1"/>
    <col min="14075" max="14075" width="7.425781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5703125" style="20" customWidth="1"/>
    <col min="14329" max="14329" width="9.85546875" style="20" customWidth="1"/>
    <col min="14330" max="14330" width="14.42578125" style="20" customWidth="1"/>
    <col min="14331" max="14331" width="7.425781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5703125" style="20" customWidth="1"/>
    <col min="14585" max="14585" width="9.85546875" style="20" customWidth="1"/>
    <col min="14586" max="14586" width="14.42578125" style="20" customWidth="1"/>
    <col min="14587" max="14587" width="7.425781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5703125" style="20" customWidth="1"/>
    <col min="14841" max="14841" width="9.85546875" style="20" customWidth="1"/>
    <col min="14842" max="14842" width="14.42578125" style="20" customWidth="1"/>
    <col min="14843" max="14843" width="7.425781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5703125" style="20" customWidth="1"/>
    <col min="15097" max="15097" width="9.85546875" style="20" customWidth="1"/>
    <col min="15098" max="15098" width="14.42578125" style="20" customWidth="1"/>
    <col min="15099" max="15099" width="7.425781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5703125" style="20" customWidth="1"/>
    <col min="15353" max="15353" width="9.85546875" style="20" customWidth="1"/>
    <col min="15354" max="15354" width="14.42578125" style="20" customWidth="1"/>
    <col min="15355" max="15355" width="7.425781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5703125" style="20" customWidth="1"/>
    <col min="15609" max="15609" width="9.85546875" style="20" customWidth="1"/>
    <col min="15610" max="15610" width="14.42578125" style="20" customWidth="1"/>
    <col min="15611" max="15611" width="7.425781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5703125" style="20" customWidth="1"/>
    <col min="15865" max="15865" width="9.85546875" style="20" customWidth="1"/>
    <col min="15866" max="15866" width="14.42578125" style="20" customWidth="1"/>
    <col min="15867" max="15867" width="7.425781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5703125" style="20" customWidth="1"/>
    <col min="16121" max="16121" width="9.85546875" style="20" customWidth="1"/>
    <col min="16122" max="16122" width="14.42578125" style="20" customWidth="1"/>
    <col min="16123" max="16123" width="7.425781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8" ht="46.5" customHeight="1" x14ac:dyDescent="0.25">
      <c r="A1" s="135" t="s">
        <v>220</v>
      </c>
      <c r="B1" s="135"/>
      <c r="C1" s="135"/>
      <c r="D1" s="135"/>
      <c r="E1" s="135"/>
      <c r="F1" s="135"/>
      <c r="G1" s="135"/>
      <c r="H1" s="135"/>
    </row>
    <row r="2" spans="1:8" ht="16.5" customHeight="1" x14ac:dyDescent="0.25">
      <c r="A2" s="102" t="s">
        <v>0</v>
      </c>
      <c r="B2" s="102"/>
      <c r="C2" s="102"/>
      <c r="D2" s="102"/>
      <c r="E2" s="102"/>
      <c r="F2" s="102"/>
      <c r="G2" s="102"/>
      <c r="H2" s="102"/>
    </row>
    <row r="3" spans="1:8" x14ac:dyDescent="0.25">
      <c r="A3" s="80" t="s">
        <v>1</v>
      </c>
      <c r="B3" s="80"/>
      <c r="C3" s="80"/>
      <c r="D3" s="80"/>
      <c r="E3" s="80" t="str">
        <f ca="1">TEXT(TODAY(),"DD/MM/YYYY")</f>
        <v>16/08/2025</v>
      </c>
      <c r="F3" s="80"/>
      <c r="G3" s="80"/>
      <c r="H3" s="80"/>
    </row>
    <row r="4" spans="1:8" ht="15" customHeight="1" x14ac:dyDescent="0.25">
      <c r="A4" s="80" t="s">
        <v>2</v>
      </c>
      <c r="B4" s="80"/>
      <c r="C4" s="80"/>
      <c r="D4" s="80"/>
      <c r="E4" s="80" t="s">
        <v>171</v>
      </c>
      <c r="F4" s="80"/>
      <c r="G4" s="80"/>
      <c r="H4" s="80"/>
    </row>
    <row r="5" spans="1:8" x14ac:dyDescent="0.25">
      <c r="A5" s="80" t="s">
        <v>3</v>
      </c>
      <c r="B5" s="80"/>
      <c r="C5" s="80"/>
      <c r="D5" s="80"/>
      <c r="E5" s="134">
        <v>45881</v>
      </c>
      <c r="F5" s="80"/>
      <c r="G5" s="80"/>
      <c r="H5" s="80"/>
    </row>
    <row r="6" spans="1:8" ht="16.5" customHeight="1" x14ac:dyDescent="0.25">
      <c r="A6" s="80" t="s">
        <v>4</v>
      </c>
      <c r="B6" s="80"/>
      <c r="C6" s="80"/>
      <c r="D6" s="80"/>
      <c r="E6" s="80" t="s">
        <v>172</v>
      </c>
      <c r="F6" s="80"/>
      <c r="G6" s="80"/>
      <c r="H6" s="80"/>
    </row>
    <row r="7" spans="1:8" ht="15" customHeight="1" x14ac:dyDescent="0.25">
      <c r="A7" s="80" t="s">
        <v>5</v>
      </c>
      <c r="B7" s="80"/>
      <c r="C7" s="80"/>
      <c r="D7" s="80"/>
      <c r="E7" s="80" t="str">
        <f>E6</f>
        <v>M/s.Macrotech Developers Limited</v>
      </c>
      <c r="F7" s="80"/>
      <c r="G7" s="80"/>
      <c r="H7" s="80"/>
    </row>
    <row r="8" spans="1:8" x14ac:dyDescent="0.25">
      <c r="A8" s="80" t="s">
        <v>6</v>
      </c>
      <c r="B8" s="80"/>
      <c r="C8" s="80"/>
      <c r="D8" s="80"/>
      <c r="E8" s="89" t="s">
        <v>203</v>
      </c>
      <c r="F8" s="89"/>
      <c r="G8" s="89"/>
      <c r="H8" s="89"/>
    </row>
    <row r="9" spans="1:8" x14ac:dyDescent="0.25">
      <c r="A9" s="80" t="s">
        <v>128</v>
      </c>
      <c r="B9" s="80"/>
      <c r="C9" s="80"/>
      <c r="D9" s="80"/>
      <c r="E9" s="80" t="s">
        <v>225</v>
      </c>
      <c r="F9" s="80"/>
      <c r="G9" s="80"/>
      <c r="H9" s="80"/>
    </row>
    <row r="10" spans="1:8" x14ac:dyDescent="0.25">
      <c r="A10" s="80" t="s">
        <v>7</v>
      </c>
      <c r="B10" s="80"/>
      <c r="C10" s="80"/>
      <c r="D10" s="80"/>
      <c r="E10" s="80" t="s">
        <v>204</v>
      </c>
      <c r="F10" s="80"/>
      <c r="G10" s="80"/>
      <c r="H10" s="80"/>
    </row>
    <row r="11" spans="1:8" x14ac:dyDescent="0.25">
      <c r="A11" s="127" t="s">
        <v>8</v>
      </c>
      <c r="B11" s="127"/>
      <c r="C11" s="127"/>
      <c r="D11" s="127"/>
      <c r="E11" s="85" t="s">
        <v>181</v>
      </c>
      <c r="F11" s="85"/>
      <c r="G11" s="85"/>
      <c r="H11" s="85"/>
    </row>
    <row r="12" spans="1:8" x14ac:dyDescent="0.25">
      <c r="A12" s="127" t="s">
        <v>9</v>
      </c>
      <c r="B12" s="127"/>
      <c r="C12" s="127"/>
      <c r="D12" s="127"/>
      <c r="E12" s="85" t="s">
        <v>173</v>
      </c>
      <c r="F12" s="80"/>
      <c r="G12" s="80"/>
      <c r="H12" s="80"/>
    </row>
    <row r="13" spans="1:8" ht="33.950000000000003" customHeight="1" x14ac:dyDescent="0.25">
      <c r="A13" s="85" t="s">
        <v>10</v>
      </c>
      <c r="B13" s="85"/>
      <c r="C13" s="85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Lodha Miraroad Tower 1 &amp; 2, Survey No.85/1B, 86/2, 82/1/A/2(Pt), near Unique Signature, Internal Road, Ghodbander, Mira Road, Thane, Thane - 401107.</v>
      </c>
      <c r="D13" s="85"/>
      <c r="E13" s="85"/>
      <c r="F13" s="85"/>
      <c r="G13" s="85"/>
      <c r="H13" s="85"/>
    </row>
    <row r="14" spans="1:8" x14ac:dyDescent="0.25">
      <c r="A14" s="85" t="s">
        <v>174</v>
      </c>
      <c r="B14" s="85"/>
      <c r="C14" s="85" t="s">
        <v>175</v>
      </c>
      <c r="D14" s="85"/>
      <c r="E14" s="85"/>
      <c r="F14" s="85"/>
      <c r="G14" s="85"/>
      <c r="H14" s="85"/>
    </row>
    <row r="15" spans="1:8" ht="15.75" customHeight="1" x14ac:dyDescent="0.25">
      <c r="A15" s="85" t="s">
        <v>11</v>
      </c>
      <c r="B15" s="85"/>
      <c r="C15" s="80" t="s">
        <v>185</v>
      </c>
      <c r="D15" s="80"/>
      <c r="E15" s="85" t="s">
        <v>77</v>
      </c>
      <c r="F15" s="85"/>
      <c r="G15" s="85" t="s">
        <v>176</v>
      </c>
      <c r="H15" s="85"/>
    </row>
    <row r="16" spans="1:8" x14ac:dyDescent="0.25">
      <c r="A16" s="80" t="s">
        <v>13</v>
      </c>
      <c r="B16" s="80"/>
      <c r="C16" s="85" t="s">
        <v>184</v>
      </c>
      <c r="D16" s="85"/>
      <c r="E16" s="85" t="s">
        <v>12</v>
      </c>
      <c r="F16" s="85"/>
      <c r="G16" s="133" t="s">
        <v>177</v>
      </c>
      <c r="H16" s="133"/>
    </row>
    <row r="17" spans="1:8" x14ac:dyDescent="0.25">
      <c r="A17" s="80" t="s">
        <v>78</v>
      </c>
      <c r="B17" s="80"/>
      <c r="C17" s="85" t="s">
        <v>177</v>
      </c>
      <c r="D17" s="85"/>
      <c r="E17" s="85" t="s">
        <v>14</v>
      </c>
      <c r="F17" s="85"/>
      <c r="G17" s="85">
        <v>401107</v>
      </c>
      <c r="H17" s="85"/>
    </row>
    <row r="18" spans="1:8" ht="32.25" customHeight="1" x14ac:dyDescent="0.25">
      <c r="A18" s="80" t="s">
        <v>129</v>
      </c>
      <c r="B18" s="80"/>
      <c r="C18" s="85" t="s">
        <v>182</v>
      </c>
      <c r="D18" s="85"/>
      <c r="E18" s="85" t="s">
        <v>15</v>
      </c>
      <c r="F18" s="85"/>
      <c r="G18" s="85" t="s">
        <v>183</v>
      </c>
      <c r="H18" s="85"/>
    </row>
    <row r="19" spans="1:8" ht="15" customHeight="1" x14ac:dyDescent="0.25">
      <c r="A19" s="132" t="s">
        <v>81</v>
      </c>
      <c r="B19" s="132"/>
      <c r="C19" s="132"/>
      <c r="D19" s="132"/>
      <c r="E19" s="80" t="s">
        <v>16</v>
      </c>
      <c r="F19" s="80"/>
      <c r="G19" s="80"/>
      <c r="H19" s="80"/>
    </row>
    <row r="20" spans="1:8" ht="18.75" customHeight="1" x14ac:dyDescent="0.25">
      <c r="A20" s="132"/>
      <c r="B20" s="132"/>
      <c r="C20" s="132"/>
      <c r="D20" s="132"/>
      <c r="E20" s="80"/>
      <c r="F20" s="80"/>
      <c r="G20" s="80"/>
      <c r="H20" s="80"/>
    </row>
    <row r="21" spans="1:8" ht="15" customHeight="1" x14ac:dyDescent="0.25">
      <c r="A21" s="132" t="s">
        <v>17</v>
      </c>
      <c r="B21" s="132"/>
      <c r="C21" s="132"/>
      <c r="D21" s="132"/>
      <c r="E21" s="85" t="s">
        <v>18</v>
      </c>
      <c r="F21" s="85"/>
      <c r="G21" s="85"/>
      <c r="H21" s="85"/>
    </row>
    <row r="22" spans="1:8" ht="15" customHeight="1" x14ac:dyDescent="0.25">
      <c r="A22" s="127" t="s">
        <v>19</v>
      </c>
      <c r="B22" s="127"/>
      <c r="C22" s="127"/>
      <c r="D22" s="127"/>
      <c r="E22" s="85" t="str">
        <f>IF(AND(G16="Mumbai"),"Upper Class","Middle Class")</f>
        <v>Middle Class</v>
      </c>
      <c r="F22" s="85"/>
      <c r="G22" s="85"/>
      <c r="H22" s="85"/>
    </row>
    <row r="23" spans="1:8" x14ac:dyDescent="0.25">
      <c r="A23" s="127" t="s">
        <v>20</v>
      </c>
      <c r="B23" s="127"/>
      <c r="C23" s="127"/>
      <c r="D23" s="127"/>
      <c r="E23" s="85" t="s">
        <v>21</v>
      </c>
      <c r="F23" s="85"/>
      <c r="G23" s="85"/>
      <c r="H23" s="85"/>
    </row>
    <row r="24" spans="1:8" ht="15.75" customHeight="1" x14ac:dyDescent="0.25">
      <c r="A24" s="127" t="s">
        <v>22</v>
      </c>
      <c r="B24" s="127"/>
      <c r="C24" s="127"/>
      <c r="D24" s="127"/>
      <c r="E24" s="85" t="str">
        <f>IF(AND(G16="Mumbai"),"Developed","Developing")</f>
        <v>Developing</v>
      </c>
      <c r="F24" s="85"/>
      <c r="G24" s="85"/>
      <c r="H24" s="85"/>
    </row>
    <row r="25" spans="1:8" x14ac:dyDescent="0.25">
      <c r="A25" s="127" t="s">
        <v>23</v>
      </c>
      <c r="B25" s="127"/>
      <c r="C25" s="127"/>
      <c r="D25" s="127"/>
      <c r="E25" s="85" t="s">
        <v>24</v>
      </c>
      <c r="F25" s="85"/>
      <c r="G25" s="85"/>
      <c r="H25" s="85"/>
    </row>
    <row r="26" spans="1:8" ht="15.75" customHeight="1" x14ac:dyDescent="0.25">
      <c r="A26" s="127" t="s">
        <v>86</v>
      </c>
      <c r="B26" s="127"/>
      <c r="C26" s="127"/>
      <c r="D26" s="127"/>
      <c r="E26" s="85" t="s">
        <v>87</v>
      </c>
      <c r="F26" s="85"/>
      <c r="G26" s="85"/>
      <c r="H26" s="85"/>
    </row>
    <row r="27" spans="1:8" ht="15" customHeight="1" x14ac:dyDescent="0.25">
      <c r="A27" s="127" t="s">
        <v>35</v>
      </c>
      <c r="B27" s="127"/>
      <c r="C27" s="127"/>
      <c r="D27" s="127"/>
      <c r="E27" s="85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Commercial",IF(AND(ISNUMBER(SEARCH("Shop",D53)),ISNUMBER(SEARCH("Office",D53))),"Commercial",IF(ISNUMBER(SEARCH("Shop",D53)),"Commercial",IF(ISNUMBER(SEARCH("Office",D53)),"Commercial",IF(ISNUMBER(SEARCH("Flat",D53)),"Residentail")))))))</f>
        <v>Residentail</v>
      </c>
      <c r="F27" s="85"/>
      <c r="G27" s="85"/>
      <c r="H27" s="85"/>
    </row>
    <row r="28" spans="1:8" ht="15.75" customHeight="1" x14ac:dyDescent="0.25">
      <c r="A28" s="127" t="s">
        <v>98</v>
      </c>
      <c r="B28" s="127"/>
      <c r="C28" s="127"/>
      <c r="D28" s="127"/>
      <c r="E28" s="85" t="s">
        <v>36</v>
      </c>
      <c r="F28" s="85"/>
      <c r="G28" s="85"/>
      <c r="H28" s="85"/>
    </row>
    <row r="29" spans="1:8" s="21" customFormat="1" x14ac:dyDescent="0.25">
      <c r="A29" s="122" t="s">
        <v>99</v>
      </c>
      <c r="B29" s="122"/>
      <c r="C29" s="120" t="s">
        <v>29</v>
      </c>
      <c r="D29" s="120"/>
      <c r="E29" s="120"/>
      <c r="F29" s="120" t="s">
        <v>31</v>
      </c>
      <c r="G29" s="120"/>
      <c r="H29" s="120"/>
    </row>
    <row r="30" spans="1:8" s="21" customFormat="1" x14ac:dyDescent="0.25">
      <c r="A30" s="121" t="s">
        <v>25</v>
      </c>
      <c r="B30" s="121" t="s">
        <v>30</v>
      </c>
      <c r="C30" s="119" t="s">
        <v>30</v>
      </c>
      <c r="D30" s="119"/>
      <c r="E30" s="119"/>
      <c r="F30" s="119" t="s">
        <v>180</v>
      </c>
      <c r="G30" s="119"/>
      <c r="H30" s="119"/>
    </row>
    <row r="31" spans="1:8" x14ac:dyDescent="0.25">
      <c r="A31" s="121" t="s">
        <v>26</v>
      </c>
      <c r="B31" s="121" t="s">
        <v>30</v>
      </c>
      <c r="C31" s="119" t="s">
        <v>30</v>
      </c>
      <c r="D31" s="119"/>
      <c r="E31" s="119"/>
      <c r="F31" s="119" t="s">
        <v>182</v>
      </c>
      <c r="G31" s="119"/>
      <c r="H31" s="119"/>
    </row>
    <row r="32" spans="1:8" s="21" customFormat="1" x14ac:dyDescent="0.25">
      <c r="A32" s="121" t="s">
        <v>28</v>
      </c>
      <c r="B32" s="121" t="s">
        <v>30</v>
      </c>
      <c r="C32" s="119" t="s">
        <v>30</v>
      </c>
      <c r="D32" s="119"/>
      <c r="E32" s="119"/>
      <c r="F32" s="119" t="s">
        <v>178</v>
      </c>
      <c r="G32" s="119"/>
      <c r="H32" s="119"/>
    </row>
    <row r="33" spans="1:8" x14ac:dyDescent="0.25">
      <c r="A33" s="121" t="s">
        <v>27</v>
      </c>
      <c r="B33" s="121" t="s">
        <v>30</v>
      </c>
      <c r="C33" s="119" t="s">
        <v>30</v>
      </c>
      <c r="D33" s="119"/>
      <c r="E33" s="119"/>
      <c r="F33" s="119" t="s">
        <v>179</v>
      </c>
      <c r="G33" s="119"/>
      <c r="H33" s="119"/>
    </row>
    <row r="34" spans="1:8" x14ac:dyDescent="0.25">
      <c r="A34" s="80" t="s">
        <v>32</v>
      </c>
      <c r="B34" s="80"/>
      <c r="C34" s="80"/>
      <c r="D34" s="80"/>
      <c r="E34" s="80"/>
      <c r="F34" s="80"/>
      <c r="G34" s="80"/>
      <c r="H34" s="80"/>
    </row>
    <row r="35" spans="1:8" ht="15.75" customHeight="1" x14ac:dyDescent="0.25">
      <c r="A35" s="120" t="s">
        <v>33</v>
      </c>
      <c r="B35" s="120"/>
      <c r="C35" s="121">
        <v>19.284078099999999</v>
      </c>
      <c r="D35" s="121"/>
      <c r="E35" s="120" t="s">
        <v>34</v>
      </c>
      <c r="F35" s="120"/>
      <c r="G35" s="119">
        <v>72.879730300000006</v>
      </c>
      <c r="H35" s="119"/>
    </row>
    <row r="36" spans="1:8" ht="15.75" customHeight="1" x14ac:dyDescent="0.25">
      <c r="A36" s="120" t="s">
        <v>218</v>
      </c>
      <c r="B36" s="120"/>
      <c r="C36" s="124" t="s">
        <v>219</v>
      </c>
      <c r="D36" s="125"/>
      <c r="E36" s="125"/>
      <c r="F36" s="125"/>
      <c r="G36" s="125"/>
      <c r="H36" s="126"/>
    </row>
    <row r="37" spans="1:8" x14ac:dyDescent="0.25">
      <c r="A37" s="123" t="s">
        <v>37</v>
      </c>
      <c r="B37" s="123"/>
      <c r="C37" s="123"/>
      <c r="D37" s="123"/>
      <c r="E37" s="123"/>
      <c r="F37" s="123"/>
      <c r="G37" s="123"/>
      <c r="H37" s="123"/>
    </row>
    <row r="38" spans="1:8" x14ac:dyDescent="0.25">
      <c r="A38" s="80" t="s">
        <v>38</v>
      </c>
      <c r="B38" s="80"/>
      <c r="C38" s="80"/>
      <c r="D38" s="80"/>
      <c r="E38" s="118">
        <v>7255.15</v>
      </c>
      <c r="F38" s="118"/>
      <c r="G38" s="118"/>
      <c r="H38" s="118"/>
    </row>
    <row r="39" spans="1:8" x14ac:dyDescent="0.25">
      <c r="A39" s="80" t="s">
        <v>39</v>
      </c>
      <c r="B39" s="80"/>
      <c r="C39" s="80"/>
      <c r="D39" s="80"/>
      <c r="E39" s="130">
        <v>1.6</v>
      </c>
      <c r="F39" s="130"/>
      <c r="G39" s="130"/>
      <c r="H39" s="130"/>
    </row>
    <row r="40" spans="1:8" x14ac:dyDescent="0.25">
      <c r="A40" s="80" t="s">
        <v>40</v>
      </c>
      <c r="B40" s="80"/>
      <c r="C40" s="80"/>
      <c r="D40" s="80"/>
      <c r="E40" s="130">
        <f>E42/E38-E39</f>
        <v>3.2000000000000006</v>
      </c>
      <c r="F40" s="130"/>
      <c r="G40" s="130"/>
      <c r="H40" s="130"/>
    </row>
    <row r="41" spans="1:8" x14ac:dyDescent="0.25">
      <c r="A41" s="80" t="s">
        <v>41</v>
      </c>
      <c r="B41" s="80"/>
      <c r="C41" s="80"/>
      <c r="D41" s="80"/>
      <c r="E41" s="130">
        <f>E39+E40</f>
        <v>4.8000000000000007</v>
      </c>
      <c r="F41" s="130"/>
      <c r="G41" s="130"/>
      <c r="H41" s="130"/>
    </row>
    <row r="42" spans="1:8" x14ac:dyDescent="0.25">
      <c r="A42" s="80" t="s">
        <v>97</v>
      </c>
      <c r="B42" s="80"/>
      <c r="C42" s="80"/>
      <c r="D42" s="80"/>
      <c r="E42" s="131">
        <v>34824.720000000001</v>
      </c>
      <c r="F42" s="131"/>
      <c r="G42" s="131"/>
      <c r="H42" s="131"/>
    </row>
    <row r="43" spans="1:8" x14ac:dyDescent="0.25">
      <c r="A43" s="80" t="s">
        <v>42</v>
      </c>
      <c r="B43" s="80"/>
      <c r="C43" s="80"/>
      <c r="D43" s="80"/>
      <c r="E43" s="80" t="s">
        <v>187</v>
      </c>
      <c r="F43" s="80"/>
      <c r="G43" s="80"/>
      <c r="H43" s="80"/>
    </row>
    <row r="44" spans="1:8" x14ac:dyDescent="0.25">
      <c r="A44" s="123" t="s">
        <v>43</v>
      </c>
      <c r="B44" s="123"/>
      <c r="C44" s="123"/>
      <c r="D44" s="123"/>
      <c r="E44" s="123"/>
      <c r="F44" s="123"/>
      <c r="G44" s="123"/>
      <c r="H44" s="123"/>
    </row>
    <row r="45" spans="1:8" ht="33.75" customHeight="1" x14ac:dyDescent="0.25">
      <c r="A45" s="65" t="s">
        <v>159</v>
      </c>
      <c r="B45" s="66"/>
      <c r="C45" s="67" t="s">
        <v>188</v>
      </c>
      <c r="D45" s="68"/>
      <c r="E45" s="68"/>
      <c r="F45" s="68"/>
      <c r="G45" s="68"/>
      <c r="H45" s="69"/>
    </row>
    <row r="46" spans="1:8" ht="15.75" customHeight="1" x14ac:dyDescent="0.25">
      <c r="A46" s="65" t="s">
        <v>44</v>
      </c>
      <c r="B46" s="66"/>
      <c r="C46" s="147" t="s">
        <v>189</v>
      </c>
      <c r="D46" s="148"/>
      <c r="E46" s="142"/>
      <c r="F46" s="52" t="s">
        <v>45</v>
      </c>
      <c r="G46" s="141">
        <v>44869</v>
      </c>
      <c r="H46" s="142"/>
    </row>
    <row r="47" spans="1:8" x14ac:dyDescent="0.25">
      <c r="A47" s="65" t="s">
        <v>46</v>
      </c>
      <c r="B47" s="66"/>
      <c r="C47" s="147" t="str">
        <f>C46</f>
        <v>MBNBP/NR/43621/2021-22</v>
      </c>
      <c r="D47" s="148"/>
      <c r="E47" s="142"/>
      <c r="F47" s="52" t="s">
        <v>45</v>
      </c>
      <c r="G47" s="141">
        <f>G46</f>
        <v>44869</v>
      </c>
      <c r="H47" s="142"/>
    </row>
    <row r="48" spans="1:8" s="22" customFormat="1" ht="15.75" customHeight="1" x14ac:dyDescent="0.25">
      <c r="A48" s="143" t="s">
        <v>163</v>
      </c>
      <c r="B48" s="144"/>
      <c r="C48" s="147" t="s">
        <v>190</v>
      </c>
      <c r="D48" s="148"/>
      <c r="E48" s="142"/>
      <c r="F48" s="52" t="s">
        <v>45</v>
      </c>
      <c r="G48" s="141">
        <f>G47</f>
        <v>44869</v>
      </c>
      <c r="H48" s="142"/>
    </row>
    <row r="49" spans="1:14" s="22" customFormat="1" ht="33.75" customHeight="1" x14ac:dyDescent="0.25">
      <c r="A49" s="145"/>
      <c r="B49" s="146"/>
      <c r="C49" s="147" t="s">
        <v>209</v>
      </c>
      <c r="D49" s="148"/>
      <c r="E49" s="148"/>
      <c r="F49" s="148"/>
      <c r="G49" s="148"/>
      <c r="H49" s="142"/>
    </row>
    <row r="50" spans="1:14" x14ac:dyDescent="0.25">
      <c r="A50" s="149" t="s">
        <v>47</v>
      </c>
      <c r="B50" s="150"/>
      <c r="C50" s="151" t="s">
        <v>109</v>
      </c>
      <c r="D50" s="152"/>
      <c r="E50" s="153"/>
      <c r="F50" s="46" t="s">
        <v>45</v>
      </c>
      <c r="G50" s="67" t="s">
        <v>30</v>
      </c>
      <c r="H50" s="69"/>
    </row>
    <row r="51" spans="1:14" x14ac:dyDescent="0.25">
      <c r="A51" s="154" t="s">
        <v>49</v>
      </c>
      <c r="B51" s="154"/>
      <c r="C51" s="154"/>
      <c r="D51" s="154"/>
      <c r="E51" s="154"/>
      <c r="F51" s="154"/>
      <c r="G51" s="154"/>
      <c r="H51" s="154"/>
    </row>
    <row r="52" spans="1:14" x14ac:dyDescent="0.25">
      <c r="A52" s="132" t="s">
        <v>96</v>
      </c>
      <c r="B52" s="132"/>
      <c r="C52" s="132"/>
      <c r="D52" s="127">
        <f>E42</f>
        <v>34824.720000000001</v>
      </c>
      <c r="E52" s="127"/>
      <c r="F52" s="127"/>
      <c r="G52" s="127"/>
      <c r="H52" s="127"/>
    </row>
    <row r="53" spans="1:14" x14ac:dyDescent="0.25">
      <c r="A53" s="85" t="s">
        <v>50</v>
      </c>
      <c r="B53" s="80"/>
      <c r="C53" s="80"/>
      <c r="D53" s="80" t="s">
        <v>217</v>
      </c>
      <c r="E53" s="80"/>
      <c r="F53" s="80"/>
      <c r="G53" s="80"/>
      <c r="H53" s="80"/>
      <c r="I53" s="23"/>
    </row>
    <row r="54" spans="1:14" ht="31.5" customHeight="1" x14ac:dyDescent="0.25">
      <c r="A54" s="138" t="s">
        <v>51</v>
      </c>
      <c r="B54" s="139"/>
      <c r="C54" s="140"/>
      <c r="D54" s="136" t="s">
        <v>209</v>
      </c>
      <c r="E54" s="137"/>
      <c r="F54" s="137"/>
      <c r="G54" s="137"/>
      <c r="H54" s="137"/>
    </row>
    <row r="55" spans="1:14" ht="15.75" customHeight="1" x14ac:dyDescent="0.25">
      <c r="A55" s="138" t="s">
        <v>94</v>
      </c>
      <c r="B55" s="139"/>
      <c r="C55" s="139"/>
      <c r="D55" s="179" t="s">
        <v>222</v>
      </c>
      <c r="E55" s="180"/>
      <c r="F55" s="180"/>
      <c r="G55" s="180"/>
      <c r="H55" s="181"/>
    </row>
    <row r="56" spans="1:14" ht="15.75" customHeight="1" x14ac:dyDescent="0.25">
      <c r="A56" s="177"/>
      <c r="B56" s="178"/>
      <c r="C56" s="178"/>
      <c r="D56" s="182" t="s">
        <v>210</v>
      </c>
      <c r="E56" s="183"/>
      <c r="F56" s="183"/>
      <c r="G56" s="183"/>
      <c r="H56" s="184"/>
    </row>
    <row r="57" spans="1:14" ht="15.75" customHeight="1" x14ac:dyDescent="0.25">
      <c r="A57" s="127" t="s">
        <v>48</v>
      </c>
      <c r="B57" s="127"/>
      <c r="C57" s="127"/>
      <c r="D57" s="128" t="s">
        <v>186</v>
      </c>
      <c r="E57" s="128"/>
      <c r="F57" s="128"/>
      <c r="G57" s="128"/>
      <c r="H57" s="128"/>
      <c r="J57" s="24"/>
      <c r="K57" s="23"/>
      <c r="N57" s="23"/>
    </row>
    <row r="58" spans="1:14" ht="15.75" customHeight="1" x14ac:dyDescent="0.25">
      <c r="A58" s="127" t="s">
        <v>92</v>
      </c>
      <c r="B58" s="127"/>
      <c r="C58" s="127"/>
      <c r="D58" s="129" t="str">
        <f>(IF(G50="NA","60 Years After Completion",IF(G50&lt;&gt;"NA",""&amp;60-ROUNDDOWN((E3-G50)/360,0)&amp;" Years"," ")))</f>
        <v>60 Years After Completion</v>
      </c>
      <c r="E58" s="129"/>
      <c r="F58" s="129"/>
      <c r="G58" s="129"/>
      <c r="H58" s="129"/>
      <c r="N58" s="23"/>
    </row>
    <row r="59" spans="1:14" ht="15.75" customHeight="1" x14ac:dyDescent="0.25">
      <c r="A59" s="127" t="s">
        <v>93</v>
      </c>
      <c r="B59" s="127"/>
      <c r="C59" s="127"/>
      <c r="D59" s="132" t="s">
        <v>24</v>
      </c>
      <c r="E59" s="132"/>
      <c r="F59" s="132"/>
      <c r="G59" s="132"/>
      <c r="H59" s="132"/>
      <c r="J59" s="16"/>
      <c r="K59" s="16"/>
    </row>
    <row r="60" spans="1:14" ht="15" hidden="1" customHeight="1" x14ac:dyDescent="0.25">
      <c r="A60" s="127" t="s">
        <v>79</v>
      </c>
      <c r="B60" s="127"/>
      <c r="C60" s="127"/>
      <c r="D60" s="85" t="s">
        <v>155</v>
      </c>
      <c r="E60" s="132"/>
      <c r="F60" s="132"/>
      <c r="G60" s="132"/>
      <c r="H60" s="132"/>
    </row>
    <row r="61" spans="1:14" x14ac:dyDescent="0.25">
      <c r="A61" s="132" t="s">
        <v>156</v>
      </c>
      <c r="B61" s="132"/>
      <c r="C61" s="132"/>
      <c r="D61" s="132" t="s">
        <v>30</v>
      </c>
      <c r="E61" s="132"/>
      <c r="F61" s="132"/>
      <c r="G61" s="132"/>
      <c r="H61" s="132"/>
      <c r="I61" s="25"/>
      <c r="J61" s="25"/>
      <c r="K61" s="25"/>
      <c r="L61" s="25"/>
      <c r="M61" s="25"/>
      <c r="N61" s="25"/>
    </row>
    <row r="62" spans="1:14" ht="15.75" customHeight="1" x14ac:dyDescent="0.25">
      <c r="A62" s="161" t="s">
        <v>91</v>
      </c>
      <c r="B62" s="161"/>
      <c r="C62" s="161"/>
      <c r="D62" s="136" t="str">
        <f ca="1">(IF(G68&gt;95%,"Nothing",IF(G68&gt;0%,"Cement, Aggregate, Steel, etc",IF(G68=0%,"Work not yet Started"))))</f>
        <v>Cement, Aggregate, Steel, etc</v>
      </c>
      <c r="E62" s="136"/>
      <c r="F62" s="136"/>
      <c r="G62" s="136"/>
      <c r="H62" s="136"/>
      <c r="J62" s="16"/>
    </row>
    <row r="63" spans="1:14" ht="33.75" customHeight="1" thickBot="1" x14ac:dyDescent="0.3">
      <c r="A63" s="160" t="s">
        <v>122</v>
      </c>
      <c r="B63" s="160"/>
      <c r="C63" s="160"/>
      <c r="D63" s="136" t="str">
        <f ca="1">(IF(D62="Nothing","Yes",IF(D62="Cement, Aggregate, Steel, etc","Under Construction",IF(D62="Work not yet Started","Work not yet Started"))))</f>
        <v>Under Construction</v>
      </c>
      <c r="E63" s="136"/>
      <c r="F63" s="136" t="str">
        <f ca="1">(IF(D62="Nothing","Yes",IF(D62="Cement, Aggregate, Steel, etc","Under Construction",IF(D62="Work not yet Started","Work not yet Started"))))</f>
        <v>Under Construction</v>
      </c>
      <c r="G63" s="136"/>
      <c r="H63" s="136"/>
    </row>
    <row r="64" spans="1:14" ht="15.75" customHeight="1" x14ac:dyDescent="0.25">
      <c r="A64" s="155" t="s">
        <v>147</v>
      </c>
      <c r="B64" s="156"/>
      <c r="C64" s="157" t="s">
        <v>228</v>
      </c>
      <c r="D64" s="158"/>
      <c r="E64" s="158"/>
      <c r="F64" s="158"/>
      <c r="G64" s="158"/>
      <c r="H64" s="159"/>
      <c r="I64" s="15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Plinth, RCC, Brick, Plaster, Flooring, Painting work Completed. Finishing work is in process.</v>
      </c>
      <c r="J64" s="26"/>
    </row>
    <row r="65" spans="1:10" x14ac:dyDescent="0.25">
      <c r="A65" s="18" t="s">
        <v>149</v>
      </c>
      <c r="B65" s="42">
        <v>0</v>
      </c>
      <c r="C65" s="42" t="s">
        <v>76</v>
      </c>
      <c r="D65" s="42">
        <v>1</v>
      </c>
      <c r="E65" s="42" t="s">
        <v>75</v>
      </c>
      <c r="F65" s="42">
        <v>0</v>
      </c>
      <c r="G65" s="42" t="s">
        <v>85</v>
      </c>
      <c r="H65" s="19">
        <f ca="1">--TRIM(RIGHT(SUBSTITUTE(LEFT(C64,_xlfn.AGGREGATE(16,6,FIND({0,1,2,3,4,5,6,7,8,9},C64,ROW(INDIRECT("1:"&amp;LEN(C64)))),1))," ",REPT(" ",LEN(C64))),LEN(C64)))</f>
        <v>31</v>
      </c>
      <c r="I65" s="16"/>
      <c r="J65" s="27"/>
    </row>
    <row r="66" spans="1:10" ht="35.25" customHeight="1" x14ac:dyDescent="0.25">
      <c r="A66" s="88" t="s">
        <v>95</v>
      </c>
      <c r="B66" s="89"/>
      <c r="C66" s="90" t="str">
        <f ca="1">I64</f>
        <v>Plinth, RCC, Brick, Plaster, Flooring, Painting work Completed. Finishing work is in process.</v>
      </c>
      <c r="D66" s="90"/>
      <c r="E66" s="90"/>
      <c r="F66" s="90"/>
      <c r="G66" s="90"/>
      <c r="H66" s="91"/>
      <c r="I66" s="16" t="s">
        <v>108</v>
      </c>
      <c r="J66" s="27"/>
    </row>
    <row r="67" spans="1:10" ht="15.75" customHeight="1" x14ac:dyDescent="0.25">
      <c r="A67" s="77" t="s">
        <v>52</v>
      </c>
      <c r="B67" s="78"/>
      <c r="C67" s="47" t="s">
        <v>146</v>
      </c>
      <c r="D67" s="47" t="s">
        <v>88</v>
      </c>
      <c r="E67" s="78" t="s">
        <v>90</v>
      </c>
      <c r="F67" s="78"/>
      <c r="G67" s="78" t="s">
        <v>89</v>
      </c>
      <c r="H67" s="92"/>
      <c r="I67" s="14" t="s">
        <v>148</v>
      </c>
      <c r="J67" s="28">
        <f ca="1">H65*25%</f>
        <v>7.75</v>
      </c>
    </row>
    <row r="68" spans="1:10" x14ac:dyDescent="0.25">
      <c r="A68" s="77" t="s">
        <v>135</v>
      </c>
      <c r="B68" s="78"/>
      <c r="C68" s="51">
        <f ca="1">J69</f>
        <v>31</v>
      </c>
      <c r="D68" s="48">
        <f ca="1">((100/H65)*C68)/100</f>
        <v>1</v>
      </c>
      <c r="E68" s="71">
        <f ca="1">(((C69/H65*10)+(40/(D65+F65+H65)*C70)+(7.5/(H65)*C71)+(7.5/(H65)*C72)+(10/H65*C73)+(10/H65*C74)+(5/H65*C75)+(5/H65*C76)+(5/H65*C77))/100)</f>
        <v>0.90322580645161299</v>
      </c>
      <c r="F68" s="113"/>
      <c r="G68" s="71">
        <f ca="1">((((C68/H65)*20)+((C69/H65)*25)+(30/(H65+F65+D65)*C70)+(5/H65*C71)+(5/H65*C72)+(5/H65*C73)+(5/H65*C74)+(0/H65*C75)+(0/H65*C76)+(5/H65*C77))/100)</f>
        <v>0.9467741935483871</v>
      </c>
      <c r="H68" s="72"/>
      <c r="I68" s="14" t="s">
        <v>103</v>
      </c>
      <c r="J68" s="29">
        <f ca="1">H65*50%</f>
        <v>15.5</v>
      </c>
    </row>
    <row r="69" spans="1:10" x14ac:dyDescent="0.25">
      <c r="A69" s="77" t="s">
        <v>53</v>
      </c>
      <c r="B69" s="78"/>
      <c r="C69" s="51">
        <f ca="1">J77</f>
        <v>31</v>
      </c>
      <c r="D69" s="48">
        <f ca="1">((100/H65)*C69)/100</f>
        <v>1</v>
      </c>
      <c r="E69" s="73"/>
      <c r="F69" s="114"/>
      <c r="G69" s="73"/>
      <c r="H69" s="74"/>
      <c r="I69" s="14" t="s">
        <v>104</v>
      </c>
      <c r="J69" s="29">
        <f ca="1">H65</f>
        <v>31</v>
      </c>
    </row>
    <row r="70" spans="1:10" ht="15.75" customHeight="1" x14ac:dyDescent="0.25">
      <c r="A70" s="77" t="s">
        <v>136</v>
      </c>
      <c r="B70" s="78"/>
      <c r="C70" s="47">
        <v>32</v>
      </c>
      <c r="D70" s="48">
        <f ca="1">((100/(D65+F65+H65))*C70)/100</f>
        <v>1</v>
      </c>
      <c r="E70" s="73"/>
      <c r="F70" s="114"/>
      <c r="G70" s="73"/>
      <c r="H70" s="74"/>
      <c r="I70" s="14" t="s">
        <v>105</v>
      </c>
      <c r="J70" s="30">
        <f ca="1">(IF(B65&gt;1,(H65/(B65+2)),H65/4))</f>
        <v>7.75</v>
      </c>
    </row>
    <row r="71" spans="1:10" ht="15.75" customHeight="1" x14ac:dyDescent="0.25">
      <c r="A71" s="77" t="s">
        <v>143</v>
      </c>
      <c r="B71" s="78" t="s">
        <v>137</v>
      </c>
      <c r="C71" s="47">
        <f>C70-1</f>
        <v>31</v>
      </c>
      <c r="D71" s="48">
        <f ca="1">((100/H65)*C71)/100</f>
        <v>1</v>
      </c>
      <c r="E71" s="73"/>
      <c r="F71" s="114"/>
      <c r="G71" s="73"/>
      <c r="H71" s="74"/>
      <c r="I71" s="14" t="s">
        <v>106</v>
      </c>
      <c r="J71" s="30">
        <f ca="1">(IF(B65&gt;1,(H65/(B65+2)+J70),H65/4+J70))</f>
        <v>15.5</v>
      </c>
    </row>
    <row r="72" spans="1:10" ht="15.75" customHeight="1" x14ac:dyDescent="0.25">
      <c r="A72" s="77" t="s">
        <v>144</v>
      </c>
      <c r="B72" s="78" t="s">
        <v>137</v>
      </c>
      <c r="C72" s="51">
        <v>31</v>
      </c>
      <c r="D72" s="48">
        <f ca="1">((100/H65)*C72)/100</f>
        <v>1</v>
      </c>
      <c r="E72" s="73"/>
      <c r="F72" s="114"/>
      <c r="G72" s="73"/>
      <c r="H72" s="74"/>
      <c r="I72" s="14" t="s">
        <v>153</v>
      </c>
      <c r="J72" s="30">
        <f>(IF(B65&gt;1,(H65/(B65+2)+J71),0))</f>
        <v>0</v>
      </c>
    </row>
    <row r="73" spans="1:10" ht="15" customHeight="1" x14ac:dyDescent="0.25">
      <c r="A73" s="77" t="s">
        <v>142</v>
      </c>
      <c r="B73" s="78" t="s">
        <v>139</v>
      </c>
      <c r="C73" s="51">
        <v>31</v>
      </c>
      <c r="D73" s="48">
        <f ca="1">((100/(H65))*C73)/100</f>
        <v>1</v>
      </c>
      <c r="E73" s="73"/>
      <c r="F73" s="114"/>
      <c r="G73" s="73"/>
      <c r="H73" s="74"/>
      <c r="I73" s="14" t="s">
        <v>150</v>
      </c>
      <c r="J73" s="30">
        <f>(IF(B65&gt;2,(H65/(B65+2)+J72),0))</f>
        <v>0</v>
      </c>
    </row>
    <row r="74" spans="1:10" ht="15.75" customHeight="1" x14ac:dyDescent="0.25">
      <c r="A74" s="77" t="s">
        <v>138</v>
      </c>
      <c r="B74" s="78" t="s">
        <v>138</v>
      </c>
      <c r="C74" s="47">
        <v>29</v>
      </c>
      <c r="D74" s="48">
        <f ca="1">((100/H65)*C74)/100</f>
        <v>0.93548387096774188</v>
      </c>
      <c r="E74" s="73"/>
      <c r="F74" s="114"/>
      <c r="G74" s="73"/>
      <c r="H74" s="74"/>
      <c r="I74" s="14" t="s">
        <v>151</v>
      </c>
      <c r="J74" s="31">
        <f>(IF(B65&gt;3,(H65/(B65+2)+J73),0))</f>
        <v>0</v>
      </c>
    </row>
    <row r="75" spans="1:10" ht="15.75" customHeight="1" x14ac:dyDescent="0.25">
      <c r="A75" s="77" t="s">
        <v>145</v>
      </c>
      <c r="B75" s="78"/>
      <c r="C75" s="47">
        <v>27</v>
      </c>
      <c r="D75" s="48">
        <f ca="1">((100/H65)*C75)/100</f>
        <v>0.87096774193548387</v>
      </c>
      <c r="E75" s="73"/>
      <c r="F75" s="114"/>
      <c r="G75" s="73"/>
      <c r="H75" s="74"/>
      <c r="I75" s="14" t="s">
        <v>152</v>
      </c>
      <c r="J75" s="30">
        <f>(IF(B65&gt;4,(H65/(B65+2)+J74),0))</f>
        <v>0</v>
      </c>
    </row>
    <row r="76" spans="1:10" ht="15.75" customHeight="1" x14ac:dyDescent="0.25">
      <c r="A76" s="77" t="s">
        <v>140</v>
      </c>
      <c r="B76" s="78" t="s">
        <v>140</v>
      </c>
      <c r="C76" s="47">
        <v>10</v>
      </c>
      <c r="D76" s="48">
        <f ca="1">((100/(H65))*C76)/100</f>
        <v>0.32258064516129031</v>
      </c>
      <c r="E76" s="73"/>
      <c r="F76" s="114"/>
      <c r="G76" s="73"/>
      <c r="H76" s="74"/>
      <c r="I76" s="14" t="s">
        <v>154</v>
      </c>
      <c r="J76" s="30">
        <f ca="1">(IF(B65=1,(H65/(B65+3)+J71),IF(B65=0,(H65/4+J71),IF(B65&gt;1,0))))</f>
        <v>23.25</v>
      </c>
    </row>
    <row r="77" spans="1:10" ht="16.5" thickBot="1" x14ac:dyDescent="0.3">
      <c r="A77" s="116" t="s">
        <v>141</v>
      </c>
      <c r="B77" s="117"/>
      <c r="C77" s="49">
        <v>0</v>
      </c>
      <c r="D77" s="50">
        <f ca="1">((100/(H65))*C77)/100</f>
        <v>0</v>
      </c>
      <c r="E77" s="75"/>
      <c r="F77" s="115"/>
      <c r="G77" s="75"/>
      <c r="H77" s="76"/>
      <c r="I77" s="17" t="s">
        <v>107</v>
      </c>
      <c r="J77" s="32">
        <f ca="1">(IF(B65&gt;1.5,(H65/(B65+2)+J71+MAX(0,J72-J71)+MAX(0,J73-J72)+MAX(0,J74-J73)+MAX(0,J75-J74)+MAX(0,J76-J75)),IF(B65=1,(H65/(B65+3)+J76),IF(B65=0,H65/4+J76))))</f>
        <v>31</v>
      </c>
    </row>
    <row r="78" spans="1:10" ht="15.75" hidden="1" customHeight="1" x14ac:dyDescent="0.25">
      <c r="A78" s="155" t="s">
        <v>147</v>
      </c>
      <c r="B78" s="156"/>
      <c r="C78" s="157" t="str">
        <f>D56</f>
        <v>Tower 2 = Gr/St + 1st to 31st Floor</v>
      </c>
      <c r="D78" s="158"/>
      <c r="E78" s="158"/>
      <c r="F78" s="158"/>
      <c r="G78" s="158"/>
      <c r="H78" s="159"/>
      <c r="I78" s="15" t="str">
        <f ca="1">(IF(E82&gt;99%,"All work completed. Please provide OC.",IF(E82&gt;89.8%,"Plinth, RCC, Brick, Plaster, Flooring, Painting work Completed. Finishing work is in process.",IF(E82&lt;94%,(IF(C82=0,"Work not yet Started.",IF(D82=25%,"Piling work in process",IF(D82=50%,"Excavation work in process",IF(D82=100%,"Excavation work Completed. ","0")))&amp;(IF(C83=0%,"",IF(C83=J84,"Footing work is process",IF(C83=J85,"Footing work Completed",IF(C83=J86,"1st Basement Completed",IF(C83=J87,"1st &amp; 2nd Basement Completed",IF(C83=J88,"1st to 3rd Basement Completed",IF(C83=J89,"1st to 4th Basement Completed",IF(C83=J90,"Plinth work is process",IF(C83=J91,"Plinth work completed","0")))))))))))&amp;(IF(C84=(D79+F79+H79),", RCC Slab Completed",IF(C84&gt;0,", RCC upto "&amp;C84&amp;" Slab Completed",""))&amp;(IF(C85=H79,", Brickwork Completed",IF(C85&gt;0,", Brickwork upto "&amp;C85&amp;" Floor Completed",""))&amp;(IF(C86=H79,", Internal Plaster Completed",IF(C86&gt;0,", Internal Plaster upto "&amp;C86&amp;" Floor Completed",""))&amp;(IF(C87=H79,", External Plaster Completed",IF(C87&gt;0,", External Plaster upto "&amp;C87&amp;" Floor Completed",""))&amp;(IF(C88=H79,", Flooring Completed",IF(C88&gt;0,", Flooring upto "&amp;C88&amp;" Floor Completed",""))&amp;(IF(C89=H79,", Painting Completed",IF(C89&gt;0,", Painting upto "&amp;C89&amp;" Floor Completed",""))&amp;(IF(C90&gt;0,", Finishing upto "&amp;C90&amp;" Floor Completed","")&amp;(IF(C84&gt;0.5,".",""))))))))))))))</f>
        <v>Excavation work Completed. Plinth work completed, RCC Slab Completed, Brickwork Completed, Internal Plaster Completed, External Plaster Completed, Flooring upto 27 Floor Completed, Painting upto 25 Floor Completed.</v>
      </c>
      <c r="J78" s="26"/>
    </row>
    <row r="79" spans="1:10" hidden="1" x14ac:dyDescent="0.25">
      <c r="A79" s="18" t="s">
        <v>149</v>
      </c>
      <c r="B79" s="42">
        <v>0</v>
      </c>
      <c r="C79" s="42" t="s">
        <v>76</v>
      </c>
      <c r="D79" s="42">
        <v>1</v>
      </c>
      <c r="E79" s="42" t="s">
        <v>75</v>
      </c>
      <c r="F79" s="42">
        <v>0</v>
      </c>
      <c r="G79" s="42" t="s">
        <v>85</v>
      </c>
      <c r="H79" s="19">
        <f ca="1">--TRIM(RIGHT(SUBSTITUTE(LEFT(C78,_xlfn.AGGREGATE(16,6,FIND({0,1,2,3,4,5,6,7,8,9},C78,ROW(INDIRECT("1:"&amp;LEN(C78)))),1))," ",REPT(" ",LEN(C78))),LEN(C78)))</f>
        <v>31</v>
      </c>
      <c r="I79" s="16"/>
      <c r="J79" s="27"/>
    </row>
    <row r="80" spans="1:10" ht="63.6" hidden="1" customHeight="1" x14ac:dyDescent="0.25">
      <c r="A80" s="88" t="s">
        <v>95</v>
      </c>
      <c r="B80" s="89"/>
      <c r="C80" s="90" t="str">
        <f ca="1">(IF($G$50="NA",I78,"All work Completed. OC Received."))</f>
        <v>Excavation work Completed. Plinth work completed, RCC Slab Completed, Brickwork Completed, Internal Plaster Completed, External Plaster Completed, Flooring upto 27 Floor Completed, Painting upto 25 Floor Completed.</v>
      </c>
      <c r="D80" s="90"/>
      <c r="E80" s="90"/>
      <c r="F80" s="90"/>
      <c r="G80" s="90"/>
      <c r="H80" s="91"/>
      <c r="I80" s="16" t="s">
        <v>108</v>
      </c>
      <c r="J80" s="27"/>
    </row>
    <row r="81" spans="1:10" ht="15.75" hidden="1" customHeight="1" x14ac:dyDescent="0.25">
      <c r="A81" s="77" t="s">
        <v>52</v>
      </c>
      <c r="B81" s="78"/>
      <c r="C81" s="47" t="s">
        <v>146</v>
      </c>
      <c r="D81" s="47" t="s">
        <v>88</v>
      </c>
      <c r="E81" s="78" t="s">
        <v>90</v>
      </c>
      <c r="F81" s="78"/>
      <c r="G81" s="78" t="s">
        <v>89</v>
      </c>
      <c r="H81" s="92"/>
      <c r="I81" s="14" t="s">
        <v>148</v>
      </c>
      <c r="J81" s="28">
        <f ca="1">H79*25%</f>
        <v>7.75</v>
      </c>
    </row>
    <row r="82" spans="1:10" hidden="1" x14ac:dyDescent="0.25">
      <c r="A82" s="77" t="s">
        <v>135</v>
      </c>
      <c r="B82" s="78"/>
      <c r="C82" s="47">
        <v>31</v>
      </c>
      <c r="D82" s="48">
        <f ca="1">((100/H79)*C82)/100</f>
        <v>1</v>
      </c>
      <c r="E82" s="71">
        <f ca="1">(((C83/H79*10)+(40/(D79+F79+H79)*C84)+(7.5/(H79)*C85)+(7.5/(H79)*C86)+(10/H79*C87)+(10/H79*C88)+(5/H79*C89)+(5/H79*C90)+(5/H79*C91))/100)</f>
        <v>0.87741935483870959</v>
      </c>
      <c r="F82" s="113"/>
      <c r="G82" s="71">
        <f ca="1">((((C82/H79)*20)+((C83/H79)*25)+(30/(H79+F79+D79)*C84)+(5/H79*C85)+(5/H79*C86)+(5/H79*C87)+(5/H79*C88)+(0/H79*C89)+(0/H79*C90)+(5/H79*C91))/100)</f>
        <v>0.94354838709677424</v>
      </c>
      <c r="H82" s="72"/>
      <c r="I82" s="14" t="s">
        <v>103</v>
      </c>
      <c r="J82" s="29">
        <f ca="1">H79*50%</f>
        <v>15.5</v>
      </c>
    </row>
    <row r="83" spans="1:10" hidden="1" x14ac:dyDescent="0.25">
      <c r="A83" s="77" t="s">
        <v>53</v>
      </c>
      <c r="B83" s="78"/>
      <c r="C83" s="51">
        <f ca="1">J91</f>
        <v>31</v>
      </c>
      <c r="D83" s="48">
        <f ca="1">((100/H79)*C83)/100</f>
        <v>1</v>
      </c>
      <c r="E83" s="73"/>
      <c r="F83" s="114"/>
      <c r="G83" s="73"/>
      <c r="H83" s="74"/>
      <c r="I83" s="14" t="s">
        <v>104</v>
      </c>
      <c r="J83" s="29">
        <f ca="1">H79</f>
        <v>31</v>
      </c>
    </row>
    <row r="84" spans="1:10" ht="15.75" hidden="1" customHeight="1" x14ac:dyDescent="0.25">
      <c r="A84" s="77" t="s">
        <v>136</v>
      </c>
      <c r="B84" s="78"/>
      <c r="C84" s="47">
        <v>32</v>
      </c>
      <c r="D84" s="48">
        <f ca="1">((100/(D79+F79+H79))*C84)/100</f>
        <v>1</v>
      </c>
      <c r="E84" s="73"/>
      <c r="F84" s="114"/>
      <c r="G84" s="73"/>
      <c r="H84" s="74"/>
      <c r="I84" s="14" t="s">
        <v>105</v>
      </c>
      <c r="J84" s="30">
        <f ca="1">(IF(B79&gt;1,(H79/(B79+2)),H79/4))</f>
        <v>7.75</v>
      </c>
    </row>
    <row r="85" spans="1:10" ht="15.75" hidden="1" customHeight="1" x14ac:dyDescent="0.25">
      <c r="A85" s="77" t="s">
        <v>143</v>
      </c>
      <c r="B85" s="78" t="s">
        <v>137</v>
      </c>
      <c r="C85" s="47">
        <f>C84-1</f>
        <v>31</v>
      </c>
      <c r="D85" s="48">
        <f ca="1">((100/H79)*C85)/100</f>
        <v>1</v>
      </c>
      <c r="E85" s="73"/>
      <c r="F85" s="114"/>
      <c r="G85" s="73"/>
      <c r="H85" s="74"/>
      <c r="I85" s="14" t="s">
        <v>106</v>
      </c>
      <c r="J85" s="30">
        <f ca="1">(IF(B79&gt;1,(H79/(B79+2)+J84),H79/4+J84))</f>
        <v>15.5</v>
      </c>
    </row>
    <row r="86" spans="1:10" ht="15.75" hidden="1" customHeight="1" x14ac:dyDescent="0.25">
      <c r="A86" s="77" t="s">
        <v>144</v>
      </c>
      <c r="B86" s="78" t="s">
        <v>137</v>
      </c>
      <c r="C86" s="51">
        <v>31</v>
      </c>
      <c r="D86" s="48">
        <f ca="1">((100/H79)*C86)/100</f>
        <v>1</v>
      </c>
      <c r="E86" s="73"/>
      <c r="F86" s="114"/>
      <c r="G86" s="73"/>
      <c r="H86" s="74"/>
      <c r="I86" s="14" t="s">
        <v>153</v>
      </c>
      <c r="J86" s="30">
        <f>(IF(B79&gt;1,(H79/(B79+2)+J85),0))</f>
        <v>0</v>
      </c>
    </row>
    <row r="87" spans="1:10" ht="15" hidden="1" customHeight="1" x14ac:dyDescent="0.25">
      <c r="A87" s="77" t="s">
        <v>142</v>
      </c>
      <c r="B87" s="78" t="s">
        <v>139</v>
      </c>
      <c r="C87" s="51">
        <v>31</v>
      </c>
      <c r="D87" s="48">
        <f ca="1">((100/(H79))*C87)/100</f>
        <v>1</v>
      </c>
      <c r="E87" s="73"/>
      <c r="F87" s="114"/>
      <c r="G87" s="73"/>
      <c r="H87" s="74"/>
      <c r="I87" s="14" t="s">
        <v>150</v>
      </c>
      <c r="J87" s="30">
        <f>(IF(B79&gt;2,(H79/(B79+2)+J86),0))</f>
        <v>0</v>
      </c>
    </row>
    <row r="88" spans="1:10" ht="15.75" hidden="1" customHeight="1" x14ac:dyDescent="0.25">
      <c r="A88" s="77" t="s">
        <v>138</v>
      </c>
      <c r="B88" s="78" t="s">
        <v>138</v>
      </c>
      <c r="C88" s="60">
        <v>27</v>
      </c>
      <c r="D88" s="48">
        <f ca="1">((100/H79)*C88)/100</f>
        <v>0.87096774193548387</v>
      </c>
      <c r="E88" s="73"/>
      <c r="F88" s="114"/>
      <c r="G88" s="73"/>
      <c r="H88" s="74"/>
      <c r="I88" s="14" t="s">
        <v>151</v>
      </c>
      <c r="J88" s="31">
        <f>(IF(B79&gt;3,(H79/(B79+2)+J87),0))</f>
        <v>0</v>
      </c>
    </row>
    <row r="89" spans="1:10" ht="15.75" hidden="1" customHeight="1" x14ac:dyDescent="0.25">
      <c r="A89" s="77" t="s">
        <v>145</v>
      </c>
      <c r="B89" s="78"/>
      <c r="C89" s="47">
        <v>25</v>
      </c>
      <c r="D89" s="48">
        <f ca="1">((100/H79)*C89)/100</f>
        <v>0.80645161290322576</v>
      </c>
      <c r="E89" s="73"/>
      <c r="F89" s="114"/>
      <c r="G89" s="73"/>
      <c r="H89" s="74"/>
      <c r="I89" s="14" t="s">
        <v>152</v>
      </c>
      <c r="J89" s="30">
        <f>(IF(B79&gt;4,(H79/(B79+2)+J88),0))</f>
        <v>0</v>
      </c>
    </row>
    <row r="90" spans="1:10" ht="15.75" hidden="1" customHeight="1" x14ac:dyDescent="0.25">
      <c r="A90" s="77" t="s">
        <v>140</v>
      </c>
      <c r="B90" s="78" t="s">
        <v>140</v>
      </c>
      <c r="C90" s="47">
        <v>0</v>
      </c>
      <c r="D90" s="48">
        <f ca="1">((100/(H79))*C90)/100</f>
        <v>0</v>
      </c>
      <c r="E90" s="73"/>
      <c r="F90" s="114"/>
      <c r="G90" s="73"/>
      <c r="H90" s="74"/>
      <c r="I90" s="14" t="s">
        <v>154</v>
      </c>
      <c r="J90" s="30">
        <f ca="1">(IF(B79=1,(H79/(B79+3)+J85),IF(B79=0,(H79/4+J85),IF(B79&gt;1,0))))</f>
        <v>23.25</v>
      </c>
    </row>
    <row r="91" spans="1:10" ht="16.5" hidden="1" thickBot="1" x14ac:dyDescent="0.3">
      <c r="A91" s="116" t="s">
        <v>141</v>
      </c>
      <c r="B91" s="117"/>
      <c r="C91" s="49">
        <v>0</v>
      </c>
      <c r="D91" s="50">
        <f ca="1">((100/(H79))*C91)/100</f>
        <v>0</v>
      </c>
      <c r="E91" s="75"/>
      <c r="F91" s="115"/>
      <c r="G91" s="75"/>
      <c r="H91" s="76"/>
      <c r="I91" s="17" t="s">
        <v>107</v>
      </c>
      <c r="J91" s="32">
        <f ca="1">(IF(B79&gt;1.5,(H79/(B79+2)+J85+MAX(0,J86-J85)+MAX(0,J87-J86)+MAX(0,J88-J87)+MAX(0,J89-J88)+MAX(0,J90-J89)),IF(B79=1,(H79/(B79+3)+J90),IF(B79=0,H79/4+J90))))</f>
        <v>31</v>
      </c>
    </row>
    <row r="92" spans="1:10" x14ac:dyDescent="0.25">
      <c r="A92" s="93" t="s">
        <v>165</v>
      </c>
      <c r="B92" s="93"/>
      <c r="C92" s="93"/>
      <c r="D92" s="93"/>
      <c r="E92" s="93"/>
      <c r="F92" s="94" t="s">
        <v>170</v>
      </c>
      <c r="G92" s="94"/>
      <c r="H92" s="94"/>
    </row>
    <row r="93" spans="1:10" x14ac:dyDescent="0.25">
      <c r="A93" s="80" t="s">
        <v>168</v>
      </c>
      <c r="B93" s="80"/>
      <c r="C93" s="80"/>
      <c r="D93" s="80"/>
      <c r="E93" s="80"/>
      <c r="F93" s="176">
        <v>11000</v>
      </c>
      <c r="G93" s="176"/>
      <c r="H93" s="176"/>
    </row>
    <row r="94" spans="1:10" hidden="1" x14ac:dyDescent="0.25">
      <c r="A94" s="80" t="s">
        <v>167</v>
      </c>
      <c r="B94" s="80"/>
      <c r="C94" s="80"/>
      <c r="D94" s="80"/>
      <c r="E94" s="80"/>
      <c r="F94" s="79"/>
      <c r="G94" s="79"/>
      <c r="H94" s="79"/>
    </row>
    <row r="95" spans="1:10" hidden="1" x14ac:dyDescent="0.25">
      <c r="A95" s="80" t="s">
        <v>169</v>
      </c>
      <c r="B95" s="80"/>
      <c r="C95" s="80"/>
      <c r="D95" s="80"/>
      <c r="E95" s="80"/>
      <c r="F95" s="79"/>
      <c r="G95" s="79"/>
      <c r="H95" s="79"/>
    </row>
    <row r="96" spans="1:10" s="33" customFormat="1" hidden="1" x14ac:dyDescent="0.25">
      <c r="A96" s="80" t="s">
        <v>166</v>
      </c>
      <c r="B96" s="80"/>
      <c r="C96" s="80"/>
      <c r="D96" s="80"/>
      <c r="E96" s="80"/>
      <c r="F96" s="79"/>
      <c r="G96" s="79"/>
      <c r="H96" s="79"/>
    </row>
    <row r="97" spans="1:13" s="33" customFormat="1" ht="33.75" customHeight="1" x14ac:dyDescent="0.25">
      <c r="A97" s="85" t="s">
        <v>205</v>
      </c>
      <c r="B97" s="85"/>
      <c r="C97" s="85"/>
      <c r="D97" s="85"/>
      <c r="E97" s="85"/>
      <c r="F97" s="79">
        <v>175000</v>
      </c>
      <c r="G97" s="79"/>
      <c r="H97" s="79"/>
    </row>
    <row r="98" spans="1:13" s="33" customFormat="1" x14ac:dyDescent="0.25">
      <c r="A98" s="80" t="s">
        <v>206</v>
      </c>
      <c r="B98" s="80"/>
      <c r="C98" s="80"/>
      <c r="D98" s="80"/>
      <c r="E98" s="80"/>
      <c r="F98" s="79">
        <v>150000</v>
      </c>
      <c r="G98" s="79"/>
      <c r="H98" s="79"/>
    </row>
    <row r="99" spans="1:13" s="33" customFormat="1" x14ac:dyDescent="0.25">
      <c r="A99" s="80" t="s">
        <v>207</v>
      </c>
      <c r="B99" s="80"/>
      <c r="C99" s="80"/>
      <c r="D99" s="80"/>
      <c r="E99" s="80"/>
      <c r="F99" s="79">
        <v>40000</v>
      </c>
      <c r="G99" s="79"/>
      <c r="H99" s="79"/>
    </row>
    <row r="100" spans="1:13" s="33" customFormat="1" x14ac:dyDescent="0.25">
      <c r="A100" s="80" t="s">
        <v>208</v>
      </c>
      <c r="B100" s="80"/>
      <c r="C100" s="80"/>
      <c r="D100" s="80"/>
      <c r="E100" s="80"/>
      <c r="F100" s="79">
        <v>70000</v>
      </c>
      <c r="G100" s="79"/>
      <c r="H100" s="79"/>
    </row>
    <row r="101" spans="1:13" s="33" customFormat="1" hidden="1" x14ac:dyDescent="0.25">
      <c r="A101" s="80" t="s">
        <v>100</v>
      </c>
      <c r="B101" s="80"/>
      <c r="C101" s="80"/>
      <c r="D101" s="80"/>
      <c r="E101" s="80"/>
      <c r="F101" s="79"/>
      <c r="G101" s="79"/>
      <c r="H101" s="79"/>
    </row>
    <row r="102" spans="1:13" s="33" customFormat="1" hidden="1" x14ac:dyDescent="0.25">
      <c r="A102" s="80" t="s">
        <v>101</v>
      </c>
      <c r="B102" s="80"/>
      <c r="C102" s="80"/>
      <c r="D102" s="80"/>
      <c r="E102" s="80"/>
      <c r="F102" s="79"/>
      <c r="G102" s="79"/>
      <c r="H102" s="79"/>
    </row>
    <row r="103" spans="1:13" s="33" customFormat="1" hidden="1" x14ac:dyDescent="0.25">
      <c r="A103" s="80" t="s">
        <v>102</v>
      </c>
      <c r="B103" s="80"/>
      <c r="C103" s="80"/>
      <c r="D103" s="80"/>
      <c r="E103" s="80"/>
      <c r="F103" s="79"/>
      <c r="G103" s="79"/>
      <c r="H103" s="79"/>
    </row>
    <row r="104" spans="1:13" x14ac:dyDescent="0.25">
      <c r="A104" s="80" t="s">
        <v>54</v>
      </c>
      <c r="B104" s="80"/>
      <c r="C104" s="80"/>
      <c r="D104" s="80"/>
      <c r="E104" s="80"/>
      <c r="F104" s="79">
        <v>500000</v>
      </c>
      <c r="G104" s="79"/>
      <c r="H104" s="79"/>
    </row>
    <row r="105" spans="1:13" s="34" customFormat="1" x14ac:dyDescent="0.25">
      <c r="A105" s="89" t="s">
        <v>55</v>
      </c>
      <c r="B105" s="89"/>
      <c r="C105" s="89"/>
      <c r="D105" s="89"/>
      <c r="E105" s="89"/>
      <c r="F105" s="79">
        <f>F93*0.8</f>
        <v>8800</v>
      </c>
      <c r="G105" s="79"/>
      <c r="H105" s="79"/>
    </row>
    <row r="106" spans="1:13" s="35" customFormat="1" ht="15.75" hidden="1" customHeight="1" x14ac:dyDescent="0.25">
      <c r="A106" s="103" t="s">
        <v>80</v>
      </c>
      <c r="B106" s="103"/>
      <c r="C106" s="103"/>
      <c r="D106" s="103"/>
      <c r="E106" s="103"/>
      <c r="F106" s="103"/>
      <c r="G106" s="103"/>
      <c r="H106" s="103"/>
    </row>
    <row r="107" spans="1:13" s="35" customFormat="1" ht="15.75" hidden="1" customHeight="1" x14ac:dyDescent="0.25">
      <c r="A107" s="63" t="s">
        <v>56</v>
      </c>
      <c r="B107" s="63"/>
      <c r="C107" s="62" t="s">
        <v>83</v>
      </c>
      <c r="D107" s="62"/>
      <c r="E107" s="105" t="s">
        <v>57</v>
      </c>
      <c r="F107" s="105"/>
      <c r="G107" s="63" t="s">
        <v>58</v>
      </c>
      <c r="H107" s="63"/>
    </row>
    <row r="108" spans="1:13" s="35" customFormat="1" hidden="1" x14ac:dyDescent="0.25">
      <c r="A108" s="86"/>
      <c r="B108" s="86"/>
      <c r="C108" s="87"/>
      <c r="D108" s="87"/>
      <c r="E108" s="106"/>
      <c r="F108" s="106"/>
      <c r="G108" s="107"/>
      <c r="H108" s="107"/>
    </row>
    <row r="109" spans="1:13" s="35" customFormat="1" hidden="1" x14ac:dyDescent="0.25">
      <c r="A109" s="86"/>
      <c r="B109" s="86"/>
      <c r="C109" s="87"/>
      <c r="D109" s="87"/>
      <c r="E109" s="106"/>
      <c r="F109" s="106"/>
      <c r="G109" s="107"/>
      <c r="H109" s="107"/>
    </row>
    <row r="110" spans="1:13" s="35" customFormat="1" hidden="1" x14ac:dyDescent="0.25">
      <c r="A110" s="103" t="s">
        <v>158</v>
      </c>
      <c r="B110" s="103"/>
      <c r="C110" s="62"/>
      <c r="D110" s="62"/>
      <c r="E110" s="105"/>
      <c r="F110" s="105"/>
      <c r="G110" s="63"/>
      <c r="H110" s="63"/>
    </row>
    <row r="111" spans="1:13" s="35" customFormat="1" x14ac:dyDescent="0.25">
      <c r="A111" s="103" t="s">
        <v>74</v>
      </c>
      <c r="B111" s="103"/>
      <c r="C111" s="103"/>
      <c r="D111" s="103"/>
      <c r="E111" s="103"/>
      <c r="F111" s="103"/>
      <c r="G111" s="103"/>
      <c r="H111" s="103"/>
    </row>
    <row r="112" spans="1:13" s="35" customFormat="1" ht="15.75" customHeight="1" x14ac:dyDescent="0.25">
      <c r="A112" s="63" t="s">
        <v>56</v>
      </c>
      <c r="B112" s="63"/>
      <c r="C112" s="62" t="s">
        <v>83</v>
      </c>
      <c r="D112" s="62"/>
      <c r="E112" s="105" t="s">
        <v>57</v>
      </c>
      <c r="F112" s="105"/>
      <c r="G112" s="63" t="s">
        <v>58</v>
      </c>
      <c r="H112" s="63"/>
      <c r="I112" s="55"/>
      <c r="J112" s="56" t="s">
        <v>199</v>
      </c>
      <c r="K112" s="55" t="s">
        <v>202</v>
      </c>
      <c r="L112" s="55"/>
      <c r="M112" s="55"/>
    </row>
    <row r="113" spans="1:14" s="35" customFormat="1" x14ac:dyDescent="0.25">
      <c r="A113" s="86" t="s">
        <v>191</v>
      </c>
      <c r="B113" s="86"/>
      <c r="C113" s="87">
        <f>COUNT(D130:D130)+COUNT(D132:D137)*24+COUNT(D139:D141,D143:D144)*5+COUNT(D146)</f>
        <v>171</v>
      </c>
      <c r="D113" s="87"/>
      <c r="E113" s="108">
        <f>SUM(D130:D130)+SUM(D132:D137)*24+SUM(D139:D141,D143:D144)*5+SUM(D146)</f>
        <v>115390.72584</v>
      </c>
      <c r="F113" s="108"/>
      <c r="G113" s="108">
        <f>SUM(F130:F130)+SUM(F132:F137)*24+SUM(F139:F141,F143:F144)*5+SUM(F146)</f>
        <v>178855.62505200002</v>
      </c>
      <c r="H113" s="108"/>
      <c r="I113" s="55"/>
      <c r="J113" s="57">
        <f>11500000/D141</f>
        <v>12392.716255377201</v>
      </c>
      <c r="K113" s="57" t="e">
        <f>9700000/#REF!</f>
        <v>#REF!</v>
      </c>
      <c r="L113" s="55"/>
      <c r="M113" s="55"/>
    </row>
    <row r="114" spans="1:14" s="35" customFormat="1" x14ac:dyDescent="0.25">
      <c r="A114" s="86" t="s">
        <v>197</v>
      </c>
      <c r="B114" s="86"/>
      <c r="C114" s="163">
        <f>COUNT(D149)+COUNT(D151:D156)*26+COUNT(D158:D159,D161:D163)*5</f>
        <v>182</v>
      </c>
      <c r="D114" s="87"/>
      <c r="E114" s="108">
        <f>SUM(D149)+SUM(D151:D156)*26+SUM(D158:D159,D161:D163)*5</f>
        <v>119617.85628000001</v>
      </c>
      <c r="F114" s="108"/>
      <c r="G114" s="108">
        <f>SUM(F149)+SUM(F151:F156)*26+SUM(F158:F159,F161:F163)*5</f>
        <v>185407.677234</v>
      </c>
      <c r="H114" s="108"/>
      <c r="I114" s="55"/>
      <c r="J114" s="57" t="e">
        <f>10500000/#REF!</f>
        <v>#REF!</v>
      </c>
      <c r="K114" s="57" t="e">
        <f>10500000/#REF!</f>
        <v>#REF!</v>
      </c>
      <c r="L114" s="55"/>
      <c r="M114" s="55"/>
    </row>
    <row r="115" spans="1:14" s="35" customFormat="1" x14ac:dyDescent="0.25">
      <c r="A115" s="103" t="s">
        <v>158</v>
      </c>
      <c r="B115" s="103"/>
      <c r="C115" s="62">
        <f>SUM(C113:D114)</f>
        <v>353</v>
      </c>
      <c r="D115" s="62"/>
      <c r="E115" s="104">
        <f>SUM(E113:F114)</f>
        <v>235008.58212000001</v>
      </c>
      <c r="F115" s="105"/>
      <c r="G115" s="63">
        <f>SUM(G113:H114)</f>
        <v>364263.30228599999</v>
      </c>
      <c r="H115" s="63"/>
      <c r="I115" s="55" t="s">
        <v>200</v>
      </c>
      <c r="J115" s="57" t="e">
        <f>AVERAGE(J113:J114)</f>
        <v>#REF!</v>
      </c>
      <c r="K115" s="57">
        <f>12500000/D136</f>
        <v>18712.187160673198</v>
      </c>
      <c r="L115" s="55"/>
      <c r="M115" s="55"/>
    </row>
    <row r="116" spans="1:14" s="34" customFormat="1" x14ac:dyDescent="0.25">
      <c r="A116" s="102" t="s">
        <v>59</v>
      </c>
      <c r="B116" s="102"/>
      <c r="C116" s="102"/>
      <c r="D116" s="102"/>
      <c r="E116" s="102"/>
      <c r="F116" s="102"/>
      <c r="G116" s="102"/>
      <c r="H116" s="102"/>
      <c r="I116" s="58" t="s">
        <v>201</v>
      </c>
      <c r="J116" s="59" t="e">
        <f>J115/1.55</f>
        <v>#REF!</v>
      </c>
      <c r="K116" s="57" t="e">
        <f>AVERAGE(K113:K115)</f>
        <v>#REF!</v>
      </c>
      <c r="L116" s="58"/>
      <c r="M116" s="58"/>
      <c r="N116" s="54"/>
    </row>
    <row r="117" spans="1:14" x14ac:dyDescent="0.25">
      <c r="A117" s="102" t="s">
        <v>60</v>
      </c>
      <c r="B117" s="102"/>
      <c r="C117" s="102"/>
      <c r="D117" s="102"/>
      <c r="E117" s="102"/>
      <c r="F117" s="102"/>
      <c r="G117" s="102"/>
      <c r="H117" s="102"/>
      <c r="I117" s="53"/>
      <c r="K117" s="59" t="e">
        <f>K116/1.55</f>
        <v>#REF!</v>
      </c>
    </row>
    <row r="118" spans="1:14" ht="47.25" hidden="1" customHeight="1" x14ac:dyDescent="0.25">
      <c r="A118" s="81" t="s">
        <v>125</v>
      </c>
      <c r="B118" s="81" t="s">
        <v>124</v>
      </c>
      <c r="C118" s="81" t="s">
        <v>61</v>
      </c>
      <c r="D118" s="81" t="s">
        <v>62</v>
      </c>
      <c r="E118" s="109" t="s">
        <v>164</v>
      </c>
      <c r="F118" s="44" t="s">
        <v>157</v>
      </c>
      <c r="G118" s="96" t="s">
        <v>64</v>
      </c>
      <c r="H118" s="111"/>
      <c r="I118" s="53"/>
    </row>
    <row r="119" spans="1:14" s="37" customFormat="1" hidden="1" x14ac:dyDescent="0.25">
      <c r="A119" s="82"/>
      <c r="B119" s="82"/>
      <c r="C119" s="82"/>
      <c r="D119" s="82"/>
      <c r="E119" s="110"/>
      <c r="F119" s="13">
        <v>0.6</v>
      </c>
      <c r="G119" s="97"/>
      <c r="H119" s="112"/>
      <c r="I119" s="53"/>
    </row>
    <row r="120" spans="1:14" s="37" customFormat="1" hidden="1" x14ac:dyDescent="0.25">
      <c r="A120" s="99" t="s">
        <v>123</v>
      </c>
      <c r="B120" s="100"/>
      <c r="C120" s="100"/>
      <c r="D120" s="100"/>
      <c r="E120" s="100"/>
      <c r="F120" s="100"/>
      <c r="G120" s="100"/>
      <c r="H120" s="101"/>
      <c r="I120" s="53"/>
      <c r="J120" s="36"/>
    </row>
    <row r="121" spans="1:14" s="37" customFormat="1" hidden="1" x14ac:dyDescent="0.25">
      <c r="A121" s="83">
        <v>1</v>
      </c>
      <c r="B121" s="84"/>
      <c r="C121" s="43"/>
      <c r="D121" s="43"/>
      <c r="E121" s="43">
        <v>0</v>
      </c>
      <c r="F121" s="43">
        <f>(D121+E121)*(($F$119)+1)</f>
        <v>0</v>
      </c>
      <c r="G121" s="83" t="str">
        <f>A120</f>
        <v>Ground Floor</v>
      </c>
      <c r="H121" s="84"/>
      <c r="I121" s="53"/>
      <c r="L121" s="98"/>
      <c r="M121" s="98"/>
      <c r="N121" s="36"/>
    </row>
    <row r="122" spans="1:14" s="37" customFormat="1" hidden="1" x14ac:dyDescent="0.25">
      <c r="A122" s="83">
        <f t="shared" ref="A122:A124" si="0">A121+1</f>
        <v>2</v>
      </c>
      <c r="B122" s="84"/>
      <c r="C122" s="43"/>
      <c r="D122" s="43"/>
      <c r="E122" s="43">
        <v>0</v>
      </c>
      <c r="F122" s="43">
        <f t="shared" ref="F122:F124" si="1">(D122+E122)*(($F$119)+1)</f>
        <v>0</v>
      </c>
      <c r="G122" s="83" t="str">
        <f t="shared" ref="G122:G124" si="2">G121</f>
        <v>Ground Floor</v>
      </c>
      <c r="H122" s="84"/>
      <c r="I122" s="53"/>
      <c r="L122" s="98"/>
      <c r="M122" s="98"/>
      <c r="N122" s="36"/>
    </row>
    <row r="123" spans="1:14" s="37" customFormat="1" hidden="1" x14ac:dyDescent="0.25">
      <c r="A123" s="83">
        <f t="shared" si="0"/>
        <v>3</v>
      </c>
      <c r="B123" s="84"/>
      <c r="C123" s="43"/>
      <c r="D123" s="43"/>
      <c r="E123" s="43">
        <v>0</v>
      </c>
      <c r="F123" s="43">
        <f t="shared" si="1"/>
        <v>0</v>
      </c>
      <c r="G123" s="83" t="str">
        <f t="shared" si="2"/>
        <v>Ground Floor</v>
      </c>
      <c r="H123" s="84"/>
      <c r="I123" s="53"/>
      <c r="L123" s="98"/>
      <c r="M123" s="98"/>
      <c r="N123" s="36"/>
    </row>
    <row r="124" spans="1:14" s="37" customFormat="1" hidden="1" x14ac:dyDescent="0.25">
      <c r="A124" s="83">
        <f t="shared" si="0"/>
        <v>4</v>
      </c>
      <c r="B124" s="84"/>
      <c r="C124" s="43"/>
      <c r="D124" s="43"/>
      <c r="E124" s="43">
        <v>0</v>
      </c>
      <c r="F124" s="43">
        <f t="shared" si="1"/>
        <v>0</v>
      </c>
      <c r="G124" s="83" t="str">
        <f t="shared" si="2"/>
        <v>Ground Floor</v>
      </c>
      <c r="H124" s="84"/>
      <c r="I124" s="53"/>
      <c r="L124" s="98"/>
      <c r="M124" s="98"/>
      <c r="N124" s="36"/>
    </row>
    <row r="125" spans="1:14" s="37" customFormat="1" x14ac:dyDescent="0.25">
      <c r="A125" s="83"/>
      <c r="B125" s="95"/>
      <c r="C125" s="95"/>
      <c r="D125" s="95"/>
      <c r="E125" s="95"/>
      <c r="F125" s="95"/>
      <c r="G125" s="95"/>
      <c r="H125" s="84"/>
      <c r="I125" s="53"/>
      <c r="N125" s="36"/>
    </row>
    <row r="126" spans="1:14" ht="47.25" customHeight="1" x14ac:dyDescent="0.25">
      <c r="A126" s="96" t="s">
        <v>126</v>
      </c>
      <c r="B126" s="96" t="s">
        <v>127</v>
      </c>
      <c r="C126" s="81" t="s">
        <v>61</v>
      </c>
      <c r="D126" s="81" t="s">
        <v>62</v>
      </c>
      <c r="E126" s="109" t="s">
        <v>63</v>
      </c>
      <c r="F126" s="44" t="s">
        <v>157</v>
      </c>
      <c r="G126" s="96" t="s">
        <v>64</v>
      </c>
      <c r="H126" s="111"/>
      <c r="I126" s="53"/>
    </row>
    <row r="127" spans="1:14" s="37" customFormat="1" x14ac:dyDescent="0.25">
      <c r="A127" s="97"/>
      <c r="B127" s="97"/>
      <c r="C127" s="82"/>
      <c r="D127" s="82"/>
      <c r="E127" s="110"/>
      <c r="F127" s="13">
        <v>0.55000000000000004</v>
      </c>
      <c r="G127" s="97"/>
      <c r="H127" s="112"/>
      <c r="I127" s="36"/>
    </row>
    <row r="128" spans="1:14" s="34" customFormat="1" x14ac:dyDescent="0.25">
      <c r="A128" s="102" t="s">
        <v>191</v>
      </c>
      <c r="B128" s="102"/>
      <c r="C128" s="102"/>
      <c r="D128" s="102"/>
      <c r="E128" s="102"/>
      <c r="F128" s="102"/>
      <c r="G128" s="102"/>
      <c r="H128" s="102"/>
    </row>
    <row r="129" spans="1:14" s="37" customFormat="1" x14ac:dyDescent="0.25">
      <c r="A129" s="99" t="s">
        <v>211</v>
      </c>
      <c r="B129" s="100"/>
      <c r="C129" s="100"/>
      <c r="D129" s="100"/>
      <c r="E129" s="100"/>
      <c r="F129" s="100"/>
      <c r="G129" s="100"/>
      <c r="H129" s="101"/>
      <c r="J129" s="36"/>
    </row>
    <row r="130" spans="1:14" s="37" customFormat="1" ht="42.75" customHeight="1" x14ac:dyDescent="0.25">
      <c r="A130" s="83">
        <v>1</v>
      </c>
      <c r="B130" s="84"/>
      <c r="C130" s="43" t="s">
        <v>192</v>
      </c>
      <c r="D130" s="43">
        <f>57.69*10.764</f>
        <v>620.97515999999996</v>
      </c>
      <c r="E130" s="43">
        <v>0</v>
      </c>
      <c r="F130" s="43">
        <f>D130*(($F$127)+1)+(IF(E130&lt;101,E130,IF(E130&lt;201,E130/2,IF(E130&lt;=301,E130/3,E130/4))))</f>
        <v>962.51149799999996</v>
      </c>
      <c r="G130" s="83" t="str">
        <f>A129</f>
        <v>Ground Floor for Residential, Parking &amp; Society Office</v>
      </c>
      <c r="H130" s="84"/>
      <c r="I130" s="36"/>
      <c r="L130" s="98"/>
      <c r="M130" s="98"/>
      <c r="N130" s="36"/>
    </row>
    <row r="131" spans="1:14" s="37" customFormat="1" ht="15.75" customHeight="1" x14ac:dyDescent="0.25">
      <c r="A131" s="99" t="s">
        <v>212</v>
      </c>
      <c r="B131" s="100"/>
      <c r="C131" s="100"/>
      <c r="D131" s="100"/>
      <c r="E131" s="100"/>
      <c r="F131" s="100"/>
      <c r="G131" s="100"/>
      <c r="H131" s="101"/>
      <c r="I131" s="36"/>
    </row>
    <row r="132" spans="1:14" s="37" customFormat="1" ht="15.75" customHeight="1" x14ac:dyDescent="0.25">
      <c r="A132" s="83">
        <v>1</v>
      </c>
      <c r="B132" s="84"/>
      <c r="C132" s="43" t="s">
        <v>192</v>
      </c>
      <c r="D132" s="43">
        <f>(62.06)*10.764</f>
        <v>668.01383999999996</v>
      </c>
      <c r="E132" s="43">
        <v>0</v>
      </c>
      <c r="F132" s="43">
        <f t="shared" ref="F132:F137" si="3">D132*(($F$127)+1)+(IF(E132&lt;101,E132,IF(E132&lt;201,E132/2,IF(E132&lt;=301,E132/3,E132/4))))</f>
        <v>1035.421452</v>
      </c>
      <c r="G132" s="169" t="str">
        <f>A131</f>
        <v>1st to 7th, 9th to 12th, 14th to 17th, 19th to 22nd, 24th to 27th &amp; 29th Floor</v>
      </c>
      <c r="H132" s="170"/>
      <c r="I132" s="36">
        <f>10500000/F132</f>
        <v>10140.79820320354</v>
      </c>
      <c r="J132" s="37">
        <f>62.06*10.764</f>
        <v>668.01383999999996</v>
      </c>
    </row>
    <row r="133" spans="1:14" s="37" customFormat="1" ht="15.75" customHeight="1" x14ac:dyDescent="0.25">
      <c r="A133" s="83">
        <v>2</v>
      </c>
      <c r="B133" s="84"/>
      <c r="C133" s="43" t="s">
        <v>192</v>
      </c>
      <c r="D133" s="43">
        <f>(62.06)*10.764</f>
        <v>668.01383999999996</v>
      </c>
      <c r="E133" s="43">
        <v>0</v>
      </c>
      <c r="F133" s="43">
        <f t="shared" si="3"/>
        <v>1035.421452</v>
      </c>
      <c r="G133" s="171"/>
      <c r="H133" s="172"/>
      <c r="I133" s="36"/>
    </row>
    <row r="134" spans="1:14" s="37" customFormat="1" ht="15.75" customHeight="1" x14ac:dyDescent="0.25">
      <c r="A134" s="83">
        <v>3</v>
      </c>
      <c r="B134" s="84"/>
      <c r="C134" s="43" t="s">
        <v>192</v>
      </c>
      <c r="D134" s="43">
        <f>(56.95)*10.764</f>
        <v>613.00980000000004</v>
      </c>
      <c r="E134" s="43">
        <v>0</v>
      </c>
      <c r="F134" s="43">
        <f t="shared" si="3"/>
        <v>950.16519000000005</v>
      </c>
      <c r="G134" s="171"/>
      <c r="H134" s="172"/>
      <c r="I134" s="36"/>
    </row>
    <row r="135" spans="1:14" s="37" customFormat="1" ht="15.75" customHeight="1" x14ac:dyDescent="0.25">
      <c r="A135" s="83">
        <v>4</v>
      </c>
      <c r="B135" s="84"/>
      <c r="C135" s="43" t="s">
        <v>192</v>
      </c>
      <c r="D135" s="43">
        <f>(56.95)*10.764</f>
        <v>613.00980000000004</v>
      </c>
      <c r="E135" s="43">
        <v>0</v>
      </c>
      <c r="F135" s="43">
        <f t="shared" si="3"/>
        <v>950.16519000000005</v>
      </c>
      <c r="G135" s="171"/>
      <c r="H135" s="172"/>
      <c r="I135" s="36"/>
    </row>
    <row r="136" spans="1:14" s="37" customFormat="1" ht="15.75" customHeight="1" x14ac:dyDescent="0.25">
      <c r="A136" s="83">
        <v>5</v>
      </c>
      <c r="B136" s="84"/>
      <c r="C136" s="43" t="s">
        <v>192</v>
      </c>
      <c r="D136" s="43">
        <f>(62.06)*10.764</f>
        <v>668.01383999999996</v>
      </c>
      <c r="E136" s="43">
        <v>0</v>
      </c>
      <c r="F136" s="43">
        <f t="shared" si="3"/>
        <v>1035.421452</v>
      </c>
      <c r="G136" s="171"/>
      <c r="H136" s="172"/>
      <c r="I136" s="36"/>
    </row>
    <row r="137" spans="1:14" s="37" customFormat="1" ht="15.75" customHeight="1" x14ac:dyDescent="0.25">
      <c r="A137" s="83">
        <v>6</v>
      </c>
      <c r="B137" s="84"/>
      <c r="C137" s="43" t="s">
        <v>193</v>
      </c>
      <c r="D137" s="43">
        <f>(69.95)*10.764</f>
        <v>752.94179999999994</v>
      </c>
      <c r="E137" s="43">
        <v>0</v>
      </c>
      <c r="F137" s="43">
        <f t="shared" si="3"/>
        <v>1167.05979</v>
      </c>
      <c r="G137" s="173"/>
      <c r="H137" s="174"/>
      <c r="I137" s="36"/>
    </row>
    <row r="138" spans="1:14" s="37" customFormat="1" ht="15.75" customHeight="1" x14ac:dyDescent="0.25">
      <c r="A138" s="99" t="s">
        <v>194</v>
      </c>
      <c r="B138" s="100"/>
      <c r="C138" s="100"/>
      <c r="D138" s="100"/>
      <c r="E138" s="100"/>
      <c r="F138" s="100"/>
      <c r="G138" s="100"/>
      <c r="H138" s="101"/>
      <c r="I138" s="36"/>
    </row>
    <row r="139" spans="1:14" s="37" customFormat="1" ht="15.75" customHeight="1" x14ac:dyDescent="0.25">
      <c r="A139" s="83">
        <v>1</v>
      </c>
      <c r="B139" s="84"/>
      <c r="C139" s="43" t="s">
        <v>192</v>
      </c>
      <c r="D139" s="43">
        <f>(62.06)*10.764</f>
        <v>668.01383999999996</v>
      </c>
      <c r="E139" s="43">
        <v>0</v>
      </c>
      <c r="F139" s="43">
        <f>D139*(($F$127)+1)+(IF(E139&lt;101,E139,IF(E139&lt;201,E139/2,IF(E139&lt;=301,E139/3,E139/4))))</f>
        <v>1035.421452</v>
      </c>
      <c r="G139" s="169" t="str">
        <f>A138</f>
        <v>8th, 13th, 18th, 23rd &amp; 28th Floor (Part Refuge Floor)</v>
      </c>
      <c r="H139" s="170"/>
      <c r="I139" s="36"/>
    </row>
    <row r="140" spans="1:14" s="37" customFormat="1" ht="15.75" customHeight="1" x14ac:dyDescent="0.25">
      <c r="A140" s="83">
        <v>2</v>
      </c>
      <c r="B140" s="84"/>
      <c r="C140" s="43" t="s">
        <v>192</v>
      </c>
      <c r="D140" s="43">
        <f>(62.06)*10.764</f>
        <v>668.01383999999996</v>
      </c>
      <c r="E140" s="43">
        <v>0</v>
      </c>
      <c r="F140" s="43">
        <f>D140*(($F$127)+1)+(IF(E140&lt;101,E140,IF(E140&lt;201,E140/2,IF(E140&lt;=301,E140/3,E140/4))))</f>
        <v>1035.421452</v>
      </c>
      <c r="G140" s="171"/>
      <c r="H140" s="172"/>
      <c r="I140" s="36"/>
    </row>
    <row r="141" spans="1:14" s="37" customFormat="1" ht="15.75" customHeight="1" x14ac:dyDescent="0.25">
      <c r="A141" s="83">
        <v>3</v>
      </c>
      <c r="B141" s="84"/>
      <c r="C141" s="43" t="s">
        <v>196</v>
      </c>
      <c r="D141" s="43">
        <f>(86.21)*10.764</f>
        <v>927.96443999999985</v>
      </c>
      <c r="E141" s="43">
        <v>0</v>
      </c>
      <c r="F141" s="43">
        <f>D141*(($F$127)+1)+(IF(E141&lt;101,E141,IF(E141&lt;201,E141/2,IF(E141&lt;=301,E141/3,E141/4))))</f>
        <v>1438.3448819999999</v>
      </c>
      <c r="G141" s="171"/>
      <c r="H141" s="172"/>
      <c r="I141" s="36">
        <f>11500000/F141</f>
        <v>7995.3008099207746</v>
      </c>
    </row>
    <row r="142" spans="1:14" s="37" customFormat="1" ht="15.75" customHeight="1" x14ac:dyDescent="0.25">
      <c r="A142" s="83">
        <v>4</v>
      </c>
      <c r="B142" s="84"/>
      <c r="C142" s="83" t="s">
        <v>195</v>
      </c>
      <c r="D142" s="95"/>
      <c r="E142" s="95"/>
      <c r="F142" s="84"/>
      <c r="G142" s="171"/>
      <c r="H142" s="172"/>
      <c r="I142" s="36"/>
    </row>
    <row r="143" spans="1:14" s="37" customFormat="1" ht="15.75" customHeight="1" x14ac:dyDescent="0.25">
      <c r="A143" s="83">
        <v>5</v>
      </c>
      <c r="B143" s="84"/>
      <c r="C143" s="43" t="s">
        <v>192</v>
      </c>
      <c r="D143" s="43">
        <f>(62.06)*10.764</f>
        <v>668.01383999999996</v>
      </c>
      <c r="E143" s="43">
        <v>0</v>
      </c>
      <c r="F143" s="43">
        <f>D143*(($F$127)+1)+(IF(E143&lt;101,E143,IF(E143&lt;201,E143/2,IF(E143&lt;=301,E143/3,E143/4))))</f>
        <v>1035.421452</v>
      </c>
      <c r="G143" s="171"/>
      <c r="H143" s="172"/>
      <c r="I143" s="36"/>
    </row>
    <row r="144" spans="1:14" s="37" customFormat="1" ht="15.75" customHeight="1" x14ac:dyDescent="0.25">
      <c r="A144" s="83">
        <v>6</v>
      </c>
      <c r="B144" s="84"/>
      <c r="C144" s="43" t="s">
        <v>193</v>
      </c>
      <c r="D144" s="43">
        <f>(69.95)*10.764</f>
        <v>752.94179999999994</v>
      </c>
      <c r="E144" s="43">
        <v>0</v>
      </c>
      <c r="F144" s="43">
        <f>D144*(($F$127)+1)+(IF(E144&lt;101,E144,IF(E144&lt;201,E144/2,IF(E144&lt;=301,E144/3,E144/4))))</f>
        <v>1167.05979</v>
      </c>
      <c r="G144" s="173"/>
      <c r="H144" s="174"/>
      <c r="I144" s="36"/>
    </row>
    <row r="145" spans="1:14" s="37" customFormat="1" x14ac:dyDescent="0.25">
      <c r="A145" s="99" t="s">
        <v>213</v>
      </c>
      <c r="B145" s="100"/>
      <c r="C145" s="100"/>
      <c r="D145" s="100"/>
      <c r="E145" s="100"/>
      <c r="F145" s="100"/>
      <c r="G145" s="100"/>
      <c r="H145" s="101"/>
      <c r="J145" s="36"/>
    </row>
    <row r="146" spans="1:14" s="37" customFormat="1" ht="30.75" customHeight="1" x14ac:dyDescent="0.25">
      <c r="A146" s="83">
        <v>6</v>
      </c>
      <c r="B146" s="84"/>
      <c r="C146" s="43" t="s">
        <v>193</v>
      </c>
      <c r="D146" s="43">
        <f>(69.95)*10.764</f>
        <v>752.94179999999994</v>
      </c>
      <c r="E146" s="43">
        <v>0</v>
      </c>
      <c r="F146" s="43">
        <f>D146*(($F$127)+1)+(IF(E146&lt;101,E146,IF(E146&lt;201,E146/2,IF(E146&lt;=301,E146/3,E146/4))))</f>
        <v>1167.05979</v>
      </c>
      <c r="G146" s="83" t="str">
        <f>A145</f>
        <v>30th Floor for Residential (Part Terrace Area)</v>
      </c>
      <c r="H146" s="84"/>
      <c r="I146" s="36"/>
      <c r="L146" s="98"/>
      <c r="M146" s="98"/>
      <c r="N146" s="36"/>
    </row>
    <row r="147" spans="1:14" s="34" customFormat="1" x14ac:dyDescent="0.25">
      <c r="A147" s="102" t="s">
        <v>197</v>
      </c>
      <c r="B147" s="102"/>
      <c r="C147" s="102"/>
      <c r="D147" s="102"/>
      <c r="E147" s="102"/>
      <c r="F147" s="102"/>
      <c r="G147" s="102"/>
      <c r="H147" s="102"/>
    </row>
    <row r="148" spans="1:14" s="37" customFormat="1" ht="15.75" customHeight="1" x14ac:dyDescent="0.25">
      <c r="A148" s="99" t="s">
        <v>211</v>
      </c>
      <c r="B148" s="100"/>
      <c r="C148" s="100"/>
      <c r="D148" s="100"/>
      <c r="E148" s="100"/>
      <c r="F148" s="100"/>
      <c r="G148" s="100"/>
      <c r="H148" s="101"/>
      <c r="I148" s="36"/>
    </row>
    <row r="149" spans="1:14" s="37" customFormat="1" ht="42" customHeight="1" x14ac:dyDescent="0.25">
      <c r="A149" s="83">
        <v>1</v>
      </c>
      <c r="B149" s="84"/>
      <c r="C149" s="43" t="s">
        <v>192</v>
      </c>
      <c r="D149" s="43">
        <f>(62.06)*10.764</f>
        <v>668.01383999999996</v>
      </c>
      <c r="E149" s="43">
        <v>0</v>
      </c>
      <c r="F149" s="43">
        <f t="shared" ref="F149" si="4">D149*(($F$127)+1)+(IF(E149&lt;101,E149,IF(E149&lt;201,E149/2,IF(E149&lt;=301,E149/3,E149/4))))</f>
        <v>1035.421452</v>
      </c>
      <c r="G149" s="83" t="str">
        <f>A148</f>
        <v>Ground Floor for Residential, Parking &amp; Society Office</v>
      </c>
      <c r="H149" s="84"/>
      <c r="I149" s="36"/>
    </row>
    <row r="150" spans="1:14" s="37" customFormat="1" ht="15.75" customHeight="1" x14ac:dyDescent="0.25">
      <c r="A150" s="99" t="s">
        <v>214</v>
      </c>
      <c r="B150" s="100"/>
      <c r="C150" s="100"/>
      <c r="D150" s="100"/>
      <c r="E150" s="100"/>
      <c r="F150" s="100"/>
      <c r="G150" s="100"/>
      <c r="H150" s="101"/>
      <c r="I150" s="36"/>
    </row>
    <row r="151" spans="1:14" s="37" customFormat="1" ht="15.75" customHeight="1" x14ac:dyDescent="0.25">
      <c r="A151" s="83">
        <v>1</v>
      </c>
      <c r="B151" s="84"/>
      <c r="C151" s="43" t="s">
        <v>193</v>
      </c>
      <c r="D151" s="43">
        <f>(69.95)*10.764</f>
        <v>752.94179999999994</v>
      </c>
      <c r="E151" s="43">
        <v>0</v>
      </c>
      <c r="F151" s="43">
        <f t="shared" ref="F151:F156" si="5">D151*(($F$127)+1)+(IF(E151&lt;101,E151,IF(E151&lt;201,E151/2,IF(E151&lt;=301,E151/3,E151/4))))</f>
        <v>1167.05979</v>
      </c>
      <c r="G151" s="169" t="str">
        <f>A150</f>
        <v>1st to 7th, 9th to 12th, 14th to 17th, 19th to 22nd, 24th to 27th, 29th, 30th &amp; 31st Floor</v>
      </c>
      <c r="H151" s="170"/>
      <c r="I151" s="36">
        <f>10500000/F151</f>
        <v>8996.9683558371926</v>
      </c>
      <c r="J151" s="37">
        <f>62.06*10.764</f>
        <v>668.01383999999996</v>
      </c>
    </row>
    <row r="152" spans="1:14" s="37" customFormat="1" ht="15.75" customHeight="1" x14ac:dyDescent="0.25">
      <c r="A152" s="83">
        <v>2</v>
      </c>
      <c r="B152" s="84"/>
      <c r="C152" s="43" t="s">
        <v>192</v>
      </c>
      <c r="D152" s="43">
        <f>(62.06)*10.764</f>
        <v>668.01383999999996</v>
      </c>
      <c r="E152" s="43">
        <v>0</v>
      </c>
      <c r="F152" s="43">
        <f t="shared" si="5"/>
        <v>1035.421452</v>
      </c>
      <c r="G152" s="171"/>
      <c r="H152" s="172"/>
      <c r="I152" s="36"/>
    </row>
    <row r="153" spans="1:14" s="37" customFormat="1" ht="15.75" customHeight="1" x14ac:dyDescent="0.25">
      <c r="A153" s="83">
        <v>3</v>
      </c>
      <c r="B153" s="84"/>
      <c r="C153" s="43" t="s">
        <v>192</v>
      </c>
      <c r="D153" s="43">
        <f>(56.95)*10.764</f>
        <v>613.00980000000004</v>
      </c>
      <c r="E153" s="43">
        <v>0</v>
      </c>
      <c r="F153" s="43">
        <f t="shared" si="5"/>
        <v>950.16519000000005</v>
      </c>
      <c r="G153" s="171"/>
      <c r="H153" s="172"/>
      <c r="I153" s="36"/>
    </row>
    <row r="154" spans="1:14" s="37" customFormat="1" ht="15.75" customHeight="1" x14ac:dyDescent="0.25">
      <c r="A154" s="83">
        <v>4</v>
      </c>
      <c r="B154" s="84"/>
      <c r="C154" s="43" t="s">
        <v>192</v>
      </c>
      <c r="D154" s="43">
        <f>(52.58)*10.764</f>
        <v>565.97111999999993</v>
      </c>
      <c r="E154" s="43">
        <v>0</v>
      </c>
      <c r="F154" s="43">
        <f t="shared" si="5"/>
        <v>877.25523599999997</v>
      </c>
      <c r="G154" s="171"/>
      <c r="H154" s="172"/>
      <c r="I154" s="36"/>
    </row>
    <row r="155" spans="1:14" s="37" customFormat="1" ht="15.75" customHeight="1" x14ac:dyDescent="0.25">
      <c r="A155" s="83">
        <v>5</v>
      </c>
      <c r="B155" s="84"/>
      <c r="C155" s="43" t="s">
        <v>192</v>
      </c>
      <c r="D155" s="43">
        <f>(62.06)*10.764</f>
        <v>668.01383999999996</v>
      </c>
      <c r="E155" s="43">
        <v>0</v>
      </c>
      <c r="F155" s="43">
        <f t="shared" si="5"/>
        <v>1035.421452</v>
      </c>
      <c r="G155" s="171"/>
      <c r="H155" s="172"/>
      <c r="I155" s="36"/>
    </row>
    <row r="156" spans="1:14" s="37" customFormat="1" ht="15.75" customHeight="1" x14ac:dyDescent="0.25">
      <c r="A156" s="83">
        <v>6</v>
      </c>
      <c r="B156" s="84"/>
      <c r="C156" s="43" t="s">
        <v>192</v>
      </c>
      <c r="D156" s="43">
        <f>(62.06)*10.764</f>
        <v>668.01383999999996</v>
      </c>
      <c r="E156" s="43">
        <v>0</v>
      </c>
      <c r="F156" s="43">
        <f t="shared" si="5"/>
        <v>1035.421452</v>
      </c>
      <c r="G156" s="173"/>
      <c r="H156" s="174"/>
      <c r="I156" s="36"/>
    </row>
    <row r="157" spans="1:14" s="37" customFormat="1" ht="15.75" customHeight="1" x14ac:dyDescent="0.25">
      <c r="A157" s="99" t="s">
        <v>194</v>
      </c>
      <c r="B157" s="100"/>
      <c r="C157" s="100"/>
      <c r="D157" s="100"/>
      <c r="E157" s="100"/>
      <c r="F157" s="100"/>
      <c r="G157" s="100"/>
      <c r="H157" s="101"/>
      <c r="I157" s="36"/>
    </row>
    <row r="158" spans="1:14" s="37" customFormat="1" ht="15.75" customHeight="1" x14ac:dyDescent="0.25">
      <c r="A158" s="83">
        <v>1</v>
      </c>
      <c r="B158" s="84"/>
      <c r="C158" s="43" t="s">
        <v>193</v>
      </c>
      <c r="D158" s="43">
        <f>(69.95)*10.764</f>
        <v>752.94179999999994</v>
      </c>
      <c r="E158" s="43">
        <v>0</v>
      </c>
      <c r="F158" s="43">
        <f t="shared" ref="F158:F163" si="6">D158*(($F$127)+1)+(IF(E158&lt;101,E158,IF(E158&lt;201,E158/2,IF(E158&lt;=301,E158/3,E158/4))))</f>
        <v>1167.05979</v>
      </c>
      <c r="G158" s="169" t="str">
        <f>A157</f>
        <v>8th, 13th, 18th, 23rd &amp; 28th Floor (Part Refuge Floor)</v>
      </c>
      <c r="H158" s="170"/>
      <c r="I158" s="36">
        <f>10500000/F158</f>
        <v>8996.9683558371926</v>
      </c>
      <c r="J158" s="37">
        <f>62.06*10.764</f>
        <v>668.01383999999996</v>
      </c>
    </row>
    <row r="159" spans="1:14" s="37" customFormat="1" ht="15.75" customHeight="1" x14ac:dyDescent="0.25">
      <c r="A159" s="83">
        <v>2</v>
      </c>
      <c r="B159" s="84"/>
      <c r="C159" s="43" t="s">
        <v>192</v>
      </c>
      <c r="D159" s="43">
        <f>(62.06)*10.764</f>
        <v>668.01383999999996</v>
      </c>
      <c r="E159" s="43">
        <v>0</v>
      </c>
      <c r="F159" s="43">
        <f t="shared" si="6"/>
        <v>1035.421452</v>
      </c>
      <c r="G159" s="171"/>
      <c r="H159" s="172"/>
      <c r="I159" s="36"/>
    </row>
    <row r="160" spans="1:14" s="37" customFormat="1" ht="15.75" customHeight="1" x14ac:dyDescent="0.25">
      <c r="A160" s="83">
        <v>3</v>
      </c>
      <c r="B160" s="84"/>
      <c r="C160" s="83" t="s">
        <v>216</v>
      </c>
      <c r="D160" s="95"/>
      <c r="E160" s="95"/>
      <c r="F160" s="84"/>
      <c r="G160" s="171"/>
      <c r="H160" s="172"/>
      <c r="I160" s="36"/>
    </row>
    <row r="161" spans="1:9" s="37" customFormat="1" ht="15.75" customHeight="1" x14ac:dyDescent="0.25">
      <c r="A161" s="83">
        <v>4</v>
      </c>
      <c r="B161" s="84"/>
      <c r="C161" s="43" t="s">
        <v>192</v>
      </c>
      <c r="D161" s="43">
        <f>(52.58)*10.764</f>
        <v>565.97111999999993</v>
      </c>
      <c r="E161" s="43">
        <v>0</v>
      </c>
      <c r="F161" s="43">
        <f t="shared" si="6"/>
        <v>877.25523599999997</v>
      </c>
      <c r="G161" s="171"/>
      <c r="H161" s="172"/>
      <c r="I161" s="36"/>
    </row>
    <row r="162" spans="1:9" s="37" customFormat="1" ht="15.75" customHeight="1" x14ac:dyDescent="0.25">
      <c r="A162" s="83">
        <v>5</v>
      </c>
      <c r="B162" s="84"/>
      <c r="C162" s="43" t="s">
        <v>192</v>
      </c>
      <c r="D162" s="43">
        <f>(62.06)*10.764</f>
        <v>668.01383999999996</v>
      </c>
      <c r="E162" s="43">
        <v>0</v>
      </c>
      <c r="F162" s="43">
        <f t="shared" si="6"/>
        <v>1035.421452</v>
      </c>
      <c r="G162" s="171"/>
      <c r="H162" s="172"/>
      <c r="I162" s="36"/>
    </row>
    <row r="163" spans="1:9" s="37" customFormat="1" ht="15.75" customHeight="1" x14ac:dyDescent="0.25">
      <c r="A163" s="83">
        <v>6</v>
      </c>
      <c r="B163" s="84"/>
      <c r="C163" s="43" t="s">
        <v>192</v>
      </c>
      <c r="D163" s="43">
        <f>(62.06)*10.764</f>
        <v>668.01383999999996</v>
      </c>
      <c r="E163" s="43">
        <v>0</v>
      </c>
      <c r="F163" s="43">
        <f t="shared" si="6"/>
        <v>1035.421452</v>
      </c>
      <c r="G163" s="173"/>
      <c r="H163" s="174"/>
      <c r="I163" s="36"/>
    </row>
    <row r="164" spans="1:9" s="35" customFormat="1" x14ac:dyDescent="0.25">
      <c r="A164" s="162" t="s">
        <v>72</v>
      </c>
      <c r="B164" s="162"/>
      <c r="C164" s="162"/>
      <c r="D164" s="162"/>
      <c r="E164" s="162"/>
      <c r="F164" s="162"/>
      <c r="G164" s="162"/>
      <c r="H164" s="162"/>
    </row>
    <row r="165" spans="1:9" s="35" customFormat="1" ht="30.75" customHeight="1" x14ac:dyDescent="0.25">
      <c r="A165" s="61" t="s">
        <v>161</v>
      </c>
      <c r="B165" s="64" t="s">
        <v>223</v>
      </c>
      <c r="C165" s="64"/>
      <c r="D165" s="64"/>
      <c r="E165" s="64"/>
      <c r="F165" s="64"/>
      <c r="G165" s="64"/>
      <c r="H165" s="64"/>
    </row>
    <row r="166" spans="1:9" s="35" customFormat="1" x14ac:dyDescent="0.25">
      <c r="A166" s="61" t="s">
        <v>161</v>
      </c>
      <c r="B166" s="64" t="str">
        <f>(IF(F126="Saleable area Loading :","We have considered Saleable area of Flats as per our Calculation.","We considered Saleable area of Flat as per Builder area Sheet."))</f>
        <v>We have considered Saleable area of Flats as per our Calculation.</v>
      </c>
      <c r="C166" s="64"/>
      <c r="D166" s="64"/>
      <c r="E166" s="64"/>
      <c r="F166" s="64"/>
      <c r="G166" s="64"/>
      <c r="H166" s="64"/>
    </row>
    <row r="167" spans="1:9" s="35" customFormat="1" x14ac:dyDescent="0.25">
      <c r="A167" s="61" t="s">
        <v>161</v>
      </c>
      <c r="B167" s="64" t="str">
        <f>(IF(F118="Saleable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7" s="64"/>
      <c r="D167" s="64"/>
      <c r="E167" s="64"/>
      <c r="F167" s="64"/>
      <c r="G167" s="64"/>
      <c r="H167" s="64"/>
    </row>
    <row r="168" spans="1:9" s="35" customFormat="1" x14ac:dyDescent="0.25">
      <c r="A168" s="61" t="s">
        <v>161</v>
      </c>
      <c r="B168" s="70" t="s">
        <v>130</v>
      </c>
      <c r="C168" s="70"/>
      <c r="D168" s="70"/>
      <c r="E168" s="70"/>
      <c r="F168" s="70"/>
      <c r="G168" s="70"/>
      <c r="H168" s="70"/>
    </row>
    <row r="169" spans="1:9" s="35" customFormat="1" x14ac:dyDescent="0.25">
      <c r="A169" s="61" t="s">
        <v>161</v>
      </c>
      <c r="B169" s="70" t="s">
        <v>198</v>
      </c>
      <c r="C169" s="70"/>
      <c r="D169" s="70"/>
      <c r="E169" s="70"/>
      <c r="F169" s="70"/>
      <c r="G169" s="70"/>
      <c r="H169" s="70"/>
    </row>
    <row r="170" spans="1:9" s="35" customFormat="1" x14ac:dyDescent="0.25">
      <c r="A170" s="61" t="s">
        <v>161</v>
      </c>
      <c r="B170" s="70" t="s">
        <v>160</v>
      </c>
      <c r="C170" s="70"/>
      <c r="D170" s="70"/>
      <c r="E170" s="70"/>
      <c r="F170" s="70"/>
      <c r="G170" s="70"/>
      <c r="H170" s="70"/>
    </row>
    <row r="171" spans="1:9" s="35" customFormat="1" x14ac:dyDescent="0.25">
      <c r="A171" s="45" t="s">
        <v>161</v>
      </c>
      <c r="B171" s="64" t="s">
        <v>131</v>
      </c>
      <c r="C171" s="64"/>
      <c r="D171" s="64"/>
      <c r="E171" s="64"/>
      <c r="F171" s="64"/>
      <c r="G171" s="64"/>
      <c r="H171" s="64"/>
    </row>
    <row r="172" spans="1:9" s="35" customFormat="1" ht="34.5" customHeight="1" x14ac:dyDescent="0.25">
      <c r="A172" s="45" t="s">
        <v>161</v>
      </c>
      <c r="B172" s="64" t="s">
        <v>162</v>
      </c>
      <c r="C172" s="64"/>
      <c r="D172" s="64"/>
      <c r="E172" s="64"/>
      <c r="F172" s="64"/>
      <c r="G172" s="64"/>
      <c r="H172" s="64"/>
    </row>
    <row r="173" spans="1:9" s="35" customFormat="1" x14ac:dyDescent="0.25">
      <c r="A173" s="45" t="s">
        <v>161</v>
      </c>
      <c r="B173" s="164" t="s">
        <v>132</v>
      </c>
      <c r="C173" s="165"/>
      <c r="D173" s="165"/>
      <c r="E173" s="165"/>
      <c r="F173" s="165"/>
      <c r="G173" s="165"/>
      <c r="H173" s="166"/>
    </row>
    <row r="174" spans="1:9" s="35" customFormat="1" x14ac:dyDescent="0.25">
      <c r="A174" s="45" t="s">
        <v>161</v>
      </c>
      <c r="B174" s="164" t="s">
        <v>215</v>
      </c>
      <c r="C174" s="165"/>
      <c r="D174" s="165"/>
      <c r="E174" s="165"/>
      <c r="F174" s="165"/>
      <c r="G174" s="165"/>
      <c r="H174" s="166"/>
    </row>
    <row r="175" spans="1:9" s="35" customFormat="1" x14ac:dyDescent="0.25">
      <c r="A175" s="45" t="s">
        <v>161</v>
      </c>
      <c r="B175" s="164" t="s">
        <v>221</v>
      </c>
      <c r="C175" s="165"/>
      <c r="D175" s="165"/>
      <c r="E175" s="165"/>
      <c r="F175" s="165"/>
      <c r="G175" s="165"/>
      <c r="H175" s="166"/>
    </row>
    <row r="176" spans="1:9" s="35" customFormat="1" ht="32.25" customHeight="1" x14ac:dyDescent="0.25">
      <c r="A176" s="45" t="s">
        <v>161</v>
      </c>
      <c r="B176" s="164" t="s">
        <v>224</v>
      </c>
      <c r="C176" s="165"/>
      <c r="D176" s="165"/>
      <c r="E176" s="165"/>
      <c r="F176" s="165"/>
      <c r="G176" s="165"/>
      <c r="H176" s="166"/>
    </row>
    <row r="177" spans="1:8" x14ac:dyDescent="0.25">
      <c r="A177" s="185" t="s">
        <v>65</v>
      </c>
      <c r="B177" s="185"/>
      <c r="C177" s="185"/>
      <c r="D177" s="185"/>
      <c r="E177" s="185"/>
      <c r="F177" s="185"/>
      <c r="G177" s="185"/>
      <c r="H177" s="185"/>
    </row>
    <row r="178" spans="1:8" x14ac:dyDescent="0.25">
      <c r="A178" s="127" t="s">
        <v>66</v>
      </c>
      <c r="B178" s="127"/>
      <c r="C178" s="127"/>
      <c r="D178" s="127"/>
      <c r="E178" s="127"/>
      <c r="F178" s="127"/>
      <c r="G178" s="127"/>
      <c r="H178" s="127"/>
    </row>
    <row r="179" spans="1:8" ht="15.75" customHeight="1" x14ac:dyDescent="0.25">
      <c r="A179" s="175" t="s">
        <v>67</v>
      </c>
      <c r="B179" s="175"/>
      <c r="C179" s="175"/>
      <c r="D179" s="175"/>
      <c r="E179" s="175"/>
      <c r="F179" s="175"/>
      <c r="G179" s="175"/>
      <c r="H179" s="175"/>
    </row>
    <row r="180" spans="1:8" x14ac:dyDescent="0.25">
      <c r="A180" s="127" t="s">
        <v>68</v>
      </c>
      <c r="B180" s="127"/>
      <c r="C180" s="127"/>
      <c r="D180" s="127"/>
      <c r="E180" s="127"/>
      <c r="F180" s="127"/>
      <c r="G180" s="127"/>
      <c r="H180" s="127"/>
    </row>
    <row r="181" spans="1:8" x14ac:dyDescent="0.25">
      <c r="A181" s="127" t="s">
        <v>69</v>
      </c>
      <c r="B181" s="127"/>
      <c r="C181" s="127"/>
      <c r="D181" s="127"/>
      <c r="E181" s="127"/>
      <c r="F181" s="127"/>
      <c r="G181" s="127"/>
      <c r="H181" s="127"/>
    </row>
    <row r="182" spans="1:8" x14ac:dyDescent="0.25">
      <c r="A182" s="127" t="s">
        <v>133</v>
      </c>
      <c r="B182" s="127"/>
      <c r="C182" s="127"/>
      <c r="D182" s="127"/>
      <c r="E182" s="127"/>
      <c r="F182" s="127"/>
      <c r="G182" s="127"/>
      <c r="H182" s="127"/>
    </row>
    <row r="183" spans="1:8" ht="31.5" customHeight="1" x14ac:dyDescent="0.25">
      <c r="A183" s="132" t="s">
        <v>134</v>
      </c>
      <c r="B183" s="132"/>
      <c r="C183" s="132"/>
      <c r="D183" s="132"/>
      <c r="E183" s="132"/>
      <c r="F183" s="132"/>
      <c r="G183" s="132"/>
      <c r="H183" s="132"/>
    </row>
    <row r="184" spans="1:8" x14ac:dyDescent="0.25">
      <c r="A184" s="168" t="s">
        <v>82</v>
      </c>
      <c r="B184" s="168"/>
      <c r="C184" s="168" t="s">
        <v>227</v>
      </c>
      <c r="D184" s="168"/>
      <c r="E184" s="168" t="s">
        <v>110</v>
      </c>
      <c r="F184" s="168"/>
      <c r="G184" s="168" t="s">
        <v>226</v>
      </c>
      <c r="H184" s="168"/>
    </row>
    <row r="185" spans="1:8" x14ac:dyDescent="0.25">
      <c r="A185" s="167" t="s">
        <v>84</v>
      </c>
      <c r="B185" s="167"/>
      <c r="C185" s="167"/>
      <c r="D185" s="167"/>
      <c r="E185" s="167"/>
      <c r="F185" s="167"/>
      <c r="G185" s="167"/>
      <c r="H185" s="167"/>
    </row>
    <row r="186" spans="1:8" x14ac:dyDescent="0.25">
      <c r="A186" s="167"/>
      <c r="B186" s="167"/>
      <c r="C186" s="167"/>
      <c r="D186" s="167"/>
      <c r="E186" s="167"/>
      <c r="F186" s="167"/>
      <c r="G186" s="167"/>
      <c r="H186" s="167"/>
    </row>
    <row r="187" spans="1:8" x14ac:dyDescent="0.25">
      <c r="A187" s="167"/>
      <c r="B187" s="167"/>
      <c r="C187" s="167"/>
      <c r="D187" s="167"/>
      <c r="E187" s="167"/>
      <c r="F187" s="167"/>
      <c r="G187" s="167"/>
      <c r="H187" s="167"/>
    </row>
    <row r="188" spans="1:8" x14ac:dyDescent="0.25">
      <c r="A188" s="167"/>
      <c r="B188" s="167"/>
      <c r="C188" s="167"/>
      <c r="D188" s="167"/>
      <c r="E188" s="167"/>
      <c r="F188" s="167"/>
      <c r="G188" s="167"/>
      <c r="H188" s="167"/>
    </row>
    <row r="189" spans="1:8" x14ac:dyDescent="0.25">
      <c r="A189" s="38" t="s">
        <v>70</v>
      </c>
      <c r="B189" s="39"/>
      <c r="C189" s="39"/>
      <c r="D189" s="38" t="str">
        <f>E8</f>
        <v>Lodha Miraroad Tower 1 &amp; 2</v>
      </c>
      <c r="F189" s="39"/>
      <c r="G189" s="39"/>
      <c r="H189" s="39"/>
    </row>
    <row r="190" spans="1:8" x14ac:dyDescent="0.25">
      <c r="A190" s="39"/>
      <c r="B190" s="39"/>
      <c r="C190" s="39"/>
      <c r="D190" s="39"/>
      <c r="E190" s="39"/>
      <c r="F190" s="39"/>
      <c r="G190" s="39"/>
      <c r="H190" s="39"/>
    </row>
    <row r="191" spans="1:8" x14ac:dyDescent="0.25">
      <c r="A191" s="39"/>
      <c r="B191" s="39"/>
      <c r="C191" s="39"/>
      <c r="D191" s="39"/>
      <c r="E191" s="39"/>
      <c r="F191" s="39"/>
      <c r="G191" s="39"/>
      <c r="H191" s="39"/>
    </row>
    <row r="192" spans="1:8" ht="15" customHeight="1" x14ac:dyDescent="0.25"/>
    <row r="232" spans="1:1" x14ac:dyDescent="0.25">
      <c r="A232" s="41" t="s">
        <v>71</v>
      </c>
    </row>
  </sheetData>
  <mergeCells count="335">
    <mergeCell ref="L146:M146"/>
    <mergeCell ref="G139:H144"/>
    <mergeCell ref="G132:H137"/>
    <mergeCell ref="A150:H150"/>
    <mergeCell ref="A151:B151"/>
    <mergeCell ref="G151:H156"/>
    <mergeCell ref="A152:B152"/>
    <mergeCell ref="A155:B155"/>
    <mergeCell ref="A156:B156"/>
    <mergeCell ref="G149:H149"/>
    <mergeCell ref="C142:F142"/>
    <mergeCell ref="A147:H147"/>
    <mergeCell ref="A148:H148"/>
    <mergeCell ref="A145:H145"/>
    <mergeCell ref="A146:B146"/>
    <mergeCell ref="G146:H146"/>
    <mergeCell ref="E39:H39"/>
    <mergeCell ref="A39:D39"/>
    <mergeCell ref="A182:H182"/>
    <mergeCell ref="A179:H179"/>
    <mergeCell ref="A112:B112"/>
    <mergeCell ref="D126:D127"/>
    <mergeCell ref="E126:E127"/>
    <mergeCell ref="G126:H127"/>
    <mergeCell ref="A86:B86"/>
    <mergeCell ref="A87:B87"/>
    <mergeCell ref="A88:B88"/>
    <mergeCell ref="A78:B78"/>
    <mergeCell ref="C78:H78"/>
    <mergeCell ref="A73:B73"/>
    <mergeCell ref="F93:H93"/>
    <mergeCell ref="G108:H108"/>
    <mergeCell ref="A46:B46"/>
    <mergeCell ref="C46:E46"/>
    <mergeCell ref="A55:C56"/>
    <mergeCell ref="D55:H55"/>
    <mergeCell ref="D56:H56"/>
    <mergeCell ref="C47:E47"/>
    <mergeCell ref="A177:H177"/>
    <mergeCell ref="A178:H178"/>
    <mergeCell ref="E112:F112"/>
    <mergeCell ref="E107:F107"/>
    <mergeCell ref="A116:H116"/>
    <mergeCell ref="A107:B107"/>
    <mergeCell ref="F100:H100"/>
    <mergeCell ref="C107:D107"/>
    <mergeCell ref="F103:H103"/>
    <mergeCell ref="F101:H101"/>
    <mergeCell ref="A140:B140"/>
    <mergeCell ref="A117:H117"/>
    <mergeCell ref="G107:H107"/>
    <mergeCell ref="A102:E102"/>
    <mergeCell ref="C108:D108"/>
    <mergeCell ref="E108:F108"/>
    <mergeCell ref="B118:B119"/>
    <mergeCell ref="A118:A119"/>
    <mergeCell ref="C126:C127"/>
    <mergeCell ref="A106:H106"/>
    <mergeCell ref="A104:E104"/>
    <mergeCell ref="F104:H104"/>
    <mergeCell ref="A105:E105"/>
    <mergeCell ref="F105:H105"/>
    <mergeCell ref="A113:B113"/>
    <mergeCell ref="A108:B108"/>
    <mergeCell ref="B173:H173"/>
    <mergeCell ref="B174:H174"/>
    <mergeCell ref="G121:H121"/>
    <mergeCell ref="G122:H122"/>
    <mergeCell ref="G124:H124"/>
    <mergeCell ref="A185:H188"/>
    <mergeCell ref="A184:B184"/>
    <mergeCell ref="E184:F184"/>
    <mergeCell ref="C184:D184"/>
    <mergeCell ref="G184:H184"/>
    <mergeCell ref="A141:B141"/>
    <mergeCell ref="A180:H180"/>
    <mergeCell ref="A157:H157"/>
    <mergeCell ref="A158:B158"/>
    <mergeCell ref="G158:H163"/>
    <mergeCell ref="A159:B159"/>
    <mergeCell ref="A160:B160"/>
    <mergeCell ref="A161:B161"/>
    <mergeCell ref="A162:B162"/>
    <mergeCell ref="A163:B163"/>
    <mergeCell ref="C160:F160"/>
    <mergeCell ref="B175:H175"/>
    <mergeCell ref="B176:H176"/>
    <mergeCell ref="A111:H111"/>
    <mergeCell ref="A183:H183"/>
    <mergeCell ref="A181:H181"/>
    <mergeCell ref="A164:H164"/>
    <mergeCell ref="C118:C119"/>
    <mergeCell ref="B126:B127"/>
    <mergeCell ref="A138:H138"/>
    <mergeCell ref="A143:B143"/>
    <mergeCell ref="A142:B142"/>
    <mergeCell ref="A139:B139"/>
    <mergeCell ref="B171:H171"/>
    <mergeCell ref="B167:H167"/>
    <mergeCell ref="B165:H165"/>
    <mergeCell ref="B166:H166"/>
    <mergeCell ref="B168:H168"/>
    <mergeCell ref="B169:H169"/>
    <mergeCell ref="A144:B144"/>
    <mergeCell ref="A153:B153"/>
    <mergeCell ref="A154:B154"/>
    <mergeCell ref="A149:B149"/>
    <mergeCell ref="A114:B114"/>
    <mergeCell ref="C114:D114"/>
    <mergeCell ref="E114:F114"/>
    <mergeCell ref="G114:H114"/>
    <mergeCell ref="A67:B67"/>
    <mergeCell ref="A70:B70"/>
    <mergeCell ref="A66:B66"/>
    <mergeCell ref="A64:B64"/>
    <mergeCell ref="C64:H64"/>
    <mergeCell ref="A72:B72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62:C62"/>
    <mergeCell ref="D62:H62"/>
    <mergeCell ref="A68:B68"/>
    <mergeCell ref="G67:H67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G46:H46"/>
    <mergeCell ref="G48:H48"/>
    <mergeCell ref="D52:H52"/>
    <mergeCell ref="C48:E48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57:C57"/>
    <mergeCell ref="A58:C5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D57:H57"/>
    <mergeCell ref="D58:H58"/>
    <mergeCell ref="A40:D40"/>
    <mergeCell ref="E40:H40"/>
    <mergeCell ref="E41:H41"/>
    <mergeCell ref="E42:H42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L124:M124"/>
    <mergeCell ref="L123:M123"/>
    <mergeCell ref="L122:M122"/>
    <mergeCell ref="L121:M121"/>
    <mergeCell ref="A75:B75"/>
    <mergeCell ref="C113:D113"/>
    <mergeCell ref="E113:F113"/>
    <mergeCell ref="G113:H113"/>
    <mergeCell ref="F99:H99"/>
    <mergeCell ref="A93:E93"/>
    <mergeCell ref="A120:H120"/>
    <mergeCell ref="E118:E119"/>
    <mergeCell ref="G118:H119"/>
    <mergeCell ref="A82:B82"/>
    <mergeCell ref="E82:F91"/>
    <mergeCell ref="A89:B89"/>
    <mergeCell ref="A90:B90"/>
    <mergeCell ref="A91:B91"/>
    <mergeCell ref="E68:F77"/>
    <mergeCell ref="G68:H77"/>
    <mergeCell ref="A76:B76"/>
    <mergeCell ref="A77:B77"/>
    <mergeCell ref="A74:B74"/>
    <mergeCell ref="G123:H123"/>
    <mergeCell ref="A103:E103"/>
    <mergeCell ref="A125:H125"/>
    <mergeCell ref="A126:A127"/>
    <mergeCell ref="G130:H130"/>
    <mergeCell ref="L130:M130"/>
    <mergeCell ref="A129:H129"/>
    <mergeCell ref="A130:B130"/>
    <mergeCell ref="A137:B137"/>
    <mergeCell ref="A128:H128"/>
    <mergeCell ref="A131:H131"/>
    <mergeCell ref="A132:B132"/>
    <mergeCell ref="A115:B115"/>
    <mergeCell ref="E115:F115"/>
    <mergeCell ref="C115:D115"/>
    <mergeCell ref="A133:B133"/>
    <mergeCell ref="A134:B134"/>
    <mergeCell ref="A135:B135"/>
    <mergeCell ref="A136:B136"/>
    <mergeCell ref="E109:F109"/>
    <mergeCell ref="G109:H109"/>
    <mergeCell ref="A110:B110"/>
    <mergeCell ref="C110:D110"/>
    <mergeCell ref="E110:F110"/>
    <mergeCell ref="G110:H110"/>
    <mergeCell ref="C80:H80"/>
    <mergeCell ref="A81:B81"/>
    <mergeCell ref="E81:F81"/>
    <mergeCell ref="G81:H81"/>
    <mergeCell ref="A98:E98"/>
    <mergeCell ref="F98:H98"/>
    <mergeCell ref="A99:E99"/>
    <mergeCell ref="A101:E101"/>
    <mergeCell ref="F95:H95"/>
    <mergeCell ref="A100:E100"/>
    <mergeCell ref="A95:E95"/>
    <mergeCell ref="A92:E92"/>
    <mergeCell ref="F92:H92"/>
    <mergeCell ref="F97:H97"/>
    <mergeCell ref="F96:H96"/>
    <mergeCell ref="C112:D112"/>
    <mergeCell ref="G112:H112"/>
    <mergeCell ref="B172:H172"/>
    <mergeCell ref="A45:B45"/>
    <mergeCell ref="C45:H45"/>
    <mergeCell ref="B170:H170"/>
    <mergeCell ref="G82:H91"/>
    <mergeCell ref="A83:B83"/>
    <mergeCell ref="A84:B84"/>
    <mergeCell ref="A85:B85"/>
    <mergeCell ref="F94:H94"/>
    <mergeCell ref="A94:E94"/>
    <mergeCell ref="D118:D119"/>
    <mergeCell ref="A96:E96"/>
    <mergeCell ref="A121:B121"/>
    <mergeCell ref="A122:B122"/>
    <mergeCell ref="A123:B123"/>
    <mergeCell ref="A124:B124"/>
    <mergeCell ref="A97:E97"/>
    <mergeCell ref="F102:H102"/>
    <mergeCell ref="A109:B109"/>
    <mergeCell ref="G115:H115"/>
    <mergeCell ref="C109:D109"/>
    <mergeCell ref="A80:B80"/>
  </mergeCells>
  <hyperlinks>
    <hyperlink ref="C36" r:id="rId1"/>
  </hyperlinks>
  <printOptions horizontalCentered="1"/>
  <pageMargins left="0.39370078740157499" right="0.39370078740157499" top="0.82677165354330695" bottom="0.59055118110236204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49" max="7" man="1"/>
    <brk id="188" max="16383" man="1"/>
    <brk id="23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5703125" defaultRowHeight="15" x14ac:dyDescent="0.25"/>
  <cols>
    <col min="1" max="1" width="8.570312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570312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6" t="s">
        <v>111</v>
      </c>
      <c r="C3" s="186"/>
      <c r="D3" s="186"/>
      <c r="E3" s="186"/>
      <c r="F3" s="186"/>
      <c r="G3" s="186"/>
      <c r="H3" s="186"/>
    </row>
    <row r="4" spans="1:9" x14ac:dyDescent="0.25">
      <c r="A4" s="2"/>
      <c r="B4" s="3" t="s">
        <v>112</v>
      </c>
      <c r="C4" s="3" t="s">
        <v>113</v>
      </c>
      <c r="D4" s="3" t="s">
        <v>73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2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2025-08-16T05:51:37Z</cp:lastPrinted>
  <dcterms:created xsi:type="dcterms:W3CDTF">2019-07-16T09:29:46Z</dcterms:created>
  <dcterms:modified xsi:type="dcterms:W3CDTF">2025-08-16T05:52:12Z</dcterms:modified>
</cp:coreProperties>
</file>