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Report!$A$1:$H$679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G132" i="1" l="1"/>
  <c r="G130" i="1" l="1"/>
  <c r="D322" i="1"/>
  <c r="D321" i="1"/>
  <c r="D320" i="1"/>
  <c r="D319" i="1"/>
  <c r="D318" i="1"/>
  <c r="D317" i="1"/>
  <c r="A317" i="1"/>
  <c r="A318" i="1" s="1"/>
  <c r="A319" i="1" s="1"/>
  <c r="A320" i="1" s="1"/>
  <c r="A321" i="1" s="1"/>
  <c r="A322" i="1" s="1"/>
  <c r="G316" i="1"/>
  <c r="D316" i="1"/>
  <c r="E310" i="1"/>
  <c r="D342" i="1"/>
  <c r="D334" i="1"/>
  <c r="D326" i="1"/>
  <c r="D310" i="1"/>
  <c r="I450" i="1" l="1"/>
  <c r="I449" i="1"/>
  <c r="J450" i="1"/>
  <c r="J449" i="1"/>
  <c r="D373" i="1"/>
  <c r="F373" i="1" s="1"/>
  <c r="D366" i="1"/>
  <c r="F366" i="1" s="1"/>
  <c r="D359" i="1"/>
  <c r="F359" i="1" s="1"/>
  <c r="D244" i="1"/>
  <c r="C81" i="1"/>
  <c r="H82" i="1"/>
  <c r="M244" i="1" l="1"/>
  <c r="D530" i="1"/>
  <c r="D529" i="1"/>
  <c r="D528" i="1"/>
  <c r="D527" i="1"/>
  <c r="A527" i="1"/>
  <c r="A528" i="1" s="1"/>
  <c r="A529" i="1" s="1"/>
  <c r="A530" i="1" s="1"/>
  <c r="G526" i="1"/>
  <c r="D526" i="1"/>
  <c r="D445" i="1"/>
  <c r="F445" i="1" s="1"/>
  <c r="D444" i="1"/>
  <c r="F444" i="1" s="1"/>
  <c r="D443" i="1"/>
  <c r="F443" i="1" s="1"/>
  <c r="D442" i="1"/>
  <c r="F442" i="1" s="1"/>
  <c r="D441" i="1"/>
  <c r="F441" i="1" s="1"/>
  <c r="A441" i="1"/>
  <c r="A442" i="1" s="1"/>
  <c r="A443" i="1" s="1"/>
  <c r="A444" i="1" s="1"/>
  <c r="A445" i="1" s="1"/>
  <c r="G440" i="1"/>
  <c r="D440" i="1"/>
  <c r="F440" i="1" s="1"/>
  <c r="D524" i="1"/>
  <c r="D523" i="1"/>
  <c r="D522" i="1"/>
  <c r="D521" i="1"/>
  <c r="A521" i="1"/>
  <c r="A522" i="1" s="1"/>
  <c r="A523" i="1" s="1"/>
  <c r="A524" i="1" s="1"/>
  <c r="G520" i="1"/>
  <c r="D520" i="1"/>
  <c r="D438" i="1"/>
  <c r="F438" i="1" s="1"/>
  <c r="D437" i="1"/>
  <c r="F437" i="1" s="1"/>
  <c r="D436" i="1"/>
  <c r="F436" i="1" s="1"/>
  <c r="D435" i="1"/>
  <c r="F435" i="1" s="1"/>
  <c r="D434" i="1"/>
  <c r="F434" i="1" s="1"/>
  <c r="A434" i="1"/>
  <c r="A435" i="1" s="1"/>
  <c r="A436" i="1" s="1"/>
  <c r="A437" i="1" s="1"/>
  <c r="A438" i="1" s="1"/>
  <c r="G433" i="1"/>
  <c r="D433" i="1"/>
  <c r="F433" i="1" s="1"/>
  <c r="D518" i="1"/>
  <c r="D517" i="1"/>
  <c r="D516" i="1"/>
  <c r="D515" i="1"/>
  <c r="A515" i="1"/>
  <c r="A516" i="1" s="1"/>
  <c r="A517" i="1" s="1"/>
  <c r="A518" i="1" s="1"/>
  <c r="G514" i="1"/>
  <c r="D514" i="1"/>
  <c r="D431" i="1"/>
  <c r="F431" i="1" s="1"/>
  <c r="D430" i="1"/>
  <c r="F430" i="1" s="1"/>
  <c r="D429" i="1"/>
  <c r="F429" i="1" s="1"/>
  <c r="D428" i="1"/>
  <c r="F428" i="1" s="1"/>
  <c r="D427" i="1"/>
  <c r="F427" i="1" s="1"/>
  <c r="A427" i="1"/>
  <c r="A428" i="1" s="1"/>
  <c r="A429" i="1" s="1"/>
  <c r="A430" i="1" s="1"/>
  <c r="A431" i="1" s="1"/>
  <c r="G426" i="1"/>
  <c r="D426" i="1"/>
  <c r="F426" i="1" s="1"/>
  <c r="D346" i="1"/>
  <c r="D345" i="1"/>
  <c r="D344" i="1"/>
  <c r="D343" i="1"/>
  <c r="D341" i="1"/>
  <c r="A341" i="1"/>
  <c r="A342" i="1" s="1"/>
  <c r="A343" i="1" s="1"/>
  <c r="A344" i="1" s="1"/>
  <c r="A345" i="1" s="1"/>
  <c r="A346" i="1" s="1"/>
  <c r="G340" i="1"/>
  <c r="D340" i="1"/>
  <c r="D241" i="1"/>
  <c r="D240" i="1"/>
  <c r="D239" i="1"/>
  <c r="A239" i="1"/>
  <c r="A240" i="1" s="1"/>
  <c r="A241" i="1" s="1"/>
  <c r="G238" i="1"/>
  <c r="D238" i="1"/>
  <c r="D420" i="1"/>
  <c r="F420" i="1" s="1"/>
  <c r="D512" i="1"/>
  <c r="D511" i="1"/>
  <c r="D510" i="1"/>
  <c r="D509" i="1"/>
  <c r="A509" i="1"/>
  <c r="A510" i="1" s="1"/>
  <c r="A511" i="1" s="1"/>
  <c r="A512" i="1" s="1"/>
  <c r="G508" i="1"/>
  <c r="D508" i="1"/>
  <c r="D424" i="1"/>
  <c r="F424" i="1" s="1"/>
  <c r="D423" i="1"/>
  <c r="F423" i="1" s="1"/>
  <c r="D422" i="1"/>
  <c r="F422" i="1" s="1"/>
  <c r="D421" i="1"/>
  <c r="F421" i="1" s="1"/>
  <c r="A420" i="1"/>
  <c r="A421" i="1" s="1"/>
  <c r="A422" i="1" s="1"/>
  <c r="A423" i="1" s="1"/>
  <c r="A424" i="1" s="1"/>
  <c r="G419" i="1"/>
  <c r="D419" i="1"/>
  <c r="F419" i="1" s="1"/>
  <c r="D338" i="1"/>
  <c r="D337" i="1"/>
  <c r="D336" i="1"/>
  <c r="D335" i="1"/>
  <c r="D333" i="1"/>
  <c r="A333" i="1"/>
  <c r="A334" i="1" s="1"/>
  <c r="A335" i="1" s="1"/>
  <c r="A336" i="1" s="1"/>
  <c r="A337" i="1" s="1"/>
  <c r="A338" i="1" s="1"/>
  <c r="G332" i="1"/>
  <c r="D332" i="1"/>
  <c r="D236" i="1"/>
  <c r="D235" i="1"/>
  <c r="D234" i="1"/>
  <c r="A234" i="1"/>
  <c r="A235" i="1" s="1"/>
  <c r="A236" i="1" s="1"/>
  <c r="G233" i="1"/>
  <c r="D233" i="1"/>
  <c r="D506" i="1"/>
  <c r="D505" i="1"/>
  <c r="D504" i="1"/>
  <c r="A503" i="1"/>
  <c r="A504" i="1" s="1"/>
  <c r="A505" i="1" s="1"/>
  <c r="A506" i="1" s="1"/>
  <c r="G502" i="1"/>
  <c r="D417" i="1"/>
  <c r="F417" i="1" s="1"/>
  <c r="D416" i="1"/>
  <c r="F416" i="1" s="1"/>
  <c r="D414" i="1"/>
  <c r="F414" i="1" s="1"/>
  <c r="D413" i="1"/>
  <c r="F413" i="1" s="1"/>
  <c r="A413" i="1"/>
  <c r="A414" i="1" s="1"/>
  <c r="A415" i="1" s="1"/>
  <c r="A416" i="1" s="1"/>
  <c r="A417" i="1" s="1"/>
  <c r="G412" i="1"/>
  <c r="D412" i="1"/>
  <c r="F412" i="1" s="1"/>
  <c r="D330" i="1"/>
  <c r="D329" i="1"/>
  <c r="D328" i="1"/>
  <c r="D327" i="1"/>
  <c r="A325" i="1"/>
  <c r="A326" i="1" s="1"/>
  <c r="A327" i="1" s="1"/>
  <c r="A328" i="1" s="1"/>
  <c r="A329" i="1" s="1"/>
  <c r="A330" i="1" s="1"/>
  <c r="G324" i="1"/>
  <c r="D230" i="1"/>
  <c r="D229" i="1"/>
  <c r="A229" i="1"/>
  <c r="A230" i="1" s="1"/>
  <c r="A231" i="1" s="1"/>
  <c r="G228" i="1"/>
  <c r="D228" i="1"/>
  <c r="D500" i="1"/>
  <c r="D499" i="1"/>
  <c r="D498" i="1"/>
  <c r="D497" i="1"/>
  <c r="A497" i="1"/>
  <c r="A498" i="1" s="1"/>
  <c r="A499" i="1" s="1"/>
  <c r="A500" i="1" s="1"/>
  <c r="G496" i="1"/>
  <c r="D496" i="1"/>
  <c r="D410" i="1"/>
  <c r="F410" i="1" s="1"/>
  <c r="D409" i="1"/>
  <c r="F409" i="1" s="1"/>
  <c r="D408" i="1"/>
  <c r="F408" i="1" s="1"/>
  <c r="D407" i="1"/>
  <c r="F407" i="1" s="1"/>
  <c r="D406" i="1"/>
  <c r="F406" i="1" s="1"/>
  <c r="A406" i="1"/>
  <c r="A407" i="1" s="1"/>
  <c r="A408" i="1" s="1"/>
  <c r="A409" i="1" s="1"/>
  <c r="A410" i="1" s="1"/>
  <c r="G405" i="1"/>
  <c r="D405" i="1"/>
  <c r="F405" i="1" s="1"/>
  <c r="D314" i="1"/>
  <c r="D313" i="1"/>
  <c r="D312" i="1"/>
  <c r="D311" i="1"/>
  <c r="D309" i="1"/>
  <c r="A309" i="1"/>
  <c r="A310" i="1" s="1"/>
  <c r="A311" i="1" s="1"/>
  <c r="A312" i="1" s="1"/>
  <c r="A313" i="1" s="1"/>
  <c r="A314" i="1" s="1"/>
  <c r="G308" i="1"/>
  <c r="D308" i="1"/>
  <c r="D226" i="1"/>
  <c r="D225" i="1"/>
  <c r="D224" i="1"/>
  <c r="A224" i="1"/>
  <c r="A225" i="1" s="1"/>
  <c r="A226" i="1" s="1"/>
  <c r="G223" i="1"/>
  <c r="D223" i="1"/>
  <c r="D399" i="1"/>
  <c r="F399" i="1" s="1"/>
  <c r="D398" i="1"/>
  <c r="F398" i="1" s="1"/>
  <c r="D494" i="1"/>
  <c r="D493" i="1"/>
  <c r="D492" i="1"/>
  <c r="D491" i="1"/>
  <c r="A491" i="1"/>
  <c r="A492" i="1" s="1"/>
  <c r="A493" i="1" s="1"/>
  <c r="A494" i="1" s="1"/>
  <c r="G490" i="1"/>
  <c r="D490" i="1"/>
  <c r="D403" i="1"/>
  <c r="F403" i="1" s="1"/>
  <c r="D402" i="1"/>
  <c r="F402" i="1" s="1"/>
  <c r="D401" i="1"/>
  <c r="F401" i="1" s="1"/>
  <c r="D400" i="1"/>
  <c r="F400" i="1" s="1"/>
  <c r="A399" i="1"/>
  <c r="A400" i="1" s="1"/>
  <c r="A401" i="1" s="1"/>
  <c r="A402" i="1" s="1"/>
  <c r="A403" i="1" s="1"/>
  <c r="G398" i="1"/>
  <c r="D306" i="1"/>
  <c r="D305" i="1"/>
  <c r="D304" i="1"/>
  <c r="D303" i="1"/>
  <c r="D302" i="1"/>
  <c r="D301" i="1"/>
  <c r="A301" i="1"/>
  <c r="A302" i="1" s="1"/>
  <c r="A303" i="1" s="1"/>
  <c r="A304" i="1" s="1"/>
  <c r="A305" i="1" s="1"/>
  <c r="A306" i="1" s="1"/>
  <c r="G300" i="1"/>
  <c r="D300" i="1"/>
  <c r="D221" i="1"/>
  <c r="D220" i="1"/>
  <c r="D219" i="1"/>
  <c r="A219" i="1"/>
  <c r="A220" i="1" s="1"/>
  <c r="A221" i="1" s="1"/>
  <c r="G218" i="1"/>
  <c r="D218" i="1"/>
  <c r="D392" i="1"/>
  <c r="F392" i="1" s="1"/>
  <c r="D391" i="1"/>
  <c r="F391" i="1" s="1"/>
  <c r="D298" i="1"/>
  <c r="D297" i="1"/>
  <c r="L297" i="1" s="1"/>
  <c r="D488" i="1"/>
  <c r="D487" i="1"/>
  <c r="D486" i="1"/>
  <c r="D485" i="1"/>
  <c r="A485" i="1"/>
  <c r="A486" i="1" s="1"/>
  <c r="A487" i="1" s="1"/>
  <c r="A488" i="1" s="1"/>
  <c r="G484" i="1"/>
  <c r="D484" i="1"/>
  <c r="D396" i="1"/>
  <c r="F396" i="1" s="1"/>
  <c r="D395" i="1"/>
  <c r="F395" i="1" s="1"/>
  <c r="D394" i="1"/>
  <c r="F394" i="1" s="1"/>
  <c r="D393" i="1"/>
  <c r="F393" i="1" s="1"/>
  <c r="A392" i="1"/>
  <c r="A393" i="1" s="1"/>
  <c r="A394" i="1" s="1"/>
  <c r="A395" i="1" s="1"/>
  <c r="A396" i="1" s="1"/>
  <c r="G391" i="1"/>
  <c r="D296" i="1"/>
  <c r="D295" i="1"/>
  <c r="D294" i="1"/>
  <c r="D293" i="1"/>
  <c r="L293" i="1" s="1"/>
  <c r="A293" i="1"/>
  <c r="A294" i="1" s="1"/>
  <c r="A295" i="1" s="1"/>
  <c r="A296" i="1" s="1"/>
  <c r="A297" i="1" s="1"/>
  <c r="A298" i="1" s="1"/>
  <c r="G292" i="1"/>
  <c r="D292" i="1"/>
  <c r="D216" i="1"/>
  <c r="I216" i="1" s="1"/>
  <c r="D215" i="1"/>
  <c r="I215" i="1" s="1"/>
  <c r="D214" i="1"/>
  <c r="I214" i="1" s="1"/>
  <c r="A214" i="1"/>
  <c r="A215" i="1" s="1"/>
  <c r="A216" i="1" s="1"/>
  <c r="G213" i="1"/>
  <c r="D213" i="1"/>
  <c r="I213" i="1" s="1"/>
  <c r="D203" i="1"/>
  <c r="I203" i="1" s="1"/>
  <c r="G203" i="1"/>
  <c r="A204" i="1"/>
  <c r="A205" i="1" s="1"/>
  <c r="A206" i="1" s="1"/>
  <c r="D204" i="1"/>
  <c r="I204" i="1" s="1"/>
  <c r="D205" i="1"/>
  <c r="I205" i="1" s="1"/>
  <c r="D206" i="1"/>
  <c r="I206" i="1" s="1"/>
  <c r="D276" i="1"/>
  <c r="M276" i="1" s="1"/>
  <c r="G276" i="1"/>
  <c r="A277" i="1"/>
  <c r="A278" i="1" s="1"/>
  <c r="A279" i="1" s="1"/>
  <c r="A280" i="1" s="1"/>
  <c r="A281" i="1" s="1"/>
  <c r="A282" i="1" s="1"/>
  <c r="D277" i="1"/>
  <c r="M277" i="1" s="1"/>
  <c r="D278" i="1"/>
  <c r="M278" i="1" s="1"/>
  <c r="D279" i="1"/>
  <c r="M279" i="1" s="1"/>
  <c r="D280" i="1"/>
  <c r="M280" i="1" s="1"/>
  <c r="D281" i="1"/>
  <c r="D282" i="1"/>
  <c r="F282" i="1" s="1"/>
  <c r="D377" i="1"/>
  <c r="F377" i="1" s="1"/>
  <c r="G377" i="1"/>
  <c r="A378" i="1"/>
  <c r="A379" i="1" s="1"/>
  <c r="A380" i="1" s="1"/>
  <c r="A381" i="1" s="1"/>
  <c r="A382" i="1" s="1"/>
  <c r="D378" i="1"/>
  <c r="F378" i="1" s="1"/>
  <c r="D379" i="1"/>
  <c r="F379" i="1" s="1"/>
  <c r="D380" i="1"/>
  <c r="F380" i="1" s="1"/>
  <c r="D381" i="1"/>
  <c r="F381" i="1" s="1"/>
  <c r="D382" i="1"/>
  <c r="F382" i="1" s="1"/>
  <c r="D472" i="1"/>
  <c r="M472" i="1" s="1"/>
  <c r="G472" i="1"/>
  <c r="A473" i="1"/>
  <c r="A474" i="1" s="1"/>
  <c r="A475" i="1" s="1"/>
  <c r="A476" i="1" s="1"/>
  <c r="D473" i="1"/>
  <c r="M473" i="1" s="1"/>
  <c r="D474" i="1"/>
  <c r="M474" i="1" s="1"/>
  <c r="D475" i="1"/>
  <c r="M475" i="1" s="1"/>
  <c r="D476" i="1"/>
  <c r="M476" i="1" s="1"/>
  <c r="D210" i="1"/>
  <c r="D482" i="1"/>
  <c r="D481" i="1"/>
  <c r="D480" i="1"/>
  <c r="A479" i="1"/>
  <c r="A480" i="1" s="1"/>
  <c r="A481" i="1" s="1"/>
  <c r="A482" i="1" s="1"/>
  <c r="G478" i="1"/>
  <c r="D389" i="1"/>
  <c r="F389" i="1" s="1"/>
  <c r="D388" i="1"/>
  <c r="F388" i="1" s="1"/>
  <c r="D386" i="1"/>
  <c r="F386" i="1" s="1"/>
  <c r="D385" i="1"/>
  <c r="F385" i="1" s="1"/>
  <c r="A385" i="1"/>
  <c r="A386" i="1" s="1"/>
  <c r="A387" i="1" s="1"/>
  <c r="A388" i="1" s="1"/>
  <c r="A389" i="1" s="1"/>
  <c r="G384" i="1"/>
  <c r="D384" i="1"/>
  <c r="F384" i="1" s="1"/>
  <c r="D290" i="1"/>
  <c r="F290" i="1" s="1"/>
  <c r="D289" i="1"/>
  <c r="F289" i="1" s="1"/>
  <c r="D288" i="1"/>
  <c r="D287" i="1"/>
  <c r="D286" i="1"/>
  <c r="A285" i="1"/>
  <c r="A286" i="1" s="1"/>
  <c r="A287" i="1" s="1"/>
  <c r="A288" i="1" s="1"/>
  <c r="A289" i="1" s="1"/>
  <c r="A290" i="1" s="1"/>
  <c r="G284" i="1"/>
  <c r="D209" i="1"/>
  <c r="A209" i="1"/>
  <c r="A210" i="1" s="1"/>
  <c r="A211" i="1" s="1"/>
  <c r="G208" i="1"/>
  <c r="D208" i="1"/>
  <c r="M282" i="1" l="1"/>
  <c r="L281" i="1"/>
  <c r="M281" i="1" s="1"/>
  <c r="F281" i="1"/>
  <c r="G131" i="1"/>
  <c r="C131" i="1"/>
  <c r="E131" i="1"/>
  <c r="D199" i="1"/>
  <c r="M199" i="1" s="1"/>
  <c r="D198" i="1"/>
  <c r="M198" i="1" s="1"/>
  <c r="D468" i="1"/>
  <c r="D467" i="1"/>
  <c r="A467" i="1"/>
  <c r="A468" i="1" s="1"/>
  <c r="A469" i="1" s="1"/>
  <c r="A470" i="1" s="1"/>
  <c r="G466" i="1"/>
  <c r="D466" i="1"/>
  <c r="D372" i="1"/>
  <c r="F372" i="1" s="1"/>
  <c r="D371" i="1"/>
  <c r="F371" i="1" s="1"/>
  <c r="A371" i="1"/>
  <c r="A372" i="1" s="1"/>
  <c r="A373" i="1" s="1"/>
  <c r="A374" i="1" s="1"/>
  <c r="A375" i="1" s="1"/>
  <c r="G370" i="1"/>
  <c r="D370" i="1"/>
  <c r="F370" i="1" s="1"/>
  <c r="D274" i="1"/>
  <c r="F274" i="1" s="1"/>
  <c r="I274" i="1" s="1"/>
  <c r="D273" i="1"/>
  <c r="F273" i="1" s="1"/>
  <c r="I273" i="1" s="1"/>
  <c r="D272" i="1"/>
  <c r="I272" i="1" s="1"/>
  <c r="D271" i="1"/>
  <c r="I271" i="1" s="1"/>
  <c r="D270" i="1"/>
  <c r="I270" i="1" s="1"/>
  <c r="D269" i="1"/>
  <c r="I269" i="1" s="1"/>
  <c r="A269" i="1"/>
  <c r="A270" i="1" s="1"/>
  <c r="A271" i="1" s="1"/>
  <c r="A272" i="1" s="1"/>
  <c r="A273" i="1" s="1"/>
  <c r="A274" i="1" s="1"/>
  <c r="G268" i="1"/>
  <c r="D268" i="1"/>
  <c r="I268" i="1" s="1"/>
  <c r="D201" i="1"/>
  <c r="M201" i="1" s="1"/>
  <c r="D200" i="1"/>
  <c r="M200" i="1" s="1"/>
  <c r="A199" i="1"/>
  <c r="A200" i="1" s="1"/>
  <c r="A201" i="1" s="1"/>
  <c r="G198" i="1"/>
  <c r="D451" i="1"/>
  <c r="D457" i="1"/>
  <c r="D463" i="1"/>
  <c r="I463" i="1"/>
  <c r="D266" i="1"/>
  <c r="F266" i="1" s="1"/>
  <c r="D265" i="1"/>
  <c r="D193" i="1"/>
  <c r="D462" i="1"/>
  <c r="D461" i="1"/>
  <c r="A461" i="1"/>
  <c r="A462" i="1" s="1"/>
  <c r="A463" i="1" s="1"/>
  <c r="A464" i="1" s="1"/>
  <c r="G460" i="1"/>
  <c r="D460" i="1"/>
  <c r="D365" i="1"/>
  <c r="F365" i="1" s="1"/>
  <c r="D364" i="1"/>
  <c r="F364" i="1" s="1"/>
  <c r="A364" i="1"/>
  <c r="A365" i="1" s="1"/>
  <c r="A366" i="1" s="1"/>
  <c r="A367" i="1" s="1"/>
  <c r="A368" i="1" s="1"/>
  <c r="G363" i="1"/>
  <c r="D363" i="1"/>
  <c r="F363" i="1" s="1"/>
  <c r="D264" i="1"/>
  <c r="D263" i="1"/>
  <c r="D262" i="1"/>
  <c r="D261" i="1"/>
  <c r="A261" i="1"/>
  <c r="A262" i="1" s="1"/>
  <c r="A263" i="1" s="1"/>
  <c r="A264" i="1" s="1"/>
  <c r="A265" i="1" s="1"/>
  <c r="A266" i="1" s="1"/>
  <c r="G260" i="1"/>
  <c r="D260" i="1"/>
  <c r="D196" i="1"/>
  <c r="D195" i="1"/>
  <c r="A194" i="1"/>
  <c r="A195" i="1" s="1"/>
  <c r="A196" i="1" s="1"/>
  <c r="G193" i="1"/>
  <c r="E119" i="1" l="1"/>
  <c r="F265" i="1"/>
  <c r="G119" i="1" s="1"/>
  <c r="C119" i="1"/>
  <c r="L194" i="1"/>
  <c r="F193" i="1"/>
  <c r="D358" i="1"/>
  <c r="F358" i="1" s="1"/>
  <c r="D456" i="1"/>
  <c r="D455" i="1"/>
  <c r="A455" i="1"/>
  <c r="A456" i="1" s="1"/>
  <c r="A457" i="1" s="1"/>
  <c r="A458" i="1" s="1"/>
  <c r="G454" i="1"/>
  <c r="D454" i="1"/>
  <c r="D357" i="1"/>
  <c r="F357" i="1" s="1"/>
  <c r="A357" i="1"/>
  <c r="A358" i="1" s="1"/>
  <c r="A359" i="1" s="1"/>
  <c r="A360" i="1" s="1"/>
  <c r="A361" i="1" s="1"/>
  <c r="G356" i="1"/>
  <c r="D356" i="1"/>
  <c r="F356" i="1" s="1"/>
  <c r="D256" i="1"/>
  <c r="D255" i="1"/>
  <c r="D254" i="1"/>
  <c r="D253" i="1"/>
  <c r="A253" i="1"/>
  <c r="A254" i="1" s="1"/>
  <c r="A255" i="1" s="1"/>
  <c r="A256" i="1" s="1"/>
  <c r="A257" i="1" s="1"/>
  <c r="A258" i="1" s="1"/>
  <c r="G252" i="1"/>
  <c r="D252" i="1"/>
  <c r="D191" i="1"/>
  <c r="D190" i="1"/>
  <c r="A189" i="1"/>
  <c r="A190" i="1" s="1"/>
  <c r="A191" i="1" s="1"/>
  <c r="G188" i="1"/>
  <c r="D450" i="1" l="1"/>
  <c r="D449" i="1"/>
  <c r="D448" i="1"/>
  <c r="D352" i="1"/>
  <c r="F352" i="1" s="1"/>
  <c r="D350" i="1"/>
  <c r="F350" i="1" s="1"/>
  <c r="D349" i="1"/>
  <c r="G349" i="1"/>
  <c r="A350" i="1"/>
  <c r="A351" i="1" s="1"/>
  <c r="A352" i="1" s="1"/>
  <c r="A353" i="1" s="1"/>
  <c r="A354" i="1" s="1"/>
  <c r="A449" i="1"/>
  <c r="A450" i="1" s="1"/>
  <c r="A451" i="1" s="1"/>
  <c r="A452" i="1" s="1"/>
  <c r="G448" i="1"/>
  <c r="I248" i="1"/>
  <c r="D248" i="1"/>
  <c r="M248" i="1" s="1"/>
  <c r="D247" i="1"/>
  <c r="M247" i="1" s="1"/>
  <c r="D246" i="1"/>
  <c r="M246" i="1" s="1"/>
  <c r="D245" i="1"/>
  <c r="D186" i="1"/>
  <c r="M186" i="1" s="1"/>
  <c r="D185" i="1"/>
  <c r="M185" i="1" s="1"/>
  <c r="J186" i="1"/>
  <c r="I186" i="1"/>
  <c r="J185" i="1"/>
  <c r="I185" i="1"/>
  <c r="I245" i="1"/>
  <c r="I244" i="1"/>
  <c r="A245" i="1"/>
  <c r="A246" i="1" s="1"/>
  <c r="A247" i="1" s="1"/>
  <c r="A248" i="1" s="1"/>
  <c r="A249" i="1" s="1"/>
  <c r="A250" i="1" s="1"/>
  <c r="G244" i="1"/>
  <c r="I177" i="1"/>
  <c r="D177" i="1"/>
  <c r="F177" i="1" s="1"/>
  <c r="D176" i="1"/>
  <c r="F176" i="1" s="1"/>
  <c r="A177" i="1"/>
  <c r="G176" i="1"/>
  <c r="D173" i="1"/>
  <c r="F173" i="1" s="1"/>
  <c r="D172" i="1"/>
  <c r="F172" i="1" s="1"/>
  <c r="D171" i="1"/>
  <c r="F171" i="1" s="1"/>
  <c r="D170" i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A165" i="1"/>
  <c r="A166" i="1" s="1"/>
  <c r="A167" i="1" s="1"/>
  <c r="A168" i="1" s="1"/>
  <c r="A169" i="1" s="1"/>
  <c r="A170" i="1" s="1"/>
  <c r="A171" i="1" s="1"/>
  <c r="A172" i="1" s="1"/>
  <c r="A173" i="1" s="1"/>
  <c r="G164" i="1"/>
  <c r="I152" i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I150" i="1"/>
  <c r="D152" i="1"/>
  <c r="F152" i="1" s="1"/>
  <c r="D151" i="1"/>
  <c r="D150" i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G150" i="1"/>
  <c r="I145" i="1"/>
  <c r="D146" i="1"/>
  <c r="F146" i="1" s="1"/>
  <c r="D147" i="1"/>
  <c r="F147" i="1" s="1"/>
  <c r="D145" i="1"/>
  <c r="F145" i="1" s="1"/>
  <c r="D144" i="1"/>
  <c r="F144" i="1" s="1"/>
  <c r="D143" i="1"/>
  <c r="F143" i="1" s="1"/>
  <c r="D142" i="1"/>
  <c r="F142" i="1" s="1"/>
  <c r="D141" i="1"/>
  <c r="I142" i="1"/>
  <c r="I141" i="1"/>
  <c r="C130" i="1" l="1"/>
  <c r="E130" i="1"/>
  <c r="E132" i="1"/>
  <c r="C132" i="1"/>
  <c r="F151" i="1"/>
  <c r="G124" i="1" s="1"/>
  <c r="C124" i="1"/>
  <c r="E124" i="1"/>
  <c r="G115" i="1"/>
  <c r="F170" i="1"/>
  <c r="G125" i="1" s="1"/>
  <c r="C125" i="1"/>
  <c r="M245" i="1"/>
  <c r="F349" i="1"/>
  <c r="G120" i="1" s="1"/>
  <c r="G121" i="1" s="1"/>
  <c r="C120" i="1"/>
  <c r="C121" i="1" s="1"/>
  <c r="F150" i="1"/>
  <c r="G113" i="1" s="1"/>
  <c r="C113" i="1"/>
  <c r="E113" i="1"/>
  <c r="F141" i="1"/>
  <c r="G112" i="1" s="1"/>
  <c r="E112" i="1"/>
  <c r="C112" i="1"/>
  <c r="F164" i="1"/>
  <c r="G114" i="1" s="1"/>
  <c r="E114" i="1"/>
  <c r="E129" i="1"/>
  <c r="C129" i="1"/>
  <c r="E120" i="1"/>
  <c r="E121" i="1" s="1"/>
  <c r="C115" i="1"/>
  <c r="C114" i="1"/>
  <c r="E115" i="1"/>
  <c r="E125" i="1"/>
  <c r="Z12" i="1"/>
  <c r="I14" i="1"/>
  <c r="C133" i="1" l="1"/>
  <c r="E133" i="1"/>
  <c r="C126" i="1"/>
  <c r="E116" i="1"/>
  <c r="C116" i="1"/>
  <c r="E126" i="1"/>
  <c r="C134" i="1" l="1"/>
  <c r="E134" i="1"/>
  <c r="E43" i="1"/>
  <c r="E44" i="1" s="1"/>
  <c r="C15" i="1" l="1"/>
  <c r="E30" i="1" l="1"/>
  <c r="A184" i="1" l="1"/>
  <c r="A185" i="1" s="1"/>
  <c r="A186" i="1" s="1"/>
  <c r="G183" i="1"/>
  <c r="G129" i="1" l="1"/>
  <c r="G133" i="1" s="1"/>
  <c r="F109" i="1"/>
  <c r="G116" i="1" l="1"/>
  <c r="G126" i="1" l="1"/>
  <c r="G134" i="1" s="1"/>
  <c r="B534" i="1"/>
  <c r="B53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55" i="1"/>
  <c r="A142" i="1"/>
  <c r="A143" i="1" s="1"/>
  <c r="A144" i="1" s="1"/>
  <c r="A145" i="1" s="1"/>
  <c r="A146" i="1" s="1"/>
  <c r="A147" i="1" s="1"/>
  <c r="G141" i="1"/>
  <c r="B82" i="1"/>
  <c r="C67" i="1"/>
  <c r="B68" i="1" s="1"/>
  <c r="D55" i="1"/>
  <c r="G50" i="1"/>
  <c r="C50" i="1"/>
  <c r="E27" i="1"/>
  <c r="E25" i="1"/>
  <c r="E7" i="1"/>
  <c r="E3" i="1"/>
  <c r="D61" i="1" l="1"/>
  <c r="H68" i="1"/>
  <c r="J86" i="1" l="1"/>
  <c r="C85" i="1" s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D85" i="1" l="1"/>
  <c r="J80" i="1"/>
  <c r="C72" i="1" s="1"/>
  <c r="G71" i="1" s="1"/>
  <c r="D65" i="1" s="1"/>
  <c r="D66" i="1" s="1"/>
  <c r="J94" i="1"/>
  <c r="C86" i="1" l="1"/>
  <c r="D86" i="1" s="1"/>
  <c r="I82" i="1" s="1"/>
  <c r="I83" i="1" s="1"/>
  <c r="J95" i="1"/>
  <c r="J68" i="1"/>
  <c r="D72" i="1"/>
  <c r="I68" i="1" s="1"/>
  <c r="I69" i="1" s="1"/>
  <c r="E71" i="1"/>
  <c r="F66" i="1"/>
  <c r="G85" i="1" l="1"/>
  <c r="G95" i="1" s="1"/>
  <c r="E85" i="1"/>
  <c r="C95" i="1" s="1"/>
  <c r="J82" i="1"/>
  <c r="I67" i="1"/>
  <c r="C69" i="1" s="1"/>
  <c r="I81" i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<sst xmlns="http://schemas.openxmlformats.org/spreadsheetml/2006/main" count="1141" uniqueCount="332">
  <si>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</si>
  <si>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</si>
  <si>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</si>
  <si>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</si>
  <si>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</si>
  <si>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</si>
  <si>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</si>
  <si>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</si>
  <si>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</si>
  <si>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</si>
  <si>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</si>
  <si>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</si>
  <si>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</si>
  <si>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</si>
  <si>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</si>
  <si>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</si>
  <si>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</si>
  <si>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</si>
  <si>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</si>
  <si>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</si>
  <si>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</si>
  <si>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</si>
  <si>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</si>
  <si>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</si>
  <si>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</si>
  <si>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</si>
  <si>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</si>
  <si>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</si>
  <si>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</si>
  <si>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</si>
  <si>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</si>
  <si>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</si>
  <si>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</si>
  <si>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</si>
  <si>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</si>
  <si>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</si>
  <si>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</si>
  <si>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</si>
  <si>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</si>
  <si>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</si>
  <si>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</si>
  <si>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</si>
  <si>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</si>
  <si>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</si>
  <si>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</si>
  <si>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</si>
  <si>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</si>
  <si>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</si>
  <si>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</si>
  <si>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</si>
  <si>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</si>
  <si>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</si>
  <si>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</si>
  <si>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</si>
  <si>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</si>
  <si>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</si>
  <si>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</si>
  <si>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</si>
  <si>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</si>
  <si>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</si>
  <si>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</si>
  <si>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</si>
  <si>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</si>
  <si>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</si>
  <si>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</si>
  <si>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</si>
  <si>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</si>
  <si>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</si>
  <si>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</si>
  <si>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</si>
  <si>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</si>
  <si>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</si>
  <si>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</si>
  <si>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</si>
  <si>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</si>
  <si>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</si>
  <si>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</si>
  <si>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</si>
  <si>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</si>
  <si>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</si>
  <si>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</si>
  <si>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</si>
  <si>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</si>
  <si>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</si>
  <si>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</si>
  <si>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</si>
  <si>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</si>
  <si>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</si>
  <si>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</si>
  <si>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</si>
  <si>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</si>
  <si>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</si>
  <si>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</si>
  <si>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</si>
  <si>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</si>
  <si>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</si>
  <si>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</si>
  <si>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</si>
  <si>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</si>
  <si>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</si>
  <si>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</si>
  <si>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</si>
  <si>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</si>
  <si>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</si>
  <si>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</si>
  <si>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</si>
  <si>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</si>
  <si>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</si>
  <si>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</si>
  <si>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</si>
  <si>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</si>
  <si>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</si>
  <si>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</si>
  <si>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</si>
  <si>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</si>
  <si>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</si>
  <si>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</si>
  <si>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</si>
  <si>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</si>
  <si>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</si>
  <si>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</si>
  <si>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</si>
  <si>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</si>
  <si>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</si>
  <si>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</si>
  <si>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</si>
  <si>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</si>
  <si>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</si>
  <si>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</si>
  <si>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</si>
  <si>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</si>
  <si>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</si>
  <si>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</si>
  <si>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</si>
  <si>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</si>
  <si>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</si>
  <si>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</si>
  <si>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</si>
  <si>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</si>
  <si>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</si>
  <si>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</si>
  <si>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</si>
  <si>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</si>
  <si>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</si>
  <si>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</si>
  <si>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</si>
  <si>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</si>
  <si>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</si>
  <si>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</si>
  <si>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</si>
  <si>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</si>
  <si>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</si>
  <si>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</si>
  <si>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</si>
  <si>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</si>
  <si>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</si>
  <si>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</si>
  <si>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</si>
  <si>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</si>
  <si>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</si>
  <si>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</si>
  <si>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</si>
  <si>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</si>
  <si>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</si>
  <si>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</si>
  <si>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</si>
  <si>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</si>
  <si>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</si>
  <si>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</si>
  <si>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</si>
  <si>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</si>
  <si>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</si>
  <si>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</si>
  <si>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</si>
  <si>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</si>
  <si>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</si>
  <si>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</si>
  <si>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</si>
  <si>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</si>
  <si>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</si>
  <si>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</si>
  <si>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</si>
  <si>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</si>
  <si>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</si>
  <si>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</si>
  <si>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</si>
  <si>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</si>
  <si>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</si>
  <si>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</si>
  <si>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</si>
  <si>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</si>
  <si>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</si>
  <si>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</si>
  <si>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</si>
  <si>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</si>
  <si>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</si>
  <si>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</si>
  <si>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</si>
  <si>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</si>
  <si>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</si>
  <si>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</si>
  <si>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</si>
  <si>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</si>
  <si>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</si>
  <si>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</si>
  <si>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</si>
  <si>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</si>
  <si>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</si>
  <si>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</si>
  <si>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</si>
  <si>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</si>
  <si>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</si>
  <si>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</si>
  <si>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</si>
  <si>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</si>
  <si>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</si>
  <si>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</si>
  <si>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</si>
  <si>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</si>
  <si>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</si>
  <si>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</si>
  <si>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</si>
  <si>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</si>
  <si>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</si>
  <si>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</si>
  <si>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</si>
  <si>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</si>
  <si>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</si>
  <si>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</si>
  <si>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</si>
  <si>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Thane</t>
  </si>
  <si>
    <t>Mr. Jeevan 9619685099</t>
  </si>
  <si>
    <t>Anubhav &amp; Laxmi-narayan co-op. Hsg. Soc. Ltd.</t>
  </si>
  <si>
    <t>19.145696,72.926878</t>
  </si>
  <si>
    <t>https://goo.gl/maps/KrDawju5MZsWm44m7</t>
  </si>
  <si>
    <t>Kokan Nagar</t>
  </si>
  <si>
    <t>Hanuman Mandir road</t>
  </si>
  <si>
    <t>Bhandup West</t>
  </si>
  <si>
    <t>Tembipada</t>
  </si>
  <si>
    <t>1.5 KM from Bhandup Railway Station</t>
  </si>
  <si>
    <t>13 M.W. Road</t>
  </si>
  <si>
    <t>CTS No. 193</t>
  </si>
  <si>
    <t>27.45 M.W. Road</t>
  </si>
  <si>
    <t>Shubham SRA Building</t>
  </si>
  <si>
    <t>Houses</t>
  </si>
  <si>
    <t>Shri Marleshwar CHS</t>
  </si>
  <si>
    <t>Approved Plans, CC, Sale Plans, Builder Saleable Area, Cost Sheet.</t>
  </si>
  <si>
    <t>P51800018454</t>
  </si>
  <si>
    <t>226(Part), 226/1 &amp; 226/20 (PT) Redevlopement of "Anubhav &amp; Laxmi-narayan co-op.Hsg.Soc.Ltd"</t>
  </si>
  <si>
    <t>04 Wings</t>
  </si>
  <si>
    <t>Slum Rehabilitation Authority (SRA)</t>
  </si>
  <si>
    <t>SRA/ENG/3899/S/PL/AP</t>
  </si>
  <si>
    <t>SRA/ENG/3899/S/PL &amp; STGL/AP</t>
  </si>
  <si>
    <t>As per RERA - 30/12/2025</t>
  </si>
  <si>
    <t>Fitness club, Indoor games, Vitrified tiles flooring, Granite Kitchen Platform, Decorative Entrance &amp; Landscape Garden, etc.</t>
  </si>
  <si>
    <t>Shree S. S. Developers Private Limited</t>
  </si>
  <si>
    <t>Wing A</t>
  </si>
  <si>
    <t>Shop</t>
  </si>
  <si>
    <t>Rehab</t>
  </si>
  <si>
    <t>Sale</t>
  </si>
  <si>
    <t>Sale / Rehab</t>
  </si>
  <si>
    <t>Wing B</t>
  </si>
  <si>
    <t>Wing C</t>
  </si>
  <si>
    <t>Wing D</t>
  </si>
  <si>
    <t>Ground Floor For Commercial &amp; Parking</t>
  </si>
  <si>
    <t>Ground Floor For Commercial, Ganesh Temple &amp; Parking</t>
  </si>
  <si>
    <t>Ground Floor For Commercial, Public Toilet, &amp; Parking</t>
  </si>
  <si>
    <t>Ground Floor For Commercial, Meter room, Pump Room &amp; Parking</t>
  </si>
  <si>
    <t>Commercial Area Details (Rehab) :</t>
  </si>
  <si>
    <t>Commercial Area Details (Sale) :</t>
  </si>
  <si>
    <t>Residential Area Details (Rehab) :</t>
  </si>
  <si>
    <t>Residential Area Details (Sale) :</t>
  </si>
  <si>
    <t>1st Floor For Part residential &amp; Podium</t>
  </si>
  <si>
    <t>-</t>
  </si>
  <si>
    <t>1BHK</t>
  </si>
  <si>
    <t>`</t>
  </si>
  <si>
    <t>2BHK</t>
  </si>
  <si>
    <t>Society Office</t>
  </si>
  <si>
    <t>1st Floor For Part residential, Society Office &amp; Podium</t>
  </si>
  <si>
    <t>2nd &amp; 3rd Floor For Part residential &amp; Podium</t>
  </si>
  <si>
    <t>2nd &amp; 3rd Floor For Part residential, Society Office &amp; Podium</t>
  </si>
  <si>
    <t>Car Lift Machine</t>
  </si>
  <si>
    <t>Balwadi</t>
  </si>
  <si>
    <t>Health Centre</t>
  </si>
  <si>
    <t>Society Office &amp; Car Lift Machine Room</t>
  </si>
  <si>
    <t>4th Floor For residential</t>
  </si>
  <si>
    <t>4th Floor For residential &amp; Car Lift Machine Room</t>
  </si>
  <si>
    <t>4th Floor For residential, Balwadi &amp; Health Centre</t>
  </si>
  <si>
    <t>4th Floor For residential, Society Office &amp; Car Lift Machine Room</t>
  </si>
  <si>
    <t>1RK</t>
  </si>
  <si>
    <t>5th Floor For residential</t>
  </si>
  <si>
    <t>5th Floor For residential, Society Office &amp; Car Lift Machine Room</t>
  </si>
  <si>
    <t>Welfare Centre</t>
  </si>
  <si>
    <t>Yogalaya</t>
  </si>
  <si>
    <t>Fitness Centre</t>
  </si>
  <si>
    <t>6th &amp; 7th Floor For residential</t>
  </si>
  <si>
    <t>Refuge area</t>
  </si>
  <si>
    <t xml:space="preserve">17th Floor </t>
  </si>
  <si>
    <t>15th Floor (Part Refuge Area)</t>
  </si>
  <si>
    <t>16th Floor</t>
  </si>
  <si>
    <t>12th to 14th Floor</t>
  </si>
  <si>
    <t>11th Floor</t>
  </si>
  <si>
    <t>9th &amp; 10th Floor</t>
  </si>
  <si>
    <t>8th Floor (Part Refuge Area)</t>
  </si>
  <si>
    <t>6th &amp; 7th Floor</t>
  </si>
  <si>
    <t>21th &amp; 22th Floor</t>
  </si>
  <si>
    <t>18th to 20th Floor</t>
  </si>
  <si>
    <t>17th Floor</t>
  </si>
  <si>
    <t>5th Floor For residential, Welfare Centre &amp; Yogalaya</t>
  </si>
  <si>
    <t>5th Floor</t>
  </si>
  <si>
    <t>We considered Gross carpet area = Net carpet + Chajja.</t>
  </si>
  <si>
    <t>Construction work is in process at the time of Visit.</t>
  </si>
  <si>
    <t>Laxminarayan SRA CHS Ltd</t>
  </si>
  <si>
    <t>1.05 M Chajja hence considered</t>
  </si>
  <si>
    <t>C wing for rehab saleable taken carpet*1.60</t>
  </si>
  <si>
    <t>Builder Saleable area</t>
  </si>
  <si>
    <t>Wing A = Aster
Wing B = Begonia
Wing C = Rehab Building
Wing D = Daffodils</t>
  </si>
  <si>
    <t>A Wing = G + 1st to 17th Floor
B Wing = G + 1st to 17th Floor
C Wing = G + 1st to 22nd Floor
D Wing = G + 1st to 22nd Floor</t>
  </si>
  <si>
    <t>A &amp; B Wing = G + 1st to 22nd Floor</t>
  </si>
  <si>
    <t>Nalla</t>
  </si>
  <si>
    <t>MP Room</t>
  </si>
  <si>
    <t>13th &amp; 14th Floor</t>
  </si>
  <si>
    <t>12th Floor</t>
  </si>
  <si>
    <t>This C.C is re-endorse for rehab wing C and grant further C.C upto 22nd floor of sale Wing 'D' including OHWT/ LMR and upto 9th upper floors of wing - A &amp; B including brickwork and plaster and further C.C for RCC framework from 10th to 12nd upper floors of sale wing 'A' &amp; 'B' as per last approved amended plans dated 02/02/2023 of composite bldg u/ref.</t>
  </si>
  <si>
    <t>C &amp; D Wing = G + 1st to 22nd Floor</t>
  </si>
  <si>
    <t>Rehab Flats - 116, Rehab Shops -24,
Sale Shop - 7, Sale Flats - 271</t>
  </si>
  <si>
    <t>Mr sachin site supervisor : 9967101265
Mr Harshal site engineer : 9967270690</t>
  </si>
  <si>
    <t>Construction work of Wing A &amp; B goes beyond approved no. of floor. Please provide Revised Approved plans &amp; CC</t>
  </si>
  <si>
    <t>Office No. 1031, Wing J, Akshar Business Park, Plot No. 03 Sector 25, Near APMC Market, 
Vashi, Navi Mumbai, Maharashtra 400703 TEL: 022-46090378/79/80
E mail : vsjcapf@gmail.com. Web site : www.vsjadon.com</t>
  </si>
  <si>
    <t>Shruti Tathare</t>
  </si>
  <si>
    <t>Nainesh Tambe</t>
  </si>
  <si>
    <t>Wing A &amp; B - Construction work is in process at the time of visit. (Slow Speed)
Wing C &amp; D - All Work Completed. Please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</si>
</sst>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center"/>
    </xf>
    <xf numFmtId="1" fontId="29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68" fontId="7" fillId="0" borderId="0" xfId="1" applyNumberFormat="1" applyFont="1"/>
    <xf numFmtId="2" fontId="7" fillId="0" borderId="0" xfId="1" applyNumberFormat="1" applyFont="1"/>
    <xf numFmtId="164" fontId="7" fillId="0" borderId="0" xfId="1" applyNumberFormat="1" applyFont="1"/>
    <xf numFmtId="1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29" fillId="0" borderId="17" xfId="1" applyNumberFormat="1" applyFont="1" applyBorder="1" applyAlignment="1" applyProtection="1">
      <alignment horizontal="center" vertical="center" wrapText="1"/>
      <protection locked="0"/>
    </xf>
    <xf numFmtId="1" fontId="29" fillId="0" borderId="24" xfId="1" applyNumberFormat="1" applyFont="1" applyBorder="1" applyAlignment="1" applyProtection="1">
      <alignment horizontal="center" vertical="center" wrapText="1"/>
      <protection locked="0"/>
    </xf>
    <xf numFmtId="1" fontId="29" fillId="0" borderId="18" xfId="1" applyNumberFormat="1" applyFont="1" applyBorder="1" applyAlignment="1" applyProtection="1">
      <alignment horizontal="center" vertical="center" wrapText="1"/>
      <protection locked="0"/>
    </xf>
    <xf numFmtId="1" fontId="29" fillId="0" borderId="19" xfId="1" applyNumberFormat="1" applyFont="1" applyBorder="1" applyAlignment="1" applyProtection="1">
      <alignment horizontal="center" vertical="center" wrapText="1"/>
      <protection locked="0"/>
    </xf>
    <xf numFmtId="1" fontId="29" fillId="0" borderId="2" xfId="1" applyNumberFormat="1" applyFont="1" applyBorder="1" applyAlignment="1" applyProtection="1">
      <alignment horizontal="center" vertical="center" wrapText="1"/>
      <protection locked="0"/>
    </xf>
    <xf numFmtId="1" fontId="29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5" fillId="0" borderId="0" xfId="1" applyFont="1" applyAlignment="1">
      <alignment horizontal="left"/>
    </xf>
    <xf numFmtId="0" fontId="15" fillId="0" borderId="25" xfId="1" applyFont="1" applyBorder="1" applyAlignment="1">
      <alignment horizontal="center"/>
    </xf>
    <xf numFmtId="0" fontId="15" fillId="0" borderId="0" xfId="1" applyFont="1" applyAlignment="1">
      <alignment horizontal="center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9" fontId="7" fillId="0" borderId="35" xfId="8" applyFont="1" applyFill="1" applyBorder="1" applyAlignment="1" applyProtection="1">
      <alignment horizontal="center" vertical="center" wrapText="1"/>
      <protection locked="0"/>
    </xf>
    <xf numFmtId="9" fontId="7" fillId="0" borderId="36" xfId="8" applyFont="1" applyFill="1" applyBorder="1" applyAlignment="1" applyProtection="1">
      <alignment horizontal="center" vertical="center" wrapText="1"/>
      <protection locked="0"/>
    </xf>
    <xf numFmtId="0" fontId="7" fillId="0" borderId="34" xfId="1" applyFont="1" applyBorder="1" applyAlignment="1" applyProtection="1">
      <alignment horizontal="center" vertical="center" wrapText="1"/>
      <protection locked="0"/>
    </xf>
    <xf numFmtId="9" fontId="7" fillId="0" borderId="34" xfId="1" applyNumberFormat="1" applyFont="1" applyBorder="1" applyAlignment="1" applyProtection="1">
      <alignment horizontal="center" vertical="center" wrapText="1"/>
      <protection locked="0"/>
    </xf>
    <xf numFmtId="0" fontId="7" fillId="0" borderId="32" xfId="1" applyFont="1" applyBorder="1" applyAlignment="1" applyProtection="1">
      <alignment horizontal="center" vertical="center" wrapText="1"/>
      <protection locked="0"/>
    </xf>
    <xf numFmtId="0" fontId="7" fillId="0" borderId="37" xfId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16571</xdr:colOff>
      <xdr:row>615</xdr:row>
      <xdr:rowOff>145163</xdr:rowOff>
    </xdr:from>
    <xdr:to>
      <xdr:col>7</xdr:col>
      <xdr:colOff>84</xdr:colOff>
      <xdr:row>633</xdr:row>
      <xdr:rowOff>21478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6549" y="130488576"/>
          <a:ext cx="5239657" cy="3454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326207</xdr:colOff>
      <xdr:row>597</xdr:row>
      <xdr:rowOff>24845</xdr:rowOff>
    </xdr:from>
    <xdr:to>
      <xdr:col>6</xdr:col>
      <xdr:colOff>490546</xdr:colOff>
      <xdr:row>615</xdr:row>
      <xdr:rowOff>46757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6185" y="126790171"/>
          <a:ext cx="462038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471130</xdr:colOff>
      <xdr:row>621</xdr:row>
      <xdr:rowOff>171127</xdr:rowOff>
    </xdr:from>
    <xdr:to>
      <xdr:col>4</xdr:col>
      <xdr:colOff>19452</xdr:colOff>
      <xdr:row>626</xdr:row>
      <xdr:rowOff>15414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3063587" y="131707236"/>
          <a:ext cx="558800" cy="8382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664667</xdr:colOff>
      <xdr:row>625</xdr:row>
      <xdr:rowOff>55447</xdr:rowOff>
    </xdr:from>
    <xdr:to>
      <xdr:col>3</xdr:col>
      <xdr:colOff>915630</xdr:colOff>
      <xdr:row>627</xdr:row>
      <xdr:rowOff>184932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346037" y="132386686"/>
          <a:ext cx="1162050" cy="5270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42367</xdr:colOff>
      <xdr:row>623</xdr:row>
      <xdr:rowOff>14862</xdr:rowOff>
    </xdr:from>
    <xdr:to>
      <xdr:col>2</xdr:col>
      <xdr:colOff>664667</xdr:colOff>
      <xdr:row>627</xdr:row>
      <xdr:rowOff>184932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1723737" y="131948536"/>
          <a:ext cx="622300" cy="9652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131267</xdr:colOff>
      <xdr:row>619</xdr:row>
      <xdr:rowOff>73393</xdr:rowOff>
    </xdr:from>
    <xdr:to>
      <xdr:col>3</xdr:col>
      <xdr:colOff>26630</xdr:colOff>
      <xdr:row>622</xdr:row>
      <xdr:rowOff>162845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812637" y="131211936"/>
          <a:ext cx="806450" cy="68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806774</xdr:colOff>
      <xdr:row>620</xdr:row>
      <xdr:rowOff>20120</xdr:rowOff>
    </xdr:from>
    <xdr:to>
      <xdr:col>4</xdr:col>
      <xdr:colOff>609600</xdr:colOff>
      <xdr:row>621</xdr:row>
      <xdr:rowOff>129114</xdr:rowOff>
    </xdr:to>
    <xdr:sp macro="" textlink="">
      <xdr:nvSpPr>
        <xdr:cNvPr id="18" name="TextBox 1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16599" y="127721795"/>
          <a:ext cx="745801" cy="309019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A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31091</xdr:colOff>
      <xdr:row>625</xdr:row>
      <xdr:rowOff>50783</xdr:rowOff>
    </xdr:from>
    <xdr:to>
      <xdr:col>1</xdr:col>
      <xdr:colOff>771525</xdr:colOff>
      <xdr:row>626</xdr:row>
      <xdr:rowOff>159777</xdr:rowOff>
    </xdr:to>
    <xdr:sp macro="" textlink="">
      <xdr:nvSpPr>
        <xdr:cNvPr id="19" name="TextBox 1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793091" y="128752583"/>
          <a:ext cx="740434" cy="309019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C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660724</xdr:colOff>
      <xdr:row>628</xdr:row>
      <xdr:rowOff>55999</xdr:rowOff>
    </xdr:from>
    <xdr:to>
      <xdr:col>4</xdr:col>
      <xdr:colOff>476250</xdr:colOff>
      <xdr:row>629</xdr:row>
      <xdr:rowOff>164993</xdr:rowOff>
    </xdr:to>
    <xdr:sp macro="" textlink="">
      <xdr:nvSpPr>
        <xdr:cNvPr id="20" name="TextBox 1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070549" y="129357874"/>
          <a:ext cx="758501" cy="309019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B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131267</xdr:colOff>
      <xdr:row>617</xdr:row>
      <xdr:rowOff>97995</xdr:rowOff>
    </xdr:from>
    <xdr:to>
      <xdr:col>2</xdr:col>
      <xdr:colOff>869679</xdr:colOff>
      <xdr:row>619</xdr:row>
      <xdr:rowOff>8207</xdr:rowOff>
    </xdr:to>
    <xdr:sp macro="" textlink="">
      <xdr:nvSpPr>
        <xdr:cNvPr id="21" name="TextBox 14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1812637" y="130838973"/>
          <a:ext cx="738412" cy="307777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D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588072</xdr:colOff>
      <xdr:row>639</xdr:row>
      <xdr:rowOff>190490</xdr:rowOff>
    </xdr:from>
    <xdr:to>
      <xdr:col>7</xdr:col>
      <xdr:colOff>252072</xdr:colOff>
      <xdr:row>658</xdr:row>
      <xdr:rowOff>150328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072" y="136099816"/>
          <a:ext cx="5760000" cy="37367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306271</xdr:colOff>
      <xdr:row>644</xdr:row>
      <xdr:rowOff>73166</xdr:rowOff>
    </xdr:from>
    <xdr:to>
      <xdr:col>4</xdr:col>
      <xdr:colOff>434480</xdr:colOff>
      <xdr:row>652</xdr:row>
      <xdr:rowOff>56297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 rot="1044395">
          <a:off x="2898728" y="136976405"/>
          <a:ext cx="1138687" cy="1573392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0</xdr:col>
      <xdr:colOff>588072</xdr:colOff>
      <xdr:row>659</xdr:row>
      <xdr:rowOff>44967</xdr:rowOff>
    </xdr:from>
    <xdr:to>
      <xdr:col>7</xdr:col>
      <xdr:colOff>252072</xdr:colOff>
      <xdr:row>677</xdr:row>
      <xdr:rowOff>128690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072" y="139929945"/>
          <a:ext cx="5760000" cy="36618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66261</xdr:colOff>
      <xdr:row>650</xdr:row>
      <xdr:rowOff>157369</xdr:rowOff>
    </xdr:from>
    <xdr:to>
      <xdr:col>4</xdr:col>
      <xdr:colOff>832519</xdr:colOff>
      <xdr:row>652</xdr:row>
      <xdr:rowOff>190591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CxnSpPr/>
      </xdr:nvCxnSpPr>
      <xdr:spPr>
        <a:xfrm flipH="1" flipV="1">
          <a:off x="3669196" y="138253304"/>
          <a:ext cx="766258" cy="430787"/>
        </a:xfrm>
        <a:prstGeom prst="straightConnector1">
          <a:avLst/>
        </a:prstGeom>
        <a:ln w="571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3844</xdr:colOff>
      <xdr:row>653</xdr:row>
      <xdr:rowOff>119735</xdr:rowOff>
    </xdr:from>
    <xdr:to>
      <xdr:col>6</xdr:col>
      <xdr:colOff>523875</xdr:colOff>
      <xdr:row>655</xdr:row>
      <xdr:rowOff>96311</xdr:rowOff>
    </xdr:to>
    <xdr:sp macro="" textlink="">
      <xdr:nvSpPr>
        <xdr:cNvPr id="26" name="TextBox 16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4137694" y="133183985"/>
          <a:ext cx="1301081" cy="376626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solidFill>
                <a:srgbClr val="FF0000"/>
              </a:solidFill>
            </a:rPr>
            <a:t>Wing A &amp; B</a:t>
          </a:r>
          <a:endParaRPr lang="en-IN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683745</xdr:colOff>
      <xdr:row>646</xdr:row>
      <xdr:rowOff>92975</xdr:rowOff>
    </xdr:from>
    <xdr:to>
      <xdr:col>3</xdr:col>
      <xdr:colOff>875614</xdr:colOff>
      <xdr:row>647</xdr:row>
      <xdr:rowOff>14961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CxnSpPr/>
      </xdr:nvCxnSpPr>
      <xdr:spPr>
        <a:xfrm>
          <a:off x="2365115" y="137393779"/>
          <a:ext cx="1102956" cy="120769"/>
        </a:xfrm>
        <a:prstGeom prst="straightConnector1">
          <a:avLst/>
        </a:prstGeom>
        <a:ln w="571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128170</xdr:colOff>
      <xdr:row>645</xdr:row>
      <xdr:rowOff>107091</xdr:rowOff>
    </xdr:from>
    <xdr:to>
      <xdr:col>2</xdr:col>
      <xdr:colOff>590550</xdr:colOff>
      <xdr:row>647</xdr:row>
      <xdr:rowOff>83667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890170" y="131571141"/>
          <a:ext cx="1262480" cy="376626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solidFill>
                <a:srgbClr val="FF0000"/>
              </a:solidFill>
            </a:rPr>
            <a:t>Wing C &amp; D</a:t>
          </a:r>
          <a:endParaRPr lang="en-IN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221129</xdr:colOff>
      <xdr:row>569</xdr:row>
      <xdr:rowOff>661</xdr:rowOff>
    </xdr:from>
    <xdr:to>
      <xdr:col>10</xdr:col>
      <xdr:colOff>335633</xdr:colOff>
      <xdr:row>570</xdr:row>
      <xdr:rowOff>143991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7754538" y="117262070"/>
          <a:ext cx="876504" cy="3424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10</xdr:col>
      <xdr:colOff>284171</xdr:colOff>
      <xdr:row>576</xdr:row>
      <xdr:rowOff>52473</xdr:rowOff>
    </xdr:from>
    <xdr:to>
      <xdr:col>11</xdr:col>
      <xdr:colOff>455825</xdr:colOff>
      <xdr:row>578</xdr:row>
      <xdr:rowOff>26564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8589971" y="117714798"/>
          <a:ext cx="876504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ysClr val="windowText" lastClr="000000"/>
              </a:solidFill>
            </a:rPr>
            <a:t>C Wing </a:t>
          </a:r>
        </a:p>
      </xdr:txBody>
    </xdr:sp>
    <xdr:clientData/>
  </xdr:twoCellAnchor>
  <xdr:twoCellAnchor>
    <xdr:from>
      <xdr:col>8</xdr:col>
      <xdr:colOff>1005490</xdr:colOff>
      <xdr:row>571</xdr:row>
      <xdr:rowOff>28371</xdr:rowOff>
    </xdr:from>
    <xdr:to>
      <xdr:col>9</xdr:col>
      <xdr:colOff>713017</xdr:colOff>
      <xdr:row>572</xdr:row>
      <xdr:rowOff>181226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378581" y="117688098"/>
          <a:ext cx="867845" cy="35201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0</xdr:col>
      <xdr:colOff>38101</xdr:colOff>
      <xdr:row>555</xdr:row>
      <xdr:rowOff>66674</xdr:rowOff>
    </xdr:from>
    <xdr:to>
      <xdr:col>7</xdr:col>
      <xdr:colOff>651926</xdr:colOff>
      <xdr:row>594</xdr:row>
      <xdr:rowOff>123825</xdr:rowOff>
    </xdr:to>
    <xdr:grpSp>
      <xdr:nvGrpSpPr>
        <xdr:cNvPr id="41" name="Group 40"/>
        <xdr:cNvGrpSpPr/>
      </xdr:nvGrpSpPr>
      <xdr:grpSpPr>
        <a:xfrm>
          <a:off x="38101" y="113528474"/>
          <a:ext cx="6290725" cy="7858126"/>
          <a:chOff x="38101" y="113528474"/>
          <a:chExt cx="6290725" cy="7858126"/>
        </a:xfrm>
      </xdr:grpSpPr>
      <xdr:grpSp>
        <xdr:nvGrpSpPr>
          <xdr:cNvPr id="36" name="Group 35"/>
          <xdr:cNvGrpSpPr/>
        </xdr:nvGrpSpPr>
        <xdr:grpSpPr>
          <a:xfrm>
            <a:off x="38101" y="113528474"/>
            <a:ext cx="6290725" cy="7858126"/>
            <a:chOff x="38101" y="113528474"/>
            <a:chExt cx="6290725" cy="7858126"/>
          </a:xfrm>
        </xdr:grpSpPr>
        <xdr:grpSp>
          <xdr:nvGrpSpPr>
            <xdr:cNvPr id="35" name="Group 34"/>
            <xdr:cNvGrpSpPr/>
          </xdr:nvGrpSpPr>
          <xdr:grpSpPr>
            <a:xfrm>
              <a:off x="38101" y="113537999"/>
              <a:ext cx="6290725" cy="7848601"/>
              <a:chOff x="38101" y="113595149"/>
              <a:chExt cx="6290725" cy="7848601"/>
            </a:xfrm>
          </xdr:grpSpPr>
          <xdr:pic>
            <xdr:nvPicPr>
              <xdr:cNvPr id="56" name="Picture 55" descr="https://vsjcllp.vsjadon.com/upload/insp-243259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810126" y="119424450"/>
                <a:ext cx="1518700" cy="20193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" name="Picture 56" descr="https://vsjcllp.vsjadon.com/upload/insp-243259-843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00075" y="113595149"/>
                <a:ext cx="2507288" cy="333375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8" name="Picture 57" descr="https://vsjcllp.vsjadon.com/upload/insp-243259-84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00400" y="113595149"/>
                <a:ext cx="2507288" cy="333375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0" name="Picture 59" descr="https://vsjcllp.vsjadon.com/upload/insp-243259-847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162425" y="117014625"/>
                <a:ext cx="1762264" cy="234314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1" name="Picture 60" descr="https://vsjcllp.vsjadon.com/upload/insp-243259-849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628776" y="119424450"/>
                <a:ext cx="1518700" cy="20193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2" name="Picture 61" descr="https://vsjcllp.vsjadon.com/upload/insp-243259-85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101" y="119424450"/>
                <a:ext cx="1518700" cy="20193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3" name="Picture 62" descr="https://vsjcllp.vsjadon.com/upload/insp-243259-86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314575" y="117014625"/>
                <a:ext cx="1762264" cy="234314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5" name="Picture 64" descr="https://vsjcllp.vsjadon.com/upload/insp-243259-93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19451" y="119424450"/>
                <a:ext cx="1518700" cy="20193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6" name="Picture 65" descr="https://vsjcllp.vsjadon.com/upload/insp-243259-9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47675" y="117014625"/>
                <a:ext cx="1762264" cy="234314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70" name="Rectangle 69">
              <a:extLst>
                <a:ext uri="{FF2B5EF4-FFF2-40B4-BE49-F238E27FC236}">
                  <a16:creationId xmlns:a16="http://schemas.microsoft.com/office/drawing/2014/main" xmlns="" id="{00000000-0008-0000-0000-000027000000}"/>
                </a:ext>
              </a:extLst>
            </xdr:cNvPr>
            <xdr:cNvSpPr/>
          </xdr:nvSpPr>
          <xdr:spPr>
            <a:xfrm>
              <a:off x="2085976" y="113528474"/>
              <a:ext cx="1095374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ysClr val="windowText" lastClr="000000"/>
                  </a:solidFill>
                </a:rPr>
                <a:t> Wing A </a:t>
              </a:r>
            </a:p>
          </xdr:txBody>
        </xdr:sp>
        <xdr:sp macro="" textlink="">
          <xdr:nvSpPr>
            <xdr:cNvPr id="71" name="Rectangle 70">
              <a:extLst>
                <a:ext uri="{FF2B5EF4-FFF2-40B4-BE49-F238E27FC236}">
                  <a16:creationId xmlns:a16="http://schemas.microsoft.com/office/drawing/2014/main" xmlns="" id="{00000000-0008-0000-0000-000027000000}"/>
                </a:ext>
              </a:extLst>
            </xdr:cNvPr>
            <xdr:cNvSpPr/>
          </xdr:nvSpPr>
          <xdr:spPr>
            <a:xfrm>
              <a:off x="4248150" y="113557050"/>
              <a:ext cx="1095374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ysClr val="windowText" lastClr="000000"/>
                  </a:solidFill>
                </a:rPr>
                <a:t> Wing B </a:t>
              </a:r>
            </a:p>
          </xdr:txBody>
        </xdr:sp>
      </xdr:grp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/>
        </xdr:nvSpPr>
        <xdr:spPr>
          <a:xfrm>
            <a:off x="3219451" y="116957474"/>
            <a:ext cx="876504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ysClr val="windowText" lastClr="000000"/>
                </a:solidFill>
              </a:rPr>
              <a:t>C Wing </a:t>
            </a: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/>
        </xdr:nvSpPr>
        <xdr:spPr>
          <a:xfrm>
            <a:off x="4229100" y="116938425"/>
            <a:ext cx="876504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ysClr val="windowText" lastClr="000000"/>
                </a:solidFill>
              </a:rPr>
              <a:t>D Wing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rDawju5MZsWm44m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39"/>
  <sheetViews>
    <sheetView tabSelected="1" view="pageBreakPreview" zoomScaleNormal="100" zoomScaleSheetLayoutView="100" zoomScalePageLayoutView="55" workbookViewId="0">
      <selection activeCell="J8" sqref="J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60" t="s">
        <v>328</v>
      </c>
      <c r="B1" s="160"/>
      <c r="C1" s="160"/>
      <c r="D1" s="160"/>
      <c r="E1" s="160"/>
      <c r="F1" s="160"/>
      <c r="G1" s="160"/>
      <c r="H1" s="160"/>
    </row>
    <row r="2" spans="1:26" ht="16.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</row>
    <row r="3" spans="1:26" x14ac:dyDescent="0.25">
      <c r="A3" s="145" t="s">
        <v>1</v>
      </c>
      <c r="B3" s="145"/>
      <c r="C3" s="145"/>
      <c r="D3" s="145"/>
      <c r="E3" s="145" t="str">
        <f ca="1">TEXT(TODAY(),"DD/MM/YYYY")</f>
        <v>16/08/2025</v>
      </c>
      <c r="F3" s="145"/>
      <c r="G3" s="145"/>
      <c r="H3" s="145"/>
    </row>
    <row r="4" spans="1:26" ht="15" customHeight="1" x14ac:dyDescent="0.25">
      <c r="A4" s="145" t="s">
        <v>2</v>
      </c>
      <c r="B4" s="145"/>
      <c r="C4" s="145"/>
      <c r="D4" s="145"/>
      <c r="E4" s="145" t="s">
        <v>230</v>
      </c>
      <c r="F4" s="145"/>
      <c r="G4" s="145"/>
      <c r="H4" s="145"/>
    </row>
    <row r="5" spans="1:26" x14ac:dyDescent="0.25">
      <c r="A5" s="145" t="s">
        <v>3</v>
      </c>
      <c r="B5" s="145"/>
      <c r="C5" s="145"/>
      <c r="D5" s="145"/>
      <c r="E5" s="161">
        <v>45881</v>
      </c>
      <c r="F5" s="145"/>
      <c r="G5" s="145"/>
      <c r="H5" s="145"/>
    </row>
    <row r="6" spans="1:26" ht="16.5" customHeight="1" x14ac:dyDescent="0.25">
      <c r="A6" s="145" t="s">
        <v>4</v>
      </c>
      <c r="B6" s="145"/>
      <c r="C6" s="145"/>
      <c r="D6" s="145"/>
      <c r="E6" s="145" t="s">
        <v>255</v>
      </c>
      <c r="F6" s="145"/>
      <c r="G6" s="145"/>
      <c r="H6" s="145"/>
    </row>
    <row r="7" spans="1:26" ht="15" customHeight="1" x14ac:dyDescent="0.25">
      <c r="A7" s="145" t="s">
        <v>5</v>
      </c>
      <c r="B7" s="145"/>
      <c r="C7" s="145"/>
      <c r="D7" s="145"/>
      <c r="E7" s="145" t="str">
        <f>E6</f>
        <v>Shree S. S. Developers Private Limited</v>
      </c>
      <c r="F7" s="145"/>
      <c r="G7" s="145"/>
      <c r="H7" s="145"/>
    </row>
    <row r="8" spans="1:26" x14ac:dyDescent="0.25">
      <c r="A8" s="145" t="s">
        <v>6</v>
      </c>
      <c r="B8" s="145"/>
      <c r="C8" s="145"/>
      <c r="D8" s="145"/>
      <c r="E8" s="154" t="s">
        <v>312</v>
      </c>
      <c r="F8" s="154"/>
      <c r="G8" s="154"/>
      <c r="H8" s="154"/>
    </row>
    <row r="9" spans="1:26" x14ac:dyDescent="0.25">
      <c r="A9" s="145" t="s">
        <v>165</v>
      </c>
      <c r="B9" s="145"/>
      <c r="C9" s="145"/>
      <c r="D9" s="145"/>
      <c r="E9" s="145" t="s">
        <v>231</v>
      </c>
      <c r="F9" s="145"/>
      <c r="G9" s="145"/>
      <c r="H9" s="145"/>
    </row>
    <row r="10" spans="1:26" ht="32.450000000000003" hidden="1" customHeight="1" x14ac:dyDescent="0.25">
      <c r="A10" s="145" t="s">
        <v>166</v>
      </c>
      <c r="B10" s="145"/>
      <c r="C10" s="145"/>
      <c r="D10" s="145"/>
      <c r="E10" s="127" t="s">
        <v>326</v>
      </c>
      <c r="F10" s="145"/>
      <c r="G10" s="145"/>
      <c r="H10" s="145"/>
    </row>
    <row r="11" spans="1:26" ht="64.5" customHeight="1" x14ac:dyDescent="0.25">
      <c r="A11" s="145" t="s">
        <v>7</v>
      </c>
      <c r="B11" s="145"/>
      <c r="C11" s="145"/>
      <c r="D11" s="145"/>
      <c r="E11" s="127" t="s">
        <v>316</v>
      </c>
      <c r="F11" s="145"/>
      <c r="G11" s="145"/>
      <c r="H11" s="145"/>
    </row>
    <row r="12" spans="1:26" x14ac:dyDescent="0.25">
      <c r="A12" s="145" t="s">
        <v>168</v>
      </c>
      <c r="B12" s="145"/>
      <c r="C12" s="145"/>
      <c r="D12" s="145"/>
      <c r="E12" s="145" t="s">
        <v>232</v>
      </c>
      <c r="F12" s="145"/>
      <c r="G12" s="145"/>
      <c r="H12" s="145"/>
      <c r="S12" s="56" t="s">
        <v>174</v>
      </c>
      <c r="T12" s="56" t="s">
        <v>184</v>
      </c>
      <c r="U12" s="56" t="s">
        <v>169</v>
      </c>
      <c r="V12" s="56" t="s">
        <v>189</v>
      </c>
      <c r="W12" s="56" t="s">
        <v>207</v>
      </c>
      <c r="X12"/>
      <c r="Y12" t="s">
        <v>189</v>
      </c>
      <c r="Z12" t="e">
        <f ca="1">OFFSET($S$12,1,MATCH($G19,$S$12:$W$12,0)-1,15,1)</f>
        <v>#VALUE!</v>
      </c>
    </row>
    <row r="13" spans="1:26" ht="32.25" customHeight="1" x14ac:dyDescent="0.25">
      <c r="A13" s="117" t="s">
        <v>8</v>
      </c>
      <c r="B13" s="117"/>
      <c r="C13" s="117"/>
      <c r="D13" s="117"/>
      <c r="E13" s="127" t="s">
        <v>246</v>
      </c>
      <c r="F13" s="127"/>
      <c r="G13" s="127"/>
      <c r="H13" s="127"/>
      <c r="S13" s="56" t="s">
        <v>175</v>
      </c>
      <c r="T13" s="56" t="s">
        <v>182</v>
      </c>
      <c r="U13" s="56" t="s">
        <v>204</v>
      </c>
      <c r="V13" s="56" t="s">
        <v>190</v>
      </c>
      <c r="W13" s="56" t="s">
        <v>208</v>
      </c>
      <c r="X13"/>
      <c r="Y13"/>
      <c r="Z13"/>
    </row>
    <row r="14" spans="1:26" x14ac:dyDescent="0.25">
      <c r="A14" s="117" t="s">
        <v>9</v>
      </c>
      <c r="B14" s="117"/>
      <c r="C14" s="117"/>
      <c r="D14" s="117"/>
      <c r="E14" s="127" t="s">
        <v>247</v>
      </c>
      <c r="F14" s="145"/>
      <c r="G14" s="145"/>
      <c r="H14" s="145"/>
      <c r="I14" s="113" t="e">
        <f ca="1">OFFSET($D$4,1,MATCH($J12,$D$4:$H$4,0)-1,15,1)</f>
        <v>#N/A</v>
      </c>
      <c r="J14" s="114"/>
      <c r="K14" s="114"/>
      <c r="L14" s="114"/>
      <c r="M14" s="114"/>
      <c r="N14" s="114"/>
      <c r="O14" s="114"/>
      <c r="P14" s="114"/>
      <c r="S14" s="56" t="s">
        <v>176</v>
      </c>
      <c r="T14" s="56" t="s">
        <v>183</v>
      </c>
      <c r="U14" s="56" t="s">
        <v>205</v>
      </c>
      <c r="V14" s="56" t="s">
        <v>191</v>
      </c>
      <c r="W14" s="56" t="s">
        <v>221</v>
      </c>
      <c r="X14"/>
      <c r="Y14"/>
      <c r="Z14"/>
    </row>
    <row r="15" spans="1:26" ht="64.5" customHeight="1" x14ac:dyDescent="0.25">
      <c r="A15" s="122" t="s">
        <v>10</v>
      </c>
      <c r="B15" s="122"/>
      <c r="C15" s="12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Laxminarayan SRA CHS Ltd, CTS No.226(Part), 226/1 &amp; 226/20 (PT) Redevlopement of "Anubhav &amp; Laxmi-narayan co-op.Hsg.Soc.Ltd", near Shri Marleshwar CHS, Hanuman Mandir road, Tembipada, Kokan Nagar, Bhandup West, Kurla, Mumbai - 400078.</v>
      </c>
      <c r="D15" s="122"/>
      <c r="E15" s="122"/>
      <c r="F15" s="122"/>
      <c r="G15" s="122"/>
      <c r="H15" s="122"/>
      <c r="S15" s="56" t="s">
        <v>177</v>
      </c>
      <c r="T15" s="56" t="s">
        <v>185</v>
      </c>
      <c r="U15" s="56" t="s">
        <v>206</v>
      </c>
      <c r="V15" s="56" t="s">
        <v>192</v>
      </c>
      <c r="W15" s="56" t="s">
        <v>209</v>
      </c>
      <c r="X15"/>
      <c r="Y15"/>
      <c r="Z15"/>
    </row>
    <row r="16" spans="1:26" ht="32.25" customHeight="1" x14ac:dyDescent="0.25">
      <c r="A16" s="127" t="s">
        <v>173</v>
      </c>
      <c r="B16" s="127"/>
      <c r="C16" s="127" t="s">
        <v>248</v>
      </c>
      <c r="D16" s="127"/>
      <c r="E16" s="127"/>
      <c r="F16" s="127"/>
      <c r="G16" s="127"/>
      <c r="H16" s="127"/>
      <c r="I16" s="23"/>
      <c r="J16" s="23"/>
      <c r="K16" s="23"/>
      <c r="S16" s="56" t="s">
        <v>178</v>
      </c>
      <c r="T16" s="56" t="s">
        <v>186</v>
      </c>
      <c r="U16" s="56"/>
      <c r="V16" s="56" t="s">
        <v>193</v>
      </c>
      <c r="W16" s="56" t="s">
        <v>210</v>
      </c>
      <c r="X16"/>
      <c r="Y16"/>
      <c r="Z16"/>
    </row>
    <row r="17" spans="1:26" ht="15.75" customHeight="1" x14ac:dyDescent="0.25">
      <c r="A17" s="127" t="s">
        <v>161</v>
      </c>
      <c r="B17" s="127"/>
      <c r="C17" s="127" t="s">
        <v>238</v>
      </c>
      <c r="D17" s="127"/>
      <c r="E17" s="127"/>
      <c r="F17" s="127"/>
      <c r="G17" s="127"/>
      <c r="H17" s="127"/>
      <c r="I17" s="23"/>
      <c r="J17" s="23"/>
      <c r="K17" s="23"/>
      <c r="S17" s="56" t="s">
        <v>179</v>
      </c>
      <c r="T17" s="56" t="s">
        <v>184</v>
      </c>
      <c r="U17" s="56"/>
      <c r="V17" s="56" t="s">
        <v>194</v>
      </c>
      <c r="W17" s="56" t="s">
        <v>211</v>
      </c>
      <c r="X17"/>
      <c r="Y17"/>
      <c r="Z17"/>
    </row>
    <row r="18" spans="1:26" ht="15.75" customHeight="1" x14ac:dyDescent="0.25">
      <c r="A18" s="127" t="s">
        <v>11</v>
      </c>
      <c r="B18" s="127"/>
      <c r="C18" s="145" t="s">
        <v>236</v>
      </c>
      <c r="D18" s="145"/>
      <c r="E18" s="127" t="s">
        <v>72</v>
      </c>
      <c r="F18" s="127"/>
      <c r="G18" s="127" t="s">
        <v>235</v>
      </c>
      <c r="H18" s="127"/>
      <c r="I18" s="23"/>
      <c r="J18" s="23"/>
      <c r="K18" s="23"/>
      <c r="S18" s="56" t="s">
        <v>180</v>
      </c>
      <c r="T18" s="56" t="s">
        <v>187</v>
      </c>
      <c r="U18" s="56"/>
      <c r="V18" s="56" t="s">
        <v>195</v>
      </c>
      <c r="W18" s="56" t="s">
        <v>212</v>
      </c>
      <c r="X18"/>
      <c r="Y18"/>
      <c r="Z18"/>
    </row>
    <row r="19" spans="1:26" x14ac:dyDescent="0.25">
      <c r="A19" s="145" t="s">
        <v>13</v>
      </c>
      <c r="B19" s="145"/>
      <c r="C19" s="127" t="s">
        <v>237</v>
      </c>
      <c r="D19" s="127"/>
      <c r="E19" s="127" t="s">
        <v>12</v>
      </c>
      <c r="F19" s="127"/>
      <c r="G19" s="162" t="s">
        <v>169</v>
      </c>
      <c r="H19" s="162"/>
      <c r="I19" s="23"/>
      <c r="J19" s="23"/>
      <c r="K19" s="23"/>
      <c r="S19" s="56" t="s">
        <v>181</v>
      </c>
      <c r="T19" s="56" t="s">
        <v>188</v>
      </c>
      <c r="U19" s="56"/>
      <c r="V19" s="56" t="s">
        <v>196</v>
      </c>
      <c r="W19" s="56" t="s">
        <v>213</v>
      </c>
      <c r="X19"/>
      <c r="Y19"/>
      <c r="Z19"/>
    </row>
    <row r="20" spans="1:26" x14ac:dyDescent="0.25">
      <c r="A20" s="145" t="s">
        <v>73</v>
      </c>
      <c r="B20" s="145"/>
      <c r="C20" s="127" t="s">
        <v>206</v>
      </c>
      <c r="D20" s="127"/>
      <c r="E20" s="127" t="s">
        <v>14</v>
      </c>
      <c r="F20" s="127"/>
      <c r="G20" s="127">
        <v>400078</v>
      </c>
      <c r="H20" s="127"/>
      <c r="I20" s="23"/>
      <c r="J20" s="23"/>
      <c r="K20" s="23"/>
      <c r="S20" s="56"/>
      <c r="T20" s="56"/>
      <c r="U20" s="56"/>
      <c r="V20" s="56" t="s">
        <v>197</v>
      </c>
      <c r="W20" s="56" t="s">
        <v>214</v>
      </c>
      <c r="X20"/>
      <c r="Y20"/>
      <c r="Z20"/>
    </row>
    <row r="21" spans="1:26" ht="32.25" customHeight="1" x14ac:dyDescent="0.25">
      <c r="A21" s="145" t="s">
        <v>120</v>
      </c>
      <c r="B21" s="145"/>
      <c r="C21" s="127" t="s">
        <v>245</v>
      </c>
      <c r="D21" s="127"/>
      <c r="E21" s="127" t="s">
        <v>15</v>
      </c>
      <c r="F21" s="127"/>
      <c r="G21" s="127" t="s">
        <v>239</v>
      </c>
      <c r="H21" s="127"/>
      <c r="I21" s="23"/>
      <c r="J21" s="23"/>
      <c r="K21" s="23"/>
      <c r="S21" s="56"/>
      <c r="T21" s="56"/>
      <c r="U21" s="56"/>
      <c r="V21" s="56" t="s">
        <v>198</v>
      </c>
      <c r="W21" s="56" t="s">
        <v>215</v>
      </c>
      <c r="X21"/>
      <c r="Y21"/>
      <c r="Z21"/>
    </row>
    <row r="22" spans="1:26" ht="15" customHeight="1" x14ac:dyDescent="0.25">
      <c r="A22" s="127" t="s">
        <v>74</v>
      </c>
      <c r="B22" s="127"/>
      <c r="C22" s="127"/>
      <c r="D22" s="127"/>
      <c r="E22" s="145" t="s">
        <v>16</v>
      </c>
      <c r="F22" s="145"/>
      <c r="G22" s="145"/>
      <c r="H22" s="145"/>
      <c r="I22" s="23"/>
      <c r="J22" s="23"/>
      <c r="K22" s="23"/>
      <c r="S22" s="56"/>
      <c r="T22" s="56"/>
      <c r="U22" s="56"/>
      <c r="V22" s="56" t="s">
        <v>199</v>
      </c>
      <c r="W22" s="56" t="s">
        <v>216</v>
      </c>
      <c r="X22"/>
      <c r="Y22"/>
      <c r="Z22"/>
    </row>
    <row r="23" spans="1:26" ht="18.75" customHeight="1" x14ac:dyDescent="0.25">
      <c r="A23" s="127"/>
      <c r="B23" s="127"/>
      <c r="C23" s="127"/>
      <c r="D23" s="127"/>
      <c r="E23" s="145"/>
      <c r="F23" s="145"/>
      <c r="G23" s="145"/>
      <c r="H23" s="145"/>
      <c r="I23" s="23"/>
      <c r="J23" s="23"/>
      <c r="K23" s="23"/>
      <c r="S23" s="56"/>
      <c r="T23" s="56"/>
      <c r="U23" s="56"/>
      <c r="V23" s="56" t="s">
        <v>200</v>
      </c>
      <c r="W23" s="56" t="s">
        <v>217</v>
      </c>
      <c r="X23"/>
      <c r="Y23"/>
      <c r="Z23"/>
    </row>
    <row r="24" spans="1:26" ht="15" customHeight="1" x14ac:dyDescent="0.25">
      <c r="A24" s="122" t="s">
        <v>17</v>
      </c>
      <c r="B24" s="122"/>
      <c r="C24" s="122"/>
      <c r="D24" s="122"/>
      <c r="E24" s="127" t="s">
        <v>18</v>
      </c>
      <c r="F24" s="127"/>
      <c r="G24" s="127"/>
      <c r="H24" s="127"/>
      <c r="S24" s="56"/>
      <c r="T24" s="56"/>
      <c r="U24" s="56"/>
      <c r="V24" s="56" t="s">
        <v>201</v>
      </c>
      <c r="W24" s="56" t="s">
        <v>218</v>
      </c>
      <c r="X24"/>
      <c r="Y24"/>
      <c r="Z24"/>
    </row>
    <row r="25" spans="1:26" ht="15" customHeight="1" x14ac:dyDescent="0.25">
      <c r="A25" s="117" t="s">
        <v>19</v>
      </c>
      <c r="B25" s="117"/>
      <c r="C25" s="117"/>
      <c r="D25" s="117"/>
      <c r="E25" s="127" t="str">
        <f>IF(AND(G19="Mumbai"),"Upper Class","Middle Class")</f>
        <v>Upper Class</v>
      </c>
      <c r="F25" s="127"/>
      <c r="G25" s="127"/>
      <c r="H25" s="127"/>
      <c r="S25" s="56"/>
      <c r="T25" s="56"/>
      <c r="U25" s="56"/>
      <c r="V25" s="56" t="s">
        <v>202</v>
      </c>
      <c r="W25" s="56" t="s">
        <v>219</v>
      </c>
      <c r="X25"/>
      <c r="Y25"/>
      <c r="Z25"/>
    </row>
    <row r="26" spans="1:26" x14ac:dyDescent="0.25">
      <c r="A26" s="117" t="s">
        <v>20</v>
      </c>
      <c r="B26" s="117"/>
      <c r="C26" s="117"/>
      <c r="D26" s="117"/>
      <c r="E26" s="127" t="s">
        <v>21</v>
      </c>
      <c r="F26" s="127"/>
      <c r="G26" s="127"/>
      <c r="H26" s="127"/>
      <c r="S26" s="56"/>
      <c r="T26" s="56"/>
      <c r="U26" s="56"/>
      <c r="V26" s="56" t="s">
        <v>203</v>
      </c>
      <c r="W26" s="56" t="s">
        <v>220</v>
      </c>
      <c r="X26"/>
      <c r="Y26"/>
      <c r="Z26"/>
    </row>
    <row r="27" spans="1:26" ht="15.75" customHeight="1" x14ac:dyDescent="0.25">
      <c r="A27" s="117" t="s">
        <v>22</v>
      </c>
      <c r="B27" s="117"/>
      <c r="C27" s="117"/>
      <c r="D27" s="117"/>
      <c r="E27" s="127" t="str">
        <f>IF(AND(G19="Mumbai"),"Developed","Developing")</f>
        <v>Developed</v>
      </c>
      <c r="F27" s="127"/>
      <c r="G27" s="127"/>
      <c r="H27" s="127"/>
    </row>
    <row r="28" spans="1:26" x14ac:dyDescent="0.25">
      <c r="A28" s="117" t="s">
        <v>23</v>
      </c>
      <c r="B28" s="117"/>
      <c r="C28" s="117"/>
      <c r="D28" s="117"/>
      <c r="E28" s="127" t="s">
        <v>24</v>
      </c>
      <c r="F28" s="127"/>
      <c r="G28" s="127"/>
      <c r="H28" s="127"/>
    </row>
    <row r="29" spans="1:26" ht="15.75" customHeight="1" x14ac:dyDescent="0.25">
      <c r="A29" s="117" t="s">
        <v>79</v>
      </c>
      <c r="B29" s="117"/>
      <c r="C29" s="117"/>
      <c r="D29" s="117"/>
      <c r="E29" s="127" t="s">
        <v>80</v>
      </c>
      <c r="F29" s="127"/>
      <c r="G29" s="127"/>
      <c r="H29" s="127"/>
    </row>
    <row r="30" spans="1:26" ht="15" customHeight="1" x14ac:dyDescent="0.25">
      <c r="A30" s="117" t="s">
        <v>32</v>
      </c>
      <c r="B30" s="117"/>
      <c r="C30" s="117"/>
      <c r="D30" s="117"/>
      <c r="E30" s="12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7"/>
      <c r="G30" s="127"/>
      <c r="H30" s="127"/>
    </row>
    <row r="31" spans="1:26" ht="15.75" customHeight="1" x14ac:dyDescent="0.25">
      <c r="A31" s="117" t="s">
        <v>91</v>
      </c>
      <c r="B31" s="117"/>
      <c r="C31" s="117"/>
      <c r="D31" s="117"/>
      <c r="E31" s="127" t="s">
        <v>33</v>
      </c>
      <c r="F31" s="127"/>
      <c r="G31" s="127"/>
      <c r="H31" s="127"/>
    </row>
    <row r="32" spans="1:26" s="22" customFormat="1" x14ac:dyDescent="0.25">
      <c r="A32" s="182" t="s">
        <v>92</v>
      </c>
      <c r="B32" s="182"/>
      <c r="C32" s="164" t="s">
        <v>170</v>
      </c>
      <c r="D32" s="165"/>
      <c r="E32" s="166"/>
      <c r="F32" s="164" t="s">
        <v>30</v>
      </c>
      <c r="G32" s="165"/>
      <c r="H32" s="166"/>
    </row>
    <row r="33" spans="1:8" s="22" customFormat="1" x14ac:dyDescent="0.25">
      <c r="A33" s="163" t="s">
        <v>25</v>
      </c>
      <c r="B33" s="163" t="s">
        <v>29</v>
      </c>
      <c r="C33" s="124" t="s">
        <v>242</v>
      </c>
      <c r="D33" s="125"/>
      <c r="E33" s="126"/>
      <c r="F33" s="124" t="s">
        <v>244</v>
      </c>
      <c r="G33" s="125"/>
      <c r="H33" s="126"/>
    </row>
    <row r="34" spans="1:8" x14ac:dyDescent="0.25">
      <c r="A34" s="163" t="s">
        <v>26</v>
      </c>
      <c r="B34" s="163" t="s">
        <v>29</v>
      </c>
      <c r="C34" s="124" t="s">
        <v>241</v>
      </c>
      <c r="D34" s="125"/>
      <c r="E34" s="126"/>
      <c r="F34" s="124" t="s">
        <v>245</v>
      </c>
      <c r="G34" s="125"/>
      <c r="H34" s="126"/>
    </row>
    <row r="35" spans="1:8" s="22" customFormat="1" x14ac:dyDescent="0.25">
      <c r="A35" s="163" t="s">
        <v>28</v>
      </c>
      <c r="B35" s="163" t="s">
        <v>29</v>
      </c>
      <c r="C35" s="124" t="s">
        <v>319</v>
      </c>
      <c r="D35" s="125"/>
      <c r="E35" s="126"/>
      <c r="F35" s="124" t="s">
        <v>243</v>
      </c>
      <c r="G35" s="125"/>
      <c r="H35" s="126"/>
    </row>
    <row r="36" spans="1:8" x14ac:dyDescent="0.25">
      <c r="A36" s="163" t="s">
        <v>27</v>
      </c>
      <c r="B36" s="163" t="s">
        <v>29</v>
      </c>
      <c r="C36" s="124" t="s">
        <v>240</v>
      </c>
      <c r="D36" s="125"/>
      <c r="E36" s="126"/>
      <c r="F36" s="124" t="s">
        <v>236</v>
      </c>
      <c r="G36" s="125"/>
      <c r="H36" s="126"/>
    </row>
    <row r="37" spans="1:8" x14ac:dyDescent="0.25">
      <c r="A37" s="117" t="s">
        <v>31</v>
      </c>
      <c r="B37" s="117"/>
      <c r="C37" s="117"/>
      <c r="D37" s="117"/>
      <c r="E37" s="117"/>
      <c r="F37" s="117"/>
      <c r="G37" s="117"/>
      <c r="H37" s="117"/>
    </row>
    <row r="38" spans="1:8" ht="15.75" customHeight="1" x14ac:dyDescent="0.25">
      <c r="A38" s="117" t="s">
        <v>163</v>
      </c>
      <c r="B38" s="117"/>
      <c r="C38" s="140" t="s">
        <v>233</v>
      </c>
      <c r="D38" s="140"/>
      <c r="E38" s="140"/>
      <c r="F38" s="140"/>
      <c r="G38" s="140"/>
      <c r="H38" s="140"/>
    </row>
    <row r="39" spans="1:8" x14ac:dyDescent="0.25">
      <c r="A39" s="117" t="s">
        <v>160</v>
      </c>
      <c r="B39" s="117"/>
      <c r="C39" s="199" t="s">
        <v>234</v>
      </c>
      <c r="D39" s="127"/>
      <c r="E39" s="127"/>
      <c r="F39" s="127"/>
      <c r="G39" s="127"/>
      <c r="H39" s="127"/>
    </row>
    <row r="40" spans="1:8" x14ac:dyDescent="0.25">
      <c r="A40" s="140" t="s">
        <v>34</v>
      </c>
      <c r="B40" s="140"/>
      <c r="C40" s="140"/>
      <c r="D40" s="140"/>
      <c r="E40" s="140"/>
      <c r="F40" s="140"/>
      <c r="G40" s="140"/>
      <c r="H40" s="140"/>
    </row>
    <row r="41" spans="1:8" x14ac:dyDescent="0.25">
      <c r="A41" s="117" t="s">
        <v>35</v>
      </c>
      <c r="B41" s="117"/>
      <c r="C41" s="117"/>
      <c r="D41" s="117"/>
      <c r="E41" s="167">
        <v>3880.18</v>
      </c>
      <c r="F41" s="167"/>
      <c r="G41" s="167"/>
      <c r="H41" s="167"/>
    </row>
    <row r="42" spans="1:8" x14ac:dyDescent="0.25">
      <c r="A42" s="117" t="s">
        <v>36</v>
      </c>
      <c r="B42" s="117"/>
      <c r="C42" s="117"/>
      <c r="D42" s="117"/>
      <c r="E42" s="181">
        <v>4</v>
      </c>
      <c r="F42" s="181"/>
      <c r="G42" s="181"/>
      <c r="H42" s="181"/>
    </row>
    <row r="43" spans="1:8" x14ac:dyDescent="0.25">
      <c r="A43" s="117" t="s">
        <v>37</v>
      </c>
      <c r="B43" s="117"/>
      <c r="C43" s="117"/>
      <c r="D43" s="117"/>
      <c r="E43" s="181">
        <f>E45/E41-E42</f>
        <v>9.5913076197495784E-2</v>
      </c>
      <c r="F43" s="181"/>
      <c r="G43" s="181"/>
      <c r="H43" s="181"/>
    </row>
    <row r="44" spans="1:8" x14ac:dyDescent="0.25">
      <c r="A44" s="117" t="s">
        <v>38</v>
      </c>
      <c r="B44" s="117"/>
      <c r="C44" s="117"/>
      <c r="D44" s="117"/>
      <c r="E44" s="181">
        <f>E42+E43</f>
        <v>4.0959130761974958</v>
      </c>
      <c r="F44" s="181"/>
      <c r="G44" s="181"/>
      <c r="H44" s="181"/>
    </row>
    <row r="45" spans="1:8" x14ac:dyDescent="0.25">
      <c r="A45" s="117" t="s">
        <v>90</v>
      </c>
      <c r="B45" s="117"/>
      <c r="C45" s="117"/>
      <c r="D45" s="117"/>
      <c r="E45" s="201">
        <v>15892.88</v>
      </c>
      <c r="F45" s="201"/>
      <c r="G45" s="201"/>
      <c r="H45" s="201"/>
    </row>
    <row r="46" spans="1:8" x14ac:dyDescent="0.25">
      <c r="A46" s="145" t="s">
        <v>39</v>
      </c>
      <c r="B46" s="145"/>
      <c r="C46" s="145"/>
      <c r="D46" s="145"/>
      <c r="E46" s="145" t="s">
        <v>249</v>
      </c>
      <c r="F46" s="145"/>
      <c r="G46" s="145"/>
      <c r="H46" s="145"/>
    </row>
    <row r="47" spans="1:8" x14ac:dyDescent="0.25">
      <c r="A47" s="140" t="s">
        <v>40</v>
      </c>
      <c r="B47" s="140"/>
      <c r="C47" s="140"/>
      <c r="D47" s="140"/>
      <c r="E47" s="140"/>
      <c r="F47" s="140"/>
      <c r="G47" s="140"/>
      <c r="H47" s="140"/>
    </row>
    <row r="48" spans="1:8" ht="33.75" customHeight="1" x14ac:dyDescent="0.25">
      <c r="A48" s="128" t="s">
        <v>149</v>
      </c>
      <c r="B48" s="130"/>
      <c r="C48" s="187" t="s">
        <v>250</v>
      </c>
      <c r="D48" s="188"/>
      <c r="E48" s="188"/>
      <c r="F48" s="188"/>
      <c r="G48" s="188"/>
      <c r="H48" s="189"/>
    </row>
    <row r="49" spans="1:14" ht="15.75" customHeight="1" x14ac:dyDescent="0.25">
      <c r="A49" s="128" t="s">
        <v>41</v>
      </c>
      <c r="B49" s="130"/>
      <c r="C49" s="128" t="s">
        <v>251</v>
      </c>
      <c r="D49" s="129"/>
      <c r="E49" s="130"/>
      <c r="F49" s="18" t="s">
        <v>42</v>
      </c>
      <c r="G49" s="151">
        <v>44959</v>
      </c>
      <c r="H49" s="130"/>
    </row>
    <row r="50" spans="1:14" x14ac:dyDescent="0.25">
      <c r="A50" s="128" t="s">
        <v>43</v>
      </c>
      <c r="B50" s="130"/>
      <c r="C50" s="128" t="str">
        <f>C49</f>
        <v>SRA/ENG/3899/S/PL/AP</v>
      </c>
      <c r="D50" s="129"/>
      <c r="E50" s="130"/>
      <c r="F50" s="18" t="s">
        <v>42</v>
      </c>
      <c r="G50" s="151">
        <f>G49</f>
        <v>44959</v>
      </c>
      <c r="H50" s="152"/>
    </row>
    <row r="51" spans="1:14" s="23" customFormat="1" ht="15.75" customHeight="1" x14ac:dyDescent="0.25">
      <c r="A51" s="202" t="s">
        <v>227</v>
      </c>
      <c r="B51" s="203"/>
      <c r="C51" s="128" t="s">
        <v>252</v>
      </c>
      <c r="D51" s="129"/>
      <c r="E51" s="130"/>
      <c r="F51" s="18" t="s">
        <v>42</v>
      </c>
      <c r="G51" s="151">
        <v>45027</v>
      </c>
      <c r="H51" s="152"/>
    </row>
    <row r="52" spans="1:14" s="23" customFormat="1" ht="84" customHeight="1" x14ac:dyDescent="0.25">
      <c r="A52" s="204" t="s">
        <v>228</v>
      </c>
      <c r="B52" s="205"/>
      <c r="C52" s="128" t="s">
        <v>323</v>
      </c>
      <c r="D52" s="129"/>
      <c r="E52" s="129"/>
      <c r="F52" s="129"/>
      <c r="G52" s="129"/>
      <c r="H52" s="130"/>
    </row>
    <row r="53" spans="1:14" x14ac:dyDescent="0.25">
      <c r="A53" s="118" t="s">
        <v>44</v>
      </c>
      <c r="B53" s="119"/>
      <c r="C53" s="118" t="s">
        <v>104</v>
      </c>
      <c r="D53" s="120"/>
      <c r="E53" s="119"/>
      <c r="F53" s="45" t="s">
        <v>42</v>
      </c>
      <c r="G53" s="206" t="s">
        <v>29</v>
      </c>
      <c r="H53" s="207"/>
    </row>
    <row r="54" spans="1:14" x14ac:dyDescent="0.25">
      <c r="A54" s="141" t="s">
        <v>46</v>
      </c>
      <c r="B54" s="141"/>
      <c r="C54" s="141"/>
      <c r="D54" s="141"/>
      <c r="E54" s="141"/>
      <c r="F54" s="141"/>
      <c r="G54" s="141"/>
      <c r="H54" s="141"/>
    </row>
    <row r="55" spans="1:14" x14ac:dyDescent="0.25">
      <c r="A55" s="122" t="s">
        <v>89</v>
      </c>
      <c r="B55" s="122"/>
      <c r="C55" s="122"/>
      <c r="D55" s="117">
        <f>E45</f>
        <v>15892.88</v>
      </c>
      <c r="E55" s="117"/>
      <c r="F55" s="117"/>
      <c r="G55" s="117"/>
      <c r="H55" s="117"/>
    </row>
    <row r="56" spans="1:14" ht="33" customHeight="1" x14ac:dyDescent="0.25">
      <c r="A56" s="127" t="s">
        <v>47</v>
      </c>
      <c r="B56" s="145"/>
      <c r="C56" s="145"/>
      <c r="D56" s="127" t="s">
        <v>325</v>
      </c>
      <c r="E56" s="145"/>
      <c r="F56" s="145"/>
      <c r="G56" s="145"/>
      <c r="H56" s="145"/>
      <c r="I56" s="24"/>
    </row>
    <row r="57" spans="1:14" ht="64.5" customHeight="1" x14ac:dyDescent="0.25">
      <c r="A57" s="148" t="s">
        <v>48</v>
      </c>
      <c r="B57" s="149"/>
      <c r="C57" s="150"/>
      <c r="D57" s="146" t="s">
        <v>317</v>
      </c>
      <c r="E57" s="147"/>
      <c r="F57" s="147"/>
      <c r="G57" s="147"/>
      <c r="H57" s="147"/>
    </row>
    <row r="58" spans="1:14" ht="15.75" customHeight="1" x14ac:dyDescent="0.25">
      <c r="A58" s="148" t="s">
        <v>87</v>
      </c>
      <c r="B58" s="149"/>
      <c r="C58" s="150"/>
      <c r="D58" s="145" t="s">
        <v>318</v>
      </c>
      <c r="E58" s="145"/>
      <c r="F58" s="145"/>
      <c r="G58" s="145"/>
      <c r="H58" s="145"/>
    </row>
    <row r="59" spans="1:14" ht="15.75" customHeight="1" x14ac:dyDescent="0.25">
      <c r="A59" s="195"/>
      <c r="B59" s="196"/>
      <c r="C59" s="197"/>
      <c r="D59" s="145" t="s">
        <v>324</v>
      </c>
      <c r="E59" s="145"/>
      <c r="F59" s="145"/>
      <c r="G59" s="145"/>
      <c r="H59" s="145"/>
    </row>
    <row r="60" spans="1:14" ht="15.75" customHeight="1" x14ac:dyDescent="0.25">
      <c r="A60" s="117" t="s">
        <v>45</v>
      </c>
      <c r="B60" s="117"/>
      <c r="C60" s="117"/>
      <c r="D60" s="168" t="s">
        <v>253</v>
      </c>
      <c r="E60" s="168"/>
      <c r="F60" s="168"/>
      <c r="G60" s="168"/>
      <c r="H60" s="168"/>
      <c r="J60" s="25"/>
      <c r="K60" s="24"/>
      <c r="N60" s="24"/>
    </row>
    <row r="61" spans="1:14" ht="15.75" customHeight="1" x14ac:dyDescent="0.25">
      <c r="A61" s="117" t="s">
        <v>85</v>
      </c>
      <c r="B61" s="117"/>
      <c r="C61" s="117"/>
      <c r="D61" s="180" t="str">
        <f>(IF(G53="NA","60 Years After Completion",IF(G53&lt;&gt;"NA",""&amp;60-ROUNDDOWN((E3-G53)/360,0)&amp;" Years"," ")))</f>
        <v>60 Years After Completion</v>
      </c>
      <c r="E61" s="180"/>
      <c r="F61" s="180"/>
      <c r="G61" s="180"/>
      <c r="H61" s="180"/>
      <c r="N61" s="24"/>
    </row>
    <row r="62" spans="1:14" ht="15.75" customHeight="1" x14ac:dyDescent="0.25">
      <c r="A62" s="117" t="s">
        <v>86</v>
      </c>
      <c r="B62" s="117"/>
      <c r="C62" s="117"/>
      <c r="D62" s="122" t="s">
        <v>24</v>
      </c>
      <c r="E62" s="122"/>
      <c r="F62" s="122"/>
      <c r="G62" s="122"/>
      <c r="H62" s="122"/>
      <c r="J62" s="26"/>
      <c r="K62" s="26"/>
    </row>
    <row r="63" spans="1:14" ht="38.450000000000003" customHeight="1" x14ac:dyDescent="0.25">
      <c r="A63" s="145" t="s">
        <v>229</v>
      </c>
      <c r="B63" s="145"/>
      <c r="C63" s="145"/>
      <c r="D63" s="127" t="s">
        <v>254</v>
      </c>
      <c r="E63" s="122"/>
      <c r="F63" s="122"/>
      <c r="G63" s="122"/>
      <c r="H63" s="122"/>
    </row>
    <row r="64" spans="1:14" x14ac:dyDescent="0.25">
      <c r="A64" s="122" t="s">
        <v>146</v>
      </c>
      <c r="B64" s="122"/>
      <c r="C64" s="122"/>
      <c r="D64" s="122" t="s">
        <v>29</v>
      </c>
      <c r="E64" s="122"/>
      <c r="F64" s="122"/>
      <c r="G64" s="122"/>
      <c r="H64" s="122"/>
      <c r="I64" s="27"/>
      <c r="J64" s="27"/>
      <c r="K64" s="27"/>
      <c r="L64" s="27"/>
      <c r="M64" s="27"/>
      <c r="N64" s="27"/>
    </row>
    <row r="65" spans="1:10" ht="15.75" customHeight="1" x14ac:dyDescent="0.25">
      <c r="A65" s="123" t="s">
        <v>84</v>
      </c>
      <c r="B65" s="123"/>
      <c r="C65" s="123"/>
      <c r="D65" s="146" t="str">
        <f ca="1">(IF(G71&gt;95%,"Nothing",IF(G71&gt;0%,"Cement, Aggregate, Steel, etc",IF(G71=0%,"Work not yet Started"))))</f>
        <v>Cement, Aggregate, Steel, etc</v>
      </c>
      <c r="E65" s="146"/>
      <c r="F65" s="146"/>
      <c r="G65" s="146"/>
      <c r="H65" s="146"/>
      <c r="J65" s="26"/>
    </row>
    <row r="66" spans="1:10" ht="33.75" customHeight="1" thickBot="1" x14ac:dyDescent="0.3">
      <c r="A66" s="200" t="s">
        <v>117</v>
      </c>
      <c r="B66" s="200"/>
      <c r="C66" s="200"/>
      <c r="D66" s="146" t="str">
        <f ca="1">(IF(D65="Nothing","Yes",IF(D65="Cement, Aggregate, Steel, etc","Under Construction",IF(D65="Work not yet Started","Work not yet Started"))))</f>
        <v>Under Construction</v>
      </c>
      <c r="E66" s="146"/>
      <c r="F66" s="146" t="str">
        <f ca="1">(IF(D65="Nothing","Yes",IF(D65="Cement, Aggregate, Steel, etc","Under Construction",IF(D65="Work not yet Started","Work not yet Started"))))</f>
        <v>Under Construction</v>
      </c>
      <c r="G66" s="146"/>
      <c r="H66" s="146"/>
    </row>
    <row r="67" spans="1:10" ht="15.75" customHeight="1" x14ac:dyDescent="0.25">
      <c r="A67" s="155" t="s">
        <v>138</v>
      </c>
      <c r="B67" s="156"/>
      <c r="C67" s="157" t="str">
        <f>D58</f>
        <v>A &amp; B Wing = G + 1st to 22nd Floor</v>
      </c>
      <c r="D67" s="158"/>
      <c r="E67" s="158"/>
      <c r="F67" s="158"/>
      <c r="G67" s="158"/>
      <c r="H67" s="159"/>
      <c r="I67" s="49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16 Floor, Flooring upto 8 Floor, Painting upto 3 Floor Completed</v>
      </c>
      <c r="J67" s="5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16 Floor, Flooring upto 8 Floor, Painting upto 3 Floor</v>
      </c>
    </row>
    <row r="68" spans="1:10" x14ac:dyDescent="0.25">
      <c r="A68" s="16" t="s">
        <v>140</v>
      </c>
      <c r="B68" s="47">
        <f>IF(AND(ISNUMBER(SEARCH("1B",C67))),1,IF(AND(ISNUMBER(SEARCH("2B",C67))),2,IF(AND(ISNUMBER(SEARCH("3B",C67))),3,IF(AND(ISNUMBER(SEARCH("4B",C67))),4,IF(ISNUMBER(SEARCH("5B",C67)),5,0)))))</f>
        <v>0</v>
      </c>
      <c r="C68" s="47" t="s">
        <v>71</v>
      </c>
      <c r="D68" s="47">
        <v>1</v>
      </c>
      <c r="E68" s="47" t="s">
        <v>70</v>
      </c>
      <c r="F68" s="47">
        <v>0</v>
      </c>
      <c r="G68" s="48" t="s">
        <v>78</v>
      </c>
      <c r="H68" s="17">
        <f ca="1">--TRIM(RIGHT(SUBSTITUTE(LEFT(C67,_xlfn.AGGREGATE(16,6,FIND({0,1,2,3,4,5,6,7,8,9},C67,ROW(INDIRECT("1:"&amp;LEN(C67)))),1))," ",REPT(" ",LEN(C67))),LEN(C67)))</f>
        <v>22</v>
      </c>
      <c r="I68" s="5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5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8.75" customHeight="1" x14ac:dyDescent="0.25">
      <c r="A69" s="153" t="s">
        <v>88</v>
      </c>
      <c r="B69" s="154"/>
      <c r="C69" s="191" t="str">
        <f ca="1">I67</f>
        <v>Excavation, Plinth, RCC Slab, Brickwork, Internal Plaster Completed, External Plaster upto 16 Floor, Flooring upto 8 Floor, Painting upto 3 Floor Completed</v>
      </c>
      <c r="D69" s="191"/>
      <c r="E69" s="191"/>
      <c r="F69" s="191"/>
      <c r="G69" s="191"/>
      <c r="H69" s="192"/>
      <c r="I69" s="51" t="str">
        <f ca="1">IF(I68&lt;&gt;""," Completed","")</f>
        <v xml:space="preserve"> Completed</v>
      </c>
      <c r="J69" s="52" t="str">
        <f ca="1">IF(J67&lt;&gt;"","Completed","")</f>
        <v>Completed</v>
      </c>
    </row>
    <row r="70" spans="1:10" ht="15.75" customHeight="1" x14ac:dyDescent="0.25">
      <c r="A70" s="132" t="s">
        <v>49</v>
      </c>
      <c r="B70" s="133"/>
      <c r="C70" s="43" t="s">
        <v>137</v>
      </c>
      <c r="D70" s="43" t="s">
        <v>81</v>
      </c>
      <c r="E70" s="133" t="s">
        <v>83</v>
      </c>
      <c r="F70" s="133"/>
      <c r="G70" s="133" t="s">
        <v>82</v>
      </c>
      <c r="H70" s="190"/>
      <c r="I70" s="14" t="s">
        <v>139</v>
      </c>
      <c r="J70" s="28">
        <f ca="1">H68*25%</f>
        <v>5.5</v>
      </c>
    </row>
    <row r="71" spans="1:10" x14ac:dyDescent="0.25">
      <c r="A71" s="132" t="s">
        <v>126</v>
      </c>
      <c r="B71" s="133"/>
      <c r="C71" s="43">
        <f ca="1">J72</f>
        <v>22</v>
      </c>
      <c r="D71" s="19">
        <f ca="1">((100/H68)*C71)/100</f>
        <v>1.0000000000000002</v>
      </c>
      <c r="E71" s="169">
        <f ca="1">(((C72/H68*10)+(40/(D68+F68+H68)*C73)+(7.5/(H68)*C74)+(7.5/(H68)*C75)+(10/H68*C76)+(10/H68*C77)+(5/H68*C78)+(5/H68*C79)+(5/H68*C80))/100)</f>
        <v>0.76590909090909098</v>
      </c>
      <c r="F71" s="170"/>
      <c r="G71" s="169">
        <f ca="1">((((C71/H68)*20)+((C72/H68)*25)+(30/(H68+F68+D68)*C73)+(5/H68*C74)+(5/H68*C75)+(5/H68*C76)+(5/H68*C77)+(0/H68*C78)+(0/H68*C79)+(5/H68*C80))/100)</f>
        <v>0.90454545454545454</v>
      </c>
      <c r="H71" s="175"/>
      <c r="I71" s="14" t="s">
        <v>99</v>
      </c>
      <c r="J71" s="29">
        <f ca="1">H68*50%</f>
        <v>11</v>
      </c>
    </row>
    <row r="72" spans="1:10" x14ac:dyDescent="0.25">
      <c r="A72" s="132" t="s">
        <v>50</v>
      </c>
      <c r="B72" s="133"/>
      <c r="C72" s="43">
        <f ca="1">J80</f>
        <v>22</v>
      </c>
      <c r="D72" s="19">
        <f ca="1">((100/H68)*C72)/100</f>
        <v>1.0000000000000002</v>
      </c>
      <c r="E72" s="171"/>
      <c r="F72" s="172"/>
      <c r="G72" s="171"/>
      <c r="H72" s="176"/>
      <c r="I72" s="14" t="s">
        <v>100</v>
      </c>
      <c r="J72" s="29">
        <f ca="1">H68</f>
        <v>22</v>
      </c>
    </row>
    <row r="73" spans="1:10" ht="15.75" customHeight="1" x14ac:dyDescent="0.25">
      <c r="A73" s="132" t="s">
        <v>127</v>
      </c>
      <c r="B73" s="133"/>
      <c r="C73" s="43">
        <v>23</v>
      </c>
      <c r="D73" s="19">
        <f ca="1">((100/(D68+F68+H68))*C73)/100</f>
        <v>1</v>
      </c>
      <c r="E73" s="171"/>
      <c r="F73" s="172"/>
      <c r="G73" s="171"/>
      <c r="H73" s="176"/>
      <c r="I73" s="14" t="s">
        <v>101</v>
      </c>
      <c r="J73" s="30">
        <f ca="1">(IF(B68&gt;1,(H68/(B68+2)),H68/4))</f>
        <v>5.5</v>
      </c>
    </row>
    <row r="74" spans="1:10" ht="15.75" customHeight="1" x14ac:dyDescent="0.25">
      <c r="A74" s="132" t="s">
        <v>134</v>
      </c>
      <c r="B74" s="133" t="s">
        <v>128</v>
      </c>
      <c r="C74" s="43">
        <v>22</v>
      </c>
      <c r="D74" s="19">
        <f ca="1">((100/H68)*C74)/100</f>
        <v>1.0000000000000002</v>
      </c>
      <c r="E74" s="171"/>
      <c r="F74" s="172"/>
      <c r="G74" s="171"/>
      <c r="H74" s="176"/>
      <c r="I74" s="14" t="s">
        <v>102</v>
      </c>
      <c r="J74" s="30">
        <f ca="1">(IF(B68&gt;1,(H68/(B68+2)+J73),H68/4+J73))</f>
        <v>11</v>
      </c>
    </row>
    <row r="75" spans="1:10" ht="15.75" customHeight="1" x14ac:dyDescent="0.25">
      <c r="A75" s="132" t="s">
        <v>135</v>
      </c>
      <c r="B75" s="133" t="s">
        <v>128</v>
      </c>
      <c r="C75" s="43">
        <v>22</v>
      </c>
      <c r="D75" s="19">
        <f ca="1">((100/H68)*C75)/100</f>
        <v>1.0000000000000002</v>
      </c>
      <c r="E75" s="171"/>
      <c r="F75" s="172"/>
      <c r="G75" s="171"/>
      <c r="H75" s="176"/>
      <c r="I75" s="14" t="s">
        <v>144</v>
      </c>
      <c r="J75" s="30">
        <f>(IF(B68&gt;1,(H68/(B68+2)+J74),0))</f>
        <v>0</v>
      </c>
    </row>
    <row r="76" spans="1:10" ht="15" customHeight="1" x14ac:dyDescent="0.25">
      <c r="A76" s="132" t="s">
        <v>133</v>
      </c>
      <c r="B76" s="133" t="s">
        <v>130</v>
      </c>
      <c r="C76" s="43">
        <v>16</v>
      </c>
      <c r="D76" s="19">
        <f ca="1">((100/(H68))*C76)/100</f>
        <v>0.72727272727272729</v>
      </c>
      <c r="E76" s="171"/>
      <c r="F76" s="172"/>
      <c r="G76" s="171"/>
      <c r="H76" s="176"/>
      <c r="I76" s="14" t="s">
        <v>141</v>
      </c>
      <c r="J76" s="30">
        <f>(IF(B68&gt;2,(H68/(B68+2)+J75),0))</f>
        <v>0</v>
      </c>
    </row>
    <row r="77" spans="1:10" ht="15.75" customHeight="1" x14ac:dyDescent="0.25">
      <c r="A77" s="132" t="s">
        <v>129</v>
      </c>
      <c r="B77" s="133" t="s">
        <v>129</v>
      </c>
      <c r="C77" s="43">
        <v>8</v>
      </c>
      <c r="D77" s="19">
        <f ca="1">((100/H68)*C77)/100</f>
        <v>0.36363636363636365</v>
      </c>
      <c r="E77" s="171"/>
      <c r="F77" s="172"/>
      <c r="G77" s="171"/>
      <c r="H77" s="176"/>
      <c r="I77" s="14" t="s">
        <v>142</v>
      </c>
      <c r="J77" s="31">
        <f>(IF(B68&gt;3,(H68/(B68+2)+J76),0))</f>
        <v>0</v>
      </c>
    </row>
    <row r="78" spans="1:10" ht="15.75" customHeight="1" x14ac:dyDescent="0.25">
      <c r="A78" s="132" t="s">
        <v>136</v>
      </c>
      <c r="B78" s="133"/>
      <c r="C78" s="43">
        <v>3</v>
      </c>
      <c r="D78" s="19">
        <f ca="1">((100/H68)*C78)/100</f>
        <v>0.13636363636363635</v>
      </c>
      <c r="E78" s="171"/>
      <c r="F78" s="172"/>
      <c r="G78" s="171"/>
      <c r="H78" s="176"/>
      <c r="I78" s="14" t="s">
        <v>143</v>
      </c>
      <c r="J78" s="30">
        <f>(IF(B68&gt;4,(H68/(B68+2)+J77),0))</f>
        <v>0</v>
      </c>
    </row>
    <row r="79" spans="1:10" ht="15.75" customHeight="1" x14ac:dyDescent="0.25">
      <c r="A79" s="132" t="s">
        <v>131</v>
      </c>
      <c r="B79" s="133" t="s">
        <v>131</v>
      </c>
      <c r="C79" s="43">
        <v>0</v>
      </c>
      <c r="D79" s="19">
        <f ca="1">((100/(H68))*C79)/100</f>
        <v>0</v>
      </c>
      <c r="E79" s="171"/>
      <c r="F79" s="172"/>
      <c r="G79" s="171"/>
      <c r="H79" s="176"/>
      <c r="I79" s="14" t="s">
        <v>145</v>
      </c>
      <c r="J79" s="30">
        <f ca="1">(IF(B68=1,(H68/(B68+3)+J74),IF(B68=0,(H68/4+J74),IF(B68&gt;1,0))))</f>
        <v>16.5</v>
      </c>
    </row>
    <row r="80" spans="1:10" ht="16.5" thickBot="1" x14ac:dyDescent="0.3">
      <c r="A80" s="178" t="s">
        <v>132</v>
      </c>
      <c r="B80" s="179"/>
      <c r="C80" s="44">
        <v>0</v>
      </c>
      <c r="D80" s="20">
        <f ca="1">((100/(H68))*C80)/100</f>
        <v>0</v>
      </c>
      <c r="E80" s="173"/>
      <c r="F80" s="174"/>
      <c r="G80" s="173"/>
      <c r="H80" s="177"/>
      <c r="I80" s="15" t="s">
        <v>103</v>
      </c>
      <c r="J80" s="32">
        <f ca="1">(IF(B68&gt;1.5,(H68/(B68+2)+J74+MAX(0,J75-J74)+MAX(0,J76-J75)+MAX(0,J77-J76)+MAX(0,J78-J77)+MAX(0,J79-J78)),IF(B68=1,(H68/(B68+3)+J79),IF(B68=0,H68/4+J79))))</f>
        <v>22</v>
      </c>
    </row>
    <row r="81" spans="1:10" ht="15.75" customHeight="1" x14ac:dyDescent="0.25">
      <c r="A81" s="155" t="s">
        <v>138</v>
      </c>
      <c r="B81" s="156"/>
      <c r="C81" s="157" t="str">
        <f>D59</f>
        <v>C &amp; D Wing = G + 1st to 22nd Floor</v>
      </c>
      <c r="D81" s="158"/>
      <c r="E81" s="158"/>
      <c r="F81" s="158"/>
      <c r="G81" s="158"/>
      <c r="H81" s="159"/>
      <c r="I81" s="49" t="str">
        <f ca="1"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5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25">
      <c r="A82" s="16" t="s">
        <v>140</v>
      </c>
      <c r="B82" s="47">
        <f>IF(AND(ISNUMBER(SEARCH("1B",C81))),1,IF(AND(ISNUMBER(SEARCH("2B",C81))),2,IF(AND(ISNUMBER(SEARCH("3B",C81))),3,IF(AND(ISNUMBER(SEARCH("4B",C81))),4,IF(ISNUMBER(SEARCH("5B",C81)),5,0)))))</f>
        <v>0</v>
      </c>
      <c r="C82" s="47" t="s">
        <v>71</v>
      </c>
      <c r="D82" s="47">
        <v>1</v>
      </c>
      <c r="E82" s="47" t="s">
        <v>70</v>
      </c>
      <c r="F82" s="47">
        <v>0</v>
      </c>
      <c r="G82" s="48" t="s">
        <v>78</v>
      </c>
      <c r="H82" s="17">
        <f ca="1">--TRIM(RIGHT(SUBSTITUTE(LEFT(C81,_xlfn.AGGREGATE(16,6,FIND({0,1,2,3,4,5,6,7,8,9},C81,ROW(INDIRECT("1:"&amp;LEN(C81)))),1))," ",REPT(" ",LEN(C81))),LEN(C81)))</f>
        <v>22</v>
      </c>
      <c r="I82" s="5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5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16.5" thickBot="1" x14ac:dyDescent="0.3">
      <c r="A83" s="153" t="s">
        <v>88</v>
      </c>
      <c r="B83" s="154"/>
      <c r="C83" s="191" t="str">
        <f ca="1">(IF($G$53="NA",I81,"All work Completed. OC Received."))</f>
        <v>All work Completed. Possession granted to the Building.</v>
      </c>
      <c r="D83" s="191"/>
      <c r="E83" s="191"/>
      <c r="F83" s="191"/>
      <c r="G83" s="191"/>
      <c r="H83" s="192"/>
      <c r="I83" s="51" t="str">
        <f ca="1">IF(I82&lt;&gt;""," Completed","")</f>
        <v xml:space="preserve"> Completed</v>
      </c>
      <c r="J83" s="52" t="str">
        <f ca="1">IF(J81&lt;&gt;"","Completed","")</f>
        <v/>
      </c>
    </row>
    <row r="84" spans="1:10" ht="15.75" hidden="1" customHeight="1" x14ac:dyDescent="0.25">
      <c r="A84" s="132" t="s">
        <v>49</v>
      </c>
      <c r="B84" s="133"/>
      <c r="C84" s="43" t="s">
        <v>137</v>
      </c>
      <c r="D84" s="43" t="s">
        <v>81</v>
      </c>
      <c r="E84" s="133" t="s">
        <v>83</v>
      </c>
      <c r="F84" s="133"/>
      <c r="G84" s="133" t="s">
        <v>82</v>
      </c>
      <c r="H84" s="190"/>
      <c r="I84" s="14" t="s">
        <v>139</v>
      </c>
      <c r="J84" s="28">
        <f ca="1">H82*25%</f>
        <v>5.5</v>
      </c>
    </row>
    <row r="85" spans="1:10" hidden="1" x14ac:dyDescent="0.25">
      <c r="A85" s="132" t="s">
        <v>126</v>
      </c>
      <c r="B85" s="133"/>
      <c r="C85" s="43">
        <f ca="1">J86</f>
        <v>22</v>
      </c>
      <c r="D85" s="19">
        <f ca="1">((100/H82)*C85)/100</f>
        <v>1.0000000000000002</v>
      </c>
      <c r="E85" s="169">
        <f ca="1">(((C86/H82*10)+(40/(D82+F82+H82)*C87)+(7.5/(H82)*C88)+(7.5/(H82)*C89)+(10/H82*C90)+(10/H82*C91)+(5/H82*C92)+(5/H82*C93)+(5/H82*C94))/100)</f>
        <v>1</v>
      </c>
      <c r="F85" s="170"/>
      <c r="G85" s="169">
        <f ca="1">((((C85/H82)*20)+((C86/H82)*25)+(30/(H82+F82+D82)*C87)+(5/H82*C88)+(5/H82*C89)+(5/H82*C90)+(5/H82*C91)+(0/H82*C92)+(0/H82*C93)+(5/H82*C94))/100)</f>
        <v>1</v>
      </c>
      <c r="H85" s="175"/>
      <c r="I85" s="14" t="s">
        <v>99</v>
      </c>
      <c r="J85" s="29">
        <f ca="1">H82*50%</f>
        <v>11</v>
      </c>
    </row>
    <row r="86" spans="1:10" hidden="1" x14ac:dyDescent="0.25">
      <c r="A86" s="132" t="s">
        <v>50</v>
      </c>
      <c r="B86" s="133"/>
      <c r="C86" s="53">
        <f ca="1">J94</f>
        <v>22</v>
      </c>
      <c r="D86" s="19">
        <f ca="1">((100/H82)*C86)/100</f>
        <v>1.0000000000000002</v>
      </c>
      <c r="E86" s="171"/>
      <c r="F86" s="172"/>
      <c r="G86" s="171"/>
      <c r="H86" s="176"/>
      <c r="I86" s="14" t="s">
        <v>100</v>
      </c>
      <c r="J86" s="29">
        <f ca="1">H82</f>
        <v>22</v>
      </c>
    </row>
    <row r="87" spans="1:10" ht="15.75" hidden="1" customHeight="1" x14ac:dyDescent="0.25">
      <c r="A87" s="132" t="s">
        <v>127</v>
      </c>
      <c r="B87" s="133"/>
      <c r="C87" s="43">
        <v>23</v>
      </c>
      <c r="D87" s="19">
        <f ca="1">((100/(D82+F82+H82))*C87)/100</f>
        <v>1</v>
      </c>
      <c r="E87" s="171"/>
      <c r="F87" s="172"/>
      <c r="G87" s="171"/>
      <c r="H87" s="176"/>
      <c r="I87" s="14" t="s">
        <v>101</v>
      </c>
      <c r="J87" s="30">
        <f ca="1">(IF(B82&gt;1,(H82/(B82+2)),H82/4))</f>
        <v>5.5</v>
      </c>
    </row>
    <row r="88" spans="1:10" ht="15.75" hidden="1" customHeight="1" x14ac:dyDescent="0.25">
      <c r="A88" s="132" t="s">
        <v>134</v>
      </c>
      <c r="B88" s="133" t="s">
        <v>128</v>
      </c>
      <c r="C88" s="43">
        <v>22</v>
      </c>
      <c r="D88" s="19">
        <f ca="1">((100/H82)*C88)/100</f>
        <v>1.0000000000000002</v>
      </c>
      <c r="E88" s="171"/>
      <c r="F88" s="172"/>
      <c r="G88" s="171"/>
      <c r="H88" s="176"/>
      <c r="I88" s="14" t="s">
        <v>102</v>
      </c>
      <c r="J88" s="30">
        <f ca="1">(IF(B82&gt;1,(H82/(B82+2)+J87),H82/4+J87))</f>
        <v>11</v>
      </c>
    </row>
    <row r="89" spans="1:10" ht="15.75" hidden="1" customHeight="1" x14ac:dyDescent="0.25">
      <c r="A89" s="132" t="s">
        <v>135</v>
      </c>
      <c r="B89" s="133" t="s">
        <v>128</v>
      </c>
      <c r="C89" s="43">
        <v>22</v>
      </c>
      <c r="D89" s="19">
        <f ca="1">((100/H82)*C89)/100</f>
        <v>1.0000000000000002</v>
      </c>
      <c r="E89" s="171"/>
      <c r="F89" s="172"/>
      <c r="G89" s="171"/>
      <c r="H89" s="176"/>
      <c r="I89" s="14" t="s">
        <v>144</v>
      </c>
      <c r="J89" s="30">
        <f>(IF(B82&gt;1,(H82/(B82+2)+J88),0))</f>
        <v>0</v>
      </c>
    </row>
    <row r="90" spans="1:10" ht="15" hidden="1" customHeight="1" x14ac:dyDescent="0.25">
      <c r="A90" s="132" t="s">
        <v>133</v>
      </c>
      <c r="B90" s="133" t="s">
        <v>130</v>
      </c>
      <c r="C90" s="43">
        <v>22</v>
      </c>
      <c r="D90" s="19">
        <f ca="1">((100/(H82))*C90)/100</f>
        <v>1.0000000000000002</v>
      </c>
      <c r="E90" s="171"/>
      <c r="F90" s="172"/>
      <c r="G90" s="171"/>
      <c r="H90" s="176"/>
      <c r="I90" s="14" t="s">
        <v>141</v>
      </c>
      <c r="J90" s="30">
        <f>(IF(B82&gt;2,(H82/(B82+2)+J89),0))</f>
        <v>0</v>
      </c>
    </row>
    <row r="91" spans="1:10" ht="15.75" hidden="1" customHeight="1" x14ac:dyDescent="0.25">
      <c r="A91" s="132" t="s">
        <v>129</v>
      </c>
      <c r="B91" s="133" t="s">
        <v>129</v>
      </c>
      <c r="C91" s="43">
        <v>22</v>
      </c>
      <c r="D91" s="19">
        <f ca="1">((100/H82)*C91)/100</f>
        <v>1.0000000000000002</v>
      </c>
      <c r="E91" s="171"/>
      <c r="F91" s="172"/>
      <c r="G91" s="171"/>
      <c r="H91" s="176"/>
      <c r="I91" s="14" t="s">
        <v>142</v>
      </c>
      <c r="J91" s="31">
        <f>(IF(B82&gt;3,(H82/(B82+2)+J90),0))</f>
        <v>0</v>
      </c>
    </row>
    <row r="92" spans="1:10" ht="15.75" hidden="1" customHeight="1" x14ac:dyDescent="0.25">
      <c r="A92" s="132" t="s">
        <v>136</v>
      </c>
      <c r="B92" s="133"/>
      <c r="C92" s="43">
        <v>22</v>
      </c>
      <c r="D92" s="19">
        <f ca="1">((100/H82)*C92)/100</f>
        <v>1.0000000000000002</v>
      </c>
      <c r="E92" s="171"/>
      <c r="F92" s="172"/>
      <c r="G92" s="171"/>
      <c r="H92" s="176"/>
      <c r="I92" s="14" t="s">
        <v>143</v>
      </c>
      <c r="J92" s="30">
        <f>(IF(B82&gt;4,(H82/(B82+2)+J91),0))</f>
        <v>0</v>
      </c>
    </row>
    <row r="93" spans="1:10" ht="15.75" hidden="1" customHeight="1" x14ac:dyDescent="0.25">
      <c r="A93" s="132" t="s">
        <v>131</v>
      </c>
      <c r="B93" s="133" t="s">
        <v>131</v>
      </c>
      <c r="C93" s="43">
        <v>22</v>
      </c>
      <c r="D93" s="19">
        <f ca="1">((100/(H82))*C93)/100</f>
        <v>1.0000000000000002</v>
      </c>
      <c r="E93" s="171"/>
      <c r="F93" s="172"/>
      <c r="G93" s="171"/>
      <c r="H93" s="176"/>
      <c r="I93" s="14" t="s">
        <v>145</v>
      </c>
      <c r="J93" s="30">
        <f ca="1">(IF(B82=1,(H82/(B82+3)+J88),IF(B82=0,(H82/4+J88),IF(B82&gt;1,0))))</f>
        <v>16.5</v>
      </c>
    </row>
    <row r="94" spans="1:10" ht="16.5" hidden="1" thickBot="1" x14ac:dyDescent="0.3">
      <c r="A94" s="178" t="s">
        <v>132</v>
      </c>
      <c r="B94" s="179"/>
      <c r="C94" s="44">
        <v>22</v>
      </c>
      <c r="D94" s="20">
        <f ca="1">((100/(H82))*C94)/100</f>
        <v>1.0000000000000002</v>
      </c>
      <c r="E94" s="173"/>
      <c r="F94" s="174"/>
      <c r="G94" s="173"/>
      <c r="H94" s="177"/>
      <c r="I94" s="15" t="s">
        <v>103</v>
      </c>
      <c r="J94" s="32">
        <f ca="1">(IF(B82&gt;1.5,(H82/(B82+2)+J88+MAX(0,J89-J88)+MAX(0,J90-J89)+MAX(0,J91-J90)+MAX(0,J92-J91)+MAX(0,J93-J92)),IF(B82=1,(H82/(B82+3)+J93),IF(B82=0,H82/4+J93))))</f>
        <v>22</v>
      </c>
    </row>
    <row r="95" spans="1:10" ht="32.25" customHeight="1" thickBot="1" x14ac:dyDescent="0.3">
      <c r="A95" s="220" t="s">
        <v>83</v>
      </c>
      <c r="B95" s="221"/>
      <c r="C95" s="219">
        <f ca="1">E85</f>
        <v>1</v>
      </c>
      <c r="D95" s="218"/>
      <c r="E95" s="216" t="str">
        <f>G84</f>
        <v>Disbursement %</v>
      </c>
      <c r="F95" s="217"/>
      <c r="G95" s="216">
        <f ca="1">G85</f>
        <v>1</v>
      </c>
      <c r="H95" s="217"/>
      <c r="I95" s="15" t="s">
        <v>103</v>
      </c>
      <c r="J95" s="32">
        <f ca="1">(IF(B83&gt;1.5,(H83/(B83+2)+J89+MAX(0,J90-J89)+MAX(0,J91-J90)+MAX(0,J92-J91)+MAX(0,J93-J92)+MAX(0,J94-J93)),IF(B83=1,(H83/(B83+3)+J94),IF(B83=0,H83/4+J94))))</f>
        <v>22</v>
      </c>
    </row>
    <row r="96" spans="1:10" x14ac:dyDescent="0.25">
      <c r="A96" s="193" t="s">
        <v>154</v>
      </c>
      <c r="B96" s="193"/>
      <c r="C96" s="193"/>
      <c r="D96" s="193"/>
      <c r="E96" s="193"/>
      <c r="F96" s="112" t="s">
        <v>158</v>
      </c>
      <c r="G96" s="112"/>
      <c r="H96" s="112"/>
    </row>
    <row r="97" spans="1:8" x14ac:dyDescent="0.25">
      <c r="A97" s="117" t="s">
        <v>156</v>
      </c>
      <c r="B97" s="117"/>
      <c r="C97" s="117"/>
      <c r="D97" s="117"/>
      <c r="E97" s="117"/>
      <c r="F97" s="115">
        <v>12300</v>
      </c>
      <c r="G97" s="115"/>
      <c r="H97" s="115"/>
    </row>
    <row r="98" spans="1:8" x14ac:dyDescent="0.25">
      <c r="A98" s="117" t="s">
        <v>155</v>
      </c>
      <c r="B98" s="117"/>
      <c r="C98" s="117"/>
      <c r="D98" s="117"/>
      <c r="E98" s="117"/>
      <c r="F98" s="115">
        <v>22000</v>
      </c>
      <c r="G98" s="115"/>
      <c r="H98" s="115"/>
    </row>
    <row r="99" spans="1:8" hidden="1" x14ac:dyDescent="0.25">
      <c r="A99" s="117" t="s">
        <v>157</v>
      </c>
      <c r="B99" s="117"/>
      <c r="C99" s="117"/>
      <c r="D99" s="117"/>
      <c r="E99" s="117"/>
      <c r="F99" s="115"/>
      <c r="G99" s="115"/>
      <c r="H99" s="115"/>
    </row>
    <row r="100" spans="1:8" s="33" customFormat="1" hidden="1" x14ac:dyDescent="0.25">
      <c r="A100" s="117" t="s">
        <v>172</v>
      </c>
      <c r="B100" s="117"/>
      <c r="C100" s="117"/>
      <c r="D100" s="117"/>
      <c r="E100" s="117"/>
      <c r="F100" s="115"/>
      <c r="G100" s="115"/>
      <c r="H100" s="115"/>
    </row>
    <row r="101" spans="1:8" s="33" customFormat="1" x14ac:dyDescent="0.25">
      <c r="A101" s="117" t="s">
        <v>93</v>
      </c>
      <c r="B101" s="117"/>
      <c r="C101" s="117"/>
      <c r="D101" s="117"/>
      <c r="E101" s="117"/>
      <c r="F101" s="115">
        <v>150000</v>
      </c>
      <c r="G101" s="115"/>
      <c r="H101" s="115"/>
    </row>
    <row r="102" spans="1:8" s="33" customFormat="1" x14ac:dyDescent="0.25">
      <c r="A102" s="117" t="s">
        <v>94</v>
      </c>
      <c r="B102" s="117"/>
      <c r="C102" s="117"/>
      <c r="D102" s="117"/>
      <c r="E102" s="117"/>
      <c r="F102" s="115">
        <v>50000</v>
      </c>
      <c r="G102" s="115"/>
      <c r="H102" s="115"/>
    </row>
    <row r="103" spans="1:8" s="33" customFormat="1" hidden="1" x14ac:dyDescent="0.25">
      <c r="A103" s="117" t="s">
        <v>159</v>
      </c>
      <c r="B103" s="117"/>
      <c r="C103" s="117"/>
      <c r="D103" s="117"/>
      <c r="E103" s="117"/>
      <c r="F103" s="115"/>
      <c r="G103" s="115"/>
      <c r="H103" s="115"/>
    </row>
    <row r="104" spans="1:8" s="33" customFormat="1" hidden="1" x14ac:dyDescent="0.25">
      <c r="A104" s="117" t="s">
        <v>95</v>
      </c>
      <c r="B104" s="117"/>
      <c r="C104" s="117"/>
      <c r="D104" s="117"/>
      <c r="E104" s="117"/>
      <c r="F104" s="115"/>
      <c r="G104" s="115"/>
      <c r="H104" s="115"/>
    </row>
    <row r="105" spans="1:8" s="33" customFormat="1" hidden="1" x14ac:dyDescent="0.25">
      <c r="A105" s="117" t="s">
        <v>96</v>
      </c>
      <c r="B105" s="117"/>
      <c r="C105" s="117"/>
      <c r="D105" s="117"/>
      <c r="E105" s="117"/>
      <c r="F105" s="115"/>
      <c r="G105" s="115"/>
      <c r="H105" s="115"/>
    </row>
    <row r="106" spans="1:8" s="33" customFormat="1" hidden="1" x14ac:dyDescent="0.25">
      <c r="A106" s="117" t="s">
        <v>97</v>
      </c>
      <c r="B106" s="117"/>
      <c r="C106" s="117"/>
      <c r="D106" s="117"/>
      <c r="E106" s="117"/>
      <c r="F106" s="115"/>
      <c r="G106" s="115"/>
      <c r="H106" s="115"/>
    </row>
    <row r="107" spans="1:8" s="33" customFormat="1" hidden="1" x14ac:dyDescent="0.25">
      <c r="A107" s="117" t="s">
        <v>98</v>
      </c>
      <c r="B107" s="117"/>
      <c r="C107" s="117"/>
      <c r="D107" s="117"/>
      <c r="E107" s="117"/>
      <c r="F107" s="115"/>
      <c r="G107" s="115"/>
      <c r="H107" s="115"/>
    </row>
    <row r="108" spans="1:8" x14ac:dyDescent="0.25">
      <c r="A108" s="117" t="s">
        <v>51</v>
      </c>
      <c r="B108" s="117"/>
      <c r="C108" s="117"/>
      <c r="D108" s="117"/>
      <c r="E108" s="117"/>
      <c r="F108" s="115">
        <v>700000</v>
      </c>
      <c r="G108" s="115"/>
      <c r="H108" s="115"/>
    </row>
    <row r="109" spans="1:8" s="34" customFormat="1" x14ac:dyDescent="0.25">
      <c r="A109" s="140" t="s">
        <v>52</v>
      </c>
      <c r="B109" s="140"/>
      <c r="C109" s="140"/>
      <c r="D109" s="140"/>
      <c r="E109" s="140"/>
      <c r="F109" s="115">
        <f>F97*0.8</f>
        <v>9840</v>
      </c>
      <c r="G109" s="115"/>
      <c r="H109" s="115"/>
    </row>
    <row r="110" spans="1:8" s="35" customFormat="1" ht="15.75" customHeight="1" x14ac:dyDescent="0.25">
      <c r="A110" s="139" t="s">
        <v>268</v>
      </c>
      <c r="B110" s="139"/>
      <c r="C110" s="139"/>
      <c r="D110" s="139"/>
      <c r="E110" s="139"/>
      <c r="F110" s="139"/>
      <c r="G110" s="139"/>
      <c r="H110" s="139"/>
    </row>
    <row r="111" spans="1:8" s="35" customFormat="1" ht="15.75" customHeight="1" x14ac:dyDescent="0.25">
      <c r="A111" s="99" t="s">
        <v>53</v>
      </c>
      <c r="B111" s="99"/>
      <c r="C111" s="121" t="s">
        <v>76</v>
      </c>
      <c r="D111" s="121"/>
      <c r="E111" s="111" t="s">
        <v>54</v>
      </c>
      <c r="F111" s="111"/>
      <c r="G111" s="99" t="s">
        <v>55</v>
      </c>
      <c r="H111" s="99"/>
    </row>
    <row r="112" spans="1:8" s="35" customFormat="1" x14ac:dyDescent="0.25">
      <c r="A112" s="100" t="s">
        <v>256</v>
      </c>
      <c r="B112" s="100"/>
      <c r="C112" s="134">
        <f>COUNT(D141:D147)</f>
        <v>7</v>
      </c>
      <c r="D112" s="134"/>
      <c r="E112" s="98">
        <f>SUM(D141:D147)</f>
        <v>1335.1708656000001</v>
      </c>
      <c r="F112" s="98"/>
      <c r="G112" s="98">
        <f>SUM(F141:F147)</f>
        <v>2136.2733849599999</v>
      </c>
      <c r="H112" s="98"/>
    </row>
    <row r="113" spans="1:8" s="35" customFormat="1" x14ac:dyDescent="0.25">
      <c r="A113" s="100" t="s">
        <v>261</v>
      </c>
      <c r="B113" s="100"/>
      <c r="C113" s="134">
        <f>COUNT(D150,D152:D155,D157,D159:D161)</f>
        <v>9</v>
      </c>
      <c r="D113" s="134"/>
      <c r="E113" s="98">
        <f>SUM(D150,D152:D155,D157,D159:D161)</f>
        <v>1552.0611599999997</v>
      </c>
      <c r="F113" s="98"/>
      <c r="G113" s="98">
        <f>SUM(F150,F152:F155,F157,F159:F161)</f>
        <v>2483.2978559999992</v>
      </c>
      <c r="H113" s="98"/>
    </row>
    <row r="114" spans="1:8" s="35" customFormat="1" x14ac:dyDescent="0.25">
      <c r="A114" s="100" t="s">
        <v>262</v>
      </c>
      <c r="B114" s="100"/>
      <c r="C114" s="134">
        <f>COUNT(D164:D169)</f>
        <v>6</v>
      </c>
      <c r="D114" s="134"/>
      <c r="E114" s="98">
        <f>SUM(D164:D169)</f>
        <v>1327.7393999999999</v>
      </c>
      <c r="F114" s="98"/>
      <c r="G114" s="98">
        <f>SUM(F164:F169)</f>
        <v>2124.3830400000002</v>
      </c>
      <c r="H114" s="98"/>
    </row>
    <row r="115" spans="1:8" s="35" customFormat="1" x14ac:dyDescent="0.25">
      <c r="A115" s="100" t="s">
        <v>263</v>
      </c>
      <c r="B115" s="100"/>
      <c r="C115" s="134">
        <f>COUNT(D176:D177)</f>
        <v>2</v>
      </c>
      <c r="D115" s="134"/>
      <c r="E115" s="98">
        <f>SUM(D176:D177)</f>
        <v>450.47339999999997</v>
      </c>
      <c r="F115" s="98"/>
      <c r="G115" s="98">
        <f>SUM(F176:F177)</f>
        <v>720.75744000000009</v>
      </c>
      <c r="H115" s="98"/>
    </row>
    <row r="116" spans="1:8" s="35" customFormat="1" x14ac:dyDescent="0.25">
      <c r="A116" s="109" t="s">
        <v>148</v>
      </c>
      <c r="B116" s="109"/>
      <c r="C116" s="110">
        <f>SUM(C112:D115)</f>
        <v>24</v>
      </c>
      <c r="D116" s="111"/>
      <c r="E116" s="110">
        <f>SUM(E112:F115)</f>
        <v>4665.4448255999996</v>
      </c>
      <c r="F116" s="111"/>
      <c r="G116" s="110">
        <f>SUM(G112:H115)</f>
        <v>7464.7117209599992</v>
      </c>
      <c r="H116" s="111"/>
    </row>
    <row r="117" spans="1:8" s="35" customFormat="1" x14ac:dyDescent="0.25">
      <c r="A117" s="109" t="s">
        <v>270</v>
      </c>
      <c r="B117" s="109"/>
      <c r="C117" s="109"/>
      <c r="D117" s="109"/>
      <c r="E117" s="109"/>
      <c r="F117" s="109"/>
      <c r="G117" s="109"/>
      <c r="H117" s="109"/>
    </row>
    <row r="118" spans="1:8" s="35" customFormat="1" ht="15.75" customHeight="1" x14ac:dyDescent="0.25">
      <c r="A118" s="99" t="s">
        <v>53</v>
      </c>
      <c r="B118" s="99"/>
      <c r="C118" s="121" t="s">
        <v>76</v>
      </c>
      <c r="D118" s="121"/>
      <c r="E118" s="111" t="s">
        <v>54</v>
      </c>
      <c r="F118" s="111"/>
      <c r="G118" s="99" t="s">
        <v>55</v>
      </c>
      <c r="H118" s="99"/>
    </row>
    <row r="119" spans="1:8" s="35" customFormat="1" x14ac:dyDescent="0.25">
      <c r="A119" s="100" t="s">
        <v>261</v>
      </c>
      <c r="B119" s="100"/>
      <c r="C119" s="103">
        <f>COUNT(D265:D266)+COUNT(D273:D274)+COUNT(D281:D282)*2+COUNT(D289:D290)</f>
        <v>10</v>
      </c>
      <c r="D119" s="103"/>
      <c r="E119" s="98">
        <f>SUM(D265:D266)+SUM(D273:D274)+SUM(D281:D282)*2+SUM(D289:D290)</f>
        <v>3299.59656</v>
      </c>
      <c r="F119" s="106"/>
      <c r="G119" s="98">
        <f>SUM(F265:F266)+SUM(F273:F274)+SUM(F281:F282)*2+SUM(F289:F290)</f>
        <v>5279.3544959999999</v>
      </c>
      <c r="H119" s="106"/>
    </row>
    <row r="120" spans="1:8" s="35" customFormat="1" x14ac:dyDescent="0.25">
      <c r="A120" s="100" t="s">
        <v>262</v>
      </c>
      <c r="B120" s="100"/>
      <c r="C120" s="103">
        <f>COUNT(D349:D350,D352)+COUNT(D356:D359)*2+COUNT(D363:D366)+COUNT(D370:D373)+COUNT(D377:D382)*2+COUNT(D384:D386,D388:D389)+COUNT(D393:D396)*2+COUNT(D398:D403)+COUNT(D405:D410)*3+COUNT(D412:D414,D416:D417)+COUNT(D420:D424)+COUNT(D428:D431)+COUNT(D435:D438)*3+COUNT(D440:D445)*2</f>
        <v>106</v>
      </c>
      <c r="D120" s="103"/>
      <c r="E120" s="98">
        <f>SUM(D349:D350,D352)+SUM(D356:D359)*2+SUM(D363:D366)+SUM(D370:D373)+SUM(D377:D382)*2+SUM(D384:D386,D388:D389)+SUM(D393:D396)*2+SUM(D398:D403)+SUM(D405:D410)*3+SUM(D412:D414,D416:D417)+SUM(D420:D424)+SUM(D428:D431)+SUM(D435:D438)*3+SUM(D440:D445)*2</f>
        <v>31932.778409999999</v>
      </c>
      <c r="F120" s="98"/>
      <c r="G120" s="98">
        <f>SUM(F349:F350,F352)+SUM(F356:F359)*2+SUM(F363:F366)+SUM(F370:F373)+SUM(F377:F382)*2+SUM(F384:F386,F388:F389)+SUM(F393:F396)*2+SUM(F398:F403)+SUM(F405:F410)*3+SUM(F412:F414,F416:F417)+SUM(F420:F424)+SUM(F428:F431)+SUM(F435:F438)*3+SUM(F440:F445)*2</f>
        <v>51092.445455999994</v>
      </c>
      <c r="H120" s="98"/>
    </row>
    <row r="121" spans="1:8" s="35" customFormat="1" x14ac:dyDescent="0.25">
      <c r="A121" s="198" t="s">
        <v>148</v>
      </c>
      <c r="B121" s="198"/>
      <c r="C121" s="101">
        <f>SUM(C119:D120)</f>
        <v>116</v>
      </c>
      <c r="D121" s="101"/>
      <c r="E121" s="102">
        <f t="shared" ref="E121" si="0">SUM(E119:F120)</f>
        <v>35232.374969999997</v>
      </c>
      <c r="F121" s="102"/>
      <c r="G121" s="102">
        <f t="shared" ref="G121" si="1">SUM(G119:H120)</f>
        <v>56371.799951999994</v>
      </c>
      <c r="H121" s="102"/>
    </row>
    <row r="122" spans="1:8" s="35" customFormat="1" ht="15.75" customHeight="1" x14ac:dyDescent="0.25">
      <c r="A122" s="109" t="s">
        <v>269</v>
      </c>
      <c r="B122" s="109"/>
      <c r="C122" s="109"/>
      <c r="D122" s="109"/>
      <c r="E122" s="109"/>
      <c r="F122" s="109"/>
      <c r="G122" s="109"/>
      <c r="H122" s="109"/>
    </row>
    <row r="123" spans="1:8" s="35" customFormat="1" ht="15.75" customHeight="1" x14ac:dyDescent="0.25">
      <c r="A123" s="99" t="s">
        <v>53</v>
      </c>
      <c r="B123" s="99"/>
      <c r="C123" s="121" t="s">
        <v>76</v>
      </c>
      <c r="D123" s="121"/>
      <c r="E123" s="111" t="s">
        <v>54</v>
      </c>
      <c r="F123" s="111"/>
      <c r="G123" s="99" t="s">
        <v>55</v>
      </c>
      <c r="H123" s="99"/>
    </row>
    <row r="124" spans="1:8" s="35" customFormat="1" x14ac:dyDescent="0.25">
      <c r="A124" s="100" t="s">
        <v>261</v>
      </c>
      <c r="B124" s="100"/>
      <c r="C124" s="104">
        <f>COUNT(D151,D156,D158)</f>
        <v>3</v>
      </c>
      <c r="D124" s="105"/>
      <c r="E124" s="98">
        <f>SUM(D151,D156,D158)</f>
        <v>274.26672000000002</v>
      </c>
      <c r="F124" s="106"/>
      <c r="G124" s="98">
        <f>SUM(F151,F156,F158)</f>
        <v>438.82675200000006</v>
      </c>
      <c r="H124" s="106"/>
    </row>
    <row r="125" spans="1:8" s="35" customFormat="1" x14ac:dyDescent="0.25">
      <c r="A125" s="100" t="s">
        <v>262</v>
      </c>
      <c r="B125" s="100"/>
      <c r="C125" s="104">
        <f>COUNT(D170:D173)</f>
        <v>4</v>
      </c>
      <c r="D125" s="105"/>
      <c r="E125" s="98">
        <f>SUM(D170:D173)</f>
        <v>582.5476799999999</v>
      </c>
      <c r="F125" s="106"/>
      <c r="G125" s="98">
        <f>SUM(F170:F173)</f>
        <v>932.07628799999998</v>
      </c>
      <c r="H125" s="106"/>
    </row>
    <row r="126" spans="1:8" s="35" customFormat="1" x14ac:dyDescent="0.25">
      <c r="A126" s="109" t="s">
        <v>148</v>
      </c>
      <c r="B126" s="109"/>
      <c r="C126" s="107">
        <f>SUM(C124:D125)</f>
        <v>7</v>
      </c>
      <c r="D126" s="108"/>
      <c r="E126" s="110">
        <f>SUM(E124:F125)</f>
        <v>856.81439999999998</v>
      </c>
      <c r="F126" s="111"/>
      <c r="G126" s="110">
        <f>SUM(G124:H125)</f>
        <v>1370.9030400000001</v>
      </c>
      <c r="H126" s="111"/>
    </row>
    <row r="127" spans="1:8" s="35" customFormat="1" x14ac:dyDescent="0.25">
      <c r="A127" s="109" t="s">
        <v>271</v>
      </c>
      <c r="B127" s="109"/>
      <c r="C127" s="109"/>
      <c r="D127" s="109"/>
      <c r="E127" s="109"/>
      <c r="F127" s="109"/>
      <c r="G127" s="109"/>
      <c r="H127" s="109"/>
    </row>
    <row r="128" spans="1:8" s="35" customFormat="1" ht="15.75" customHeight="1" x14ac:dyDescent="0.25">
      <c r="A128" s="99" t="s">
        <v>53</v>
      </c>
      <c r="B128" s="99"/>
      <c r="C128" s="121" t="s">
        <v>76</v>
      </c>
      <c r="D128" s="121"/>
      <c r="E128" s="111" t="s">
        <v>54</v>
      </c>
      <c r="F128" s="111"/>
      <c r="G128" s="99" t="s">
        <v>55</v>
      </c>
      <c r="H128" s="99"/>
    </row>
    <row r="129" spans="1:14" s="35" customFormat="1" x14ac:dyDescent="0.25">
      <c r="A129" s="100" t="s">
        <v>256</v>
      </c>
      <c r="B129" s="100"/>
      <c r="C129" s="103">
        <f>COUNT(D185:D186)+COUNT(D190:D191)*2+COUNT(D193,D195:D196)+COUNT(D198:D201)+COUNT(D203:D206)*2+COUNT(D208:D210)+COUNT(D213:D216)*2+COUNT(D218:D221)+COUNT(D223:D226)*3+COUNT(D228:D230)+COUNT(D233:D236)+COUNT(D238:D241)</f>
        <v>59</v>
      </c>
      <c r="D129" s="103"/>
      <c r="E129" s="98">
        <f>SUM(D185:D186)+SUM(D190:D191)*2+SUM(D193,D195:D196)+SUM(D198:D201)+SUM(D203:D206)*2+SUM(D208:D210)+SUM(D213:D216)*2+SUM(D218:D221)+SUM(D223:D226)*3+SUM(D228:D230)+SUM(D233:D236)+SUM(D238:D241)</f>
        <v>20805.843240000002</v>
      </c>
      <c r="F129" s="98"/>
      <c r="G129" s="98">
        <f>SUM(F185:F186)+SUM(F190:F191)*2+SUM(F193,F195:F196)+SUM(F198:F201)+SUM(F203:F206)*2+SUM(F208:F210)+SUM(F213:F216)*2+SUM(F218:F221)+SUM(F223:F226)*3+SUM(F228:F230)+SUM(F233:F236)+SUM(F238:F241)</f>
        <v>33158.948713599995</v>
      </c>
      <c r="H129" s="98"/>
    </row>
    <row r="130" spans="1:14" s="35" customFormat="1" x14ac:dyDescent="0.25">
      <c r="A130" s="100" t="s">
        <v>261</v>
      </c>
      <c r="B130" s="100"/>
      <c r="C130" s="103">
        <f>COUNT(D244:D248)+COUNT(D252:D256)*2+COUNT(D260:D264)+COUNT(D268:D272)+COUNT(D276:D280)*2+COUNT(D286:D288)+COUNT(D292:D298)*2+COUNT(D300:D306)+COUNT(D308:D314)*1+COUNT(D316:D322)*2+COUNT(D326:D330)+COUNT(D332:D338)+COUNT(D340:D346)</f>
        <v>99</v>
      </c>
      <c r="D130" s="103"/>
      <c r="E130" s="98">
        <f>SUM(D244:D248)+SUM(D252:D256)*2+SUM(D260:D264)+SUM(D268:D272)+SUM(D276:D280)*2+SUM(D286:D288)+SUM(D292:D298)*2+SUM(D300:D306)+SUM(D308:D314)+SUM(D316:D322)*2+SUM(D326:D330)+SUM(D332:D338)+SUM(D340:D346)</f>
        <v>39942.620640000001</v>
      </c>
      <c r="F130" s="98"/>
      <c r="G130" s="98">
        <f>SUM(F244:F248)+SUM(F252:F256)*2+SUM(F260:F264)+SUM(F268:F272)+SUM(F276:F280)*2+SUM(F286:F288)+SUM(F292:F298)*2+SUM(F300:F306)+SUM(F308:F314)+SUM(F316:F322)*2+SUM(F326:F330)+SUM(F332:F338)+SUM(F340:F346)</f>
        <v>64254</v>
      </c>
      <c r="H130" s="98"/>
    </row>
    <row r="131" spans="1:14" s="35" customFormat="1" x14ac:dyDescent="0.25">
      <c r="A131" s="100" t="s">
        <v>262</v>
      </c>
      <c r="B131" s="100"/>
      <c r="C131" s="103">
        <f>COUNT(D391:D392)*2+COUNT(D419)+COUNT(D426:D427)+COUNT(D433:D434)*3</f>
        <v>13</v>
      </c>
      <c r="D131" s="103"/>
      <c r="E131" s="98">
        <f>SUM(D391:D392)*2+SUM(D419)+SUM(D426:D427)+SUM(D433:D434)*3</f>
        <v>5016.5621999999994</v>
      </c>
      <c r="F131" s="98"/>
      <c r="G131" s="98">
        <f>SUM(F391:F392)*2+SUM(F419)+SUM(F426:F427)+SUM(F433:F434)*3</f>
        <v>8026.4995200000003</v>
      </c>
      <c r="H131" s="98"/>
    </row>
    <row r="132" spans="1:14" s="35" customFormat="1" x14ac:dyDescent="0.25">
      <c r="A132" s="100" t="s">
        <v>263</v>
      </c>
      <c r="B132" s="100"/>
      <c r="C132" s="103">
        <f>COUNT(D448:D451)+COUNT(D454:D457)*3+COUNT(D466:D468)+COUNT(D472:D476)*2+COUNT(D480:D482)+COUNT(D484:D488)*2+COUNT(D490:D494)+COUNT(D496:D500)*3+COUNT(D504:D506)+COUNT(D508:D512)+COUNT(D514:D518)+COUNT(D520:D524)*3+COUNT(D526:D530)*2</f>
        <v>100</v>
      </c>
      <c r="D132" s="103"/>
      <c r="E132" s="98">
        <f>SUM(D448:D451)+SUM(D454:D457)*3+SUM(D466:D468)+SUM(D472:D476)*2+SUM(D480:D482)+SUM(D484:D488)*2+SUM(D490:D494)+SUM(D496:D500)*3+SUM(D504:D506)+SUM(D508:D512)+SUM(D514:D518)+SUM(D520:D524)*3+SUM(D526:D530)*2</f>
        <v>30775.352399999996</v>
      </c>
      <c r="F132" s="98"/>
      <c r="G132" s="98">
        <f>SUM(F448:F451)+SUM(F454:F457)*3+SUM(F466:F468)+SUM(F472:F476)*2+SUM(F480:F482)+SUM(F484:F488)*2+SUM(F490:F494)+SUM(F496:F500)*3+SUM(F504:F506)+SUM(F508:F512)+SUM(F514:F518)+SUM(F520:F524)*3+SUM(F526:F530)*2</f>
        <v>48557</v>
      </c>
      <c r="H132" s="98"/>
    </row>
    <row r="133" spans="1:14" s="35" customFormat="1" ht="16.5" thickBot="1" x14ac:dyDescent="0.3">
      <c r="A133" s="198" t="s">
        <v>148</v>
      </c>
      <c r="B133" s="198"/>
      <c r="C133" s="101">
        <f>SUM(C129:D132)</f>
        <v>271</v>
      </c>
      <c r="D133" s="101"/>
      <c r="E133" s="102">
        <f t="shared" ref="E133" si="2">SUM(E129:F132)</f>
        <v>96540.378479999985</v>
      </c>
      <c r="F133" s="102"/>
      <c r="G133" s="102">
        <f t="shared" ref="G133" si="3">SUM(G129:H132)</f>
        <v>153996.44823360001</v>
      </c>
      <c r="H133" s="102"/>
    </row>
    <row r="134" spans="1:14" s="35" customFormat="1" ht="16.5" thickBot="1" x14ac:dyDescent="0.3">
      <c r="A134" s="211" t="s">
        <v>164</v>
      </c>
      <c r="B134" s="212"/>
      <c r="C134" s="213">
        <f>C116+C126+C121+C133</f>
        <v>418</v>
      </c>
      <c r="D134" s="214"/>
      <c r="E134" s="213">
        <f>E116+E126+E121+E133</f>
        <v>137295.01267559998</v>
      </c>
      <c r="F134" s="214"/>
      <c r="G134" s="213">
        <f>G116+G126+G121+G133</f>
        <v>219203.86294656</v>
      </c>
      <c r="H134" s="214"/>
    </row>
    <row r="135" spans="1:14" s="34" customFormat="1" x14ac:dyDescent="0.25">
      <c r="A135" s="112" t="s">
        <v>56</v>
      </c>
      <c r="B135" s="112"/>
      <c r="C135" s="112"/>
      <c r="D135" s="112"/>
      <c r="E135" s="112"/>
      <c r="F135" s="112"/>
      <c r="G135" s="112"/>
      <c r="H135" s="112"/>
    </row>
    <row r="136" spans="1:14" x14ac:dyDescent="0.25">
      <c r="A136" s="116" t="s">
        <v>171</v>
      </c>
      <c r="B136" s="116"/>
      <c r="C136" s="116"/>
      <c r="D136" s="116"/>
      <c r="E136" s="116"/>
      <c r="F136" s="116"/>
      <c r="G136" s="116"/>
      <c r="H136" s="116"/>
    </row>
    <row r="137" spans="1:14" ht="47.25" customHeight="1" x14ac:dyDescent="0.25">
      <c r="A137" s="135" t="s">
        <v>118</v>
      </c>
      <c r="B137" s="135" t="s">
        <v>260</v>
      </c>
      <c r="C137" s="135" t="s">
        <v>57</v>
      </c>
      <c r="D137" s="135" t="s">
        <v>58</v>
      </c>
      <c r="E137" s="183" t="s">
        <v>153</v>
      </c>
      <c r="F137" s="68" t="s">
        <v>147</v>
      </c>
      <c r="G137" s="142" t="s">
        <v>60</v>
      </c>
      <c r="H137" s="185"/>
    </row>
    <row r="138" spans="1:14" s="37" customFormat="1" x14ac:dyDescent="0.25">
      <c r="A138" s="136"/>
      <c r="B138" s="136"/>
      <c r="C138" s="136"/>
      <c r="D138" s="136"/>
      <c r="E138" s="184"/>
      <c r="F138" s="13">
        <v>0.6</v>
      </c>
      <c r="G138" s="143"/>
      <c r="H138" s="186"/>
    </row>
    <row r="139" spans="1:14" s="37" customFormat="1" x14ac:dyDescent="0.25">
      <c r="A139" s="82" t="s">
        <v>256</v>
      </c>
      <c r="B139" s="83"/>
      <c r="C139" s="83"/>
      <c r="D139" s="83"/>
      <c r="E139" s="83"/>
      <c r="F139" s="83"/>
      <c r="G139" s="83"/>
      <c r="H139" s="84"/>
      <c r="J139" s="36"/>
    </row>
    <row r="140" spans="1:14" s="37" customFormat="1" x14ac:dyDescent="0.25">
      <c r="A140" s="82" t="s">
        <v>264</v>
      </c>
      <c r="B140" s="83"/>
      <c r="C140" s="83"/>
      <c r="D140" s="83"/>
      <c r="E140" s="83"/>
      <c r="F140" s="83"/>
      <c r="G140" s="83"/>
      <c r="H140" s="84"/>
      <c r="I140" s="36"/>
      <c r="L140" s="131"/>
      <c r="M140" s="131"/>
      <c r="N140" s="36"/>
    </row>
    <row r="141" spans="1:14" s="37" customFormat="1" ht="15.75" customHeight="1" x14ac:dyDescent="0.25">
      <c r="A141" s="42">
        <v>25</v>
      </c>
      <c r="B141" s="42" t="s">
        <v>258</v>
      </c>
      <c r="C141" s="42" t="s">
        <v>257</v>
      </c>
      <c r="D141" s="42">
        <f>(5.47*2.89+1.55*1.2)*10.764</f>
        <v>190.18158119999998</v>
      </c>
      <c r="E141" s="42">
        <v>0</v>
      </c>
      <c r="F141" s="42">
        <f>(D141+E141)*(($F$138)+1)</f>
        <v>304.29052991999998</v>
      </c>
      <c r="G141" s="76" t="str">
        <f>A140</f>
        <v>Ground Floor For Commercial &amp; Parking</v>
      </c>
      <c r="H141" s="94"/>
      <c r="I141" s="57">
        <f>(5.47*2.89+1.55*1.2)</f>
        <v>17.668299999999999</v>
      </c>
      <c r="L141" s="131"/>
      <c r="M141" s="131"/>
      <c r="N141" s="36"/>
    </row>
    <row r="142" spans="1:14" s="37" customFormat="1" ht="15.75" customHeight="1" x14ac:dyDescent="0.25">
      <c r="A142" s="42">
        <f t="shared" ref="A142:A147" si="4">A141+1</f>
        <v>26</v>
      </c>
      <c r="B142" s="42" t="s">
        <v>258</v>
      </c>
      <c r="C142" s="42" t="s">
        <v>257</v>
      </c>
      <c r="D142" s="42">
        <f>(3.95*1.46+2.01*1.61+1.55*1.13+1.85*0.15)*10.764</f>
        <v>118.74952439999998</v>
      </c>
      <c r="E142" s="42">
        <v>0</v>
      </c>
      <c r="F142" s="42">
        <f t="shared" ref="F142:F144" si="5">(D142+E142)*(($F$138)+1)</f>
        <v>189.99923903999999</v>
      </c>
      <c r="G142" s="78"/>
      <c r="H142" s="96"/>
      <c r="I142" s="57">
        <f>(3.95*1.46+2.01*1.61+1.55*1.13+1.85*0.15)</f>
        <v>11.0321</v>
      </c>
      <c r="L142" s="131"/>
      <c r="M142" s="131"/>
      <c r="N142" s="36"/>
    </row>
    <row r="143" spans="1:14" s="37" customFormat="1" ht="15.75" customHeight="1" x14ac:dyDescent="0.25">
      <c r="A143" s="42">
        <f t="shared" si="4"/>
        <v>27</v>
      </c>
      <c r="B143" s="42" t="s">
        <v>258</v>
      </c>
      <c r="C143" s="42" t="s">
        <v>257</v>
      </c>
      <c r="D143" s="42">
        <f>21.68*10.764</f>
        <v>233.36351999999999</v>
      </c>
      <c r="E143" s="42">
        <v>0</v>
      </c>
      <c r="F143" s="42">
        <f t="shared" si="5"/>
        <v>373.38163200000002</v>
      </c>
      <c r="G143" s="78"/>
      <c r="H143" s="79"/>
      <c r="I143" s="36"/>
      <c r="L143" s="131"/>
      <c r="M143" s="131"/>
      <c r="N143" s="36"/>
    </row>
    <row r="144" spans="1:14" s="37" customFormat="1" ht="15.75" customHeight="1" x14ac:dyDescent="0.25">
      <c r="A144" s="42">
        <f t="shared" si="4"/>
        <v>28</v>
      </c>
      <c r="B144" s="42" t="s">
        <v>258</v>
      </c>
      <c r="C144" s="42" t="s">
        <v>257</v>
      </c>
      <c r="D144" s="42">
        <f>(20.95)*10.764</f>
        <v>225.50579999999997</v>
      </c>
      <c r="E144" s="42">
        <v>0</v>
      </c>
      <c r="F144" s="42">
        <f t="shared" si="5"/>
        <v>360.80927999999994</v>
      </c>
      <c r="G144" s="78"/>
      <c r="H144" s="79"/>
      <c r="I144" s="36"/>
      <c r="N144" s="36"/>
    </row>
    <row r="145" spans="1:14" ht="15.75" customHeight="1" x14ac:dyDescent="0.25">
      <c r="A145" s="42">
        <f t="shared" si="4"/>
        <v>29</v>
      </c>
      <c r="B145" s="42" t="s">
        <v>258</v>
      </c>
      <c r="C145" s="42" t="s">
        <v>257</v>
      </c>
      <c r="D145" s="42">
        <f>(20.73)*10.764</f>
        <v>223.13772</v>
      </c>
      <c r="E145" s="42">
        <v>0</v>
      </c>
      <c r="F145" s="42">
        <f t="shared" ref="F145" si="6">(D145+E145)*(($F$138)+1)</f>
        <v>357.020352</v>
      </c>
      <c r="G145" s="78"/>
      <c r="H145" s="79"/>
      <c r="I145" s="58">
        <f>(7.51*2.76)</f>
        <v>20.727599999999999</v>
      </c>
    </row>
    <row r="146" spans="1:14" s="37" customFormat="1" ht="15.75" customHeight="1" x14ac:dyDescent="0.25">
      <c r="A146" s="42">
        <f t="shared" si="4"/>
        <v>30</v>
      </c>
      <c r="B146" s="42" t="s">
        <v>258</v>
      </c>
      <c r="C146" s="42" t="s">
        <v>257</v>
      </c>
      <c r="D146" s="42">
        <f>(5.7)*10.764</f>
        <v>61.354799999999997</v>
      </c>
      <c r="E146" s="42">
        <v>0</v>
      </c>
      <c r="F146" s="42">
        <f t="shared" ref="F146" si="7">(D146+E146)*(($F$138)+1)</f>
        <v>98.167680000000004</v>
      </c>
      <c r="G146" s="78"/>
      <c r="H146" s="79"/>
      <c r="I146" s="36"/>
    </row>
    <row r="147" spans="1:14" s="37" customFormat="1" ht="15.75" customHeight="1" x14ac:dyDescent="0.25">
      <c r="A147" s="42">
        <f t="shared" si="4"/>
        <v>31</v>
      </c>
      <c r="B147" s="42" t="s">
        <v>258</v>
      </c>
      <c r="C147" s="42" t="s">
        <v>257</v>
      </c>
      <c r="D147" s="42">
        <f>(26.28)*10.764</f>
        <v>282.87792000000002</v>
      </c>
      <c r="E147" s="42">
        <v>0</v>
      </c>
      <c r="F147" s="42">
        <f t="shared" ref="F147" si="8">(D147+E147)*(($F$138)+1)</f>
        <v>452.60467200000005</v>
      </c>
      <c r="G147" s="80"/>
      <c r="H147" s="81"/>
      <c r="J147" s="36"/>
    </row>
    <row r="148" spans="1:14" s="37" customFormat="1" x14ac:dyDescent="0.25">
      <c r="A148" s="82" t="s">
        <v>261</v>
      </c>
      <c r="B148" s="83"/>
      <c r="C148" s="83"/>
      <c r="D148" s="83"/>
      <c r="E148" s="83"/>
      <c r="F148" s="83"/>
      <c r="G148" s="83"/>
      <c r="H148" s="84"/>
      <c r="I148" s="36"/>
      <c r="L148" s="131"/>
      <c r="M148" s="131"/>
      <c r="N148" s="36"/>
    </row>
    <row r="149" spans="1:14" s="37" customFormat="1" x14ac:dyDescent="0.25">
      <c r="A149" s="82" t="s">
        <v>265</v>
      </c>
      <c r="B149" s="83"/>
      <c r="C149" s="83"/>
      <c r="D149" s="83"/>
      <c r="E149" s="83"/>
      <c r="F149" s="83"/>
      <c r="G149" s="83"/>
      <c r="H149" s="84"/>
      <c r="I149" s="36"/>
      <c r="L149" s="131"/>
      <c r="M149" s="131"/>
      <c r="N149" s="36"/>
    </row>
    <row r="150" spans="1:14" s="37" customFormat="1" ht="15.75" customHeight="1" x14ac:dyDescent="0.25">
      <c r="A150" s="42">
        <v>13</v>
      </c>
      <c r="B150" s="42" t="s">
        <v>258</v>
      </c>
      <c r="C150" s="42" t="s">
        <v>257</v>
      </c>
      <c r="D150" s="42">
        <f>20.58*10.764</f>
        <v>221.52311999999998</v>
      </c>
      <c r="E150" s="42">
        <v>0</v>
      </c>
      <c r="F150" s="42">
        <f>(D150+E150)*(($F$138)+1)</f>
        <v>354.43699199999998</v>
      </c>
      <c r="G150" s="76" t="str">
        <f>A149</f>
        <v>Ground Floor For Commercial, Ganesh Temple &amp; Parking</v>
      </c>
      <c r="H150" s="94"/>
      <c r="I150" s="58">
        <f>2.8*7.35</f>
        <v>20.58</v>
      </c>
      <c r="L150" s="131"/>
      <c r="M150" s="131"/>
      <c r="N150" s="36"/>
    </row>
    <row r="151" spans="1:14" s="37" customFormat="1" x14ac:dyDescent="0.25">
      <c r="A151" s="42">
        <f t="shared" ref="A151:A161" si="9">A150+1</f>
        <v>14</v>
      </c>
      <c r="B151" s="42" t="s">
        <v>259</v>
      </c>
      <c r="C151" s="42" t="s">
        <v>257</v>
      </c>
      <c r="D151" s="42">
        <f>6.63*10.764</f>
        <v>71.365319999999997</v>
      </c>
      <c r="E151" s="42">
        <v>0</v>
      </c>
      <c r="F151" s="42">
        <f t="shared" ref="F151:F156" si="10">(D151+E151)*(($F$138)+1)</f>
        <v>114.184512</v>
      </c>
      <c r="G151" s="78"/>
      <c r="H151" s="96"/>
      <c r="I151" s="36"/>
      <c r="L151" s="131"/>
      <c r="M151" s="131"/>
      <c r="N151" s="36"/>
    </row>
    <row r="152" spans="1:14" s="37" customFormat="1" x14ac:dyDescent="0.25">
      <c r="A152" s="42">
        <f t="shared" si="9"/>
        <v>15</v>
      </c>
      <c r="B152" s="42" t="s">
        <v>258</v>
      </c>
      <c r="C152" s="42" t="s">
        <v>257</v>
      </c>
      <c r="D152" s="42">
        <f>27.88*10.764</f>
        <v>300.10031999999995</v>
      </c>
      <c r="E152" s="42">
        <v>0</v>
      </c>
      <c r="F152" s="42">
        <f t="shared" si="10"/>
        <v>480.16051199999993</v>
      </c>
      <c r="G152" s="78"/>
      <c r="H152" s="96"/>
      <c r="I152" s="58">
        <f>2.7*5.2+2.25*1.65+3.5*2.15+1.3*2</f>
        <v>27.877500000000001</v>
      </c>
      <c r="L152" s="131"/>
      <c r="M152" s="131"/>
    </row>
    <row r="153" spans="1:14" s="37" customFormat="1" x14ac:dyDescent="0.25">
      <c r="A153" s="42">
        <f t="shared" si="9"/>
        <v>16</v>
      </c>
      <c r="B153" s="42" t="s">
        <v>258</v>
      </c>
      <c r="C153" s="42" t="s">
        <v>257</v>
      </c>
      <c r="D153" s="42">
        <f>13.03*10.764</f>
        <v>140.25492</v>
      </c>
      <c r="E153" s="42">
        <v>0</v>
      </c>
      <c r="F153" s="42">
        <f t="shared" si="10"/>
        <v>224.407872</v>
      </c>
      <c r="G153" s="78"/>
      <c r="H153" s="96"/>
      <c r="I153" s="36"/>
      <c r="N153" s="36"/>
    </row>
    <row r="154" spans="1:14" s="37" customFormat="1" x14ac:dyDescent="0.25">
      <c r="A154" s="42">
        <f t="shared" si="9"/>
        <v>17</v>
      </c>
      <c r="B154" s="42" t="s">
        <v>258</v>
      </c>
      <c r="C154" s="42" t="s">
        <v>257</v>
      </c>
      <c r="D154" s="42">
        <f>12.39*10.764</f>
        <v>133.36596</v>
      </c>
      <c r="E154" s="42">
        <v>0</v>
      </c>
      <c r="F154" s="42">
        <f t="shared" si="10"/>
        <v>213.385536</v>
      </c>
      <c r="G154" s="78"/>
      <c r="H154" s="96"/>
      <c r="I154" s="36"/>
      <c r="N154" s="36"/>
    </row>
    <row r="155" spans="1:14" s="37" customFormat="1" x14ac:dyDescent="0.25">
      <c r="A155" s="42">
        <f t="shared" si="9"/>
        <v>18</v>
      </c>
      <c r="B155" s="42" t="s">
        <v>258</v>
      </c>
      <c r="C155" s="42" t="s">
        <v>257</v>
      </c>
      <c r="D155" s="42">
        <f>17.83*10.764</f>
        <v>191.92211999999998</v>
      </c>
      <c r="E155" s="42">
        <v>0</v>
      </c>
      <c r="F155" s="42">
        <f t="shared" si="10"/>
        <v>307.07539199999997</v>
      </c>
      <c r="G155" s="78"/>
      <c r="H155" s="96"/>
      <c r="I155" s="36"/>
      <c r="N155" s="36"/>
    </row>
    <row r="156" spans="1:14" s="37" customFormat="1" x14ac:dyDescent="0.25">
      <c r="A156" s="42">
        <f t="shared" si="9"/>
        <v>19</v>
      </c>
      <c r="B156" s="42" t="s">
        <v>259</v>
      </c>
      <c r="C156" s="42" t="s">
        <v>257</v>
      </c>
      <c r="D156" s="42">
        <f>8.96*10.764</f>
        <v>96.445440000000005</v>
      </c>
      <c r="E156" s="42">
        <v>0</v>
      </c>
      <c r="F156" s="42">
        <f t="shared" si="10"/>
        <v>154.31270400000002</v>
      </c>
      <c r="G156" s="78"/>
      <c r="H156" s="96"/>
      <c r="I156" s="36"/>
      <c r="N156" s="36"/>
    </row>
    <row r="157" spans="1:14" s="37" customFormat="1" x14ac:dyDescent="0.25">
      <c r="A157" s="42">
        <f t="shared" si="9"/>
        <v>20</v>
      </c>
      <c r="B157" s="42" t="s">
        <v>258</v>
      </c>
      <c r="C157" s="42" t="s">
        <v>257</v>
      </c>
      <c r="D157" s="42">
        <f>2*10.764</f>
        <v>21.527999999999999</v>
      </c>
      <c r="E157" s="42">
        <v>0</v>
      </c>
      <c r="F157" s="42">
        <f t="shared" ref="F157:F161" si="11">(D157+E157)*(($F$138)+1)</f>
        <v>34.444800000000001</v>
      </c>
      <c r="G157" s="78"/>
      <c r="H157" s="96"/>
      <c r="I157" s="36"/>
      <c r="L157" s="131"/>
      <c r="M157" s="131"/>
    </row>
    <row r="158" spans="1:14" s="37" customFormat="1" x14ac:dyDescent="0.25">
      <c r="A158" s="42">
        <f t="shared" si="9"/>
        <v>21</v>
      </c>
      <c r="B158" s="42" t="s">
        <v>259</v>
      </c>
      <c r="C158" s="42" t="s">
        <v>257</v>
      </c>
      <c r="D158" s="42">
        <f>9.89*10.764</f>
        <v>106.45596</v>
      </c>
      <c r="E158" s="42">
        <v>0</v>
      </c>
      <c r="F158" s="42">
        <f t="shared" si="11"/>
        <v>170.32953600000002</v>
      </c>
      <c r="G158" s="78"/>
      <c r="H158" s="96"/>
      <c r="I158" s="36"/>
      <c r="N158" s="36"/>
    </row>
    <row r="159" spans="1:14" s="37" customFormat="1" x14ac:dyDescent="0.25">
      <c r="A159" s="42">
        <f t="shared" si="9"/>
        <v>22</v>
      </c>
      <c r="B159" s="42" t="s">
        <v>258</v>
      </c>
      <c r="C159" s="42" t="s">
        <v>257</v>
      </c>
      <c r="D159" s="42">
        <f>18.82*10.764</f>
        <v>202.57847999999998</v>
      </c>
      <c r="E159" s="42">
        <v>0</v>
      </c>
      <c r="F159" s="42">
        <f t="shared" si="11"/>
        <v>324.12556799999999</v>
      </c>
      <c r="G159" s="78"/>
      <c r="H159" s="96"/>
      <c r="I159" s="36"/>
      <c r="N159" s="36"/>
    </row>
    <row r="160" spans="1:14" s="37" customFormat="1" x14ac:dyDescent="0.25">
      <c r="A160" s="42">
        <f t="shared" si="9"/>
        <v>23</v>
      </c>
      <c r="B160" s="42" t="s">
        <v>258</v>
      </c>
      <c r="C160" s="42" t="s">
        <v>257</v>
      </c>
      <c r="D160" s="42">
        <f>18.95*10.764</f>
        <v>203.97779999999997</v>
      </c>
      <c r="E160" s="42">
        <v>0</v>
      </c>
      <c r="F160" s="42">
        <f t="shared" si="11"/>
        <v>326.36447999999996</v>
      </c>
      <c r="G160" s="78"/>
      <c r="H160" s="96"/>
      <c r="I160" s="36"/>
      <c r="N160" s="36"/>
    </row>
    <row r="161" spans="1:14" s="37" customFormat="1" x14ac:dyDescent="0.25">
      <c r="A161" s="42">
        <f t="shared" si="9"/>
        <v>24</v>
      </c>
      <c r="B161" s="42" t="s">
        <v>258</v>
      </c>
      <c r="C161" s="42" t="s">
        <v>257</v>
      </c>
      <c r="D161" s="42">
        <f>12.71*10.764</f>
        <v>136.81044</v>
      </c>
      <c r="E161" s="42">
        <v>0</v>
      </c>
      <c r="F161" s="42">
        <f t="shared" si="11"/>
        <v>218.896704</v>
      </c>
      <c r="G161" s="80"/>
      <c r="H161" s="95"/>
      <c r="I161" s="36"/>
      <c r="N161" s="36"/>
    </row>
    <row r="162" spans="1:14" s="37" customFormat="1" x14ac:dyDescent="0.25">
      <c r="A162" s="82" t="s">
        <v>262</v>
      </c>
      <c r="B162" s="83"/>
      <c r="C162" s="83"/>
      <c r="D162" s="83"/>
      <c r="E162" s="83"/>
      <c r="F162" s="83"/>
      <c r="G162" s="83"/>
      <c r="H162" s="84"/>
      <c r="I162" s="36"/>
      <c r="N162" s="36"/>
    </row>
    <row r="163" spans="1:14" s="37" customFormat="1" ht="15.75" customHeight="1" x14ac:dyDescent="0.25">
      <c r="A163" s="82" t="s">
        <v>267</v>
      </c>
      <c r="B163" s="83"/>
      <c r="C163" s="83"/>
      <c r="D163" s="83"/>
      <c r="E163" s="83"/>
      <c r="F163" s="83"/>
      <c r="G163" s="83"/>
      <c r="H163" s="84"/>
      <c r="I163" s="36"/>
    </row>
    <row r="164" spans="1:14" s="37" customFormat="1" x14ac:dyDescent="0.25">
      <c r="A164" s="42">
        <v>3</v>
      </c>
      <c r="B164" s="42" t="s">
        <v>258</v>
      </c>
      <c r="C164" s="42" t="s">
        <v>257</v>
      </c>
      <c r="D164" s="42">
        <f>19.87*10.764</f>
        <v>213.88067999999998</v>
      </c>
      <c r="E164" s="42">
        <v>0</v>
      </c>
      <c r="F164" s="42">
        <f t="shared" ref="F164:F173" si="12">(D164+E164)*(($F$138)+1)</f>
        <v>342.20908800000001</v>
      </c>
      <c r="G164" s="76" t="str">
        <f>A163</f>
        <v>Ground Floor For Commercial, Meter room, Pump Room &amp; Parking</v>
      </c>
      <c r="H164" s="94"/>
      <c r="I164" s="36"/>
    </row>
    <row r="165" spans="1:14" s="37" customFormat="1" x14ac:dyDescent="0.25">
      <c r="A165" s="42">
        <f t="shared" ref="A165:A173" si="13">A164+1</f>
        <v>4</v>
      </c>
      <c r="B165" s="42" t="s">
        <v>258</v>
      </c>
      <c r="C165" s="42" t="s">
        <v>257</v>
      </c>
      <c r="D165" s="42">
        <f>20.97*10.764</f>
        <v>225.72107999999997</v>
      </c>
      <c r="E165" s="42">
        <v>0</v>
      </c>
      <c r="F165" s="42">
        <f t="shared" si="12"/>
        <v>361.153728</v>
      </c>
      <c r="G165" s="78"/>
      <c r="H165" s="96"/>
      <c r="I165" s="36"/>
    </row>
    <row r="166" spans="1:14" s="37" customFormat="1" ht="15.75" customHeight="1" x14ac:dyDescent="0.25">
      <c r="A166" s="42">
        <f t="shared" si="13"/>
        <v>5</v>
      </c>
      <c r="B166" s="42" t="s">
        <v>258</v>
      </c>
      <c r="C166" s="42" t="s">
        <v>257</v>
      </c>
      <c r="D166" s="42">
        <f>21.61*10.764</f>
        <v>232.61003999999997</v>
      </c>
      <c r="E166" s="42">
        <v>0</v>
      </c>
      <c r="F166" s="42">
        <f t="shared" si="12"/>
        <v>372.176064</v>
      </c>
      <c r="G166" s="78"/>
      <c r="H166" s="96"/>
      <c r="I166" s="36"/>
    </row>
    <row r="167" spans="1:14" s="37" customFormat="1" ht="15.75" customHeight="1" x14ac:dyDescent="0.25">
      <c r="A167" s="42">
        <f t="shared" si="13"/>
        <v>6</v>
      </c>
      <c r="B167" s="42" t="s">
        <v>258</v>
      </c>
      <c r="C167" s="42" t="s">
        <v>257</v>
      </c>
      <c r="D167" s="42">
        <f>21.89*10.764</f>
        <v>235.62395999999998</v>
      </c>
      <c r="E167" s="42">
        <v>0</v>
      </c>
      <c r="F167" s="42">
        <f t="shared" si="12"/>
        <v>376.99833599999999</v>
      </c>
      <c r="G167" s="78"/>
      <c r="H167" s="96"/>
      <c r="I167" s="36"/>
    </row>
    <row r="168" spans="1:14" s="37" customFormat="1" ht="15.75" customHeight="1" x14ac:dyDescent="0.25">
      <c r="A168" s="42">
        <f t="shared" si="13"/>
        <v>7</v>
      </c>
      <c r="B168" s="42" t="s">
        <v>258</v>
      </c>
      <c r="C168" s="42" t="s">
        <v>257</v>
      </c>
      <c r="D168" s="42">
        <f>21.65*10.764</f>
        <v>233.04059999999998</v>
      </c>
      <c r="E168" s="42">
        <v>0</v>
      </c>
      <c r="F168" s="42">
        <f t="shared" si="12"/>
        <v>372.86496</v>
      </c>
      <c r="G168" s="78"/>
      <c r="H168" s="96"/>
      <c r="I168" s="36"/>
    </row>
    <row r="169" spans="1:14" s="37" customFormat="1" x14ac:dyDescent="0.25">
      <c r="A169" s="42">
        <f t="shared" si="13"/>
        <v>8</v>
      </c>
      <c r="B169" s="42" t="s">
        <v>258</v>
      </c>
      <c r="C169" s="42" t="s">
        <v>257</v>
      </c>
      <c r="D169" s="42">
        <f>17.36*10.764</f>
        <v>186.86303999999998</v>
      </c>
      <c r="E169" s="42">
        <v>0</v>
      </c>
      <c r="F169" s="42">
        <f t="shared" si="12"/>
        <v>298.980864</v>
      </c>
      <c r="G169" s="78"/>
      <c r="H169" s="96"/>
      <c r="I169" s="36"/>
    </row>
    <row r="170" spans="1:14" s="37" customFormat="1" x14ac:dyDescent="0.25">
      <c r="A170" s="42">
        <f t="shared" si="13"/>
        <v>9</v>
      </c>
      <c r="B170" s="42" t="s">
        <v>259</v>
      </c>
      <c r="C170" s="42" t="s">
        <v>257</v>
      </c>
      <c r="D170" s="42">
        <f>12.36*10.764</f>
        <v>133.04303999999999</v>
      </c>
      <c r="E170" s="42">
        <v>0</v>
      </c>
      <c r="F170" s="42">
        <f t="shared" si="12"/>
        <v>212.868864</v>
      </c>
      <c r="G170" s="78"/>
      <c r="H170" s="96"/>
      <c r="I170" s="36"/>
    </row>
    <row r="171" spans="1:14" s="37" customFormat="1" x14ac:dyDescent="0.25">
      <c r="A171" s="42">
        <f t="shared" si="13"/>
        <v>10</v>
      </c>
      <c r="B171" s="42" t="s">
        <v>259</v>
      </c>
      <c r="C171" s="42" t="s">
        <v>257</v>
      </c>
      <c r="D171" s="42">
        <f>10.2*10.764</f>
        <v>109.79279999999999</v>
      </c>
      <c r="E171" s="42">
        <v>0</v>
      </c>
      <c r="F171" s="42">
        <f t="shared" si="12"/>
        <v>175.66847999999999</v>
      </c>
      <c r="G171" s="78"/>
      <c r="H171" s="96"/>
      <c r="I171" s="36"/>
    </row>
    <row r="172" spans="1:14" s="37" customFormat="1" x14ac:dyDescent="0.25">
      <c r="A172" s="42">
        <f t="shared" si="13"/>
        <v>11</v>
      </c>
      <c r="B172" s="42" t="s">
        <v>259</v>
      </c>
      <c r="C172" s="42" t="s">
        <v>257</v>
      </c>
      <c r="D172" s="42">
        <f>11.99*10.764</f>
        <v>129.06036</v>
      </c>
      <c r="E172" s="42">
        <v>0</v>
      </c>
      <c r="F172" s="42">
        <f t="shared" si="12"/>
        <v>206.496576</v>
      </c>
      <c r="G172" s="78"/>
      <c r="H172" s="96"/>
      <c r="I172" s="36"/>
    </row>
    <row r="173" spans="1:14" s="37" customFormat="1" x14ac:dyDescent="0.25">
      <c r="A173" s="42">
        <f t="shared" si="13"/>
        <v>12</v>
      </c>
      <c r="B173" s="42" t="s">
        <v>259</v>
      </c>
      <c r="C173" s="42" t="s">
        <v>257</v>
      </c>
      <c r="D173" s="42">
        <f>19.57*10.764</f>
        <v>210.65147999999999</v>
      </c>
      <c r="E173" s="42">
        <v>0</v>
      </c>
      <c r="F173" s="42">
        <f t="shared" si="12"/>
        <v>337.04236800000001</v>
      </c>
      <c r="G173" s="78"/>
      <c r="H173" s="96"/>
      <c r="I173" s="36"/>
    </row>
    <row r="174" spans="1:14" s="37" customFormat="1" x14ac:dyDescent="0.25">
      <c r="A174" s="82" t="s">
        <v>263</v>
      </c>
      <c r="B174" s="83"/>
      <c r="C174" s="83"/>
      <c r="D174" s="83"/>
      <c r="E174" s="83"/>
      <c r="F174" s="83"/>
      <c r="G174" s="83"/>
      <c r="H174" s="84"/>
      <c r="I174" s="36"/>
    </row>
    <row r="175" spans="1:14" s="37" customFormat="1" x14ac:dyDescent="0.25">
      <c r="A175" s="82" t="s">
        <v>266</v>
      </c>
      <c r="B175" s="83"/>
      <c r="C175" s="83"/>
      <c r="D175" s="83"/>
      <c r="E175" s="83"/>
      <c r="F175" s="83"/>
      <c r="G175" s="83"/>
      <c r="H175" s="84"/>
      <c r="I175" s="36"/>
    </row>
    <row r="176" spans="1:14" s="37" customFormat="1" x14ac:dyDescent="0.25">
      <c r="A176" s="42">
        <v>1</v>
      </c>
      <c r="B176" s="42" t="s">
        <v>258</v>
      </c>
      <c r="C176" s="42" t="s">
        <v>257</v>
      </c>
      <c r="D176" s="42">
        <f>20.93*10.764</f>
        <v>225.29051999999999</v>
      </c>
      <c r="E176" s="42">
        <v>0</v>
      </c>
      <c r="F176" s="42">
        <f>(D176+E176)*(($F$138)+1)</f>
        <v>360.464832</v>
      </c>
      <c r="G176" s="76" t="str">
        <f>A175</f>
        <v>Ground Floor For Commercial, Public Toilet, &amp; Parking</v>
      </c>
      <c r="H176" s="94"/>
      <c r="I176" s="36"/>
    </row>
    <row r="177" spans="1:13" s="37" customFormat="1" x14ac:dyDescent="0.25">
      <c r="A177" s="42">
        <f t="shared" ref="A177" si="14">A176+1</f>
        <v>2</v>
      </c>
      <c r="B177" s="42" t="s">
        <v>258</v>
      </c>
      <c r="C177" s="42" t="s">
        <v>257</v>
      </c>
      <c r="D177" s="42">
        <f>20.92*10.764</f>
        <v>225.18288000000001</v>
      </c>
      <c r="E177" s="42">
        <v>0</v>
      </c>
      <c r="F177" s="42">
        <f>(D177+E177)*(($F$138)+1)</f>
        <v>360.29260800000003</v>
      </c>
      <c r="G177" s="78"/>
      <c r="H177" s="96"/>
      <c r="I177" s="58">
        <f>4.47*4.68</f>
        <v>20.919599999999999</v>
      </c>
    </row>
    <row r="178" spans="1:13" s="35" customFormat="1" x14ac:dyDescent="0.25">
      <c r="A178" s="85"/>
      <c r="B178" s="86"/>
      <c r="C178" s="86"/>
      <c r="D178" s="86"/>
      <c r="E178" s="86"/>
      <c r="F178" s="86"/>
      <c r="G178" s="86"/>
      <c r="H178" s="87"/>
    </row>
    <row r="179" spans="1:13" s="35" customFormat="1" ht="34.5" customHeight="1" x14ac:dyDescent="0.25">
      <c r="A179" s="142" t="s">
        <v>119</v>
      </c>
      <c r="B179" s="135" t="s">
        <v>260</v>
      </c>
      <c r="C179" s="135" t="s">
        <v>57</v>
      </c>
      <c r="D179" s="135" t="s">
        <v>58</v>
      </c>
      <c r="E179" s="183" t="s">
        <v>59</v>
      </c>
      <c r="F179" s="54" t="s">
        <v>315</v>
      </c>
      <c r="G179" s="142" t="s">
        <v>60</v>
      </c>
      <c r="H179" s="185"/>
    </row>
    <row r="180" spans="1:13" s="35" customFormat="1" hidden="1" x14ac:dyDescent="0.25">
      <c r="A180" s="143"/>
      <c r="B180" s="136"/>
      <c r="C180" s="136"/>
      <c r="D180" s="136"/>
      <c r="E180" s="184"/>
      <c r="F180" s="13">
        <v>0.55000000000000004</v>
      </c>
      <c r="G180" s="143"/>
      <c r="H180" s="186"/>
    </row>
    <row r="181" spans="1:13" s="35" customFormat="1" x14ac:dyDescent="0.25">
      <c r="A181" s="82" t="s">
        <v>256</v>
      </c>
      <c r="B181" s="83"/>
      <c r="C181" s="83"/>
      <c r="D181" s="83"/>
      <c r="E181" s="83"/>
      <c r="F181" s="83"/>
      <c r="G181" s="83"/>
      <c r="H181" s="84"/>
    </row>
    <row r="182" spans="1:13" x14ac:dyDescent="0.25">
      <c r="A182" s="82" t="s">
        <v>272</v>
      </c>
      <c r="B182" s="83"/>
      <c r="C182" s="83"/>
      <c r="D182" s="83"/>
      <c r="E182" s="83"/>
      <c r="F182" s="83"/>
      <c r="G182" s="83"/>
      <c r="H182" s="84"/>
    </row>
    <row r="183" spans="1:13" ht="15.75" customHeight="1" x14ac:dyDescent="0.25">
      <c r="A183" s="42">
        <v>1</v>
      </c>
      <c r="B183" s="42" t="s">
        <v>273</v>
      </c>
      <c r="C183" s="76" t="s">
        <v>70</v>
      </c>
      <c r="D183" s="94"/>
      <c r="E183" s="94"/>
      <c r="F183" s="77"/>
      <c r="G183" s="76" t="str">
        <f>A182</f>
        <v>1st Floor For Part residential &amp; Podium</v>
      </c>
      <c r="H183" s="77"/>
    </row>
    <row r="184" spans="1:13" ht="15.75" customHeight="1" x14ac:dyDescent="0.25">
      <c r="A184" s="42">
        <f t="shared" ref="A184:A186" si="15">A183+1</f>
        <v>2</v>
      </c>
      <c r="B184" s="42" t="s">
        <v>273</v>
      </c>
      <c r="C184" s="80"/>
      <c r="D184" s="95"/>
      <c r="E184" s="95"/>
      <c r="F184" s="81"/>
      <c r="G184" s="78"/>
      <c r="H184" s="79"/>
    </row>
    <row r="185" spans="1:13" ht="15.75" customHeight="1" x14ac:dyDescent="0.25">
      <c r="A185" s="42">
        <f t="shared" si="15"/>
        <v>3</v>
      </c>
      <c r="B185" s="42" t="s">
        <v>259</v>
      </c>
      <c r="C185" s="42" t="s">
        <v>274</v>
      </c>
      <c r="D185" s="42">
        <f>35.2*10.764</f>
        <v>378.89280000000002</v>
      </c>
      <c r="E185" s="42">
        <v>0</v>
      </c>
      <c r="F185" s="42">
        <v>614</v>
      </c>
      <c r="G185" s="78"/>
      <c r="H185" s="79"/>
      <c r="I185" s="59">
        <f>(4.25*2.7+3.2*2.1+3.2*2.6+1.2*2.02+2*1.2+0.8*2.1+0.6*1.17)</f>
        <v>33.720999999999997</v>
      </c>
      <c r="J185" s="21">
        <f>0.75*(2.7+2.1+2.6)</f>
        <v>5.5500000000000007</v>
      </c>
      <c r="L185" s="21">
        <v>614</v>
      </c>
      <c r="M185" s="63">
        <f>L185/D185</f>
        <v>1.6205111313806966</v>
      </c>
    </row>
    <row r="186" spans="1:13" ht="15.75" customHeight="1" x14ac:dyDescent="0.25">
      <c r="A186" s="42">
        <f t="shared" si="15"/>
        <v>4</v>
      </c>
      <c r="B186" s="42" t="s">
        <v>259</v>
      </c>
      <c r="C186" s="42" t="s">
        <v>274</v>
      </c>
      <c r="D186" s="42">
        <f>35.93*10.764</f>
        <v>386.75051999999999</v>
      </c>
      <c r="E186" s="42">
        <v>0</v>
      </c>
      <c r="F186" s="42">
        <v>614</v>
      </c>
      <c r="G186" s="80"/>
      <c r="H186" s="81"/>
      <c r="I186" s="59">
        <f>(4.25*2.7+3.2*2.1+3.2*2.6+1.2*2.02+2*1.2+0.8*2.1+0.6*1.17)</f>
        <v>33.720999999999997</v>
      </c>
      <c r="J186" s="21">
        <f>0.75*(2.7+2.1+2.6)</f>
        <v>5.5500000000000007</v>
      </c>
      <c r="L186" s="21">
        <v>614</v>
      </c>
      <c r="M186" s="63">
        <f>L186/D186</f>
        <v>1.5875867471361125</v>
      </c>
    </row>
    <row r="187" spans="1:13" x14ac:dyDescent="0.25">
      <c r="A187" s="82" t="s">
        <v>279</v>
      </c>
      <c r="B187" s="83"/>
      <c r="C187" s="83"/>
      <c r="D187" s="83"/>
      <c r="E187" s="83"/>
      <c r="F187" s="83"/>
      <c r="G187" s="83"/>
      <c r="H187" s="84"/>
    </row>
    <row r="188" spans="1:13" ht="15.75" customHeight="1" x14ac:dyDescent="0.25">
      <c r="A188" s="42">
        <v>1</v>
      </c>
      <c r="B188" s="42" t="s">
        <v>273</v>
      </c>
      <c r="C188" s="76" t="s">
        <v>70</v>
      </c>
      <c r="D188" s="94"/>
      <c r="E188" s="94"/>
      <c r="F188" s="77"/>
      <c r="G188" s="76" t="str">
        <f>A187</f>
        <v>2nd &amp; 3rd Floor For Part residential &amp; Podium</v>
      </c>
      <c r="H188" s="77"/>
    </row>
    <row r="189" spans="1:13" ht="15.75" customHeight="1" x14ac:dyDescent="0.25">
      <c r="A189" s="42">
        <f t="shared" ref="A189:A191" si="16">A188+1</f>
        <v>2</v>
      </c>
      <c r="B189" s="42" t="s">
        <v>273</v>
      </c>
      <c r="C189" s="80"/>
      <c r="D189" s="95"/>
      <c r="E189" s="95"/>
      <c r="F189" s="81"/>
      <c r="G189" s="78"/>
      <c r="H189" s="79"/>
    </row>
    <row r="190" spans="1:13" ht="15.75" customHeight="1" x14ac:dyDescent="0.25">
      <c r="A190" s="42">
        <f t="shared" si="16"/>
        <v>3</v>
      </c>
      <c r="B190" s="42" t="s">
        <v>259</v>
      </c>
      <c r="C190" s="42" t="s">
        <v>274</v>
      </c>
      <c r="D190" s="42">
        <f>35.2*10.764</f>
        <v>378.89280000000002</v>
      </c>
      <c r="E190" s="42">
        <v>0</v>
      </c>
      <c r="F190" s="42">
        <v>614</v>
      </c>
      <c r="G190" s="78"/>
      <c r="H190" s="79"/>
      <c r="I190" s="59"/>
    </row>
    <row r="191" spans="1:13" ht="15.75" customHeight="1" x14ac:dyDescent="0.25">
      <c r="A191" s="42">
        <f t="shared" si="16"/>
        <v>4</v>
      </c>
      <c r="B191" s="42" t="s">
        <v>259</v>
      </c>
      <c r="C191" s="42" t="s">
        <v>274</v>
      </c>
      <c r="D191" s="42">
        <f>35.93*10.764</f>
        <v>386.75051999999999</v>
      </c>
      <c r="E191" s="42">
        <v>0</v>
      </c>
      <c r="F191" s="42">
        <v>614</v>
      </c>
      <c r="G191" s="80"/>
      <c r="H191" s="81"/>
      <c r="I191" s="59"/>
    </row>
    <row r="192" spans="1:13" x14ac:dyDescent="0.25">
      <c r="A192" s="82" t="s">
        <v>286</v>
      </c>
      <c r="B192" s="83"/>
      <c r="C192" s="83"/>
      <c r="D192" s="83"/>
      <c r="E192" s="83"/>
      <c r="F192" s="83"/>
      <c r="G192" s="83"/>
      <c r="H192" s="84"/>
    </row>
    <row r="193" spans="1:13" ht="15.75" customHeight="1" x14ac:dyDescent="0.25">
      <c r="A193" s="42">
        <v>1</v>
      </c>
      <c r="B193" s="42" t="s">
        <v>259</v>
      </c>
      <c r="C193" s="42" t="s">
        <v>274</v>
      </c>
      <c r="D193" s="42">
        <f>34.52*10.764</f>
        <v>371.57328000000001</v>
      </c>
      <c r="E193" s="42">
        <v>0</v>
      </c>
      <c r="F193" s="42">
        <f>D193*1.62</f>
        <v>601.94871360000002</v>
      </c>
      <c r="G193" s="76" t="str">
        <f>A192</f>
        <v>4th Floor For residential &amp; Car Lift Machine Room</v>
      </c>
      <c r="H193" s="77"/>
    </row>
    <row r="194" spans="1:13" ht="15.75" customHeight="1" x14ac:dyDescent="0.25">
      <c r="A194" s="42">
        <f t="shared" ref="A194:A196" si="17">A193+1</f>
        <v>2</v>
      </c>
      <c r="B194" s="42" t="s">
        <v>273</v>
      </c>
      <c r="C194" s="85" t="s">
        <v>281</v>
      </c>
      <c r="D194" s="86"/>
      <c r="E194" s="86"/>
      <c r="F194" s="87"/>
      <c r="G194" s="78"/>
      <c r="H194" s="79"/>
      <c r="L194" s="24">
        <f>D193*1.62</f>
        <v>601.94871360000002</v>
      </c>
    </row>
    <row r="195" spans="1:13" ht="15.75" customHeight="1" x14ac:dyDescent="0.25">
      <c r="A195" s="42">
        <f t="shared" si="17"/>
        <v>3</v>
      </c>
      <c r="B195" s="42" t="s">
        <v>259</v>
      </c>
      <c r="C195" s="42" t="s">
        <v>274</v>
      </c>
      <c r="D195" s="42">
        <f>35.2*10.764</f>
        <v>378.89280000000002</v>
      </c>
      <c r="E195" s="42">
        <v>0</v>
      </c>
      <c r="F195" s="42">
        <v>614</v>
      </c>
      <c r="G195" s="78"/>
      <c r="H195" s="79"/>
      <c r="I195" s="59"/>
    </row>
    <row r="196" spans="1:13" ht="15.75" customHeight="1" x14ac:dyDescent="0.25">
      <c r="A196" s="42">
        <f t="shared" si="17"/>
        <v>4</v>
      </c>
      <c r="B196" s="42" t="s">
        <v>259</v>
      </c>
      <c r="C196" s="42" t="s">
        <v>274</v>
      </c>
      <c r="D196" s="42">
        <f>35.93*10.764</f>
        <v>386.75051999999999</v>
      </c>
      <c r="E196" s="42">
        <v>0</v>
      </c>
      <c r="F196" s="42">
        <v>614</v>
      </c>
      <c r="G196" s="80"/>
      <c r="H196" s="81"/>
      <c r="I196" s="59"/>
    </row>
    <row r="197" spans="1:13" x14ac:dyDescent="0.25">
      <c r="A197" s="82" t="s">
        <v>290</v>
      </c>
      <c r="B197" s="83"/>
      <c r="C197" s="83"/>
      <c r="D197" s="83"/>
      <c r="E197" s="83"/>
      <c r="F197" s="83"/>
      <c r="G197" s="83"/>
      <c r="H197" s="84"/>
    </row>
    <row r="198" spans="1:13" ht="15.75" customHeight="1" x14ac:dyDescent="0.25">
      <c r="A198" s="42">
        <v>1</v>
      </c>
      <c r="B198" s="42" t="s">
        <v>259</v>
      </c>
      <c r="C198" s="42" t="s">
        <v>289</v>
      </c>
      <c r="D198" s="42">
        <f>22.41*10.764</f>
        <v>241.22123999999999</v>
      </c>
      <c r="E198" s="42">
        <v>0</v>
      </c>
      <c r="F198" s="42">
        <v>392</v>
      </c>
      <c r="G198" s="76" t="str">
        <f>A197</f>
        <v>5th Floor For residential</v>
      </c>
      <c r="H198" s="77"/>
      <c r="L198" s="21">
        <v>392</v>
      </c>
      <c r="M198" s="64">
        <f>L198/D198</f>
        <v>1.625064194181242</v>
      </c>
    </row>
    <row r="199" spans="1:13" ht="15.75" customHeight="1" x14ac:dyDescent="0.25">
      <c r="A199" s="42">
        <f t="shared" ref="A199:A201" si="18">A198+1</f>
        <v>2</v>
      </c>
      <c r="B199" s="42" t="s">
        <v>259</v>
      </c>
      <c r="C199" s="42" t="s">
        <v>274</v>
      </c>
      <c r="D199" s="42">
        <f>35.2*10.764</f>
        <v>378.89280000000002</v>
      </c>
      <c r="E199" s="42">
        <v>0</v>
      </c>
      <c r="F199" s="42">
        <v>601</v>
      </c>
      <c r="G199" s="78"/>
      <c r="H199" s="79"/>
      <c r="L199" s="21">
        <v>601</v>
      </c>
      <c r="M199" s="64">
        <f t="shared" ref="M199:M201" si="19">L199/D199</f>
        <v>1.5862006351136786</v>
      </c>
    </row>
    <row r="200" spans="1:13" ht="15.75" customHeight="1" x14ac:dyDescent="0.25">
      <c r="A200" s="42">
        <f t="shared" si="18"/>
        <v>3</v>
      </c>
      <c r="B200" s="42" t="s">
        <v>259</v>
      </c>
      <c r="C200" s="42" t="s">
        <v>274</v>
      </c>
      <c r="D200" s="42">
        <f>35.2*10.764</f>
        <v>378.89280000000002</v>
      </c>
      <c r="E200" s="42">
        <v>0</v>
      </c>
      <c r="F200" s="42">
        <v>614</v>
      </c>
      <c r="G200" s="78"/>
      <c r="H200" s="79"/>
      <c r="I200" s="59"/>
      <c r="L200" s="21">
        <v>614</v>
      </c>
      <c r="M200" s="64">
        <f t="shared" si="19"/>
        <v>1.6205111313806966</v>
      </c>
    </row>
    <row r="201" spans="1:13" ht="15.75" customHeight="1" x14ac:dyDescent="0.25">
      <c r="A201" s="42">
        <f t="shared" si="18"/>
        <v>4</v>
      </c>
      <c r="B201" s="42" t="s">
        <v>259</v>
      </c>
      <c r="C201" s="42" t="s">
        <v>274</v>
      </c>
      <c r="D201" s="42">
        <f>35.93*10.764</f>
        <v>386.75051999999999</v>
      </c>
      <c r="E201" s="42">
        <v>0</v>
      </c>
      <c r="F201" s="42">
        <v>614</v>
      </c>
      <c r="G201" s="80"/>
      <c r="H201" s="81"/>
      <c r="I201" s="59"/>
      <c r="L201" s="21">
        <v>614</v>
      </c>
      <c r="M201" s="64">
        <f t="shared" si="19"/>
        <v>1.5875867471361125</v>
      </c>
    </row>
    <row r="202" spans="1:13" ht="15.75" customHeight="1" x14ac:dyDescent="0.25">
      <c r="A202" s="82" t="s">
        <v>304</v>
      </c>
      <c r="B202" s="83"/>
      <c r="C202" s="83"/>
      <c r="D202" s="83"/>
      <c r="E202" s="83"/>
      <c r="F202" s="83"/>
      <c r="G202" s="83"/>
      <c r="H202" s="84"/>
    </row>
    <row r="203" spans="1:13" ht="15.75" customHeight="1" x14ac:dyDescent="0.25">
      <c r="A203" s="42">
        <v>1</v>
      </c>
      <c r="B203" s="42" t="s">
        <v>259</v>
      </c>
      <c r="C203" s="42" t="s">
        <v>289</v>
      </c>
      <c r="D203" s="42">
        <f>22.41*10.764</f>
        <v>241.22123999999999</v>
      </c>
      <c r="E203" s="42">
        <v>0</v>
      </c>
      <c r="F203" s="42">
        <v>392</v>
      </c>
      <c r="G203" s="76" t="str">
        <f>A202</f>
        <v>6th &amp; 7th Floor</v>
      </c>
      <c r="H203" s="77"/>
      <c r="I203" s="21">
        <f>F203/D203</f>
        <v>1.625064194181242</v>
      </c>
    </row>
    <row r="204" spans="1:13" ht="15.75" customHeight="1" x14ac:dyDescent="0.25">
      <c r="A204" s="42">
        <f t="shared" ref="A204:A206" si="20">A203+1</f>
        <v>2</v>
      </c>
      <c r="B204" s="42" t="s">
        <v>259</v>
      </c>
      <c r="C204" s="42" t="s">
        <v>274</v>
      </c>
      <c r="D204" s="42">
        <f>35.2*10.764</f>
        <v>378.89280000000002</v>
      </c>
      <c r="E204" s="42">
        <v>0</v>
      </c>
      <c r="F204" s="42">
        <v>601</v>
      </c>
      <c r="G204" s="78"/>
      <c r="H204" s="79"/>
      <c r="I204" s="21">
        <f t="shared" ref="I204:I206" si="21">F204/D204</f>
        <v>1.5862006351136786</v>
      </c>
    </row>
    <row r="205" spans="1:13" ht="15.75" customHeight="1" x14ac:dyDescent="0.25">
      <c r="A205" s="42">
        <f t="shared" si="20"/>
        <v>3</v>
      </c>
      <c r="B205" s="42" t="s">
        <v>259</v>
      </c>
      <c r="C205" s="42" t="s">
        <v>274</v>
      </c>
      <c r="D205" s="42">
        <f>35.2*10.764</f>
        <v>378.89280000000002</v>
      </c>
      <c r="E205" s="42">
        <v>0</v>
      </c>
      <c r="F205" s="42">
        <v>614</v>
      </c>
      <c r="G205" s="78"/>
      <c r="H205" s="79"/>
      <c r="I205" s="21">
        <f t="shared" si="21"/>
        <v>1.6205111313806966</v>
      </c>
    </row>
    <row r="206" spans="1:13" ht="15.75" customHeight="1" x14ac:dyDescent="0.25">
      <c r="A206" s="42">
        <f t="shared" si="20"/>
        <v>4</v>
      </c>
      <c r="B206" s="42" t="s">
        <v>259</v>
      </c>
      <c r="C206" s="42" t="s">
        <v>274</v>
      </c>
      <c r="D206" s="42">
        <f>35.93*10.764</f>
        <v>386.75051999999999</v>
      </c>
      <c r="E206" s="42">
        <v>0</v>
      </c>
      <c r="F206" s="42">
        <v>614</v>
      </c>
      <c r="G206" s="80"/>
      <c r="H206" s="81"/>
      <c r="I206" s="21">
        <f t="shared" si="21"/>
        <v>1.5875867471361125</v>
      </c>
    </row>
    <row r="207" spans="1:13" x14ac:dyDescent="0.25">
      <c r="A207" s="82" t="s">
        <v>303</v>
      </c>
      <c r="B207" s="83"/>
      <c r="C207" s="83"/>
      <c r="D207" s="83"/>
      <c r="E207" s="83"/>
      <c r="F207" s="83"/>
      <c r="G207" s="83"/>
      <c r="H207" s="84"/>
    </row>
    <row r="208" spans="1:13" ht="15.75" customHeight="1" x14ac:dyDescent="0.25">
      <c r="A208" s="42">
        <v>1</v>
      </c>
      <c r="B208" s="42" t="s">
        <v>259</v>
      </c>
      <c r="C208" s="42" t="s">
        <v>289</v>
      </c>
      <c r="D208" s="42">
        <f>22.41*10.764</f>
        <v>241.22123999999999</v>
      </c>
      <c r="E208" s="42">
        <v>0</v>
      </c>
      <c r="F208" s="42">
        <v>392</v>
      </c>
      <c r="G208" s="76" t="str">
        <f>A207</f>
        <v>8th Floor (Part Refuge Area)</v>
      </c>
      <c r="H208" s="77"/>
    </row>
    <row r="209" spans="1:9" ht="15.75" customHeight="1" x14ac:dyDescent="0.25">
      <c r="A209" s="42">
        <f t="shared" ref="A209:A211" si="22">A208+1</f>
        <v>2</v>
      </c>
      <c r="B209" s="42" t="s">
        <v>259</v>
      </c>
      <c r="C209" s="42" t="s">
        <v>274</v>
      </c>
      <c r="D209" s="42">
        <f>35.2*10.764</f>
        <v>378.89280000000002</v>
      </c>
      <c r="E209" s="42">
        <v>0</v>
      </c>
      <c r="F209" s="42">
        <v>601</v>
      </c>
      <c r="G209" s="78"/>
      <c r="H209" s="79"/>
    </row>
    <row r="210" spans="1:9" ht="15.75" customHeight="1" x14ac:dyDescent="0.25">
      <c r="A210" s="42">
        <f t="shared" si="22"/>
        <v>3</v>
      </c>
      <c r="B210" s="42" t="s">
        <v>259</v>
      </c>
      <c r="C210" s="42" t="s">
        <v>276</v>
      </c>
      <c r="D210" s="42">
        <f>47.31*10.764</f>
        <v>509.24484000000001</v>
      </c>
      <c r="E210" s="42">
        <v>0</v>
      </c>
      <c r="F210" s="42">
        <v>614</v>
      </c>
      <c r="G210" s="78"/>
      <c r="H210" s="79"/>
      <c r="I210" s="59"/>
    </row>
    <row r="211" spans="1:9" ht="15.75" customHeight="1" x14ac:dyDescent="0.25">
      <c r="A211" s="42">
        <f t="shared" si="22"/>
        <v>4</v>
      </c>
      <c r="B211" s="42" t="s">
        <v>273</v>
      </c>
      <c r="C211" s="85" t="s">
        <v>296</v>
      </c>
      <c r="D211" s="86"/>
      <c r="E211" s="86"/>
      <c r="F211" s="87"/>
      <c r="G211" s="80"/>
      <c r="H211" s="81"/>
      <c r="I211" s="59"/>
    </row>
    <row r="212" spans="1:9" ht="15.75" customHeight="1" x14ac:dyDescent="0.25">
      <c r="A212" s="82" t="s">
        <v>302</v>
      </c>
      <c r="B212" s="83"/>
      <c r="C212" s="83"/>
      <c r="D212" s="83"/>
      <c r="E212" s="83"/>
      <c r="F212" s="83"/>
      <c r="G212" s="83"/>
      <c r="H212" s="84"/>
    </row>
    <row r="213" spans="1:9" ht="15.75" customHeight="1" x14ac:dyDescent="0.25">
      <c r="A213" s="42">
        <v>1</v>
      </c>
      <c r="B213" s="42" t="s">
        <v>259</v>
      </c>
      <c r="C213" s="42" t="s">
        <v>289</v>
      </c>
      <c r="D213" s="42">
        <f>22.41*10.764</f>
        <v>241.22123999999999</v>
      </c>
      <c r="E213" s="42">
        <v>0</v>
      </c>
      <c r="F213" s="42">
        <v>392</v>
      </c>
      <c r="G213" s="76" t="str">
        <f>A212</f>
        <v>9th &amp; 10th Floor</v>
      </c>
      <c r="H213" s="77"/>
      <c r="I213" s="21">
        <f t="shared" ref="I213:I216" si="23">F213/D213</f>
        <v>1.625064194181242</v>
      </c>
    </row>
    <row r="214" spans="1:9" ht="15.75" customHeight="1" x14ac:dyDescent="0.25">
      <c r="A214" s="42">
        <f t="shared" ref="A214:A216" si="24">A213+1</f>
        <v>2</v>
      </c>
      <c r="B214" s="42" t="s">
        <v>259</v>
      </c>
      <c r="C214" s="42" t="s">
        <v>274</v>
      </c>
      <c r="D214" s="42">
        <f>35.2*10.764</f>
        <v>378.89280000000002</v>
      </c>
      <c r="E214" s="42">
        <v>0</v>
      </c>
      <c r="F214" s="42">
        <v>601</v>
      </c>
      <c r="G214" s="78"/>
      <c r="H214" s="79"/>
      <c r="I214" s="21">
        <f t="shared" si="23"/>
        <v>1.5862006351136786</v>
      </c>
    </row>
    <row r="215" spans="1:9" ht="15.75" customHeight="1" x14ac:dyDescent="0.25">
      <c r="A215" s="42">
        <f t="shared" si="24"/>
        <v>3</v>
      </c>
      <c r="B215" s="42" t="s">
        <v>259</v>
      </c>
      <c r="C215" s="42" t="s">
        <v>274</v>
      </c>
      <c r="D215" s="42">
        <f>35.2*10.764</f>
        <v>378.89280000000002</v>
      </c>
      <c r="E215" s="42">
        <v>0</v>
      </c>
      <c r="F215" s="42">
        <v>614</v>
      </c>
      <c r="G215" s="78"/>
      <c r="H215" s="79"/>
      <c r="I215" s="21">
        <f t="shared" si="23"/>
        <v>1.6205111313806966</v>
      </c>
    </row>
    <row r="216" spans="1:9" ht="15.75" customHeight="1" x14ac:dyDescent="0.25">
      <c r="A216" s="42">
        <f t="shared" si="24"/>
        <v>4</v>
      </c>
      <c r="B216" s="42" t="s">
        <v>259</v>
      </c>
      <c r="C216" s="42" t="s">
        <v>274</v>
      </c>
      <c r="D216" s="42">
        <f>35.93*10.764</f>
        <v>386.75051999999999</v>
      </c>
      <c r="E216" s="42">
        <v>0</v>
      </c>
      <c r="F216" s="42">
        <v>614</v>
      </c>
      <c r="G216" s="80"/>
      <c r="H216" s="81"/>
      <c r="I216" s="21">
        <f t="shared" si="23"/>
        <v>1.5875867471361125</v>
      </c>
    </row>
    <row r="217" spans="1:9" ht="15.75" customHeight="1" x14ac:dyDescent="0.25">
      <c r="A217" s="82" t="s">
        <v>301</v>
      </c>
      <c r="B217" s="83"/>
      <c r="C217" s="83"/>
      <c r="D217" s="83"/>
      <c r="E217" s="83"/>
      <c r="F217" s="83"/>
      <c r="G217" s="83"/>
      <c r="H217" s="84"/>
    </row>
    <row r="218" spans="1:9" ht="15.75" customHeight="1" x14ac:dyDescent="0.25">
      <c r="A218" s="42">
        <v>1</v>
      </c>
      <c r="B218" s="42" t="s">
        <v>259</v>
      </c>
      <c r="C218" s="42" t="s">
        <v>289</v>
      </c>
      <c r="D218" s="42">
        <f>22.41*10.764</f>
        <v>241.22123999999999</v>
      </c>
      <c r="E218" s="42">
        <v>0</v>
      </c>
      <c r="F218" s="42">
        <v>392</v>
      </c>
      <c r="G218" s="76" t="str">
        <f>A217</f>
        <v>11th Floor</v>
      </c>
      <c r="H218" s="77"/>
    </row>
    <row r="219" spans="1:9" ht="15.75" customHeight="1" x14ac:dyDescent="0.25">
      <c r="A219" s="42">
        <f t="shared" ref="A219:A221" si="25">A218+1</f>
        <v>2</v>
      </c>
      <c r="B219" s="42" t="s">
        <v>259</v>
      </c>
      <c r="C219" s="42" t="s">
        <v>274</v>
      </c>
      <c r="D219" s="42">
        <f>35.2*10.764</f>
        <v>378.89280000000002</v>
      </c>
      <c r="E219" s="42">
        <v>0</v>
      </c>
      <c r="F219" s="42">
        <v>601</v>
      </c>
      <c r="G219" s="78"/>
      <c r="H219" s="79"/>
    </row>
    <row r="220" spans="1:9" ht="15.75" customHeight="1" x14ac:dyDescent="0.25">
      <c r="A220" s="42">
        <f t="shared" si="25"/>
        <v>3</v>
      </c>
      <c r="B220" s="42" t="s">
        <v>259</v>
      </c>
      <c r="C220" s="42" t="s">
        <v>274</v>
      </c>
      <c r="D220" s="42">
        <f>35.2*10.764</f>
        <v>378.89280000000002</v>
      </c>
      <c r="E220" s="42">
        <v>0</v>
      </c>
      <c r="F220" s="42">
        <v>614</v>
      </c>
      <c r="G220" s="78"/>
      <c r="H220" s="79"/>
      <c r="I220" s="59"/>
    </row>
    <row r="221" spans="1:9" ht="15.75" customHeight="1" x14ac:dyDescent="0.25">
      <c r="A221" s="42">
        <f t="shared" si="25"/>
        <v>4</v>
      </c>
      <c r="B221" s="42" t="s">
        <v>259</v>
      </c>
      <c r="C221" s="42" t="s">
        <v>274</v>
      </c>
      <c r="D221" s="42">
        <f>35.93*10.764</f>
        <v>386.75051999999999</v>
      </c>
      <c r="E221" s="42">
        <v>0</v>
      </c>
      <c r="F221" s="42">
        <v>614</v>
      </c>
      <c r="G221" s="80"/>
      <c r="H221" s="81"/>
      <c r="I221" s="59"/>
    </row>
    <row r="222" spans="1:9" ht="15.75" customHeight="1" x14ac:dyDescent="0.25">
      <c r="A222" s="82" t="s">
        <v>300</v>
      </c>
      <c r="B222" s="83"/>
      <c r="C222" s="83"/>
      <c r="D222" s="83"/>
      <c r="E222" s="83"/>
      <c r="F222" s="83"/>
      <c r="G222" s="83"/>
      <c r="H222" s="84"/>
    </row>
    <row r="223" spans="1:9" ht="15.75" customHeight="1" x14ac:dyDescent="0.25">
      <c r="A223" s="42">
        <v>1</v>
      </c>
      <c r="B223" s="42" t="s">
        <v>259</v>
      </c>
      <c r="C223" s="42" t="s">
        <v>289</v>
      </c>
      <c r="D223" s="42">
        <f>22.41*10.764</f>
        <v>241.22123999999999</v>
      </c>
      <c r="E223" s="42">
        <v>0</v>
      </c>
      <c r="F223" s="42">
        <v>392</v>
      </c>
      <c r="G223" s="76" t="str">
        <f>A222</f>
        <v>12th to 14th Floor</v>
      </c>
      <c r="H223" s="77"/>
    </row>
    <row r="224" spans="1:9" ht="15.75" customHeight="1" x14ac:dyDescent="0.25">
      <c r="A224" s="42">
        <f t="shared" ref="A224:A226" si="26">A223+1</f>
        <v>2</v>
      </c>
      <c r="B224" s="42" t="s">
        <v>259</v>
      </c>
      <c r="C224" s="42" t="s">
        <v>274</v>
      </c>
      <c r="D224" s="42">
        <f>35.2*10.764</f>
        <v>378.89280000000002</v>
      </c>
      <c r="E224" s="42">
        <v>0</v>
      </c>
      <c r="F224" s="42">
        <v>601</v>
      </c>
      <c r="G224" s="78"/>
      <c r="H224" s="79"/>
    </row>
    <row r="225" spans="1:9" ht="15.75" customHeight="1" x14ac:dyDescent="0.25">
      <c r="A225" s="42">
        <f t="shared" si="26"/>
        <v>3</v>
      </c>
      <c r="B225" s="42" t="s">
        <v>259</v>
      </c>
      <c r="C225" s="42" t="s">
        <v>274</v>
      </c>
      <c r="D225" s="42">
        <f>35.2*10.764</f>
        <v>378.89280000000002</v>
      </c>
      <c r="E225" s="42">
        <v>0</v>
      </c>
      <c r="F225" s="42">
        <v>614</v>
      </c>
      <c r="G225" s="78"/>
      <c r="H225" s="79"/>
      <c r="I225" s="59"/>
    </row>
    <row r="226" spans="1:9" ht="15.75" customHeight="1" x14ac:dyDescent="0.25">
      <c r="A226" s="42">
        <f t="shared" si="26"/>
        <v>4</v>
      </c>
      <c r="B226" s="42" t="s">
        <v>259</v>
      </c>
      <c r="C226" s="42" t="s">
        <v>274</v>
      </c>
      <c r="D226" s="42">
        <f>35.93*10.764</f>
        <v>386.75051999999999</v>
      </c>
      <c r="E226" s="42">
        <v>0</v>
      </c>
      <c r="F226" s="42">
        <v>614</v>
      </c>
      <c r="G226" s="80"/>
      <c r="H226" s="81"/>
      <c r="I226" s="59"/>
    </row>
    <row r="227" spans="1:9" ht="15.75" customHeight="1" x14ac:dyDescent="0.25">
      <c r="A227" s="82" t="s">
        <v>298</v>
      </c>
      <c r="B227" s="83"/>
      <c r="C227" s="83"/>
      <c r="D227" s="83"/>
      <c r="E227" s="83"/>
      <c r="F227" s="83"/>
      <c r="G227" s="83"/>
      <c r="H227" s="84"/>
    </row>
    <row r="228" spans="1:9" ht="15.75" customHeight="1" x14ac:dyDescent="0.25">
      <c r="A228" s="42">
        <v>1</v>
      </c>
      <c r="B228" s="42" t="s">
        <v>259</v>
      </c>
      <c r="C228" s="42" t="s">
        <v>289</v>
      </c>
      <c r="D228" s="42">
        <f>22.41*10.764</f>
        <v>241.22123999999999</v>
      </c>
      <c r="E228" s="42">
        <v>0</v>
      </c>
      <c r="F228" s="42">
        <v>392</v>
      </c>
      <c r="G228" s="76" t="str">
        <f>A227</f>
        <v>15th Floor (Part Refuge Area)</v>
      </c>
      <c r="H228" s="77"/>
    </row>
    <row r="229" spans="1:9" ht="15.75" customHeight="1" x14ac:dyDescent="0.25">
      <c r="A229" s="42">
        <f t="shared" ref="A229:A231" si="27">A228+1</f>
        <v>2</v>
      </c>
      <c r="B229" s="42" t="s">
        <v>259</v>
      </c>
      <c r="C229" s="42" t="s">
        <v>274</v>
      </c>
      <c r="D229" s="42">
        <f>35.2*10.764</f>
        <v>378.89280000000002</v>
      </c>
      <c r="E229" s="42">
        <v>0</v>
      </c>
      <c r="F229" s="42">
        <v>601</v>
      </c>
      <c r="G229" s="78"/>
      <c r="H229" s="79"/>
    </row>
    <row r="230" spans="1:9" ht="15.75" customHeight="1" x14ac:dyDescent="0.25">
      <c r="A230" s="42">
        <f t="shared" si="27"/>
        <v>3</v>
      </c>
      <c r="B230" s="42" t="s">
        <v>259</v>
      </c>
      <c r="C230" s="42" t="s">
        <v>274</v>
      </c>
      <c r="D230" s="42">
        <f>35.2*10.764</f>
        <v>378.89280000000002</v>
      </c>
      <c r="E230" s="42">
        <v>0</v>
      </c>
      <c r="F230" s="42">
        <v>614</v>
      </c>
      <c r="G230" s="78"/>
      <c r="H230" s="79"/>
      <c r="I230" s="59"/>
    </row>
    <row r="231" spans="1:9" ht="15.75" customHeight="1" x14ac:dyDescent="0.25">
      <c r="A231" s="42">
        <f t="shared" si="27"/>
        <v>4</v>
      </c>
      <c r="B231" s="42" t="s">
        <v>273</v>
      </c>
      <c r="C231" s="85" t="s">
        <v>296</v>
      </c>
      <c r="D231" s="86"/>
      <c r="E231" s="86"/>
      <c r="F231" s="87"/>
      <c r="G231" s="80"/>
      <c r="H231" s="81"/>
      <c r="I231" s="59"/>
    </row>
    <row r="232" spans="1:9" ht="15.75" customHeight="1" x14ac:dyDescent="0.25">
      <c r="A232" s="82" t="s">
        <v>299</v>
      </c>
      <c r="B232" s="83"/>
      <c r="C232" s="83"/>
      <c r="D232" s="83"/>
      <c r="E232" s="83"/>
      <c r="F232" s="83"/>
      <c r="G232" s="83"/>
      <c r="H232" s="84"/>
    </row>
    <row r="233" spans="1:9" ht="15.75" customHeight="1" x14ac:dyDescent="0.25">
      <c r="A233" s="42">
        <v>1</v>
      </c>
      <c r="B233" s="42" t="s">
        <v>259</v>
      </c>
      <c r="C233" s="42" t="s">
        <v>289</v>
      </c>
      <c r="D233" s="42">
        <f>22.41*10.764</f>
        <v>241.22123999999999</v>
      </c>
      <c r="E233" s="42">
        <v>0</v>
      </c>
      <c r="F233" s="42">
        <v>392</v>
      </c>
      <c r="G233" s="76" t="str">
        <f>A232</f>
        <v>16th Floor</v>
      </c>
      <c r="H233" s="77"/>
    </row>
    <row r="234" spans="1:9" ht="15.75" customHeight="1" x14ac:dyDescent="0.25">
      <c r="A234" s="42">
        <f t="shared" ref="A234:A236" si="28">A233+1</f>
        <v>2</v>
      </c>
      <c r="B234" s="42" t="s">
        <v>259</v>
      </c>
      <c r="C234" s="42" t="s">
        <v>274</v>
      </c>
      <c r="D234" s="42">
        <f>35.2*10.764</f>
        <v>378.89280000000002</v>
      </c>
      <c r="E234" s="42">
        <v>0</v>
      </c>
      <c r="F234" s="42">
        <v>601</v>
      </c>
      <c r="G234" s="78"/>
      <c r="H234" s="79"/>
    </row>
    <row r="235" spans="1:9" ht="15.75" customHeight="1" x14ac:dyDescent="0.25">
      <c r="A235" s="42">
        <f t="shared" si="28"/>
        <v>3</v>
      </c>
      <c r="B235" s="42" t="s">
        <v>259</v>
      </c>
      <c r="C235" s="42" t="s">
        <v>274</v>
      </c>
      <c r="D235" s="42">
        <f>35.2*10.764</f>
        <v>378.89280000000002</v>
      </c>
      <c r="E235" s="42">
        <v>0</v>
      </c>
      <c r="F235" s="42">
        <v>614</v>
      </c>
      <c r="G235" s="78"/>
      <c r="H235" s="79"/>
      <c r="I235" s="59"/>
    </row>
    <row r="236" spans="1:9" ht="15.75" customHeight="1" x14ac:dyDescent="0.25">
      <c r="A236" s="42">
        <f t="shared" si="28"/>
        <v>4</v>
      </c>
      <c r="B236" s="42" t="s">
        <v>259</v>
      </c>
      <c r="C236" s="42" t="s">
        <v>274</v>
      </c>
      <c r="D236" s="42">
        <f>35.93*10.764</f>
        <v>386.75051999999999</v>
      </c>
      <c r="E236" s="42">
        <v>0</v>
      </c>
      <c r="F236" s="42">
        <v>614</v>
      </c>
      <c r="G236" s="80"/>
      <c r="H236" s="81"/>
      <c r="I236" s="59"/>
    </row>
    <row r="237" spans="1:9" ht="15.75" customHeight="1" x14ac:dyDescent="0.25">
      <c r="A237" s="82" t="s">
        <v>297</v>
      </c>
      <c r="B237" s="83"/>
      <c r="C237" s="83"/>
      <c r="D237" s="83"/>
      <c r="E237" s="83"/>
      <c r="F237" s="83"/>
      <c r="G237" s="83"/>
      <c r="H237" s="84"/>
    </row>
    <row r="238" spans="1:9" ht="15.75" customHeight="1" x14ac:dyDescent="0.25">
      <c r="A238" s="42">
        <v>1</v>
      </c>
      <c r="B238" s="42" t="s">
        <v>259</v>
      </c>
      <c r="C238" s="42" t="s">
        <v>289</v>
      </c>
      <c r="D238" s="42">
        <f>22.41*10.764</f>
        <v>241.22123999999999</v>
      </c>
      <c r="E238" s="42">
        <v>0</v>
      </c>
      <c r="F238" s="42">
        <v>392</v>
      </c>
      <c r="G238" s="76" t="str">
        <f>A237</f>
        <v xml:space="preserve">17th Floor </v>
      </c>
      <c r="H238" s="77"/>
    </row>
    <row r="239" spans="1:9" ht="15.75" customHeight="1" x14ac:dyDescent="0.25">
      <c r="A239" s="42">
        <f t="shared" ref="A239:A241" si="29">A238+1</f>
        <v>2</v>
      </c>
      <c r="B239" s="42" t="s">
        <v>259</v>
      </c>
      <c r="C239" s="42" t="s">
        <v>274</v>
      </c>
      <c r="D239" s="42">
        <f>35.2*10.764</f>
        <v>378.89280000000002</v>
      </c>
      <c r="E239" s="42">
        <v>0</v>
      </c>
      <c r="F239" s="42">
        <v>601</v>
      </c>
      <c r="G239" s="78"/>
      <c r="H239" s="79"/>
    </row>
    <row r="240" spans="1:9" ht="15.75" customHeight="1" x14ac:dyDescent="0.25">
      <c r="A240" s="42">
        <f t="shared" si="29"/>
        <v>3</v>
      </c>
      <c r="B240" s="42" t="s">
        <v>259</v>
      </c>
      <c r="C240" s="42" t="s">
        <v>274</v>
      </c>
      <c r="D240" s="42">
        <f>35.2*10.764</f>
        <v>378.89280000000002</v>
      </c>
      <c r="E240" s="42">
        <v>0</v>
      </c>
      <c r="F240" s="42">
        <v>614</v>
      </c>
      <c r="G240" s="78"/>
      <c r="H240" s="79"/>
      <c r="I240" s="59"/>
    </row>
    <row r="241" spans="1:13" ht="15.75" customHeight="1" x14ac:dyDescent="0.25">
      <c r="A241" s="42">
        <f t="shared" si="29"/>
        <v>4</v>
      </c>
      <c r="B241" s="42" t="s">
        <v>259</v>
      </c>
      <c r="C241" s="42" t="s">
        <v>274</v>
      </c>
      <c r="D241" s="42">
        <f>35.93*10.764</f>
        <v>386.75051999999999</v>
      </c>
      <c r="E241" s="42">
        <v>0</v>
      </c>
      <c r="F241" s="42">
        <v>614</v>
      </c>
      <c r="G241" s="80"/>
      <c r="H241" s="81"/>
      <c r="I241" s="59"/>
    </row>
    <row r="242" spans="1:13" s="35" customFormat="1" x14ac:dyDescent="0.25">
      <c r="A242" s="82" t="s">
        <v>261</v>
      </c>
      <c r="B242" s="83"/>
      <c r="C242" s="83"/>
      <c r="D242" s="83"/>
      <c r="E242" s="83"/>
      <c r="F242" s="83"/>
      <c r="G242" s="83"/>
      <c r="H242" s="84"/>
    </row>
    <row r="243" spans="1:13" x14ac:dyDescent="0.25">
      <c r="A243" s="82" t="s">
        <v>272</v>
      </c>
      <c r="B243" s="83"/>
      <c r="C243" s="83"/>
      <c r="D243" s="83"/>
      <c r="E243" s="83"/>
      <c r="F243" s="83"/>
      <c r="G243" s="83"/>
      <c r="H243" s="84"/>
    </row>
    <row r="244" spans="1:13" ht="15.75" customHeight="1" x14ac:dyDescent="0.25">
      <c r="A244" s="42">
        <v>1</v>
      </c>
      <c r="B244" s="42" t="s">
        <v>259</v>
      </c>
      <c r="C244" s="42" t="s">
        <v>274</v>
      </c>
      <c r="D244" s="42">
        <f>36.66*10.764</f>
        <v>394.60823999999997</v>
      </c>
      <c r="E244" s="42">
        <v>0</v>
      </c>
      <c r="F244" s="65">
        <v>631</v>
      </c>
      <c r="G244" s="76" t="str">
        <f>A243</f>
        <v>1st Floor For Part residential &amp; Podium</v>
      </c>
      <c r="H244" s="77"/>
      <c r="I244" s="59">
        <f>(4.6*2.68+3.2*2.1+3.2*2.6+1.2*2.02+2*1.2+0.8*2.1+0.6*1.17)</f>
        <v>34.573999999999998</v>
      </c>
      <c r="L244" s="24">
        <v>631</v>
      </c>
      <c r="M244" s="62">
        <f>L244/D244</f>
        <v>1.5990542924293727</v>
      </c>
    </row>
    <row r="245" spans="1:13" ht="15.75" customHeight="1" x14ac:dyDescent="0.25">
      <c r="A245" s="42">
        <f t="shared" ref="A245:A250" si="30">A244+1</f>
        <v>2</v>
      </c>
      <c r="B245" s="42" t="s">
        <v>259</v>
      </c>
      <c r="C245" s="42" t="s">
        <v>274</v>
      </c>
      <c r="D245" s="42">
        <f>36.62*10.764</f>
        <v>394.17767999999995</v>
      </c>
      <c r="E245" s="42">
        <v>0</v>
      </c>
      <c r="F245" s="66">
        <v>631</v>
      </c>
      <c r="G245" s="78"/>
      <c r="H245" s="79"/>
      <c r="I245" s="59">
        <f>(4.6*2.68+3.2*2.1+3.2*2.6+1.2*2.1+2*1.2+0.8*2.1+0.6*1.25)</f>
        <v>34.718000000000004</v>
      </c>
      <c r="L245" s="21">
        <v>631</v>
      </c>
      <c r="M245" s="62">
        <f t="shared" ref="M245:M247" si="31">L245/D245</f>
        <v>1.6008009382976736</v>
      </c>
    </row>
    <row r="246" spans="1:13" ht="15.75" customHeight="1" x14ac:dyDescent="0.25">
      <c r="A246" s="42">
        <f t="shared" si="30"/>
        <v>3</v>
      </c>
      <c r="B246" s="42" t="s">
        <v>259</v>
      </c>
      <c r="C246" s="42" t="s">
        <v>274</v>
      </c>
      <c r="D246" s="42">
        <f>37.61*10.764</f>
        <v>404.83403999999996</v>
      </c>
      <c r="E246" s="42">
        <v>0</v>
      </c>
      <c r="F246" s="66">
        <v>651</v>
      </c>
      <c r="G246" s="78"/>
      <c r="H246" s="79"/>
      <c r="L246" s="21">
        <v>651</v>
      </c>
      <c r="M246" s="62">
        <f t="shared" si="31"/>
        <v>1.6080663572658072</v>
      </c>
    </row>
    <row r="247" spans="1:13" ht="15.75" customHeight="1" x14ac:dyDescent="0.25">
      <c r="A247" s="42">
        <f t="shared" si="30"/>
        <v>4</v>
      </c>
      <c r="B247" s="42" t="s">
        <v>259</v>
      </c>
      <c r="C247" s="42" t="s">
        <v>274</v>
      </c>
      <c r="D247" s="42">
        <f>29.19*10.764</f>
        <v>314.20116000000002</v>
      </c>
      <c r="E247" s="42">
        <v>0</v>
      </c>
      <c r="F247" s="66">
        <v>506</v>
      </c>
      <c r="G247" s="78"/>
      <c r="H247" s="79"/>
      <c r="L247" s="21">
        <v>506</v>
      </c>
      <c r="M247" s="62">
        <f t="shared" si="31"/>
        <v>1.6104332651095241</v>
      </c>
    </row>
    <row r="248" spans="1:13" ht="15.75" customHeight="1" x14ac:dyDescent="0.25">
      <c r="A248" s="42">
        <f t="shared" si="30"/>
        <v>5</v>
      </c>
      <c r="B248" s="42" t="s">
        <v>259</v>
      </c>
      <c r="C248" s="42" t="s">
        <v>276</v>
      </c>
      <c r="D248" s="42">
        <f>53.08*10.764</f>
        <v>571.35311999999999</v>
      </c>
      <c r="E248" s="42">
        <v>0</v>
      </c>
      <c r="F248" s="66">
        <v>913</v>
      </c>
      <c r="G248" s="78"/>
      <c r="H248" s="79"/>
      <c r="I248" s="59">
        <f>(2.7*5.2+2.02*2.75+2.8*3.85+2.95*3.35+2.25*2.3+1.95*1.2+2*1.2)</f>
        <v>50.172499999999992</v>
      </c>
      <c r="L248" s="21">
        <v>913</v>
      </c>
      <c r="M248" s="62">
        <f>L248/D248</f>
        <v>1.5979609947697495</v>
      </c>
    </row>
    <row r="249" spans="1:13" ht="15.75" customHeight="1" x14ac:dyDescent="0.25">
      <c r="A249" s="42">
        <f t="shared" si="30"/>
        <v>6</v>
      </c>
      <c r="B249" s="42" t="s">
        <v>273</v>
      </c>
      <c r="C249" s="76" t="s">
        <v>70</v>
      </c>
      <c r="D249" s="94"/>
      <c r="E249" s="94"/>
      <c r="F249" s="77"/>
      <c r="G249" s="78"/>
      <c r="H249" s="79"/>
      <c r="L249" s="21">
        <v>498</v>
      </c>
    </row>
    <row r="250" spans="1:13" ht="15.75" customHeight="1" x14ac:dyDescent="0.25">
      <c r="A250" s="42">
        <f t="shared" si="30"/>
        <v>7</v>
      </c>
      <c r="B250" s="42" t="s">
        <v>273</v>
      </c>
      <c r="C250" s="80"/>
      <c r="D250" s="95"/>
      <c r="E250" s="95"/>
      <c r="F250" s="81"/>
      <c r="G250" s="80"/>
      <c r="H250" s="81"/>
      <c r="I250" s="59"/>
    </row>
    <row r="251" spans="1:13" x14ac:dyDescent="0.25">
      <c r="A251" s="82" t="s">
        <v>279</v>
      </c>
      <c r="B251" s="83"/>
      <c r="C251" s="83"/>
      <c r="D251" s="83"/>
      <c r="E251" s="83"/>
      <c r="F251" s="83"/>
      <c r="G251" s="83"/>
      <c r="H251" s="84"/>
    </row>
    <row r="252" spans="1:13" ht="15.75" customHeight="1" x14ac:dyDescent="0.25">
      <c r="A252" s="42">
        <v>1</v>
      </c>
      <c r="B252" s="42" t="s">
        <v>259</v>
      </c>
      <c r="C252" s="42" t="s">
        <v>274</v>
      </c>
      <c r="D252" s="42">
        <f>36.66*10.764</f>
        <v>394.60823999999997</v>
      </c>
      <c r="E252" s="42">
        <v>0</v>
      </c>
      <c r="F252" s="65">
        <v>631</v>
      </c>
      <c r="G252" s="76" t="str">
        <f>A251</f>
        <v>2nd &amp; 3rd Floor For Part residential &amp; Podium</v>
      </c>
      <c r="H252" s="77"/>
      <c r="I252" s="59"/>
    </row>
    <row r="253" spans="1:13" ht="15.75" customHeight="1" x14ac:dyDescent="0.25">
      <c r="A253" s="42">
        <f t="shared" ref="A253:A258" si="32">A252+1</f>
        <v>2</v>
      </c>
      <c r="B253" s="42" t="s">
        <v>259</v>
      </c>
      <c r="C253" s="42" t="s">
        <v>274</v>
      </c>
      <c r="D253" s="42">
        <f>36.62*10.764</f>
        <v>394.17767999999995</v>
      </c>
      <c r="E253" s="42">
        <v>0</v>
      </c>
      <c r="F253" s="66">
        <v>631</v>
      </c>
      <c r="G253" s="78"/>
      <c r="H253" s="79"/>
      <c r="I253" s="59"/>
    </row>
    <row r="254" spans="1:13" ht="15.75" customHeight="1" x14ac:dyDescent="0.25">
      <c r="A254" s="42">
        <f t="shared" si="32"/>
        <v>3</v>
      </c>
      <c r="B254" s="42" t="s">
        <v>259</v>
      </c>
      <c r="C254" s="42" t="s">
        <v>274</v>
      </c>
      <c r="D254" s="42">
        <f>37.61*10.764</f>
        <v>404.83403999999996</v>
      </c>
      <c r="E254" s="42">
        <v>0</v>
      </c>
      <c r="F254" s="66">
        <v>651</v>
      </c>
      <c r="G254" s="78"/>
      <c r="H254" s="79"/>
    </row>
    <row r="255" spans="1:13" ht="15.75" customHeight="1" x14ac:dyDescent="0.25">
      <c r="A255" s="42">
        <f t="shared" si="32"/>
        <v>4</v>
      </c>
      <c r="B255" s="42" t="s">
        <v>259</v>
      </c>
      <c r="C255" s="42" t="s">
        <v>274</v>
      </c>
      <c r="D255" s="42">
        <f>29.19*10.764</f>
        <v>314.20116000000002</v>
      </c>
      <c r="E255" s="42">
        <v>0</v>
      </c>
      <c r="F255" s="66">
        <v>506</v>
      </c>
      <c r="G255" s="78"/>
      <c r="H255" s="79"/>
    </row>
    <row r="256" spans="1:13" ht="15.75" customHeight="1" x14ac:dyDescent="0.25">
      <c r="A256" s="42">
        <f t="shared" si="32"/>
        <v>5</v>
      </c>
      <c r="B256" s="42" t="s">
        <v>259</v>
      </c>
      <c r="C256" s="42" t="s">
        <v>276</v>
      </c>
      <c r="D256" s="42">
        <f>53.08*10.764</f>
        <v>571.35311999999999</v>
      </c>
      <c r="E256" s="42">
        <v>0</v>
      </c>
      <c r="F256" s="66">
        <v>913</v>
      </c>
      <c r="G256" s="78"/>
      <c r="H256" s="79"/>
      <c r="I256" s="59"/>
    </row>
    <row r="257" spans="1:12" ht="15.75" customHeight="1" x14ac:dyDescent="0.25">
      <c r="A257" s="42">
        <f t="shared" si="32"/>
        <v>6</v>
      </c>
      <c r="B257" s="42" t="s">
        <v>273</v>
      </c>
      <c r="C257" s="76" t="s">
        <v>70</v>
      </c>
      <c r="D257" s="94"/>
      <c r="E257" s="94"/>
      <c r="F257" s="77"/>
      <c r="G257" s="78"/>
      <c r="H257" s="79"/>
    </row>
    <row r="258" spans="1:12" ht="15.75" customHeight="1" x14ac:dyDescent="0.25">
      <c r="A258" s="42">
        <f t="shared" si="32"/>
        <v>7</v>
      </c>
      <c r="B258" s="42" t="s">
        <v>273</v>
      </c>
      <c r="C258" s="80"/>
      <c r="D258" s="95"/>
      <c r="E258" s="95"/>
      <c r="F258" s="81"/>
      <c r="G258" s="80"/>
      <c r="H258" s="81"/>
      <c r="I258" s="59"/>
    </row>
    <row r="259" spans="1:12" x14ac:dyDescent="0.25">
      <c r="A259" s="82" t="s">
        <v>285</v>
      </c>
      <c r="B259" s="83"/>
      <c r="C259" s="83"/>
      <c r="D259" s="83"/>
      <c r="E259" s="83"/>
      <c r="F259" s="83"/>
      <c r="G259" s="83"/>
      <c r="H259" s="84"/>
    </row>
    <row r="260" spans="1:12" ht="15.75" customHeight="1" x14ac:dyDescent="0.25">
      <c r="A260" s="42">
        <v>1</v>
      </c>
      <c r="B260" s="42" t="s">
        <v>259</v>
      </c>
      <c r="C260" s="42" t="s">
        <v>274</v>
      </c>
      <c r="D260" s="42">
        <f>36.66*10.764</f>
        <v>394.60823999999997</v>
      </c>
      <c r="E260" s="42">
        <v>0</v>
      </c>
      <c r="F260" s="65">
        <v>631</v>
      </c>
      <c r="G260" s="76" t="str">
        <f>A259</f>
        <v>4th Floor For residential</v>
      </c>
      <c r="H260" s="77"/>
      <c r="I260" s="59"/>
    </row>
    <row r="261" spans="1:12" ht="15.75" customHeight="1" x14ac:dyDescent="0.25">
      <c r="A261" s="42">
        <f t="shared" ref="A261:A266" si="33">A260+1</f>
        <v>2</v>
      </c>
      <c r="B261" s="42" t="s">
        <v>259</v>
      </c>
      <c r="C261" s="42" t="s">
        <v>274</v>
      </c>
      <c r="D261" s="42">
        <f>36.62*10.764</f>
        <v>394.17767999999995</v>
      </c>
      <c r="E261" s="42">
        <v>0</v>
      </c>
      <c r="F261" s="66">
        <v>631</v>
      </c>
      <c r="G261" s="78"/>
      <c r="H261" s="79"/>
      <c r="I261" s="59"/>
    </row>
    <row r="262" spans="1:12" ht="15.75" customHeight="1" x14ac:dyDescent="0.25">
      <c r="A262" s="42">
        <f t="shared" si="33"/>
        <v>3</v>
      </c>
      <c r="B262" s="42" t="s">
        <v>259</v>
      </c>
      <c r="C262" s="42" t="s">
        <v>274</v>
      </c>
      <c r="D262" s="42">
        <f>37.61*10.764</f>
        <v>404.83403999999996</v>
      </c>
      <c r="E262" s="42">
        <v>0</v>
      </c>
      <c r="F262" s="66">
        <v>651</v>
      </c>
      <c r="G262" s="78"/>
      <c r="H262" s="79"/>
    </row>
    <row r="263" spans="1:12" ht="15.75" customHeight="1" x14ac:dyDescent="0.25">
      <c r="A263" s="42">
        <f t="shared" si="33"/>
        <v>4</v>
      </c>
      <c r="B263" s="42" t="s">
        <v>259</v>
      </c>
      <c r="C263" s="42" t="s">
        <v>274</v>
      </c>
      <c r="D263" s="42">
        <f>29.19*10.764</f>
        <v>314.20116000000002</v>
      </c>
      <c r="E263" s="42">
        <v>0</v>
      </c>
      <c r="F263" s="66">
        <v>506</v>
      </c>
      <c r="G263" s="78"/>
      <c r="H263" s="79"/>
    </row>
    <row r="264" spans="1:12" ht="15.75" customHeight="1" x14ac:dyDescent="0.25">
      <c r="A264" s="42">
        <f t="shared" si="33"/>
        <v>5</v>
      </c>
      <c r="B264" s="42" t="s">
        <v>259</v>
      </c>
      <c r="C264" s="42" t="s">
        <v>276</v>
      </c>
      <c r="D264" s="42">
        <f>53.08*10.764</f>
        <v>571.35311999999999</v>
      </c>
      <c r="E264" s="42">
        <v>0</v>
      </c>
      <c r="F264" s="66">
        <v>913</v>
      </c>
      <c r="G264" s="78"/>
      <c r="H264" s="79"/>
      <c r="I264" s="59"/>
    </row>
    <row r="265" spans="1:12" ht="15.75" customHeight="1" x14ac:dyDescent="0.25">
      <c r="A265" s="42">
        <f t="shared" si="33"/>
        <v>6</v>
      </c>
      <c r="B265" s="42" t="s">
        <v>258</v>
      </c>
      <c r="C265" s="42" t="s">
        <v>274</v>
      </c>
      <c r="D265" s="42">
        <f>(2.6*3.9+1.9*2.7+2.52*2.7+1.55*1.2+1.9*1.2+1.9*0.9+2.6*1.05)*10.764</f>
        <v>329.959656</v>
      </c>
      <c r="E265" s="42">
        <v>0</v>
      </c>
      <c r="F265" s="65">
        <f>D265*1.6</f>
        <v>527.93544959999997</v>
      </c>
      <c r="G265" s="78"/>
      <c r="H265" s="96"/>
      <c r="I265" s="61"/>
      <c r="J265" s="208" t="s">
        <v>313</v>
      </c>
      <c r="K265" s="208"/>
      <c r="L265" s="208"/>
    </row>
    <row r="266" spans="1:12" ht="15.75" customHeight="1" x14ac:dyDescent="0.25">
      <c r="A266" s="42">
        <f t="shared" si="33"/>
        <v>7</v>
      </c>
      <c r="B266" s="42" t="s">
        <v>258</v>
      </c>
      <c r="C266" s="42" t="s">
        <v>274</v>
      </c>
      <c r="D266" s="42">
        <f>(2.6*3.9+1.9*2.7+2.52*2.7+1.55*1.2+1.9*1.2+1.9*0.9+2.6*1.05)*10.764</f>
        <v>329.959656</v>
      </c>
      <c r="E266" s="42">
        <v>0</v>
      </c>
      <c r="F266" s="65">
        <f>D266*1.6</f>
        <v>527.93544959999997</v>
      </c>
      <c r="G266" s="80"/>
      <c r="H266" s="81"/>
      <c r="I266" s="59"/>
    </row>
    <row r="267" spans="1:12" x14ac:dyDescent="0.25">
      <c r="A267" s="82" t="s">
        <v>309</v>
      </c>
      <c r="B267" s="83"/>
      <c r="C267" s="83"/>
      <c r="D267" s="83"/>
      <c r="E267" s="83"/>
      <c r="F267" s="83"/>
      <c r="G267" s="83"/>
      <c r="H267" s="84"/>
    </row>
    <row r="268" spans="1:12" ht="15.75" customHeight="1" x14ac:dyDescent="0.25">
      <c r="A268" s="42">
        <v>1</v>
      </c>
      <c r="B268" s="42" t="s">
        <v>259</v>
      </c>
      <c r="C268" s="42" t="s">
        <v>274</v>
      </c>
      <c r="D268" s="42">
        <f>36.66*10.764</f>
        <v>394.60823999999997</v>
      </c>
      <c r="E268" s="42">
        <v>0</v>
      </c>
      <c r="F268" s="65">
        <v>631</v>
      </c>
      <c r="G268" s="76" t="str">
        <f>A267</f>
        <v>5th Floor</v>
      </c>
      <c r="H268" s="77"/>
      <c r="I268" s="21">
        <f t="shared" ref="I268:I274" si="34">F268/D268</f>
        <v>1.5990542924293727</v>
      </c>
    </row>
    <row r="269" spans="1:12" ht="15.75" customHeight="1" x14ac:dyDescent="0.25">
      <c r="A269" s="42">
        <f t="shared" ref="A269:A274" si="35">A268+1</f>
        <v>2</v>
      </c>
      <c r="B269" s="42" t="s">
        <v>259</v>
      </c>
      <c r="C269" s="42" t="s">
        <v>274</v>
      </c>
      <c r="D269" s="42">
        <f>36.62*10.764</f>
        <v>394.17767999999995</v>
      </c>
      <c r="E269" s="42">
        <v>0</v>
      </c>
      <c r="F269" s="66">
        <v>631</v>
      </c>
      <c r="G269" s="78"/>
      <c r="H269" s="79"/>
      <c r="I269" s="21">
        <f t="shared" si="34"/>
        <v>1.6008009382976736</v>
      </c>
    </row>
    <row r="270" spans="1:12" ht="15.75" customHeight="1" x14ac:dyDescent="0.25">
      <c r="A270" s="42">
        <f t="shared" si="35"/>
        <v>3</v>
      </c>
      <c r="B270" s="42" t="s">
        <v>259</v>
      </c>
      <c r="C270" s="42" t="s">
        <v>274</v>
      </c>
      <c r="D270" s="42">
        <f>37.61*10.764</f>
        <v>404.83403999999996</v>
      </c>
      <c r="E270" s="42">
        <v>0</v>
      </c>
      <c r="F270" s="66">
        <v>651</v>
      </c>
      <c r="G270" s="78"/>
      <c r="H270" s="79"/>
      <c r="I270" s="21">
        <f t="shared" si="34"/>
        <v>1.6080663572658072</v>
      </c>
    </row>
    <row r="271" spans="1:12" ht="15.75" customHeight="1" x14ac:dyDescent="0.25">
      <c r="A271" s="42">
        <f t="shared" si="35"/>
        <v>4</v>
      </c>
      <c r="B271" s="42" t="s">
        <v>259</v>
      </c>
      <c r="C271" s="42" t="s">
        <v>274</v>
      </c>
      <c r="D271" s="42">
        <f>29.19*10.764</f>
        <v>314.20116000000002</v>
      </c>
      <c r="E271" s="42">
        <v>0</v>
      </c>
      <c r="F271" s="66">
        <v>506</v>
      </c>
      <c r="G271" s="78"/>
      <c r="H271" s="79"/>
      <c r="I271" s="21">
        <f t="shared" si="34"/>
        <v>1.6104332651095241</v>
      </c>
    </row>
    <row r="272" spans="1:12" ht="15.75" customHeight="1" x14ac:dyDescent="0.25">
      <c r="A272" s="42">
        <f t="shared" si="35"/>
        <v>5</v>
      </c>
      <c r="B272" s="42" t="s">
        <v>259</v>
      </c>
      <c r="C272" s="42" t="s">
        <v>276</v>
      </c>
      <c r="D272" s="42">
        <f>53.08*10.764</f>
        <v>571.35311999999999</v>
      </c>
      <c r="E272" s="42">
        <v>0</v>
      </c>
      <c r="F272" s="66">
        <v>913</v>
      </c>
      <c r="G272" s="78"/>
      <c r="H272" s="79"/>
      <c r="I272" s="21">
        <f t="shared" si="34"/>
        <v>1.5979609947697495</v>
      </c>
    </row>
    <row r="273" spans="1:13" ht="15.75" customHeight="1" x14ac:dyDescent="0.25">
      <c r="A273" s="42">
        <f t="shared" si="35"/>
        <v>6</v>
      </c>
      <c r="B273" s="42" t="s">
        <v>258</v>
      </c>
      <c r="C273" s="42" t="s">
        <v>274</v>
      </c>
      <c r="D273" s="42">
        <f>(2.6*3.9+1.9*2.7+2.52*2.7+1.55*1.2+1.9*1.2+1.9*0.9+2.6*1.05)*10.764</f>
        <v>329.959656</v>
      </c>
      <c r="E273" s="42">
        <v>0</v>
      </c>
      <c r="F273" s="65">
        <f>D273*1.6</f>
        <v>527.93544959999997</v>
      </c>
      <c r="G273" s="78"/>
      <c r="H273" s="96"/>
      <c r="I273" s="21">
        <f t="shared" si="34"/>
        <v>1.5999999999999999</v>
      </c>
    </row>
    <row r="274" spans="1:13" ht="15.75" customHeight="1" x14ac:dyDescent="0.25">
      <c r="A274" s="42">
        <f t="shared" si="35"/>
        <v>7</v>
      </c>
      <c r="B274" s="42" t="s">
        <v>258</v>
      </c>
      <c r="C274" s="42" t="s">
        <v>274</v>
      </c>
      <c r="D274" s="42">
        <f>(2.6*3.9+1.9*2.7+2.52*2.7+1.55*1.2+1.9*1.2+1.9*0.9+2.6*1.05)*10.764</f>
        <v>329.959656</v>
      </c>
      <c r="E274" s="42">
        <v>0</v>
      </c>
      <c r="F274" s="65">
        <f>D274*1.6</f>
        <v>527.93544959999997</v>
      </c>
      <c r="G274" s="80"/>
      <c r="H274" s="81"/>
      <c r="I274" s="21">
        <f t="shared" si="34"/>
        <v>1.5999999999999999</v>
      </c>
    </row>
    <row r="275" spans="1:13" ht="15.75" customHeight="1" x14ac:dyDescent="0.25">
      <c r="A275" s="82" t="s">
        <v>304</v>
      </c>
      <c r="B275" s="83"/>
      <c r="C275" s="83"/>
      <c r="D275" s="83"/>
      <c r="E275" s="83"/>
      <c r="F275" s="83"/>
      <c r="G275" s="83"/>
      <c r="H275" s="84"/>
    </row>
    <row r="276" spans="1:13" ht="15.75" customHeight="1" x14ac:dyDescent="0.25">
      <c r="A276" s="42">
        <v>1</v>
      </c>
      <c r="B276" s="42" t="s">
        <v>259</v>
      </c>
      <c r="C276" s="42" t="s">
        <v>274</v>
      </c>
      <c r="D276" s="42">
        <f>36.66*10.764</f>
        <v>394.60823999999997</v>
      </c>
      <c r="E276" s="42">
        <v>0</v>
      </c>
      <c r="F276" s="65">
        <v>631</v>
      </c>
      <c r="G276" s="76" t="str">
        <f>A275</f>
        <v>6th &amp; 7th Floor</v>
      </c>
      <c r="H276" s="94"/>
      <c r="I276" s="59"/>
      <c r="L276" s="65">
        <v>631</v>
      </c>
      <c r="M276" s="62">
        <f>L276/D276</f>
        <v>1.5990542924293727</v>
      </c>
    </row>
    <row r="277" spans="1:13" ht="15.75" customHeight="1" x14ac:dyDescent="0.25">
      <c r="A277" s="42">
        <f t="shared" ref="A277:A282" si="36">A276+1</f>
        <v>2</v>
      </c>
      <c r="B277" s="42" t="s">
        <v>259</v>
      </c>
      <c r="C277" s="42" t="s">
        <v>274</v>
      </c>
      <c r="D277" s="42">
        <f>36.62*10.764</f>
        <v>394.17767999999995</v>
      </c>
      <c r="E277" s="42">
        <v>0</v>
      </c>
      <c r="F277" s="66">
        <v>631</v>
      </c>
      <c r="G277" s="78"/>
      <c r="H277" s="96"/>
      <c r="I277" s="59"/>
      <c r="L277" s="66">
        <v>631</v>
      </c>
      <c r="M277" s="62">
        <f t="shared" ref="M277:M280" si="37">L277/D277</f>
        <v>1.6008009382976736</v>
      </c>
    </row>
    <row r="278" spans="1:13" ht="15.75" customHeight="1" x14ac:dyDescent="0.25">
      <c r="A278" s="42">
        <f t="shared" si="36"/>
        <v>3</v>
      </c>
      <c r="B278" s="42" t="s">
        <v>259</v>
      </c>
      <c r="C278" s="42" t="s">
        <v>274</v>
      </c>
      <c r="D278" s="42">
        <f>37.61*10.764</f>
        <v>404.83403999999996</v>
      </c>
      <c r="E278" s="42">
        <v>0</v>
      </c>
      <c r="F278" s="66">
        <v>651</v>
      </c>
      <c r="G278" s="78"/>
      <c r="H278" s="96"/>
      <c r="L278" s="66">
        <v>651</v>
      </c>
      <c r="M278" s="62">
        <f t="shared" si="37"/>
        <v>1.6080663572658072</v>
      </c>
    </row>
    <row r="279" spans="1:13" ht="15.75" customHeight="1" x14ac:dyDescent="0.25">
      <c r="A279" s="42">
        <f t="shared" si="36"/>
        <v>4</v>
      </c>
      <c r="B279" s="42" t="s">
        <v>259</v>
      </c>
      <c r="C279" s="42" t="s">
        <v>274</v>
      </c>
      <c r="D279" s="42">
        <f>29.19*10.764</f>
        <v>314.20116000000002</v>
      </c>
      <c r="E279" s="42">
        <v>0</v>
      </c>
      <c r="F279" s="66">
        <v>506</v>
      </c>
      <c r="G279" s="78"/>
      <c r="H279" s="96"/>
      <c r="L279" s="66">
        <v>506</v>
      </c>
      <c r="M279" s="62">
        <f t="shared" si="37"/>
        <v>1.6104332651095241</v>
      </c>
    </row>
    <row r="280" spans="1:13" ht="15.75" customHeight="1" x14ac:dyDescent="0.25">
      <c r="A280" s="42">
        <f t="shared" si="36"/>
        <v>5</v>
      </c>
      <c r="B280" s="42" t="s">
        <v>259</v>
      </c>
      <c r="C280" s="42" t="s">
        <v>276</v>
      </c>
      <c r="D280" s="42">
        <f>53.08*10.764</f>
        <v>571.35311999999999</v>
      </c>
      <c r="E280" s="42">
        <v>0</v>
      </c>
      <c r="F280" s="66">
        <v>913</v>
      </c>
      <c r="G280" s="78"/>
      <c r="H280" s="96"/>
      <c r="I280" s="59"/>
      <c r="L280" s="66">
        <v>913</v>
      </c>
      <c r="M280" s="62">
        <f t="shared" si="37"/>
        <v>1.5979609947697495</v>
      </c>
    </row>
    <row r="281" spans="1:13" ht="15.75" customHeight="1" x14ac:dyDescent="0.25">
      <c r="A281" s="42">
        <f t="shared" si="36"/>
        <v>6</v>
      </c>
      <c r="B281" s="42" t="s">
        <v>258</v>
      </c>
      <c r="C281" s="42" t="s">
        <v>274</v>
      </c>
      <c r="D281" s="42">
        <f>(2.6*3.9+1.9*2.7+2.52*2.7+1.55*1.2+1.9*1.2+1.9*0.9+2.6*1.05)*10.764</f>
        <v>329.959656</v>
      </c>
      <c r="E281" s="42">
        <v>0</v>
      </c>
      <c r="F281" s="65">
        <f>D281*1.6</f>
        <v>527.93544959999997</v>
      </c>
      <c r="G281" s="78"/>
      <c r="H281" s="96"/>
      <c r="I281" s="61"/>
      <c r="L281" s="65">
        <f>D281*1.6</f>
        <v>527.93544959999997</v>
      </c>
      <c r="M281" s="62">
        <f>L281/D281</f>
        <v>1.5999999999999999</v>
      </c>
    </row>
    <row r="282" spans="1:13" ht="15.75" customHeight="1" x14ac:dyDescent="0.25">
      <c r="A282" s="42">
        <f t="shared" si="36"/>
        <v>7</v>
      </c>
      <c r="B282" s="42" t="s">
        <v>258</v>
      </c>
      <c r="C282" s="42" t="s">
        <v>274</v>
      </c>
      <c r="D282" s="42">
        <f>(2.6*3.9+1.9*2.7+2.52*2.7+1.55*1.2+1.9*1.2+1.9*0.9+2.6*1.05)*10.764</f>
        <v>329.959656</v>
      </c>
      <c r="E282" s="42">
        <v>0</v>
      </c>
      <c r="F282" s="65">
        <f>D282*1.6</f>
        <v>527.93544959999997</v>
      </c>
      <c r="G282" s="80"/>
      <c r="H282" s="95"/>
      <c r="I282" s="59"/>
      <c r="L282" s="66">
        <v>498</v>
      </c>
      <c r="M282" s="62">
        <f>L282/D281</f>
        <v>1.5092754248719424</v>
      </c>
    </row>
    <row r="283" spans="1:13" ht="15.75" customHeight="1" x14ac:dyDescent="0.25">
      <c r="A283" s="82" t="s">
        <v>303</v>
      </c>
      <c r="B283" s="83"/>
      <c r="C283" s="83"/>
      <c r="D283" s="83"/>
      <c r="E283" s="83"/>
      <c r="F283" s="83"/>
      <c r="G283" s="83"/>
      <c r="H283" s="84"/>
    </row>
    <row r="284" spans="1:13" ht="15.75" customHeight="1" x14ac:dyDescent="0.25">
      <c r="A284" s="42">
        <v>1</v>
      </c>
      <c r="B284" s="42" t="s">
        <v>273</v>
      </c>
      <c r="C284" s="76" t="s">
        <v>296</v>
      </c>
      <c r="D284" s="94"/>
      <c r="E284" s="94"/>
      <c r="F284" s="77"/>
      <c r="G284" s="76" t="str">
        <f>A283</f>
        <v>8th Floor (Part Refuge Area)</v>
      </c>
      <c r="H284" s="77"/>
      <c r="I284" s="59"/>
    </row>
    <row r="285" spans="1:13" ht="15.75" customHeight="1" x14ac:dyDescent="0.25">
      <c r="A285" s="42">
        <f t="shared" ref="A285:A290" si="38">A284+1</f>
        <v>2</v>
      </c>
      <c r="B285" s="42" t="s">
        <v>273</v>
      </c>
      <c r="C285" s="80"/>
      <c r="D285" s="95"/>
      <c r="E285" s="95"/>
      <c r="F285" s="81"/>
      <c r="G285" s="78"/>
      <c r="H285" s="79"/>
      <c r="I285" s="59"/>
    </row>
    <row r="286" spans="1:13" ht="15.75" customHeight="1" x14ac:dyDescent="0.25">
      <c r="A286" s="42">
        <f t="shared" si="38"/>
        <v>3</v>
      </c>
      <c r="B286" s="42" t="s">
        <v>259</v>
      </c>
      <c r="C286" s="42" t="s">
        <v>274</v>
      </c>
      <c r="D286" s="42">
        <f>37.61*10.764</f>
        <v>404.83403999999996</v>
      </c>
      <c r="E286" s="42">
        <v>0</v>
      </c>
      <c r="F286" s="66">
        <v>651</v>
      </c>
      <c r="G286" s="78"/>
      <c r="H286" s="79"/>
    </row>
    <row r="287" spans="1:13" ht="15.75" customHeight="1" x14ac:dyDescent="0.25">
      <c r="A287" s="42">
        <f t="shared" si="38"/>
        <v>4</v>
      </c>
      <c r="B287" s="42" t="s">
        <v>259</v>
      </c>
      <c r="C287" s="42" t="s">
        <v>274</v>
      </c>
      <c r="D287" s="42">
        <f>29.19*10.764</f>
        <v>314.20116000000002</v>
      </c>
      <c r="E287" s="42">
        <v>0</v>
      </c>
      <c r="F287" s="66">
        <v>506</v>
      </c>
      <c r="G287" s="78"/>
      <c r="H287" s="79"/>
    </row>
    <row r="288" spans="1:13" ht="15.75" customHeight="1" x14ac:dyDescent="0.25">
      <c r="A288" s="42">
        <f t="shared" si="38"/>
        <v>5</v>
      </c>
      <c r="B288" s="42" t="s">
        <v>259</v>
      </c>
      <c r="C288" s="42" t="s">
        <v>276</v>
      </c>
      <c r="D288" s="42">
        <f>53.08*10.764</f>
        <v>571.35311999999999</v>
      </c>
      <c r="E288" s="42">
        <v>0</v>
      </c>
      <c r="F288" s="66">
        <v>913</v>
      </c>
      <c r="G288" s="78"/>
      <c r="H288" s="79"/>
      <c r="I288" s="59"/>
    </row>
    <row r="289" spans="1:12" ht="15.75" customHeight="1" x14ac:dyDescent="0.25">
      <c r="A289" s="42">
        <f t="shared" si="38"/>
        <v>6</v>
      </c>
      <c r="B289" s="42" t="s">
        <v>258</v>
      </c>
      <c r="C289" s="42" t="s">
        <v>274</v>
      </c>
      <c r="D289" s="42">
        <f>(2.6*3.9+1.9*2.7+2.52*2.7+1.55*1.2+1.9*1.2+1.9*0.9+2.6*1.05)*10.764</f>
        <v>329.959656</v>
      </c>
      <c r="E289" s="42">
        <v>0</v>
      </c>
      <c r="F289" s="65">
        <f>D289*1.6</f>
        <v>527.93544959999997</v>
      </c>
      <c r="G289" s="78"/>
      <c r="H289" s="96"/>
      <c r="I289" s="61"/>
    </row>
    <row r="290" spans="1:12" ht="15.75" customHeight="1" x14ac:dyDescent="0.25">
      <c r="A290" s="42">
        <f t="shared" si="38"/>
        <v>7</v>
      </c>
      <c r="B290" s="42" t="s">
        <v>258</v>
      </c>
      <c r="C290" s="42" t="s">
        <v>274</v>
      </c>
      <c r="D290" s="42">
        <f>(2.6*3.9+1.9*2.7+2.52*2.7+1.55*1.2+1.9*1.2+1.9*0.9+2.6*1.05)*10.764</f>
        <v>329.959656</v>
      </c>
      <c r="E290" s="42">
        <v>0</v>
      </c>
      <c r="F290" s="65">
        <f>D290*1.6</f>
        <v>527.93544959999997</v>
      </c>
      <c r="G290" s="80"/>
      <c r="H290" s="81"/>
      <c r="I290" s="59"/>
    </row>
    <row r="291" spans="1:12" ht="15.75" customHeight="1" x14ac:dyDescent="0.25">
      <c r="A291" s="82" t="s">
        <v>302</v>
      </c>
      <c r="B291" s="83"/>
      <c r="C291" s="83"/>
      <c r="D291" s="83"/>
      <c r="E291" s="83"/>
      <c r="F291" s="83"/>
      <c r="G291" s="83"/>
      <c r="H291" s="84"/>
    </row>
    <row r="292" spans="1:12" ht="15.75" customHeight="1" x14ac:dyDescent="0.25">
      <c r="A292" s="42">
        <v>1</v>
      </c>
      <c r="B292" s="42" t="s">
        <v>259</v>
      </c>
      <c r="C292" s="42" t="s">
        <v>274</v>
      </c>
      <c r="D292" s="42">
        <f>36.66*10.764</f>
        <v>394.60823999999997</v>
      </c>
      <c r="E292" s="42">
        <v>0</v>
      </c>
      <c r="F292" s="65">
        <v>631</v>
      </c>
      <c r="G292" s="76" t="str">
        <f>A291</f>
        <v>9th &amp; 10th Floor</v>
      </c>
      <c r="H292" s="94"/>
      <c r="I292" s="59"/>
    </row>
    <row r="293" spans="1:12" ht="15.75" customHeight="1" x14ac:dyDescent="0.25">
      <c r="A293" s="42">
        <f t="shared" ref="A293:A298" si="39">A292+1</f>
        <v>2</v>
      </c>
      <c r="B293" s="42" t="s">
        <v>259</v>
      </c>
      <c r="C293" s="42" t="s">
        <v>274</v>
      </c>
      <c r="D293" s="42">
        <f>36.62*10.764</f>
        <v>394.17767999999995</v>
      </c>
      <c r="E293" s="42">
        <v>0</v>
      </c>
      <c r="F293" s="66">
        <v>631</v>
      </c>
      <c r="G293" s="78"/>
      <c r="H293" s="96"/>
      <c r="I293" s="59"/>
      <c r="L293" s="21">
        <f>F293/D293</f>
        <v>1.6008009382976736</v>
      </c>
    </row>
    <row r="294" spans="1:12" ht="15.75" customHeight="1" x14ac:dyDescent="0.25">
      <c r="A294" s="42">
        <f t="shared" si="39"/>
        <v>3</v>
      </c>
      <c r="B294" s="42" t="s">
        <v>259</v>
      </c>
      <c r="C294" s="42" t="s">
        <v>274</v>
      </c>
      <c r="D294" s="42">
        <f>37.61*10.764</f>
        <v>404.83403999999996</v>
      </c>
      <c r="E294" s="42">
        <v>0</v>
      </c>
      <c r="F294" s="66">
        <v>651</v>
      </c>
      <c r="G294" s="78"/>
      <c r="H294" s="96"/>
    </row>
    <row r="295" spans="1:12" ht="15.75" customHeight="1" x14ac:dyDescent="0.25">
      <c r="A295" s="42">
        <f t="shared" si="39"/>
        <v>4</v>
      </c>
      <c r="B295" s="42" t="s">
        <v>259</v>
      </c>
      <c r="C295" s="42" t="s">
        <v>274</v>
      </c>
      <c r="D295" s="42">
        <f>29.19*10.764</f>
        <v>314.20116000000002</v>
      </c>
      <c r="E295" s="42">
        <v>0</v>
      </c>
      <c r="F295" s="66">
        <v>506</v>
      </c>
      <c r="G295" s="78"/>
      <c r="H295" s="96"/>
    </row>
    <row r="296" spans="1:12" ht="15.75" customHeight="1" x14ac:dyDescent="0.25">
      <c r="A296" s="42">
        <f t="shared" si="39"/>
        <v>5</v>
      </c>
      <c r="B296" s="42" t="s">
        <v>259</v>
      </c>
      <c r="C296" s="42" t="s">
        <v>276</v>
      </c>
      <c r="D296" s="42">
        <f>53.08*10.764</f>
        <v>571.35311999999999</v>
      </c>
      <c r="E296" s="42">
        <v>0</v>
      </c>
      <c r="F296" s="66">
        <v>913</v>
      </c>
      <c r="G296" s="78"/>
      <c r="H296" s="96"/>
      <c r="I296" s="59"/>
    </row>
    <row r="297" spans="1:12" ht="15.75" customHeight="1" x14ac:dyDescent="0.25">
      <c r="A297" s="42">
        <f t="shared" si="39"/>
        <v>6</v>
      </c>
      <c r="B297" s="42" t="s">
        <v>259</v>
      </c>
      <c r="C297" s="42" t="s">
        <v>274</v>
      </c>
      <c r="D297" s="42">
        <f>32.67*10.764</f>
        <v>351.65987999999999</v>
      </c>
      <c r="E297" s="42">
        <v>0</v>
      </c>
      <c r="F297" s="65">
        <v>563</v>
      </c>
      <c r="G297" s="78"/>
      <c r="H297" s="96"/>
      <c r="I297" s="61"/>
      <c r="L297" s="24">
        <f>D297*1.6</f>
        <v>562.65580799999998</v>
      </c>
    </row>
    <row r="298" spans="1:12" ht="15.75" customHeight="1" x14ac:dyDescent="0.25">
      <c r="A298" s="42">
        <f t="shared" si="39"/>
        <v>7</v>
      </c>
      <c r="B298" s="42" t="s">
        <v>259</v>
      </c>
      <c r="C298" s="42" t="s">
        <v>274</v>
      </c>
      <c r="D298" s="42">
        <f>32.67*10.764</f>
        <v>351.65987999999999</v>
      </c>
      <c r="E298" s="42">
        <v>0</v>
      </c>
      <c r="F298" s="66">
        <v>563</v>
      </c>
      <c r="G298" s="80"/>
      <c r="H298" s="95"/>
      <c r="I298" s="59"/>
    </row>
    <row r="299" spans="1:12" ht="15.75" customHeight="1" x14ac:dyDescent="0.25">
      <c r="A299" s="82" t="s">
        <v>301</v>
      </c>
      <c r="B299" s="83"/>
      <c r="C299" s="83"/>
      <c r="D299" s="83"/>
      <c r="E299" s="83"/>
      <c r="F299" s="83"/>
      <c r="G299" s="83"/>
      <c r="H299" s="84"/>
    </row>
    <row r="300" spans="1:12" ht="15.75" customHeight="1" x14ac:dyDescent="0.25">
      <c r="A300" s="42">
        <v>1</v>
      </c>
      <c r="B300" s="42" t="s">
        <v>259</v>
      </c>
      <c r="C300" s="42" t="s">
        <v>274</v>
      </c>
      <c r="D300" s="42">
        <f>36.66*10.764</f>
        <v>394.60823999999997</v>
      </c>
      <c r="E300" s="42">
        <v>0</v>
      </c>
      <c r="F300" s="65">
        <v>631</v>
      </c>
      <c r="G300" s="76" t="str">
        <f>A299</f>
        <v>11th Floor</v>
      </c>
      <c r="H300" s="94"/>
      <c r="I300" s="59"/>
    </row>
    <row r="301" spans="1:12" ht="15.75" customHeight="1" x14ac:dyDescent="0.25">
      <c r="A301" s="42">
        <f t="shared" ref="A301:A306" si="40">A300+1</f>
        <v>2</v>
      </c>
      <c r="B301" s="42" t="s">
        <v>259</v>
      </c>
      <c r="C301" s="42" t="s">
        <v>274</v>
      </c>
      <c r="D301" s="42">
        <f>36.62*10.764</f>
        <v>394.17767999999995</v>
      </c>
      <c r="E301" s="42">
        <v>0</v>
      </c>
      <c r="F301" s="66">
        <v>631</v>
      </c>
      <c r="G301" s="78"/>
      <c r="H301" s="96"/>
      <c r="I301" s="59"/>
    </row>
    <row r="302" spans="1:12" ht="15.75" customHeight="1" x14ac:dyDescent="0.25">
      <c r="A302" s="42">
        <f t="shared" si="40"/>
        <v>3</v>
      </c>
      <c r="B302" s="42" t="s">
        <v>259</v>
      </c>
      <c r="C302" s="42" t="s">
        <v>274</v>
      </c>
      <c r="D302" s="42">
        <f>37.61*10.764</f>
        <v>404.83403999999996</v>
      </c>
      <c r="E302" s="42">
        <v>0</v>
      </c>
      <c r="F302" s="66">
        <v>651</v>
      </c>
      <c r="G302" s="78"/>
      <c r="H302" s="96"/>
    </row>
    <row r="303" spans="1:12" ht="15.75" customHeight="1" x14ac:dyDescent="0.25">
      <c r="A303" s="42">
        <f t="shared" si="40"/>
        <v>4</v>
      </c>
      <c r="B303" s="42" t="s">
        <v>259</v>
      </c>
      <c r="C303" s="42" t="s">
        <v>274</v>
      </c>
      <c r="D303" s="42">
        <f>29.19*10.764</f>
        <v>314.20116000000002</v>
      </c>
      <c r="E303" s="42">
        <v>0</v>
      </c>
      <c r="F303" s="66">
        <v>506</v>
      </c>
      <c r="G303" s="78"/>
      <c r="H303" s="96"/>
    </row>
    <row r="304" spans="1:12" ht="15.75" customHeight="1" x14ac:dyDescent="0.25">
      <c r="A304" s="42">
        <f t="shared" si="40"/>
        <v>5</v>
      </c>
      <c r="B304" s="42" t="s">
        <v>259</v>
      </c>
      <c r="C304" s="42" t="s">
        <v>276</v>
      </c>
      <c r="D304" s="42">
        <f>53.08*10.764</f>
        <v>571.35311999999999</v>
      </c>
      <c r="E304" s="42">
        <v>0</v>
      </c>
      <c r="F304" s="66">
        <v>913</v>
      </c>
      <c r="G304" s="78"/>
      <c r="H304" s="96"/>
      <c r="I304" s="59"/>
    </row>
    <row r="305" spans="1:9" ht="15.75" customHeight="1" x14ac:dyDescent="0.25">
      <c r="A305" s="42">
        <f t="shared" si="40"/>
        <v>6</v>
      </c>
      <c r="B305" s="42" t="s">
        <v>259</v>
      </c>
      <c r="C305" s="42" t="s">
        <v>274</v>
      </c>
      <c r="D305" s="42">
        <f>32.67*10.764</f>
        <v>351.65987999999999</v>
      </c>
      <c r="E305" s="42">
        <v>0</v>
      </c>
      <c r="F305" s="65">
        <v>563</v>
      </c>
      <c r="G305" s="78"/>
      <c r="H305" s="96"/>
      <c r="I305" s="61"/>
    </row>
    <row r="306" spans="1:9" ht="15.75" customHeight="1" x14ac:dyDescent="0.25">
      <c r="A306" s="42">
        <f t="shared" si="40"/>
        <v>7</v>
      </c>
      <c r="B306" s="42" t="s">
        <v>259</v>
      </c>
      <c r="C306" s="42" t="s">
        <v>274</v>
      </c>
      <c r="D306" s="42">
        <f>32.67*10.764</f>
        <v>351.65987999999999</v>
      </c>
      <c r="E306" s="42">
        <v>0</v>
      </c>
      <c r="F306" s="66">
        <v>563</v>
      </c>
      <c r="G306" s="80"/>
      <c r="H306" s="95"/>
      <c r="I306" s="59"/>
    </row>
    <row r="307" spans="1:9" ht="15.75" customHeight="1" x14ac:dyDescent="0.25">
      <c r="A307" s="82" t="s">
        <v>322</v>
      </c>
      <c r="B307" s="83"/>
      <c r="C307" s="83"/>
      <c r="D307" s="83"/>
      <c r="E307" s="83"/>
      <c r="F307" s="83"/>
      <c r="G307" s="83"/>
      <c r="H307" s="84"/>
    </row>
    <row r="308" spans="1:9" ht="15.75" customHeight="1" x14ac:dyDescent="0.25">
      <c r="A308" s="42">
        <v>1</v>
      </c>
      <c r="B308" s="42" t="s">
        <v>259</v>
      </c>
      <c r="C308" s="42" t="s">
        <v>274</v>
      </c>
      <c r="D308" s="42">
        <f>36.66*10.764</f>
        <v>394.60823999999997</v>
      </c>
      <c r="E308" s="42">
        <v>0</v>
      </c>
      <c r="F308" s="65">
        <v>631</v>
      </c>
      <c r="G308" s="76" t="str">
        <f>A307</f>
        <v>12th Floor</v>
      </c>
      <c r="H308" s="94"/>
      <c r="I308" s="59"/>
    </row>
    <row r="309" spans="1:9" ht="15.75" customHeight="1" x14ac:dyDescent="0.25">
      <c r="A309" s="42">
        <f t="shared" ref="A309:A314" si="41">A308+1</f>
        <v>2</v>
      </c>
      <c r="B309" s="42" t="s">
        <v>259</v>
      </c>
      <c r="C309" s="42" t="s">
        <v>274</v>
      </c>
      <c r="D309" s="69">
        <f>36.62*10.764</f>
        <v>394.17767999999995</v>
      </c>
      <c r="E309" s="42">
        <v>0</v>
      </c>
      <c r="F309" s="66">
        <v>631</v>
      </c>
      <c r="G309" s="78"/>
      <c r="H309" s="96"/>
      <c r="I309" s="59"/>
    </row>
    <row r="310" spans="1:9" ht="15.75" customHeight="1" x14ac:dyDescent="0.25">
      <c r="A310" s="42">
        <f t="shared" si="41"/>
        <v>3</v>
      </c>
      <c r="B310" s="42" t="s">
        <v>259</v>
      </c>
      <c r="C310" s="42" t="s">
        <v>274</v>
      </c>
      <c r="D310" s="69">
        <f>35.2*10.764</f>
        <v>378.89280000000002</v>
      </c>
      <c r="E310" s="42">
        <f>0.75*2.75*10.764</f>
        <v>22.200749999999999</v>
      </c>
      <c r="F310" s="66">
        <v>651</v>
      </c>
      <c r="G310" s="78"/>
      <c r="H310" s="96"/>
    </row>
    <row r="311" spans="1:9" ht="15.75" customHeight="1" x14ac:dyDescent="0.25">
      <c r="A311" s="42">
        <f t="shared" si="41"/>
        <v>4</v>
      </c>
      <c r="B311" s="42" t="s">
        <v>259</v>
      </c>
      <c r="C311" s="42" t="s">
        <v>274</v>
      </c>
      <c r="D311" s="42">
        <f>29.19*10.764</f>
        <v>314.20116000000002</v>
      </c>
      <c r="E311" s="42">
        <v>0</v>
      </c>
      <c r="F311" s="66">
        <v>506</v>
      </c>
      <c r="G311" s="78"/>
      <c r="H311" s="96"/>
    </row>
    <row r="312" spans="1:9" ht="15.75" customHeight="1" x14ac:dyDescent="0.25">
      <c r="A312" s="42">
        <f t="shared" si="41"/>
        <v>5</v>
      </c>
      <c r="B312" s="42" t="s">
        <v>259</v>
      </c>
      <c r="C312" s="42" t="s">
        <v>276</v>
      </c>
      <c r="D312" s="42">
        <f>53.08*10.764</f>
        <v>571.35311999999999</v>
      </c>
      <c r="E312" s="42">
        <v>0</v>
      </c>
      <c r="F312" s="66">
        <v>913</v>
      </c>
      <c r="G312" s="78"/>
      <c r="H312" s="96"/>
      <c r="I312" s="59"/>
    </row>
    <row r="313" spans="1:9" ht="15.75" customHeight="1" x14ac:dyDescent="0.25">
      <c r="A313" s="42">
        <f t="shared" si="41"/>
        <v>6</v>
      </c>
      <c r="B313" s="42" t="s">
        <v>259</v>
      </c>
      <c r="C313" s="42" t="s">
        <v>274</v>
      </c>
      <c r="D313" s="42">
        <f>32.67*10.764</f>
        <v>351.65987999999999</v>
      </c>
      <c r="E313" s="42">
        <v>0</v>
      </c>
      <c r="F313" s="65">
        <v>563</v>
      </c>
      <c r="G313" s="78"/>
      <c r="H313" s="96"/>
      <c r="I313" s="61"/>
    </row>
    <row r="314" spans="1:9" ht="15.75" customHeight="1" x14ac:dyDescent="0.25">
      <c r="A314" s="42">
        <f t="shared" si="41"/>
        <v>7</v>
      </c>
      <c r="B314" s="42" t="s">
        <v>259</v>
      </c>
      <c r="C314" s="42" t="s">
        <v>274</v>
      </c>
      <c r="D314" s="42">
        <f>32.67*10.764</f>
        <v>351.65987999999999</v>
      </c>
      <c r="E314" s="42">
        <v>0</v>
      </c>
      <c r="F314" s="66">
        <v>563</v>
      </c>
      <c r="G314" s="80"/>
      <c r="H314" s="95"/>
      <c r="I314" s="59"/>
    </row>
    <row r="315" spans="1:9" ht="15.75" customHeight="1" x14ac:dyDescent="0.25">
      <c r="A315" s="82" t="s">
        <v>321</v>
      </c>
      <c r="B315" s="83"/>
      <c r="C315" s="83"/>
      <c r="D315" s="83"/>
      <c r="E315" s="83"/>
      <c r="F315" s="83"/>
      <c r="G315" s="83"/>
      <c r="H315" s="84"/>
    </row>
    <row r="316" spans="1:9" ht="15.75" customHeight="1" x14ac:dyDescent="0.25">
      <c r="A316" s="42">
        <v>1</v>
      </c>
      <c r="B316" s="42" t="s">
        <v>259</v>
      </c>
      <c r="C316" s="42" t="s">
        <v>274</v>
      </c>
      <c r="D316" s="69">
        <f>36.66*10.764</f>
        <v>394.60823999999997</v>
      </c>
      <c r="E316" s="42">
        <v>0</v>
      </c>
      <c r="F316" s="65">
        <v>631</v>
      </c>
      <c r="G316" s="76" t="str">
        <f>A315</f>
        <v>13th &amp; 14th Floor</v>
      </c>
      <c r="H316" s="94"/>
      <c r="I316" s="59"/>
    </row>
    <row r="317" spans="1:9" ht="15.75" customHeight="1" x14ac:dyDescent="0.25">
      <c r="A317" s="42">
        <f t="shared" ref="A317:A322" si="42">A316+1</f>
        <v>2</v>
      </c>
      <c r="B317" s="42" t="s">
        <v>259</v>
      </c>
      <c r="C317" s="42" t="s">
        <v>274</v>
      </c>
      <c r="D317" s="69">
        <f>36.62*10.764</f>
        <v>394.17767999999995</v>
      </c>
      <c r="E317" s="42">
        <v>0</v>
      </c>
      <c r="F317" s="66">
        <v>631</v>
      </c>
      <c r="G317" s="78"/>
      <c r="H317" s="96"/>
      <c r="I317" s="59"/>
    </row>
    <row r="318" spans="1:9" ht="15.75" customHeight="1" x14ac:dyDescent="0.25">
      <c r="A318" s="42">
        <f t="shared" si="42"/>
        <v>3</v>
      </c>
      <c r="B318" s="42" t="s">
        <v>259</v>
      </c>
      <c r="C318" s="42" t="s">
        <v>274</v>
      </c>
      <c r="D318" s="69">
        <f>35.2*10.764</f>
        <v>378.89280000000002</v>
      </c>
      <c r="E318" s="42">
        <v>0</v>
      </c>
      <c r="F318" s="66">
        <v>651</v>
      </c>
      <c r="G318" s="78"/>
      <c r="H318" s="96"/>
    </row>
    <row r="319" spans="1:9" ht="15.75" customHeight="1" x14ac:dyDescent="0.25">
      <c r="A319" s="42">
        <f t="shared" si="42"/>
        <v>4</v>
      </c>
      <c r="B319" s="42" t="s">
        <v>259</v>
      </c>
      <c r="C319" s="42" t="s">
        <v>274</v>
      </c>
      <c r="D319" s="69">
        <f>29.19*10.764</f>
        <v>314.20116000000002</v>
      </c>
      <c r="E319" s="42">
        <v>0</v>
      </c>
      <c r="F319" s="66">
        <v>506</v>
      </c>
      <c r="G319" s="78"/>
      <c r="H319" s="96"/>
    </row>
    <row r="320" spans="1:9" ht="15.75" customHeight="1" x14ac:dyDescent="0.25">
      <c r="A320" s="42">
        <f t="shared" si="42"/>
        <v>5</v>
      </c>
      <c r="B320" s="42" t="s">
        <v>259</v>
      </c>
      <c r="C320" s="42" t="s">
        <v>276</v>
      </c>
      <c r="D320" s="69">
        <f>53.08*10.764</f>
        <v>571.35311999999999</v>
      </c>
      <c r="E320" s="42">
        <v>0</v>
      </c>
      <c r="F320" s="66">
        <v>913</v>
      </c>
      <c r="G320" s="78"/>
      <c r="H320" s="96"/>
      <c r="I320" s="59"/>
    </row>
    <row r="321" spans="1:9" ht="15.75" customHeight="1" x14ac:dyDescent="0.25">
      <c r="A321" s="42">
        <f t="shared" si="42"/>
        <v>6</v>
      </c>
      <c r="B321" s="42" t="s">
        <v>259</v>
      </c>
      <c r="C321" s="42" t="s">
        <v>274</v>
      </c>
      <c r="D321" s="69">
        <f>32.67*10.764</f>
        <v>351.65987999999999</v>
      </c>
      <c r="E321" s="42">
        <v>0</v>
      </c>
      <c r="F321" s="65">
        <v>563</v>
      </c>
      <c r="G321" s="78"/>
      <c r="H321" s="96"/>
      <c r="I321" s="61"/>
    </row>
    <row r="322" spans="1:9" ht="15.75" customHeight="1" x14ac:dyDescent="0.25">
      <c r="A322" s="42">
        <f t="shared" si="42"/>
        <v>7</v>
      </c>
      <c r="B322" s="42" t="s">
        <v>259</v>
      </c>
      <c r="C322" s="42" t="s">
        <v>274</v>
      </c>
      <c r="D322" s="42">
        <f>32.67*10.764</f>
        <v>351.65987999999999</v>
      </c>
      <c r="E322" s="42">
        <v>0</v>
      </c>
      <c r="F322" s="66">
        <v>563</v>
      </c>
      <c r="G322" s="80"/>
      <c r="H322" s="95"/>
      <c r="I322" s="59"/>
    </row>
    <row r="323" spans="1:9" ht="15.75" customHeight="1" x14ac:dyDescent="0.25">
      <c r="A323" s="82" t="s">
        <v>298</v>
      </c>
      <c r="B323" s="83"/>
      <c r="C323" s="83"/>
      <c r="D323" s="83"/>
      <c r="E323" s="83"/>
      <c r="F323" s="83"/>
      <c r="G323" s="83"/>
      <c r="H323" s="84"/>
    </row>
    <row r="324" spans="1:9" ht="15.75" customHeight="1" x14ac:dyDescent="0.25">
      <c r="A324" s="42">
        <v>1</v>
      </c>
      <c r="B324" s="42" t="s">
        <v>273</v>
      </c>
      <c r="C324" s="76" t="s">
        <v>296</v>
      </c>
      <c r="D324" s="94"/>
      <c r="E324" s="94"/>
      <c r="F324" s="77"/>
      <c r="G324" s="76" t="str">
        <f>A323</f>
        <v>15th Floor (Part Refuge Area)</v>
      </c>
      <c r="H324" s="94"/>
      <c r="I324" s="59"/>
    </row>
    <row r="325" spans="1:9" ht="15.75" customHeight="1" x14ac:dyDescent="0.25">
      <c r="A325" s="42">
        <f t="shared" ref="A325:A330" si="43">A324+1</f>
        <v>2</v>
      </c>
      <c r="B325" s="42" t="s">
        <v>273</v>
      </c>
      <c r="C325" s="80"/>
      <c r="D325" s="95"/>
      <c r="E325" s="95"/>
      <c r="F325" s="81"/>
      <c r="G325" s="78"/>
      <c r="H325" s="96"/>
      <c r="I325" s="59"/>
    </row>
    <row r="326" spans="1:9" ht="15.75" customHeight="1" x14ac:dyDescent="0.25">
      <c r="A326" s="42">
        <f t="shared" si="43"/>
        <v>3</v>
      </c>
      <c r="B326" s="42" t="s">
        <v>259</v>
      </c>
      <c r="C326" s="42" t="s">
        <v>274</v>
      </c>
      <c r="D326" s="69">
        <f>35.2*10.764</f>
        <v>378.89280000000002</v>
      </c>
      <c r="E326" s="42">
        <v>0</v>
      </c>
      <c r="F326" s="66">
        <v>651</v>
      </c>
      <c r="G326" s="78"/>
      <c r="H326" s="96"/>
    </row>
    <row r="327" spans="1:9" ht="15.75" customHeight="1" x14ac:dyDescent="0.25">
      <c r="A327" s="42">
        <f t="shared" si="43"/>
        <v>4</v>
      </c>
      <c r="B327" s="42" t="s">
        <v>259</v>
      </c>
      <c r="C327" s="42" t="s">
        <v>274</v>
      </c>
      <c r="D327" s="69">
        <f>29.19*10.764</f>
        <v>314.20116000000002</v>
      </c>
      <c r="E327" s="42">
        <v>0</v>
      </c>
      <c r="F327" s="66">
        <v>506</v>
      </c>
      <c r="G327" s="78"/>
      <c r="H327" s="96"/>
    </row>
    <row r="328" spans="1:9" ht="15.75" customHeight="1" x14ac:dyDescent="0.25">
      <c r="A328" s="42">
        <f t="shared" si="43"/>
        <v>5</v>
      </c>
      <c r="B328" s="42" t="s">
        <v>259</v>
      </c>
      <c r="C328" s="42" t="s">
        <v>276</v>
      </c>
      <c r="D328" s="69">
        <f>53.08*10.764</f>
        <v>571.35311999999999</v>
      </c>
      <c r="E328" s="42">
        <v>0</v>
      </c>
      <c r="F328" s="66">
        <v>913</v>
      </c>
      <c r="G328" s="78"/>
      <c r="H328" s="96"/>
      <c r="I328" s="59"/>
    </row>
    <row r="329" spans="1:9" ht="15.75" customHeight="1" x14ac:dyDescent="0.25">
      <c r="A329" s="42">
        <f t="shared" si="43"/>
        <v>6</v>
      </c>
      <c r="B329" s="42" t="s">
        <v>259</v>
      </c>
      <c r="C329" s="42" t="s">
        <v>274</v>
      </c>
      <c r="D329" s="69">
        <f>32.67*10.764</f>
        <v>351.65987999999999</v>
      </c>
      <c r="E329" s="42">
        <v>0</v>
      </c>
      <c r="F329" s="65">
        <v>563</v>
      </c>
      <c r="G329" s="78"/>
      <c r="H329" s="96"/>
      <c r="I329" s="61"/>
    </row>
    <row r="330" spans="1:9" ht="15.75" customHeight="1" x14ac:dyDescent="0.25">
      <c r="A330" s="42">
        <f t="shared" si="43"/>
        <v>7</v>
      </c>
      <c r="B330" s="42" t="s">
        <v>259</v>
      </c>
      <c r="C330" s="42" t="s">
        <v>274</v>
      </c>
      <c r="D330" s="42">
        <f>32.67*10.764</f>
        <v>351.65987999999999</v>
      </c>
      <c r="E330" s="42">
        <v>0</v>
      </c>
      <c r="F330" s="66">
        <v>563</v>
      </c>
      <c r="G330" s="80"/>
      <c r="H330" s="95"/>
      <c r="I330" s="59"/>
    </row>
    <row r="331" spans="1:9" ht="15.75" customHeight="1" x14ac:dyDescent="0.25">
      <c r="A331" s="82" t="s">
        <v>299</v>
      </c>
      <c r="B331" s="83"/>
      <c r="C331" s="83"/>
      <c r="D331" s="83"/>
      <c r="E331" s="83"/>
      <c r="F331" s="83"/>
      <c r="G331" s="83"/>
      <c r="H331" s="84"/>
    </row>
    <row r="332" spans="1:9" ht="15.75" customHeight="1" x14ac:dyDescent="0.25">
      <c r="A332" s="42">
        <v>1</v>
      </c>
      <c r="B332" s="42" t="s">
        <v>259</v>
      </c>
      <c r="C332" s="42" t="s">
        <v>274</v>
      </c>
      <c r="D332" s="42">
        <f>36.66*10.764</f>
        <v>394.60823999999997</v>
      </c>
      <c r="E332" s="42">
        <v>0</v>
      </c>
      <c r="F332" s="65">
        <v>631</v>
      </c>
      <c r="G332" s="76" t="str">
        <f>A331</f>
        <v>16th Floor</v>
      </c>
      <c r="H332" s="94"/>
      <c r="I332" s="59"/>
    </row>
    <row r="333" spans="1:9" ht="15.75" customHeight="1" x14ac:dyDescent="0.25">
      <c r="A333" s="42">
        <f t="shared" ref="A333:A338" si="44">A332+1</f>
        <v>2</v>
      </c>
      <c r="B333" s="42" t="s">
        <v>259</v>
      </c>
      <c r="C333" s="42" t="s">
        <v>274</v>
      </c>
      <c r="D333" s="69">
        <f>36.62*10.764</f>
        <v>394.17767999999995</v>
      </c>
      <c r="E333" s="42">
        <v>0</v>
      </c>
      <c r="F333" s="66">
        <v>631</v>
      </c>
      <c r="G333" s="78"/>
      <c r="H333" s="96"/>
      <c r="I333" s="59"/>
    </row>
    <row r="334" spans="1:9" ht="15.75" customHeight="1" x14ac:dyDescent="0.25">
      <c r="A334" s="42">
        <f t="shared" si="44"/>
        <v>3</v>
      </c>
      <c r="B334" s="42" t="s">
        <v>259</v>
      </c>
      <c r="C334" s="42" t="s">
        <v>274</v>
      </c>
      <c r="D334" s="69">
        <f>35.2*10.764</f>
        <v>378.89280000000002</v>
      </c>
      <c r="E334" s="42">
        <v>0</v>
      </c>
      <c r="F334" s="66">
        <v>651</v>
      </c>
      <c r="G334" s="78"/>
      <c r="H334" s="96"/>
    </row>
    <row r="335" spans="1:9" ht="15.75" customHeight="1" x14ac:dyDescent="0.25">
      <c r="A335" s="42">
        <f t="shared" si="44"/>
        <v>4</v>
      </c>
      <c r="B335" s="42" t="s">
        <v>259</v>
      </c>
      <c r="C335" s="42" t="s">
        <v>274</v>
      </c>
      <c r="D335" s="69">
        <f>29.19*10.764</f>
        <v>314.20116000000002</v>
      </c>
      <c r="E335" s="42">
        <v>0</v>
      </c>
      <c r="F335" s="66">
        <v>506</v>
      </c>
      <c r="G335" s="78"/>
      <c r="H335" s="96"/>
    </row>
    <row r="336" spans="1:9" ht="15.75" customHeight="1" x14ac:dyDescent="0.25">
      <c r="A336" s="42">
        <f t="shared" si="44"/>
        <v>5</v>
      </c>
      <c r="B336" s="42" t="s">
        <v>259</v>
      </c>
      <c r="C336" s="42" t="s">
        <v>276</v>
      </c>
      <c r="D336" s="69">
        <f>53.08*10.764</f>
        <v>571.35311999999999</v>
      </c>
      <c r="E336" s="42">
        <v>0</v>
      </c>
      <c r="F336" s="66">
        <v>913</v>
      </c>
      <c r="G336" s="78"/>
      <c r="H336" s="96"/>
      <c r="I336" s="59"/>
    </row>
    <row r="337" spans="1:12" ht="15.75" customHeight="1" x14ac:dyDescent="0.25">
      <c r="A337" s="42">
        <f t="shared" si="44"/>
        <v>6</v>
      </c>
      <c r="B337" s="42" t="s">
        <v>259</v>
      </c>
      <c r="C337" s="42" t="s">
        <v>274</v>
      </c>
      <c r="D337" s="69">
        <f>32.67*10.764</f>
        <v>351.65987999999999</v>
      </c>
      <c r="E337" s="42">
        <v>0</v>
      </c>
      <c r="F337" s="65">
        <v>563</v>
      </c>
      <c r="G337" s="78"/>
      <c r="H337" s="96"/>
      <c r="I337" s="61"/>
    </row>
    <row r="338" spans="1:12" ht="15.75" customHeight="1" x14ac:dyDescent="0.25">
      <c r="A338" s="42">
        <f t="shared" si="44"/>
        <v>7</v>
      </c>
      <c r="B338" s="42" t="s">
        <v>259</v>
      </c>
      <c r="C338" s="42" t="s">
        <v>274</v>
      </c>
      <c r="D338" s="42">
        <f>32.67*10.764</f>
        <v>351.65987999999999</v>
      </c>
      <c r="E338" s="42">
        <v>0</v>
      </c>
      <c r="F338" s="66">
        <v>563</v>
      </c>
      <c r="G338" s="80"/>
      <c r="H338" s="95"/>
      <c r="I338" s="59"/>
    </row>
    <row r="339" spans="1:12" ht="15.75" customHeight="1" x14ac:dyDescent="0.25">
      <c r="A339" s="82" t="s">
        <v>307</v>
      </c>
      <c r="B339" s="83"/>
      <c r="C339" s="83"/>
      <c r="D339" s="83"/>
      <c r="E339" s="83"/>
      <c r="F339" s="83"/>
      <c r="G339" s="83"/>
      <c r="H339" s="84"/>
    </row>
    <row r="340" spans="1:12" ht="15.75" customHeight="1" x14ac:dyDescent="0.25">
      <c r="A340" s="42">
        <v>1</v>
      </c>
      <c r="B340" s="42" t="s">
        <v>259</v>
      </c>
      <c r="C340" s="42" t="s">
        <v>274</v>
      </c>
      <c r="D340" s="69">
        <f>36.66*10.764</f>
        <v>394.60823999999997</v>
      </c>
      <c r="E340" s="42">
        <v>0</v>
      </c>
      <c r="F340" s="65">
        <v>631</v>
      </c>
      <c r="G340" s="76" t="str">
        <f>A339</f>
        <v>17th Floor</v>
      </c>
      <c r="H340" s="94"/>
      <c r="I340" s="59"/>
    </row>
    <row r="341" spans="1:12" ht="15.75" customHeight="1" x14ac:dyDescent="0.25">
      <c r="A341" s="42">
        <f t="shared" ref="A341:A346" si="45">A340+1</f>
        <v>2</v>
      </c>
      <c r="B341" s="42" t="s">
        <v>259</v>
      </c>
      <c r="C341" s="42" t="s">
        <v>274</v>
      </c>
      <c r="D341" s="69">
        <f>36.62*10.764</f>
        <v>394.17767999999995</v>
      </c>
      <c r="E341" s="42">
        <v>0</v>
      </c>
      <c r="F341" s="66">
        <v>631</v>
      </c>
      <c r="G341" s="78"/>
      <c r="H341" s="96"/>
      <c r="I341" s="59"/>
    </row>
    <row r="342" spans="1:12" ht="15.75" customHeight="1" x14ac:dyDescent="0.25">
      <c r="A342" s="42">
        <f t="shared" si="45"/>
        <v>3</v>
      </c>
      <c r="B342" s="42" t="s">
        <v>259</v>
      </c>
      <c r="C342" s="42" t="s">
        <v>274</v>
      </c>
      <c r="D342" s="69">
        <f>35.2*10.764</f>
        <v>378.89280000000002</v>
      </c>
      <c r="E342" s="42">
        <v>0</v>
      </c>
      <c r="F342" s="66">
        <v>651</v>
      </c>
      <c r="G342" s="78"/>
      <c r="H342" s="96"/>
    </row>
    <row r="343" spans="1:12" ht="15.75" customHeight="1" x14ac:dyDescent="0.25">
      <c r="A343" s="42">
        <f t="shared" si="45"/>
        <v>4</v>
      </c>
      <c r="B343" s="42" t="s">
        <v>259</v>
      </c>
      <c r="C343" s="42" t="s">
        <v>274</v>
      </c>
      <c r="D343" s="69">
        <f>29.19*10.764</f>
        <v>314.20116000000002</v>
      </c>
      <c r="E343" s="42">
        <v>0</v>
      </c>
      <c r="F343" s="66">
        <v>506</v>
      </c>
      <c r="G343" s="78"/>
      <c r="H343" s="96"/>
    </row>
    <row r="344" spans="1:12" ht="15.75" customHeight="1" x14ac:dyDescent="0.25">
      <c r="A344" s="42">
        <f t="shared" si="45"/>
        <v>5</v>
      </c>
      <c r="B344" s="42" t="s">
        <v>259</v>
      </c>
      <c r="C344" s="42" t="s">
        <v>276</v>
      </c>
      <c r="D344" s="69">
        <f>53.08*10.764</f>
        <v>571.35311999999999</v>
      </c>
      <c r="E344" s="42">
        <v>0</v>
      </c>
      <c r="F344" s="66">
        <v>913</v>
      </c>
      <c r="G344" s="78"/>
      <c r="H344" s="96"/>
      <c r="I344" s="59"/>
    </row>
    <row r="345" spans="1:12" ht="15.75" customHeight="1" x14ac:dyDescent="0.25">
      <c r="A345" s="42">
        <f t="shared" si="45"/>
        <v>6</v>
      </c>
      <c r="B345" s="42" t="s">
        <v>259</v>
      </c>
      <c r="C345" s="42" t="s">
        <v>274</v>
      </c>
      <c r="D345" s="42">
        <f>32.67*10.764</f>
        <v>351.65987999999999</v>
      </c>
      <c r="E345" s="42">
        <v>0</v>
      </c>
      <c r="F345" s="65">
        <v>563</v>
      </c>
      <c r="G345" s="78"/>
      <c r="H345" s="96"/>
      <c r="I345" s="61"/>
      <c r="J345" s="24"/>
    </row>
    <row r="346" spans="1:12" ht="15.75" customHeight="1" x14ac:dyDescent="0.25">
      <c r="A346" s="42">
        <f t="shared" si="45"/>
        <v>7</v>
      </c>
      <c r="B346" s="42" t="s">
        <v>259</v>
      </c>
      <c r="C346" s="42" t="s">
        <v>274</v>
      </c>
      <c r="D346" s="42">
        <f>32.67*10.764</f>
        <v>351.65987999999999</v>
      </c>
      <c r="E346" s="42">
        <v>0</v>
      </c>
      <c r="F346" s="66">
        <v>563</v>
      </c>
      <c r="G346" s="80"/>
      <c r="H346" s="95"/>
      <c r="I346" s="59"/>
    </row>
    <row r="347" spans="1:12" x14ac:dyDescent="0.25">
      <c r="A347" s="82" t="s">
        <v>262</v>
      </c>
      <c r="B347" s="83"/>
      <c r="C347" s="83"/>
      <c r="D347" s="83"/>
      <c r="E347" s="83"/>
      <c r="F347" s="83"/>
      <c r="G347" s="83"/>
      <c r="H347" s="84"/>
    </row>
    <row r="348" spans="1:12" x14ac:dyDescent="0.25">
      <c r="A348" s="82" t="s">
        <v>278</v>
      </c>
      <c r="B348" s="83"/>
      <c r="C348" s="83"/>
      <c r="D348" s="83"/>
      <c r="E348" s="83"/>
      <c r="F348" s="83"/>
      <c r="G348" s="83"/>
      <c r="H348" s="84"/>
    </row>
    <row r="349" spans="1:12" ht="15.75" customHeight="1" x14ac:dyDescent="0.25">
      <c r="A349" s="42">
        <v>1</v>
      </c>
      <c r="B349" s="42" t="s">
        <v>258</v>
      </c>
      <c r="C349" s="42" t="s">
        <v>274</v>
      </c>
      <c r="D349" s="42">
        <f>(2.7*3.65+1.85*3.45+2.45*2.45+1.85*1.2+1.55*1.2+1.85*0.9)*10.764</f>
        <v>301.23053999999996</v>
      </c>
      <c r="E349" s="42">
        <v>0</v>
      </c>
      <c r="F349" s="42">
        <f>D349*1.6</f>
        <v>481.96886399999994</v>
      </c>
      <c r="G349" s="76" t="str">
        <f>A348</f>
        <v>1st Floor For Part residential, Society Office &amp; Podium</v>
      </c>
      <c r="H349" s="77"/>
      <c r="I349" s="209" t="s">
        <v>314</v>
      </c>
      <c r="J349" s="210"/>
      <c r="K349" s="210"/>
      <c r="L349" s="210"/>
    </row>
    <row r="350" spans="1:12" ht="15.75" customHeight="1" x14ac:dyDescent="0.25">
      <c r="A350" s="42">
        <f t="shared" ref="A350:A354" si="46">A349+1</f>
        <v>2</v>
      </c>
      <c r="B350" s="42" t="s">
        <v>258</v>
      </c>
      <c r="C350" s="42" t="s">
        <v>274</v>
      </c>
      <c r="D350" s="42">
        <f>(2.7*3.65+1.85*3.45+2.45*2.45+1.85*1.2+1.55*1.2+1.85*0.9)*10.764</f>
        <v>301.23053999999996</v>
      </c>
      <c r="E350" s="42">
        <v>0</v>
      </c>
      <c r="F350" s="42">
        <f>D350*1.6</f>
        <v>481.96886399999994</v>
      </c>
      <c r="G350" s="78"/>
      <c r="H350" s="79"/>
    </row>
    <row r="351" spans="1:12" ht="15.75" customHeight="1" x14ac:dyDescent="0.25">
      <c r="A351" s="42">
        <f t="shared" si="46"/>
        <v>3</v>
      </c>
      <c r="B351" s="42" t="s">
        <v>273</v>
      </c>
      <c r="C351" s="85" t="s">
        <v>277</v>
      </c>
      <c r="D351" s="86"/>
      <c r="E351" s="86"/>
      <c r="F351" s="87"/>
      <c r="G351" s="78"/>
      <c r="H351" s="79"/>
    </row>
    <row r="352" spans="1:12" ht="15.75" customHeight="1" x14ac:dyDescent="0.25">
      <c r="A352" s="42">
        <f t="shared" si="46"/>
        <v>4</v>
      </c>
      <c r="B352" s="42" t="s">
        <v>258</v>
      </c>
      <c r="C352" s="42" t="s">
        <v>274</v>
      </c>
      <c r="D352" s="42">
        <f>(3.45*2.7+2.25*1.85+2.45*2.6+1.05*1.85+1.2*1.55+0.9*1.85+0.9*1.85)*10.764</f>
        <v>290.41271999999998</v>
      </c>
      <c r="E352" s="42">
        <v>0</v>
      </c>
      <c r="F352" s="42">
        <f>D352*1.6</f>
        <v>464.66035199999999</v>
      </c>
      <c r="G352" s="78"/>
      <c r="H352" s="79"/>
    </row>
    <row r="353" spans="1:8" ht="15.75" customHeight="1" x14ac:dyDescent="0.25">
      <c r="A353" s="42">
        <f t="shared" si="46"/>
        <v>5</v>
      </c>
      <c r="B353" s="42" t="s">
        <v>273</v>
      </c>
      <c r="C353" s="76" t="s">
        <v>70</v>
      </c>
      <c r="D353" s="94"/>
      <c r="E353" s="94"/>
      <c r="F353" s="77"/>
      <c r="G353" s="78"/>
      <c r="H353" s="79"/>
    </row>
    <row r="354" spans="1:8" ht="15.75" customHeight="1" x14ac:dyDescent="0.25">
      <c r="A354" s="42">
        <f t="shared" si="46"/>
        <v>6</v>
      </c>
      <c r="B354" s="42" t="s">
        <v>273</v>
      </c>
      <c r="C354" s="80"/>
      <c r="D354" s="95"/>
      <c r="E354" s="95"/>
      <c r="F354" s="81"/>
      <c r="G354" s="80"/>
      <c r="H354" s="81"/>
    </row>
    <row r="355" spans="1:8" x14ac:dyDescent="0.25">
      <c r="A355" s="82" t="s">
        <v>280</v>
      </c>
      <c r="B355" s="83"/>
      <c r="C355" s="83"/>
      <c r="D355" s="83"/>
      <c r="E355" s="83"/>
      <c r="F355" s="83"/>
      <c r="G355" s="83"/>
      <c r="H355" s="84"/>
    </row>
    <row r="356" spans="1:8" ht="15.75" customHeight="1" x14ac:dyDescent="0.25">
      <c r="A356" s="42">
        <v>1</v>
      </c>
      <c r="B356" s="42" t="s">
        <v>258</v>
      </c>
      <c r="C356" s="42" t="s">
        <v>274</v>
      </c>
      <c r="D356" s="42">
        <f>(2.7*3.65+1.85*3.45+2.45*2.45+1.85*1.2+1.55*1.2+1.85*0.9)*10.764</f>
        <v>301.23053999999996</v>
      </c>
      <c r="E356" s="42">
        <v>0</v>
      </c>
      <c r="F356" s="42">
        <f t="shared" ref="F356:F359" si="47">D356*1.6</f>
        <v>481.96886399999994</v>
      </c>
      <c r="G356" s="76" t="str">
        <f>A355</f>
        <v>2nd &amp; 3rd Floor For Part residential, Society Office &amp; Podium</v>
      </c>
      <c r="H356" s="77"/>
    </row>
    <row r="357" spans="1:8" ht="15.75" customHeight="1" x14ac:dyDescent="0.25">
      <c r="A357" s="42">
        <f t="shared" ref="A357:A361" si="48">A356+1</f>
        <v>2</v>
      </c>
      <c r="B357" s="42" t="s">
        <v>258</v>
      </c>
      <c r="C357" s="42" t="s">
        <v>274</v>
      </c>
      <c r="D357" s="42">
        <f>(2.7*3.65+1.85*3.45+2.45*2.45+1.85*1.2+1.55*1.2+1.85*0.9)*10.764</f>
        <v>301.23053999999996</v>
      </c>
      <c r="E357" s="42">
        <v>0</v>
      </c>
      <c r="F357" s="42">
        <f t="shared" si="47"/>
        <v>481.96886399999994</v>
      </c>
      <c r="G357" s="78"/>
      <c r="H357" s="79"/>
    </row>
    <row r="358" spans="1:8" ht="15.75" customHeight="1" x14ac:dyDescent="0.25">
      <c r="A358" s="42">
        <f t="shared" si="48"/>
        <v>3</v>
      </c>
      <c r="B358" s="42" t="s">
        <v>258</v>
      </c>
      <c r="C358" s="42" t="s">
        <v>274</v>
      </c>
      <c r="D358" s="42">
        <f>(3.65*2.7+3.45*1.85+2.45*2.6+1.2*1.55+1.05*1.8+0.9*1.85)*10.764</f>
        <v>301.63418999999999</v>
      </c>
      <c r="E358" s="42">
        <v>0</v>
      </c>
      <c r="F358" s="42">
        <f t="shared" si="47"/>
        <v>482.61470400000002</v>
      </c>
      <c r="G358" s="78"/>
      <c r="H358" s="79"/>
    </row>
    <row r="359" spans="1:8" ht="15.75" customHeight="1" x14ac:dyDescent="0.25">
      <c r="A359" s="42">
        <f t="shared" si="48"/>
        <v>4</v>
      </c>
      <c r="B359" s="42" t="s">
        <v>258</v>
      </c>
      <c r="C359" s="42" t="s">
        <v>274</v>
      </c>
      <c r="D359" s="42">
        <f>(3.65*2.7+3.45*1.85+2.45*2.6+1.05*1.85+1.2*1.55+0.9*1.85)*10.764</f>
        <v>302.19929999999999</v>
      </c>
      <c r="E359" s="42">
        <v>0</v>
      </c>
      <c r="F359" s="42">
        <f t="shared" si="47"/>
        <v>483.51888000000002</v>
      </c>
      <c r="G359" s="78"/>
      <c r="H359" s="79"/>
    </row>
    <row r="360" spans="1:8" ht="15.75" customHeight="1" x14ac:dyDescent="0.25">
      <c r="A360" s="42">
        <f t="shared" si="48"/>
        <v>5</v>
      </c>
      <c r="B360" s="42" t="s">
        <v>273</v>
      </c>
      <c r="C360" s="76" t="s">
        <v>70</v>
      </c>
      <c r="D360" s="94"/>
      <c r="E360" s="94"/>
      <c r="F360" s="77"/>
      <c r="G360" s="78"/>
      <c r="H360" s="79"/>
    </row>
    <row r="361" spans="1:8" ht="15.75" customHeight="1" x14ac:dyDescent="0.25">
      <c r="A361" s="42">
        <f t="shared" si="48"/>
        <v>6</v>
      </c>
      <c r="B361" s="42" t="s">
        <v>273</v>
      </c>
      <c r="C361" s="80"/>
      <c r="D361" s="95"/>
      <c r="E361" s="95"/>
      <c r="F361" s="81"/>
      <c r="G361" s="80"/>
      <c r="H361" s="81"/>
    </row>
    <row r="362" spans="1:8" x14ac:dyDescent="0.25">
      <c r="A362" s="82" t="s">
        <v>287</v>
      </c>
      <c r="B362" s="83"/>
      <c r="C362" s="83"/>
      <c r="D362" s="83"/>
      <c r="E362" s="83"/>
      <c r="F362" s="83"/>
      <c r="G362" s="83"/>
      <c r="H362" s="84"/>
    </row>
    <row r="363" spans="1:8" ht="15.75" customHeight="1" x14ac:dyDescent="0.25">
      <c r="A363" s="42">
        <v>1</v>
      </c>
      <c r="B363" s="42" t="s">
        <v>258</v>
      </c>
      <c r="C363" s="42" t="s">
        <v>274</v>
      </c>
      <c r="D363" s="42">
        <f>(2.7*3.65+1.85*3.45+2.45*2.45+1.85*1.2+1.55*1.2+1.85*0.9)*10.764</f>
        <v>301.23053999999996</v>
      </c>
      <c r="E363" s="42">
        <v>0</v>
      </c>
      <c r="F363" s="42">
        <f t="shared" ref="F363:F366" si="49">D363*1.6</f>
        <v>481.96886399999994</v>
      </c>
      <c r="G363" s="76" t="str">
        <f>A362</f>
        <v>4th Floor For residential, Balwadi &amp; Health Centre</v>
      </c>
      <c r="H363" s="77"/>
    </row>
    <row r="364" spans="1:8" ht="15.75" customHeight="1" x14ac:dyDescent="0.25">
      <c r="A364" s="42">
        <f t="shared" ref="A364:A368" si="50">A363+1</f>
        <v>2</v>
      </c>
      <c r="B364" s="42" t="s">
        <v>258</v>
      </c>
      <c r="C364" s="42" t="s">
        <v>274</v>
      </c>
      <c r="D364" s="42">
        <f>(2.7*3.65+1.85*3.45+2.45*2.45+1.85*1.2+1.55*1.2+1.85*0.9)*10.764</f>
        <v>301.23053999999996</v>
      </c>
      <c r="E364" s="42">
        <v>0</v>
      </c>
      <c r="F364" s="42">
        <f t="shared" si="49"/>
        <v>481.96886399999994</v>
      </c>
      <c r="G364" s="78"/>
      <c r="H364" s="79"/>
    </row>
    <row r="365" spans="1:8" ht="15.75" customHeight="1" x14ac:dyDescent="0.25">
      <c r="A365" s="42">
        <f t="shared" si="50"/>
        <v>3</v>
      </c>
      <c r="B365" s="42" t="s">
        <v>258</v>
      </c>
      <c r="C365" s="42" t="s">
        <v>274</v>
      </c>
      <c r="D365" s="42">
        <f>(3.65*2.7+3.45*1.85+2.45*2.6+1.2*1.55+1.05*1.8+0.9*1.85)*10.764</f>
        <v>301.63418999999999</v>
      </c>
      <c r="E365" s="42">
        <v>0</v>
      </c>
      <c r="F365" s="42">
        <f t="shared" si="49"/>
        <v>482.61470400000002</v>
      </c>
      <c r="G365" s="78"/>
      <c r="H365" s="79"/>
    </row>
    <row r="366" spans="1:8" ht="15.75" customHeight="1" x14ac:dyDescent="0.25">
      <c r="A366" s="42">
        <f t="shared" si="50"/>
        <v>4</v>
      </c>
      <c r="B366" s="42" t="s">
        <v>258</v>
      </c>
      <c r="C366" s="42" t="s">
        <v>274</v>
      </c>
      <c r="D366" s="42">
        <f>(3.65*2.7+3.45*1.85+2.45*2.6+1.05*1.85+1.2*1.55+0.9*1.85)*10.764</f>
        <v>302.19929999999999</v>
      </c>
      <c r="E366" s="42">
        <v>0</v>
      </c>
      <c r="F366" s="42">
        <f t="shared" si="49"/>
        <v>483.51888000000002</v>
      </c>
      <c r="G366" s="78"/>
      <c r="H366" s="79"/>
    </row>
    <row r="367" spans="1:8" ht="15.75" customHeight="1" x14ac:dyDescent="0.25">
      <c r="A367" s="42">
        <f t="shared" si="50"/>
        <v>5</v>
      </c>
      <c r="B367" s="42" t="s">
        <v>273</v>
      </c>
      <c r="C367" s="97" t="s">
        <v>282</v>
      </c>
      <c r="D367" s="97"/>
      <c r="E367" s="97"/>
      <c r="F367" s="97"/>
      <c r="G367" s="78"/>
      <c r="H367" s="79"/>
    </row>
    <row r="368" spans="1:8" ht="15.75" customHeight="1" x14ac:dyDescent="0.25">
      <c r="A368" s="42">
        <f t="shared" si="50"/>
        <v>6</v>
      </c>
      <c r="B368" s="42" t="s">
        <v>273</v>
      </c>
      <c r="C368" s="97" t="s">
        <v>283</v>
      </c>
      <c r="D368" s="97"/>
      <c r="E368" s="97"/>
      <c r="F368" s="97"/>
      <c r="G368" s="80"/>
      <c r="H368" s="81"/>
    </row>
    <row r="369" spans="1:8" x14ac:dyDescent="0.25">
      <c r="A369" s="82" t="s">
        <v>308</v>
      </c>
      <c r="B369" s="83"/>
      <c r="C369" s="83"/>
      <c r="D369" s="83"/>
      <c r="E369" s="83"/>
      <c r="F369" s="83"/>
      <c r="G369" s="83"/>
      <c r="H369" s="84"/>
    </row>
    <row r="370" spans="1:8" ht="15.75" customHeight="1" x14ac:dyDescent="0.25">
      <c r="A370" s="42">
        <v>1</v>
      </c>
      <c r="B370" s="42" t="s">
        <v>258</v>
      </c>
      <c r="C370" s="42" t="s">
        <v>274</v>
      </c>
      <c r="D370" s="42">
        <f>(2.7*3.65+1.85*3.45+2.45*2.45+1.85*1.2+1.55*1.2+1.85*0.9)*10.764</f>
        <v>301.23053999999996</v>
      </c>
      <c r="E370" s="42">
        <v>0</v>
      </c>
      <c r="F370" s="42">
        <f t="shared" ref="F370:F373" si="51">D370*1.6</f>
        <v>481.96886399999994</v>
      </c>
      <c r="G370" s="76" t="str">
        <f>A369</f>
        <v>5th Floor For residential, Welfare Centre &amp; Yogalaya</v>
      </c>
      <c r="H370" s="77"/>
    </row>
    <row r="371" spans="1:8" ht="15.75" customHeight="1" x14ac:dyDescent="0.25">
      <c r="A371" s="42">
        <f t="shared" ref="A371:A375" si="52">A370+1</f>
        <v>2</v>
      </c>
      <c r="B371" s="42" t="s">
        <v>258</v>
      </c>
      <c r="C371" s="42" t="s">
        <v>274</v>
      </c>
      <c r="D371" s="42">
        <f>(2.7*3.65+1.85*3.45+2.45*2.45+1.85*1.2+1.55*1.2+1.85*0.9)*10.764</f>
        <v>301.23053999999996</v>
      </c>
      <c r="E371" s="42">
        <v>0</v>
      </c>
      <c r="F371" s="42">
        <f t="shared" si="51"/>
        <v>481.96886399999994</v>
      </c>
      <c r="G371" s="78"/>
      <c r="H371" s="79"/>
    </row>
    <row r="372" spans="1:8" ht="15.75" customHeight="1" x14ac:dyDescent="0.25">
      <c r="A372" s="42">
        <f t="shared" si="52"/>
        <v>3</v>
      </c>
      <c r="B372" s="42" t="s">
        <v>258</v>
      </c>
      <c r="C372" s="42" t="s">
        <v>274</v>
      </c>
      <c r="D372" s="42">
        <f>(3.65*2.7+3.45*1.85+2.45*2.6+1.2*1.55+1.05*1.8+0.9*1.85)*10.764</f>
        <v>301.63418999999999</v>
      </c>
      <c r="E372" s="42">
        <v>0</v>
      </c>
      <c r="F372" s="42">
        <f t="shared" si="51"/>
        <v>482.61470400000002</v>
      </c>
      <c r="G372" s="78"/>
      <c r="H372" s="79"/>
    </row>
    <row r="373" spans="1:8" ht="15.75" customHeight="1" x14ac:dyDescent="0.25">
      <c r="A373" s="42">
        <f t="shared" si="52"/>
        <v>4</v>
      </c>
      <c r="B373" s="42" t="s">
        <v>258</v>
      </c>
      <c r="C373" s="42" t="s">
        <v>274</v>
      </c>
      <c r="D373" s="42">
        <f>(3.65*2.7+3.45*1.85+2.45*2.6+1.05*1.85+1.2*1.55+0.9*1.85)*10.764</f>
        <v>302.19929999999999</v>
      </c>
      <c r="E373" s="42">
        <v>0</v>
      </c>
      <c r="F373" s="42">
        <f t="shared" si="51"/>
        <v>483.51888000000002</v>
      </c>
      <c r="G373" s="78"/>
      <c r="H373" s="79"/>
    </row>
    <row r="374" spans="1:8" ht="15.75" customHeight="1" x14ac:dyDescent="0.25">
      <c r="A374" s="42">
        <f t="shared" si="52"/>
        <v>5</v>
      </c>
      <c r="B374" s="42" t="s">
        <v>273</v>
      </c>
      <c r="C374" s="97" t="s">
        <v>292</v>
      </c>
      <c r="D374" s="97"/>
      <c r="E374" s="97"/>
      <c r="F374" s="97"/>
      <c r="G374" s="78"/>
      <c r="H374" s="79"/>
    </row>
    <row r="375" spans="1:8" ht="15.75" customHeight="1" x14ac:dyDescent="0.25">
      <c r="A375" s="42">
        <f t="shared" si="52"/>
        <v>6</v>
      </c>
      <c r="B375" s="42" t="s">
        <v>273</v>
      </c>
      <c r="C375" s="97" t="s">
        <v>293</v>
      </c>
      <c r="D375" s="97"/>
      <c r="E375" s="97"/>
      <c r="F375" s="97"/>
      <c r="G375" s="80"/>
      <c r="H375" s="81"/>
    </row>
    <row r="376" spans="1:8" ht="15.75" customHeight="1" x14ac:dyDescent="0.25">
      <c r="A376" s="82" t="s">
        <v>295</v>
      </c>
      <c r="B376" s="83"/>
      <c r="C376" s="83"/>
      <c r="D376" s="83"/>
      <c r="E376" s="83"/>
      <c r="F376" s="83"/>
      <c r="G376" s="83"/>
      <c r="H376" s="84"/>
    </row>
    <row r="377" spans="1:8" ht="15.75" customHeight="1" x14ac:dyDescent="0.25">
      <c r="A377" s="42">
        <v>1</v>
      </c>
      <c r="B377" s="42" t="s">
        <v>258</v>
      </c>
      <c r="C377" s="42" t="s">
        <v>274</v>
      </c>
      <c r="D377" s="42">
        <f>(2.7*3.65+1.85*3.45+2.45*2.45+1.85*1.2+1.55*1.2+1.85*0.9)*10.764</f>
        <v>301.23053999999996</v>
      </c>
      <c r="E377" s="42">
        <v>0</v>
      </c>
      <c r="F377" s="42">
        <f t="shared" ref="F377:F382" si="53">D377*1.6</f>
        <v>481.96886399999994</v>
      </c>
      <c r="G377" s="76" t="str">
        <f>A376</f>
        <v>6th &amp; 7th Floor For residential</v>
      </c>
      <c r="H377" s="77"/>
    </row>
    <row r="378" spans="1:8" ht="15.75" customHeight="1" x14ac:dyDescent="0.25">
      <c r="A378" s="42">
        <f t="shared" ref="A378:A382" si="54">A377+1</f>
        <v>2</v>
      </c>
      <c r="B378" s="42" t="s">
        <v>258</v>
      </c>
      <c r="C378" s="42" t="s">
        <v>274</v>
      </c>
      <c r="D378" s="42">
        <f>(2.7*3.65+1.85*3.45+2.45*2.45+1.85*1.2+1.55*1.2+1.85*0.9)*10.764</f>
        <v>301.23053999999996</v>
      </c>
      <c r="E378" s="42">
        <v>0</v>
      </c>
      <c r="F378" s="42">
        <f t="shared" si="53"/>
        <v>481.96886399999994</v>
      </c>
      <c r="G378" s="78"/>
      <c r="H378" s="79"/>
    </row>
    <row r="379" spans="1:8" ht="15.75" customHeight="1" x14ac:dyDescent="0.25">
      <c r="A379" s="42">
        <f t="shared" si="54"/>
        <v>3</v>
      </c>
      <c r="B379" s="42" t="s">
        <v>258</v>
      </c>
      <c r="C379" s="42" t="s">
        <v>274</v>
      </c>
      <c r="D379" s="42">
        <f>(3.65*2.7+3.45*1.85+2.45*2.6+1.2*1.55+1.05*1.8+0.9*1.85)*10.764</f>
        <v>301.63418999999999</v>
      </c>
      <c r="E379" s="42">
        <v>0</v>
      </c>
      <c r="F379" s="42">
        <f t="shared" si="53"/>
        <v>482.61470400000002</v>
      </c>
      <c r="G379" s="78"/>
      <c r="H379" s="79"/>
    </row>
    <row r="380" spans="1:8" ht="15.75" customHeight="1" x14ac:dyDescent="0.25">
      <c r="A380" s="42">
        <f t="shared" si="54"/>
        <v>4</v>
      </c>
      <c r="B380" s="42" t="s">
        <v>258</v>
      </c>
      <c r="C380" s="42" t="s">
        <v>274</v>
      </c>
      <c r="D380" s="42">
        <f>(3.65*2.7+3.45*1.85+2.45*2.6+1.05*1.85+1.2*1.55+0.9*1.85)*10.764</f>
        <v>302.19929999999999</v>
      </c>
      <c r="E380" s="42">
        <v>0</v>
      </c>
      <c r="F380" s="42">
        <f t="shared" si="53"/>
        <v>483.51888000000002</v>
      </c>
      <c r="G380" s="78"/>
      <c r="H380" s="79"/>
    </row>
    <row r="381" spans="1:8" ht="15.75" customHeight="1" x14ac:dyDescent="0.25">
      <c r="A381" s="42">
        <f t="shared" si="54"/>
        <v>5</v>
      </c>
      <c r="B381" s="42" t="s">
        <v>258</v>
      </c>
      <c r="C381" s="42" t="s">
        <v>274</v>
      </c>
      <c r="D381" s="42">
        <f>(3.5*2.7+3.45*1.85+2.45*2.6+1.55*1.2+1.2*1.85+0.9*1.85)*10.764</f>
        <v>300.82688999999993</v>
      </c>
      <c r="E381" s="42">
        <v>0</v>
      </c>
      <c r="F381" s="42">
        <f t="shared" si="53"/>
        <v>481.32302399999992</v>
      </c>
      <c r="G381" s="78"/>
      <c r="H381" s="79"/>
    </row>
    <row r="382" spans="1:8" ht="15.75" customHeight="1" x14ac:dyDescent="0.25">
      <c r="A382" s="42">
        <f t="shared" si="54"/>
        <v>6</v>
      </c>
      <c r="B382" s="42" t="s">
        <v>258</v>
      </c>
      <c r="C382" s="42" t="s">
        <v>274</v>
      </c>
      <c r="D382" s="42">
        <f>(3.5*2.7+3.45*1.85+2.45*2.6+1.55*1.2+1.2*1.85+0.9*1.85)*10.764</f>
        <v>300.82688999999993</v>
      </c>
      <c r="E382" s="42">
        <v>0</v>
      </c>
      <c r="F382" s="42">
        <f t="shared" si="53"/>
        <v>481.32302399999992</v>
      </c>
      <c r="G382" s="80"/>
      <c r="H382" s="81"/>
    </row>
    <row r="383" spans="1:8" ht="15.75" customHeight="1" x14ac:dyDescent="0.25">
      <c r="A383" s="82" t="s">
        <v>303</v>
      </c>
      <c r="B383" s="83"/>
      <c r="C383" s="83"/>
      <c r="D383" s="83"/>
      <c r="E383" s="83"/>
      <c r="F383" s="83"/>
      <c r="G383" s="83"/>
      <c r="H383" s="84"/>
    </row>
    <row r="384" spans="1:8" ht="15.75" customHeight="1" x14ac:dyDescent="0.25">
      <c r="A384" s="42">
        <v>1</v>
      </c>
      <c r="B384" s="42" t="s">
        <v>258</v>
      </c>
      <c r="C384" s="42" t="s">
        <v>274</v>
      </c>
      <c r="D384" s="42">
        <f>(2.7*3.65+1.85*3.45+2.45*2.45+1.85*1.2+1.55*1.2+1.85*0.9)*10.764</f>
        <v>301.23053999999996</v>
      </c>
      <c r="E384" s="42">
        <v>0</v>
      </c>
      <c r="F384" s="42">
        <f t="shared" ref="F384:F386" si="55">D384*1.6</f>
        <v>481.96886399999994</v>
      </c>
      <c r="G384" s="76" t="str">
        <f>A383</f>
        <v>8th Floor (Part Refuge Area)</v>
      </c>
      <c r="H384" s="77"/>
    </row>
    <row r="385" spans="1:8" ht="15.75" customHeight="1" x14ac:dyDescent="0.25">
      <c r="A385" s="42">
        <f t="shared" ref="A385:A389" si="56">A384+1</f>
        <v>2</v>
      </c>
      <c r="B385" s="42" t="s">
        <v>258</v>
      </c>
      <c r="C385" s="42" t="s">
        <v>274</v>
      </c>
      <c r="D385" s="42">
        <f>(2.7*3.65+1.85*3.45+2.45*2.45+1.85*1.2+1.55*1.2+1.85*0.9)*10.764</f>
        <v>301.23053999999996</v>
      </c>
      <c r="E385" s="42">
        <v>0</v>
      </c>
      <c r="F385" s="42">
        <f t="shared" si="55"/>
        <v>481.96886399999994</v>
      </c>
      <c r="G385" s="78"/>
      <c r="H385" s="79"/>
    </row>
    <row r="386" spans="1:8" ht="15.75" customHeight="1" x14ac:dyDescent="0.25">
      <c r="A386" s="42">
        <f t="shared" si="56"/>
        <v>3</v>
      </c>
      <c r="B386" s="42" t="s">
        <v>258</v>
      </c>
      <c r="C386" s="42" t="s">
        <v>274</v>
      </c>
      <c r="D386" s="42">
        <f>(3.65*2.7+3.45*1.85+2.45*2.6+1.2*1.55+1.05*1.8+0.9*1.85)*10.764</f>
        <v>301.63418999999999</v>
      </c>
      <c r="E386" s="42">
        <v>0</v>
      </c>
      <c r="F386" s="42">
        <f t="shared" si="55"/>
        <v>482.61470400000002</v>
      </c>
      <c r="G386" s="78"/>
      <c r="H386" s="79"/>
    </row>
    <row r="387" spans="1:8" ht="15.75" customHeight="1" x14ac:dyDescent="0.25">
      <c r="A387" s="42">
        <f t="shared" si="56"/>
        <v>4</v>
      </c>
      <c r="B387" s="42" t="s">
        <v>273</v>
      </c>
      <c r="C387" s="85" t="s">
        <v>296</v>
      </c>
      <c r="D387" s="86"/>
      <c r="E387" s="86"/>
      <c r="F387" s="87"/>
      <c r="G387" s="78"/>
      <c r="H387" s="79"/>
    </row>
    <row r="388" spans="1:8" ht="15.75" customHeight="1" x14ac:dyDescent="0.25">
      <c r="A388" s="42">
        <f t="shared" si="56"/>
        <v>5</v>
      </c>
      <c r="B388" s="42" t="s">
        <v>258</v>
      </c>
      <c r="C388" s="42" t="s">
        <v>274</v>
      </c>
      <c r="D388" s="42">
        <f>(3.5*2.7+3.45*1.85+2.45*2.6+1.55*1.2+1.2*1.85+0.9*1.85)*10.764</f>
        <v>300.82688999999993</v>
      </c>
      <c r="E388" s="42">
        <v>0</v>
      </c>
      <c r="F388" s="42">
        <f t="shared" ref="F388:F389" si="57">D388*1.6</f>
        <v>481.32302399999992</v>
      </c>
      <c r="G388" s="78"/>
      <c r="H388" s="79"/>
    </row>
    <row r="389" spans="1:8" ht="15.75" customHeight="1" x14ac:dyDescent="0.25">
      <c r="A389" s="42">
        <f t="shared" si="56"/>
        <v>6</v>
      </c>
      <c r="B389" s="42" t="s">
        <v>258</v>
      </c>
      <c r="C389" s="42" t="s">
        <v>274</v>
      </c>
      <c r="D389" s="42">
        <f>(3.5*2.7+3.45*1.85+2.45*2.6+1.55*1.2+1.2*1.85+0.9*1.85)*10.764</f>
        <v>300.82688999999993</v>
      </c>
      <c r="E389" s="42">
        <v>0</v>
      </c>
      <c r="F389" s="42">
        <f t="shared" si="57"/>
        <v>481.32302399999992</v>
      </c>
      <c r="G389" s="80"/>
      <c r="H389" s="81"/>
    </row>
    <row r="390" spans="1:8" ht="15.75" customHeight="1" x14ac:dyDescent="0.25">
      <c r="A390" s="82" t="s">
        <v>302</v>
      </c>
      <c r="B390" s="83"/>
      <c r="C390" s="83"/>
      <c r="D390" s="83"/>
      <c r="E390" s="83"/>
      <c r="F390" s="83"/>
      <c r="G390" s="83"/>
      <c r="H390" s="84"/>
    </row>
    <row r="391" spans="1:8" ht="15.75" customHeight="1" x14ac:dyDescent="0.25">
      <c r="A391" s="42">
        <v>1</v>
      </c>
      <c r="B391" s="42" t="s">
        <v>259</v>
      </c>
      <c r="C391" s="42" t="s">
        <v>274</v>
      </c>
      <c r="D391" s="42">
        <f>35.85*10.764</f>
        <v>385.88939999999997</v>
      </c>
      <c r="E391" s="42">
        <v>0</v>
      </c>
      <c r="F391" s="42">
        <f>D391*1.6</f>
        <v>617.42304000000001</v>
      </c>
      <c r="G391" s="76" t="str">
        <f>A390</f>
        <v>9th &amp; 10th Floor</v>
      </c>
      <c r="H391" s="77"/>
    </row>
    <row r="392" spans="1:8" ht="15.75" customHeight="1" x14ac:dyDescent="0.25">
      <c r="A392" s="42">
        <f t="shared" ref="A392:A396" si="58">A391+1</f>
        <v>2</v>
      </c>
      <c r="B392" s="42" t="s">
        <v>259</v>
      </c>
      <c r="C392" s="42" t="s">
        <v>274</v>
      </c>
      <c r="D392" s="42">
        <f>35.85*10.764</f>
        <v>385.88939999999997</v>
      </c>
      <c r="E392" s="42">
        <v>0</v>
      </c>
      <c r="F392" s="42">
        <f>D392*1.6</f>
        <v>617.42304000000001</v>
      </c>
      <c r="G392" s="78"/>
      <c r="H392" s="79"/>
    </row>
    <row r="393" spans="1:8" ht="15.75" customHeight="1" x14ac:dyDescent="0.25">
      <c r="A393" s="42">
        <f t="shared" si="58"/>
        <v>3</v>
      </c>
      <c r="B393" s="42" t="s">
        <v>258</v>
      </c>
      <c r="C393" s="42" t="s">
        <v>274</v>
      </c>
      <c r="D393" s="42">
        <f>(3.65*2.7+3.45*1.85+2.45*2.6+1.2*1.55+1.05*1.8+0.9*1.85)*10.764</f>
        <v>301.63418999999999</v>
      </c>
      <c r="E393" s="42">
        <v>0</v>
      </c>
      <c r="F393" s="42">
        <f>D393*1.6</f>
        <v>482.61470400000002</v>
      </c>
      <c r="G393" s="78"/>
      <c r="H393" s="79"/>
    </row>
    <row r="394" spans="1:8" ht="15.75" customHeight="1" x14ac:dyDescent="0.25">
      <c r="A394" s="42">
        <f t="shared" si="58"/>
        <v>4</v>
      </c>
      <c r="B394" s="42" t="s">
        <v>258</v>
      </c>
      <c r="C394" s="42" t="s">
        <v>274</v>
      </c>
      <c r="D394" s="42">
        <f>(3.65*2.7+3.45*1.85+2.45*2.6+1.05*1.85+1.2*1.55+0.9*1.85)*10.764</f>
        <v>302.19929999999999</v>
      </c>
      <c r="E394" s="42">
        <v>0</v>
      </c>
      <c r="F394" s="42">
        <f t="shared" ref="F394:F445" si="59">D394*1.6</f>
        <v>483.51888000000002</v>
      </c>
      <c r="G394" s="78"/>
      <c r="H394" s="79"/>
    </row>
    <row r="395" spans="1:8" ht="15.75" customHeight="1" x14ac:dyDescent="0.25">
      <c r="A395" s="42">
        <f t="shared" si="58"/>
        <v>5</v>
      </c>
      <c r="B395" s="42" t="s">
        <v>258</v>
      </c>
      <c r="C395" s="42" t="s">
        <v>274</v>
      </c>
      <c r="D395" s="42">
        <f>(3.5*2.7+3.45*1.85+2.45*2.6+1.55*1.2+1.2*1.85+0.9*1.85)*10.764</f>
        <v>300.82688999999993</v>
      </c>
      <c r="E395" s="42">
        <v>0</v>
      </c>
      <c r="F395" s="42">
        <f>D395*1.6</f>
        <v>481.32302399999992</v>
      </c>
      <c r="G395" s="78"/>
      <c r="H395" s="79"/>
    </row>
    <row r="396" spans="1:8" ht="15.75" customHeight="1" x14ac:dyDescent="0.25">
      <c r="A396" s="42">
        <f t="shared" si="58"/>
        <v>6</v>
      </c>
      <c r="B396" s="42" t="s">
        <v>258</v>
      </c>
      <c r="C396" s="42" t="s">
        <v>274</v>
      </c>
      <c r="D396" s="42">
        <f>(3.5*2.7+3.45*1.85+2.45*2.6+1.55*1.2+1.2*1.85+0.9*1.85)*10.764</f>
        <v>300.82688999999993</v>
      </c>
      <c r="E396" s="42">
        <v>0</v>
      </c>
      <c r="F396" s="42">
        <f t="shared" si="59"/>
        <v>481.32302399999992</v>
      </c>
      <c r="G396" s="80"/>
      <c r="H396" s="81"/>
    </row>
    <row r="397" spans="1:8" ht="15.75" customHeight="1" x14ac:dyDescent="0.25">
      <c r="A397" s="82" t="s">
        <v>301</v>
      </c>
      <c r="B397" s="83"/>
      <c r="C397" s="83"/>
      <c r="D397" s="83"/>
      <c r="E397" s="83"/>
      <c r="F397" s="83"/>
      <c r="G397" s="83"/>
      <c r="H397" s="84"/>
    </row>
    <row r="398" spans="1:8" ht="15.75" customHeight="1" x14ac:dyDescent="0.25">
      <c r="A398" s="42">
        <v>1</v>
      </c>
      <c r="B398" s="42" t="s">
        <v>258</v>
      </c>
      <c r="C398" s="42" t="s">
        <v>274</v>
      </c>
      <c r="D398" s="42">
        <f>(2.7*3.65+1.85*3.45+2.45*2.45+1.85*1.2+1.55*1.2+1.85*0.9)*10.764</f>
        <v>301.23053999999996</v>
      </c>
      <c r="E398" s="42">
        <v>0</v>
      </c>
      <c r="F398" s="42">
        <f t="shared" si="59"/>
        <v>481.96886399999994</v>
      </c>
      <c r="G398" s="76" t="str">
        <f>A397</f>
        <v>11th Floor</v>
      </c>
      <c r="H398" s="77"/>
    </row>
    <row r="399" spans="1:8" ht="15.75" customHeight="1" x14ac:dyDescent="0.25">
      <c r="A399" s="42">
        <f t="shared" ref="A399:A403" si="60">A398+1</f>
        <v>2</v>
      </c>
      <c r="B399" s="42" t="s">
        <v>258</v>
      </c>
      <c r="C399" s="42" t="s">
        <v>274</v>
      </c>
      <c r="D399" s="42">
        <f>(2.7*3.65+1.85*3.45+2.45*2.45+1.85*1.2+1.55*1.2+1.85*0.9)*10.764</f>
        <v>301.23053999999996</v>
      </c>
      <c r="E399" s="42">
        <v>0</v>
      </c>
      <c r="F399" s="42">
        <f t="shared" si="59"/>
        <v>481.96886399999994</v>
      </c>
      <c r="G399" s="78"/>
      <c r="H399" s="79"/>
    </row>
    <row r="400" spans="1:8" ht="15.75" customHeight="1" x14ac:dyDescent="0.25">
      <c r="A400" s="42">
        <f t="shared" si="60"/>
        <v>3</v>
      </c>
      <c r="B400" s="42" t="s">
        <v>258</v>
      </c>
      <c r="C400" s="42" t="s">
        <v>274</v>
      </c>
      <c r="D400" s="42">
        <f>(3.65*2.7+3.45*1.85+2.45*2.6+1.2*1.55+1.05*1.8+0.9*1.85)*10.764</f>
        <v>301.63418999999999</v>
      </c>
      <c r="E400" s="42">
        <v>0</v>
      </c>
      <c r="F400" s="42">
        <f t="shared" si="59"/>
        <v>482.61470400000002</v>
      </c>
      <c r="G400" s="78"/>
      <c r="H400" s="79"/>
    </row>
    <row r="401" spans="1:8" ht="15.75" customHeight="1" x14ac:dyDescent="0.25">
      <c r="A401" s="42">
        <f t="shared" si="60"/>
        <v>4</v>
      </c>
      <c r="B401" s="42" t="s">
        <v>258</v>
      </c>
      <c r="C401" s="42" t="s">
        <v>274</v>
      </c>
      <c r="D401" s="42">
        <f>(3.65*2.7+3.45*1.85+2.45*2.6+1.05*1.85+1.2*1.55+0.9*1.85)*10.764</f>
        <v>302.19929999999999</v>
      </c>
      <c r="E401" s="42">
        <v>0</v>
      </c>
      <c r="F401" s="42">
        <f t="shared" si="59"/>
        <v>483.51888000000002</v>
      </c>
      <c r="G401" s="78"/>
      <c r="H401" s="79"/>
    </row>
    <row r="402" spans="1:8" ht="15.75" customHeight="1" x14ac:dyDescent="0.25">
      <c r="A402" s="42">
        <f t="shared" si="60"/>
        <v>5</v>
      </c>
      <c r="B402" s="42" t="s">
        <v>258</v>
      </c>
      <c r="C402" s="42" t="s">
        <v>274</v>
      </c>
      <c r="D402" s="42">
        <f>(3.5*2.7+3.45*1.85+2.45*2.6+1.55*1.2+1.2*1.85+0.9*1.85)*10.764</f>
        <v>300.82688999999993</v>
      </c>
      <c r="E402" s="42">
        <v>0</v>
      </c>
      <c r="F402" s="42">
        <f t="shared" si="59"/>
        <v>481.32302399999992</v>
      </c>
      <c r="G402" s="78"/>
      <c r="H402" s="79"/>
    </row>
    <row r="403" spans="1:8" ht="15.75" customHeight="1" x14ac:dyDescent="0.25">
      <c r="A403" s="42">
        <f t="shared" si="60"/>
        <v>6</v>
      </c>
      <c r="B403" s="42" t="s">
        <v>258</v>
      </c>
      <c r="C403" s="42" t="s">
        <v>274</v>
      </c>
      <c r="D403" s="42">
        <f>(3.5*2.7+3.45*1.85+2.45*2.6+1.55*1.2+1.2*1.85+0.9*1.85)*10.764</f>
        <v>300.82688999999993</v>
      </c>
      <c r="E403" s="42">
        <v>0</v>
      </c>
      <c r="F403" s="42">
        <f t="shared" si="59"/>
        <v>481.32302399999992</v>
      </c>
      <c r="G403" s="80"/>
      <c r="H403" s="81"/>
    </row>
    <row r="404" spans="1:8" ht="15.75" customHeight="1" x14ac:dyDescent="0.25">
      <c r="A404" s="82" t="s">
        <v>300</v>
      </c>
      <c r="B404" s="83"/>
      <c r="C404" s="83"/>
      <c r="D404" s="83"/>
      <c r="E404" s="83"/>
      <c r="F404" s="83"/>
      <c r="G404" s="83"/>
      <c r="H404" s="84"/>
    </row>
    <row r="405" spans="1:8" ht="15.75" customHeight="1" x14ac:dyDescent="0.25">
      <c r="A405" s="42">
        <v>1</v>
      </c>
      <c r="B405" s="42" t="s">
        <v>258</v>
      </c>
      <c r="C405" s="42" t="s">
        <v>274</v>
      </c>
      <c r="D405" s="42">
        <f>(2.7*3.65+1.85*3.45+2.45*2.45+1.85*1.2+1.55*1.2+1.85*0.9)*10.764</f>
        <v>301.23053999999996</v>
      </c>
      <c r="E405" s="42">
        <v>0</v>
      </c>
      <c r="F405" s="42">
        <f t="shared" si="59"/>
        <v>481.96886399999994</v>
      </c>
      <c r="G405" s="76" t="str">
        <f>A404</f>
        <v>12th to 14th Floor</v>
      </c>
      <c r="H405" s="77"/>
    </row>
    <row r="406" spans="1:8" ht="15.75" customHeight="1" x14ac:dyDescent="0.25">
      <c r="A406" s="42">
        <f t="shared" ref="A406:A410" si="61">A405+1</f>
        <v>2</v>
      </c>
      <c r="B406" s="42" t="s">
        <v>258</v>
      </c>
      <c r="C406" s="42" t="s">
        <v>274</v>
      </c>
      <c r="D406" s="42">
        <f>(2.7*3.65+1.85*3.45+2.45*2.45+1.85*1.2+1.55*1.2+1.85*0.9)*10.764</f>
        <v>301.23053999999996</v>
      </c>
      <c r="E406" s="42">
        <v>0</v>
      </c>
      <c r="F406" s="42">
        <f t="shared" si="59"/>
        <v>481.96886399999994</v>
      </c>
      <c r="G406" s="78"/>
      <c r="H406" s="79"/>
    </row>
    <row r="407" spans="1:8" ht="15.75" customHeight="1" x14ac:dyDescent="0.25">
      <c r="A407" s="42">
        <f t="shared" si="61"/>
        <v>3</v>
      </c>
      <c r="B407" s="42" t="s">
        <v>258</v>
      </c>
      <c r="C407" s="42" t="s">
        <v>274</v>
      </c>
      <c r="D407" s="42">
        <f>(3.65*2.7+3.45*1.85+2.45*2.6+1.2*1.55+1.05*1.8+0.9*1.85)*10.764</f>
        <v>301.63418999999999</v>
      </c>
      <c r="E407" s="42">
        <v>0</v>
      </c>
      <c r="F407" s="42">
        <f t="shared" si="59"/>
        <v>482.61470400000002</v>
      </c>
      <c r="G407" s="78"/>
      <c r="H407" s="79"/>
    </row>
    <row r="408" spans="1:8" ht="15.75" customHeight="1" x14ac:dyDescent="0.25">
      <c r="A408" s="42">
        <f t="shared" si="61"/>
        <v>4</v>
      </c>
      <c r="B408" s="42" t="s">
        <v>258</v>
      </c>
      <c r="C408" s="42" t="s">
        <v>274</v>
      </c>
      <c r="D408" s="42">
        <f>(3.65*2.7+3.45*1.85+2.45*2.6+1.05*1.85+1.2*1.55+0.9*1.85)*10.764</f>
        <v>302.19929999999999</v>
      </c>
      <c r="E408" s="42">
        <v>0</v>
      </c>
      <c r="F408" s="42">
        <f t="shared" si="59"/>
        <v>483.51888000000002</v>
      </c>
      <c r="G408" s="78"/>
      <c r="H408" s="79"/>
    </row>
    <row r="409" spans="1:8" ht="15.75" customHeight="1" x14ac:dyDescent="0.25">
      <c r="A409" s="42">
        <f t="shared" si="61"/>
        <v>5</v>
      </c>
      <c r="B409" s="42" t="s">
        <v>258</v>
      </c>
      <c r="C409" s="42" t="s">
        <v>274</v>
      </c>
      <c r="D409" s="42">
        <f>(3.5*2.7+3.45*1.85+2.45*2.6+1.55*1.2+1.2*1.85+0.9*1.85)*10.764</f>
        <v>300.82688999999993</v>
      </c>
      <c r="E409" s="42">
        <v>0</v>
      </c>
      <c r="F409" s="42">
        <f t="shared" si="59"/>
        <v>481.32302399999992</v>
      </c>
      <c r="G409" s="78"/>
      <c r="H409" s="79"/>
    </row>
    <row r="410" spans="1:8" ht="15.75" customHeight="1" x14ac:dyDescent="0.25">
      <c r="A410" s="42">
        <f t="shared" si="61"/>
        <v>6</v>
      </c>
      <c r="B410" s="42" t="s">
        <v>258</v>
      </c>
      <c r="C410" s="42" t="s">
        <v>274</v>
      </c>
      <c r="D410" s="42">
        <f>(3.5*2.7+3.45*1.85+2.45*2.6+1.55*1.2+1.2*1.85+0.9*1.85)*10.764</f>
        <v>300.82688999999993</v>
      </c>
      <c r="E410" s="42">
        <v>0</v>
      </c>
      <c r="F410" s="42">
        <f t="shared" si="59"/>
        <v>481.32302399999992</v>
      </c>
      <c r="G410" s="80"/>
      <c r="H410" s="81"/>
    </row>
    <row r="411" spans="1:8" ht="15.75" customHeight="1" x14ac:dyDescent="0.25">
      <c r="A411" s="82" t="s">
        <v>298</v>
      </c>
      <c r="B411" s="83"/>
      <c r="C411" s="83"/>
      <c r="D411" s="83"/>
      <c r="E411" s="83"/>
      <c r="F411" s="83"/>
      <c r="G411" s="83"/>
      <c r="H411" s="84"/>
    </row>
    <row r="412" spans="1:8" ht="15.75" customHeight="1" x14ac:dyDescent="0.25">
      <c r="A412" s="42">
        <v>1</v>
      </c>
      <c r="B412" s="42" t="s">
        <v>258</v>
      </c>
      <c r="C412" s="42" t="s">
        <v>274</v>
      </c>
      <c r="D412" s="42">
        <f>(2.7*3.65+1.85*3.45+2.45*2.45+1.85*1.2+1.55*1.2+1.85*0.9)*10.764</f>
        <v>301.23053999999996</v>
      </c>
      <c r="E412" s="42">
        <v>0</v>
      </c>
      <c r="F412" s="42">
        <f t="shared" si="59"/>
        <v>481.96886399999994</v>
      </c>
      <c r="G412" s="76" t="str">
        <f>A411</f>
        <v>15th Floor (Part Refuge Area)</v>
      </c>
      <c r="H412" s="77"/>
    </row>
    <row r="413" spans="1:8" ht="15.75" customHeight="1" x14ac:dyDescent="0.25">
      <c r="A413" s="42">
        <f t="shared" ref="A413:A417" si="62">A412+1</f>
        <v>2</v>
      </c>
      <c r="B413" s="42" t="s">
        <v>258</v>
      </c>
      <c r="C413" s="42" t="s">
        <v>274</v>
      </c>
      <c r="D413" s="42">
        <f>(2.7*3.65+1.85*3.45+2.45*2.45+1.85*1.2+1.55*1.2+1.85*0.9)*10.764</f>
        <v>301.23053999999996</v>
      </c>
      <c r="E413" s="42">
        <v>0</v>
      </c>
      <c r="F413" s="42">
        <f t="shared" si="59"/>
        <v>481.96886399999994</v>
      </c>
      <c r="G413" s="78"/>
      <c r="H413" s="79"/>
    </row>
    <row r="414" spans="1:8" ht="15.75" customHeight="1" x14ac:dyDescent="0.25">
      <c r="A414" s="42">
        <f t="shared" si="62"/>
        <v>3</v>
      </c>
      <c r="B414" s="42" t="s">
        <v>258</v>
      </c>
      <c r="C414" s="42" t="s">
        <v>274</v>
      </c>
      <c r="D414" s="42">
        <f>(3.65*2.7+3.45*1.85+2.45*2.6+1.2*1.55+1.05*1.8+0.9*1.85)*10.764</f>
        <v>301.63418999999999</v>
      </c>
      <c r="E414" s="42">
        <v>0</v>
      </c>
      <c r="F414" s="42">
        <f t="shared" si="59"/>
        <v>482.61470400000002</v>
      </c>
      <c r="G414" s="78"/>
      <c r="H414" s="79"/>
    </row>
    <row r="415" spans="1:8" ht="15.75" customHeight="1" x14ac:dyDescent="0.25">
      <c r="A415" s="42">
        <f t="shared" si="62"/>
        <v>4</v>
      </c>
      <c r="B415" s="42" t="s">
        <v>273</v>
      </c>
      <c r="C415" s="85" t="s">
        <v>296</v>
      </c>
      <c r="D415" s="86"/>
      <c r="E415" s="86"/>
      <c r="F415" s="87"/>
      <c r="G415" s="78"/>
      <c r="H415" s="79"/>
    </row>
    <row r="416" spans="1:8" ht="15.75" customHeight="1" x14ac:dyDescent="0.25">
      <c r="A416" s="42">
        <f t="shared" si="62"/>
        <v>5</v>
      </c>
      <c r="B416" s="42" t="s">
        <v>258</v>
      </c>
      <c r="C416" s="42" t="s">
        <v>274</v>
      </c>
      <c r="D416" s="42">
        <f>(3.5*2.7+3.45*1.85+2.45*2.6+1.55*1.2+1.2*1.85+0.9*1.85)*10.764</f>
        <v>300.82688999999993</v>
      </c>
      <c r="E416" s="42">
        <v>0</v>
      </c>
      <c r="F416" s="42">
        <f t="shared" si="59"/>
        <v>481.32302399999992</v>
      </c>
      <c r="G416" s="78"/>
      <c r="H416" s="79"/>
    </row>
    <row r="417" spans="1:8" ht="15.75" customHeight="1" x14ac:dyDescent="0.25">
      <c r="A417" s="42">
        <f t="shared" si="62"/>
        <v>6</v>
      </c>
      <c r="B417" s="42" t="s">
        <v>258</v>
      </c>
      <c r="C417" s="42" t="s">
        <v>274</v>
      </c>
      <c r="D417" s="42">
        <f>(3.5*2.7+3.45*1.85+2.45*2.6+1.55*1.2+1.2*1.85+0.9*1.85)*10.764</f>
        <v>300.82688999999993</v>
      </c>
      <c r="E417" s="42">
        <v>0</v>
      </c>
      <c r="F417" s="42">
        <f t="shared" si="59"/>
        <v>481.32302399999992</v>
      </c>
      <c r="G417" s="80"/>
      <c r="H417" s="81"/>
    </row>
    <row r="418" spans="1:8" ht="15.75" customHeight="1" x14ac:dyDescent="0.25">
      <c r="A418" s="82" t="s">
        <v>299</v>
      </c>
      <c r="B418" s="83"/>
      <c r="C418" s="83"/>
      <c r="D418" s="83"/>
      <c r="E418" s="83"/>
      <c r="F418" s="83"/>
      <c r="G418" s="83"/>
      <c r="H418" s="84"/>
    </row>
    <row r="419" spans="1:8" ht="15.75" customHeight="1" x14ac:dyDescent="0.25">
      <c r="A419" s="42">
        <v>1</v>
      </c>
      <c r="B419" s="42" t="s">
        <v>259</v>
      </c>
      <c r="C419" s="42" t="s">
        <v>274</v>
      </c>
      <c r="D419" s="42">
        <f>35.85*10.764</f>
        <v>385.88939999999997</v>
      </c>
      <c r="E419" s="42">
        <v>0</v>
      </c>
      <c r="F419" s="42">
        <f t="shared" si="59"/>
        <v>617.42304000000001</v>
      </c>
      <c r="G419" s="76" t="str">
        <f>A418</f>
        <v>16th Floor</v>
      </c>
      <c r="H419" s="77"/>
    </row>
    <row r="420" spans="1:8" ht="15.75" customHeight="1" x14ac:dyDescent="0.25">
      <c r="A420" s="42">
        <f t="shared" ref="A420:A424" si="63">A419+1</f>
        <v>2</v>
      </c>
      <c r="B420" s="42" t="s">
        <v>258</v>
      </c>
      <c r="C420" s="42" t="s">
        <v>274</v>
      </c>
      <c r="D420" s="42">
        <f>(2.7*3.65+1.85*3.45+2.45*2.45+1.85*1.2+1.55*1.2+1.85*0.9)*10.764</f>
        <v>301.23053999999996</v>
      </c>
      <c r="E420" s="42">
        <v>0</v>
      </c>
      <c r="F420" s="42">
        <f t="shared" si="59"/>
        <v>481.96886399999994</v>
      </c>
      <c r="G420" s="78"/>
      <c r="H420" s="79"/>
    </row>
    <row r="421" spans="1:8" ht="15.75" customHeight="1" x14ac:dyDescent="0.25">
      <c r="A421" s="42">
        <f t="shared" si="63"/>
        <v>3</v>
      </c>
      <c r="B421" s="42" t="s">
        <v>258</v>
      </c>
      <c r="C421" s="42" t="s">
        <v>274</v>
      </c>
      <c r="D421" s="42">
        <f>(3.65*2.7+3.45*1.85+2.45*2.6+1.2*1.55+1.05*1.8+0.9*1.85)*10.764</f>
        <v>301.63418999999999</v>
      </c>
      <c r="E421" s="42">
        <v>0</v>
      </c>
      <c r="F421" s="42">
        <f t="shared" si="59"/>
        <v>482.61470400000002</v>
      </c>
      <c r="G421" s="78"/>
      <c r="H421" s="79"/>
    </row>
    <row r="422" spans="1:8" ht="15.75" customHeight="1" x14ac:dyDescent="0.25">
      <c r="A422" s="42">
        <f t="shared" si="63"/>
        <v>4</v>
      </c>
      <c r="B422" s="42" t="s">
        <v>258</v>
      </c>
      <c r="C422" s="42" t="s">
        <v>274</v>
      </c>
      <c r="D422" s="42">
        <f>(3.65*2.7+3.45*1.85+2.45*2.6+1.05*1.85+1.2*1.55+0.9*1.85)*10.764</f>
        <v>302.19929999999999</v>
      </c>
      <c r="E422" s="42">
        <v>0</v>
      </c>
      <c r="F422" s="42">
        <f t="shared" si="59"/>
        <v>483.51888000000002</v>
      </c>
      <c r="G422" s="78"/>
      <c r="H422" s="79"/>
    </row>
    <row r="423" spans="1:8" ht="15.75" customHeight="1" x14ac:dyDescent="0.25">
      <c r="A423" s="42">
        <f t="shared" si="63"/>
        <v>5</v>
      </c>
      <c r="B423" s="42" t="s">
        <v>258</v>
      </c>
      <c r="C423" s="42" t="s">
        <v>274</v>
      </c>
      <c r="D423" s="42">
        <f>(3.5*2.7+3.45*1.85+2.45*2.6+1.55*1.2+1.2*1.85+0.9*1.85)*10.764</f>
        <v>300.82688999999993</v>
      </c>
      <c r="E423" s="42">
        <v>0</v>
      </c>
      <c r="F423" s="42">
        <f t="shared" si="59"/>
        <v>481.32302399999992</v>
      </c>
      <c r="G423" s="78"/>
      <c r="H423" s="79"/>
    </row>
    <row r="424" spans="1:8" ht="15.75" customHeight="1" x14ac:dyDescent="0.25">
      <c r="A424" s="42">
        <f t="shared" si="63"/>
        <v>6</v>
      </c>
      <c r="B424" s="42" t="s">
        <v>258</v>
      </c>
      <c r="C424" s="42" t="s">
        <v>274</v>
      </c>
      <c r="D424" s="42">
        <f>(3.5*2.7+3.45*1.85+2.45*2.6+1.55*1.2+1.2*1.85+0.9*1.85)*10.764</f>
        <v>300.82688999999993</v>
      </c>
      <c r="E424" s="42">
        <v>0</v>
      </c>
      <c r="F424" s="42">
        <f t="shared" si="59"/>
        <v>481.32302399999992</v>
      </c>
      <c r="G424" s="80"/>
      <c r="H424" s="81"/>
    </row>
    <row r="425" spans="1:8" ht="15.75" customHeight="1" x14ac:dyDescent="0.25">
      <c r="A425" s="82" t="s">
        <v>307</v>
      </c>
      <c r="B425" s="83"/>
      <c r="C425" s="83"/>
      <c r="D425" s="83"/>
      <c r="E425" s="83"/>
      <c r="F425" s="83"/>
      <c r="G425" s="83"/>
      <c r="H425" s="84"/>
    </row>
    <row r="426" spans="1:8" ht="15.75" customHeight="1" x14ac:dyDescent="0.25">
      <c r="A426" s="42">
        <v>1</v>
      </c>
      <c r="B426" s="42" t="s">
        <v>259</v>
      </c>
      <c r="C426" s="42" t="s">
        <v>274</v>
      </c>
      <c r="D426" s="42">
        <f>35.85*10.764</f>
        <v>385.88939999999997</v>
      </c>
      <c r="E426" s="42">
        <v>0</v>
      </c>
      <c r="F426" s="42">
        <f t="shared" si="59"/>
        <v>617.42304000000001</v>
      </c>
      <c r="G426" s="76" t="str">
        <f>A425</f>
        <v>17th Floor</v>
      </c>
      <c r="H426" s="77"/>
    </row>
    <row r="427" spans="1:8" ht="15.75" customHeight="1" x14ac:dyDescent="0.25">
      <c r="A427" s="42">
        <f t="shared" ref="A427:A431" si="64">A426+1</f>
        <v>2</v>
      </c>
      <c r="B427" s="42" t="s">
        <v>259</v>
      </c>
      <c r="C427" s="42" t="s">
        <v>274</v>
      </c>
      <c r="D427" s="42">
        <f>35.85*10.764</f>
        <v>385.88939999999997</v>
      </c>
      <c r="E427" s="42">
        <v>0</v>
      </c>
      <c r="F427" s="42">
        <f t="shared" si="59"/>
        <v>617.42304000000001</v>
      </c>
      <c r="G427" s="78"/>
      <c r="H427" s="79"/>
    </row>
    <row r="428" spans="1:8" ht="15.75" customHeight="1" x14ac:dyDescent="0.25">
      <c r="A428" s="42">
        <f t="shared" si="64"/>
        <v>3</v>
      </c>
      <c r="B428" s="42" t="s">
        <v>258</v>
      </c>
      <c r="C428" s="42" t="s">
        <v>274</v>
      </c>
      <c r="D428" s="42">
        <f>(3.65*2.7+3.45*1.85+2.45*2.6+1.2*1.55+1.05*1.8+0.9*1.85)*10.764</f>
        <v>301.63418999999999</v>
      </c>
      <c r="E428" s="42">
        <v>0</v>
      </c>
      <c r="F428" s="42">
        <f t="shared" si="59"/>
        <v>482.61470400000002</v>
      </c>
      <c r="G428" s="78"/>
      <c r="H428" s="79"/>
    </row>
    <row r="429" spans="1:8" ht="15.75" customHeight="1" x14ac:dyDescent="0.25">
      <c r="A429" s="42">
        <f t="shared" si="64"/>
        <v>4</v>
      </c>
      <c r="B429" s="42" t="s">
        <v>258</v>
      </c>
      <c r="C429" s="42" t="s">
        <v>274</v>
      </c>
      <c r="D429" s="42">
        <f>(3.65*2.7+3.45*1.85+2.45*2.6+1.05*1.85+1.2*1.55+0.9*1.85)*10.764</f>
        <v>302.19929999999999</v>
      </c>
      <c r="E429" s="42">
        <v>0</v>
      </c>
      <c r="F429" s="42">
        <f t="shared" si="59"/>
        <v>483.51888000000002</v>
      </c>
      <c r="G429" s="78"/>
      <c r="H429" s="79"/>
    </row>
    <row r="430" spans="1:8" ht="15.75" customHeight="1" x14ac:dyDescent="0.25">
      <c r="A430" s="42">
        <f t="shared" si="64"/>
        <v>5</v>
      </c>
      <c r="B430" s="42" t="s">
        <v>258</v>
      </c>
      <c r="C430" s="42" t="s">
        <v>274</v>
      </c>
      <c r="D430" s="42">
        <f>(3.5*2.7+3.45*1.85+2.45*2.6+1.55*1.2+1.2*1.85+0.9*1.85)*10.764</f>
        <v>300.82688999999993</v>
      </c>
      <c r="E430" s="42">
        <v>0</v>
      </c>
      <c r="F430" s="42">
        <f t="shared" si="59"/>
        <v>481.32302399999992</v>
      </c>
      <c r="G430" s="78"/>
      <c r="H430" s="79"/>
    </row>
    <row r="431" spans="1:8" ht="15.75" customHeight="1" x14ac:dyDescent="0.25">
      <c r="A431" s="42">
        <f t="shared" si="64"/>
        <v>6</v>
      </c>
      <c r="B431" s="42" t="s">
        <v>258</v>
      </c>
      <c r="C431" s="42" t="s">
        <v>274</v>
      </c>
      <c r="D431" s="42">
        <f>(3.5*2.7+3.45*1.85+2.45*2.6+1.55*1.2+1.2*1.85+0.9*1.85)*10.764</f>
        <v>300.82688999999993</v>
      </c>
      <c r="E431" s="42">
        <v>0</v>
      </c>
      <c r="F431" s="42">
        <f t="shared" si="59"/>
        <v>481.32302399999992</v>
      </c>
      <c r="G431" s="80"/>
      <c r="H431" s="81"/>
    </row>
    <row r="432" spans="1:8" ht="15.75" customHeight="1" x14ac:dyDescent="0.25">
      <c r="A432" s="82" t="s">
        <v>306</v>
      </c>
      <c r="B432" s="83"/>
      <c r="C432" s="83"/>
      <c r="D432" s="83"/>
      <c r="E432" s="83"/>
      <c r="F432" s="83"/>
      <c r="G432" s="83"/>
      <c r="H432" s="84"/>
    </row>
    <row r="433" spans="1:8" ht="15.75" customHeight="1" x14ac:dyDescent="0.25">
      <c r="A433" s="42">
        <v>1</v>
      </c>
      <c r="B433" s="42" t="s">
        <v>259</v>
      </c>
      <c r="C433" s="42" t="s">
        <v>274</v>
      </c>
      <c r="D433" s="42">
        <f>35.85*10.764</f>
        <v>385.88939999999997</v>
      </c>
      <c r="E433" s="42">
        <v>0</v>
      </c>
      <c r="F433" s="42">
        <f t="shared" si="59"/>
        <v>617.42304000000001</v>
      </c>
      <c r="G433" s="76" t="str">
        <f>A432</f>
        <v>18th to 20th Floor</v>
      </c>
      <c r="H433" s="77"/>
    </row>
    <row r="434" spans="1:8" ht="15.75" customHeight="1" x14ac:dyDescent="0.25">
      <c r="A434" s="42">
        <f t="shared" ref="A434:A438" si="65">A433+1</f>
        <v>2</v>
      </c>
      <c r="B434" s="42" t="s">
        <v>259</v>
      </c>
      <c r="C434" s="42" t="s">
        <v>274</v>
      </c>
      <c r="D434" s="42">
        <f>35.85*10.764</f>
        <v>385.88939999999997</v>
      </c>
      <c r="E434" s="42">
        <v>0</v>
      </c>
      <c r="F434" s="42">
        <f t="shared" si="59"/>
        <v>617.42304000000001</v>
      </c>
      <c r="G434" s="78"/>
      <c r="H434" s="79"/>
    </row>
    <row r="435" spans="1:8" ht="15.75" customHeight="1" x14ac:dyDescent="0.25">
      <c r="A435" s="42">
        <f t="shared" si="65"/>
        <v>3</v>
      </c>
      <c r="B435" s="42" t="s">
        <v>258</v>
      </c>
      <c r="C435" s="42" t="s">
        <v>274</v>
      </c>
      <c r="D435" s="42">
        <f>(3.65*2.7+3.45*1.85+2.45*2.6+1.2*1.55+1.05*1.8+0.9*1.85)*10.764</f>
        <v>301.63418999999999</v>
      </c>
      <c r="E435" s="42">
        <v>0</v>
      </c>
      <c r="F435" s="42">
        <f t="shared" si="59"/>
        <v>482.61470400000002</v>
      </c>
      <c r="G435" s="78"/>
      <c r="H435" s="79"/>
    </row>
    <row r="436" spans="1:8" ht="15.75" customHeight="1" x14ac:dyDescent="0.25">
      <c r="A436" s="42">
        <f t="shared" si="65"/>
        <v>4</v>
      </c>
      <c r="B436" s="42" t="s">
        <v>258</v>
      </c>
      <c r="C436" s="42" t="s">
        <v>274</v>
      </c>
      <c r="D436" s="42">
        <f>(3.65*2.7+3.45*1.85+2.45*2.6+1.05*1.85+1.2*1.55+0.9*1.85)*10.764</f>
        <v>302.19929999999999</v>
      </c>
      <c r="E436" s="42">
        <v>0</v>
      </c>
      <c r="F436" s="42">
        <f t="shared" si="59"/>
        <v>483.51888000000002</v>
      </c>
      <c r="G436" s="78"/>
      <c r="H436" s="79"/>
    </row>
    <row r="437" spans="1:8" ht="15.75" customHeight="1" x14ac:dyDescent="0.25">
      <c r="A437" s="42">
        <f t="shared" si="65"/>
        <v>5</v>
      </c>
      <c r="B437" s="42" t="s">
        <v>258</v>
      </c>
      <c r="C437" s="42" t="s">
        <v>274</v>
      </c>
      <c r="D437" s="42">
        <f>(3.5*2.7+3.45*1.85+2.45*2.6+1.55*1.2+1.2*1.85+0.9*1.85)*10.764</f>
        <v>300.82688999999993</v>
      </c>
      <c r="E437" s="42">
        <v>0</v>
      </c>
      <c r="F437" s="42">
        <f t="shared" si="59"/>
        <v>481.32302399999992</v>
      </c>
      <c r="G437" s="78"/>
      <c r="H437" s="79"/>
    </row>
    <row r="438" spans="1:8" ht="15.75" customHeight="1" x14ac:dyDescent="0.25">
      <c r="A438" s="42">
        <f t="shared" si="65"/>
        <v>6</v>
      </c>
      <c r="B438" s="42" t="s">
        <v>258</v>
      </c>
      <c r="C438" s="42" t="s">
        <v>274</v>
      </c>
      <c r="D438" s="42">
        <f>(3.5*2.7+3.45*1.85+2.45*2.6+1.55*1.2+1.2*1.85+0.9*1.85)*10.764</f>
        <v>300.82688999999993</v>
      </c>
      <c r="E438" s="42">
        <v>0</v>
      </c>
      <c r="F438" s="42">
        <f t="shared" si="59"/>
        <v>481.32302399999992</v>
      </c>
      <c r="G438" s="80"/>
      <c r="H438" s="81"/>
    </row>
    <row r="439" spans="1:8" ht="15.75" customHeight="1" x14ac:dyDescent="0.25">
      <c r="A439" s="82" t="s">
        <v>305</v>
      </c>
      <c r="B439" s="83"/>
      <c r="C439" s="83"/>
      <c r="D439" s="83"/>
      <c r="E439" s="83"/>
      <c r="F439" s="83"/>
      <c r="G439" s="83"/>
      <c r="H439" s="84"/>
    </row>
    <row r="440" spans="1:8" ht="15.75" customHeight="1" x14ac:dyDescent="0.25">
      <c r="A440" s="42">
        <v>1</v>
      </c>
      <c r="B440" s="42" t="s">
        <v>258</v>
      </c>
      <c r="C440" s="42" t="s">
        <v>274</v>
      </c>
      <c r="D440" s="42">
        <f>(2.7*3.65+1.85*3.45+2.45*2.45+1.85*1.2+1.55*1.2+1.85*0.9)*10.764</f>
        <v>301.23053999999996</v>
      </c>
      <c r="E440" s="42">
        <v>0</v>
      </c>
      <c r="F440" s="42">
        <f t="shared" si="59"/>
        <v>481.96886399999994</v>
      </c>
      <c r="G440" s="76" t="str">
        <f>A439</f>
        <v>21th &amp; 22th Floor</v>
      </c>
      <c r="H440" s="77"/>
    </row>
    <row r="441" spans="1:8" ht="15.75" customHeight="1" x14ac:dyDescent="0.25">
      <c r="A441" s="42">
        <f t="shared" ref="A441:A445" si="66">A440+1</f>
        <v>2</v>
      </c>
      <c r="B441" s="42" t="s">
        <v>258</v>
      </c>
      <c r="C441" s="42" t="s">
        <v>274</v>
      </c>
      <c r="D441" s="42">
        <f>(2.7*3.65+1.85*3.45+2.45*2.45+1.85*1.2+1.55*1.2+1.85*0.9)*10.764</f>
        <v>301.23053999999996</v>
      </c>
      <c r="E441" s="42">
        <v>0</v>
      </c>
      <c r="F441" s="42">
        <f t="shared" si="59"/>
        <v>481.96886399999994</v>
      </c>
      <c r="G441" s="78"/>
      <c r="H441" s="79"/>
    </row>
    <row r="442" spans="1:8" ht="15.75" customHeight="1" x14ac:dyDescent="0.25">
      <c r="A442" s="42">
        <f t="shared" si="66"/>
        <v>3</v>
      </c>
      <c r="B442" s="42" t="s">
        <v>258</v>
      </c>
      <c r="C442" s="42" t="s">
        <v>274</v>
      </c>
      <c r="D442" s="42">
        <f>(3.65*2.7+3.45*1.85+2.45*2.6+1.2*1.55+1.05*1.8+0.9*1.85)*10.764</f>
        <v>301.63418999999999</v>
      </c>
      <c r="E442" s="42">
        <v>0</v>
      </c>
      <c r="F442" s="42">
        <f t="shared" si="59"/>
        <v>482.61470400000002</v>
      </c>
      <c r="G442" s="78"/>
      <c r="H442" s="79"/>
    </row>
    <row r="443" spans="1:8" ht="15.75" customHeight="1" x14ac:dyDescent="0.25">
      <c r="A443" s="42">
        <f t="shared" si="66"/>
        <v>4</v>
      </c>
      <c r="B443" s="42" t="s">
        <v>258</v>
      </c>
      <c r="C443" s="42" t="s">
        <v>274</v>
      </c>
      <c r="D443" s="42">
        <f>(3.65*2.7+3.45*1.85+2.45*2.6+1.05*1.85+1.2*1.55+0.9*1.85)*10.764</f>
        <v>302.19929999999999</v>
      </c>
      <c r="E443" s="42">
        <v>0</v>
      </c>
      <c r="F443" s="42">
        <f t="shared" si="59"/>
        <v>483.51888000000002</v>
      </c>
      <c r="G443" s="78"/>
      <c r="H443" s="79"/>
    </row>
    <row r="444" spans="1:8" ht="15.75" customHeight="1" x14ac:dyDescent="0.25">
      <c r="A444" s="42">
        <f t="shared" si="66"/>
        <v>5</v>
      </c>
      <c r="B444" s="42" t="s">
        <v>258</v>
      </c>
      <c r="C444" s="42" t="s">
        <v>274</v>
      </c>
      <c r="D444" s="42">
        <f>(3.5*2.7+3.45*1.85+2.45*2.6+1.55*1.2+1.2*1.85+0.9*1.85)*10.764</f>
        <v>300.82688999999993</v>
      </c>
      <c r="E444" s="42">
        <v>0</v>
      </c>
      <c r="F444" s="42">
        <f t="shared" si="59"/>
        <v>481.32302399999992</v>
      </c>
      <c r="G444" s="78"/>
      <c r="H444" s="79"/>
    </row>
    <row r="445" spans="1:8" ht="15.75" customHeight="1" x14ac:dyDescent="0.25">
      <c r="A445" s="42">
        <f t="shared" si="66"/>
        <v>6</v>
      </c>
      <c r="B445" s="42" t="s">
        <v>258</v>
      </c>
      <c r="C445" s="42" t="s">
        <v>274</v>
      </c>
      <c r="D445" s="42">
        <f>(3.5*2.7+3.45*1.85+2.45*2.6+1.55*1.2+1.2*1.85+0.9*1.85)*10.764</f>
        <v>300.82688999999993</v>
      </c>
      <c r="E445" s="42">
        <v>0</v>
      </c>
      <c r="F445" s="42">
        <f t="shared" si="59"/>
        <v>481.32302399999992</v>
      </c>
      <c r="G445" s="80"/>
      <c r="H445" s="81"/>
    </row>
    <row r="446" spans="1:8" x14ac:dyDescent="0.25">
      <c r="A446" s="82" t="s">
        <v>263</v>
      </c>
      <c r="B446" s="83"/>
      <c r="C446" s="83"/>
      <c r="D446" s="83"/>
      <c r="E446" s="83"/>
      <c r="F446" s="83"/>
      <c r="G446" s="83"/>
      <c r="H446" s="84"/>
    </row>
    <row r="447" spans="1:8" x14ac:dyDescent="0.25">
      <c r="A447" s="82" t="s">
        <v>272</v>
      </c>
      <c r="B447" s="83"/>
      <c r="C447" s="83"/>
      <c r="D447" s="83"/>
      <c r="E447" s="83"/>
      <c r="F447" s="83"/>
      <c r="G447" s="83"/>
      <c r="H447" s="84"/>
    </row>
    <row r="448" spans="1:8" x14ac:dyDescent="0.25">
      <c r="A448" s="42">
        <v>1</v>
      </c>
      <c r="B448" s="42" t="s">
        <v>259</v>
      </c>
      <c r="C448" s="60" t="s">
        <v>320</v>
      </c>
      <c r="D448" s="42">
        <f>(19.91)*10.764</f>
        <v>214.31124</v>
      </c>
      <c r="E448" s="42">
        <v>0</v>
      </c>
      <c r="F448" s="67">
        <v>349</v>
      </c>
      <c r="G448" s="76" t="str">
        <f>A447</f>
        <v>1st Floor For Part residential &amp; Podium</v>
      </c>
      <c r="H448" s="77"/>
    </row>
    <row r="449" spans="1:10" ht="15.75" customHeight="1" x14ac:dyDescent="0.25">
      <c r="A449" s="42">
        <f t="shared" ref="A449:A452" si="67">A448+1</f>
        <v>2</v>
      </c>
      <c r="B449" s="42" t="s">
        <v>259</v>
      </c>
      <c r="C449" s="42" t="s">
        <v>274</v>
      </c>
      <c r="D449" s="42">
        <f>35.39*10.764</f>
        <v>380.93795999999998</v>
      </c>
      <c r="E449" s="42">
        <v>0</v>
      </c>
      <c r="F449" s="67">
        <v>598</v>
      </c>
      <c r="G449" s="78"/>
      <c r="H449" s="79"/>
      <c r="I449" s="24">
        <f>35.39</f>
        <v>35.39</v>
      </c>
      <c r="J449" s="24">
        <f>(4.25*2.77+3.15*1.85+3.15*2.83+0.6*1.18+1.5*1.2+1.85*1.2+1.85*0.9)</f>
        <v>32.907499999999999</v>
      </c>
    </row>
    <row r="450" spans="1:10" ht="15.75" customHeight="1" x14ac:dyDescent="0.25">
      <c r="A450" s="42">
        <f t="shared" si="67"/>
        <v>3</v>
      </c>
      <c r="B450" s="42" t="s">
        <v>259</v>
      </c>
      <c r="C450" s="42" t="s">
        <v>274</v>
      </c>
      <c r="D450" s="42">
        <f>29.53*10.764</f>
        <v>317.86091999999996</v>
      </c>
      <c r="E450" s="42">
        <v>0</v>
      </c>
      <c r="F450" s="67">
        <v>520</v>
      </c>
      <c r="G450" s="78"/>
      <c r="H450" s="79"/>
      <c r="I450" s="24">
        <f>29.53</f>
        <v>29.53</v>
      </c>
      <c r="J450" s="24">
        <f>(3.95*2.7+2.5*2.1+2.85*2.9+0.75*2.1+1.1*0.9+1.38*2.1)</f>
        <v>29.642999999999997</v>
      </c>
    </row>
    <row r="451" spans="1:10" ht="15.75" customHeight="1" x14ac:dyDescent="0.25">
      <c r="A451" s="42">
        <f t="shared" si="67"/>
        <v>4</v>
      </c>
      <c r="B451" s="42" t="s">
        <v>259</v>
      </c>
      <c r="C451" s="42" t="s">
        <v>289</v>
      </c>
      <c r="D451" s="42">
        <f>21.37*10.764</f>
        <v>230.02668</v>
      </c>
      <c r="E451" s="42">
        <v>0</v>
      </c>
      <c r="F451" s="67">
        <v>375</v>
      </c>
      <c r="G451" s="78"/>
      <c r="H451" s="79"/>
    </row>
    <row r="452" spans="1:10" ht="15.75" customHeight="1" x14ac:dyDescent="0.25">
      <c r="A452" s="42">
        <f t="shared" si="67"/>
        <v>5</v>
      </c>
      <c r="B452" s="42" t="s">
        <v>273</v>
      </c>
      <c r="C452" s="85" t="s">
        <v>70</v>
      </c>
      <c r="D452" s="86"/>
      <c r="E452" s="86"/>
      <c r="F452" s="87"/>
      <c r="G452" s="80"/>
      <c r="H452" s="81"/>
    </row>
    <row r="453" spans="1:10" x14ac:dyDescent="0.25">
      <c r="A453" s="82" t="s">
        <v>279</v>
      </c>
      <c r="B453" s="83"/>
      <c r="C453" s="83"/>
      <c r="D453" s="83"/>
      <c r="E453" s="83"/>
      <c r="F453" s="83"/>
      <c r="G453" s="83"/>
      <c r="H453" s="84"/>
    </row>
    <row r="454" spans="1:10" x14ac:dyDescent="0.25">
      <c r="A454" s="42">
        <v>1</v>
      </c>
      <c r="B454" s="42" t="s">
        <v>259</v>
      </c>
      <c r="C454" s="60" t="s">
        <v>320</v>
      </c>
      <c r="D454" s="42">
        <f>(19.91)*10.764</f>
        <v>214.31124</v>
      </c>
      <c r="E454" s="42">
        <v>0</v>
      </c>
      <c r="F454" s="67">
        <v>349</v>
      </c>
      <c r="G454" s="76" t="str">
        <f>A453</f>
        <v>2nd &amp; 3rd Floor For Part residential &amp; Podium</v>
      </c>
      <c r="H454" s="77"/>
    </row>
    <row r="455" spans="1:10" ht="15.75" customHeight="1" x14ac:dyDescent="0.25">
      <c r="A455" s="42">
        <f t="shared" ref="A455:A458" si="68">A454+1</f>
        <v>2</v>
      </c>
      <c r="B455" s="42" t="s">
        <v>259</v>
      </c>
      <c r="C455" s="42" t="s">
        <v>274</v>
      </c>
      <c r="D455" s="42">
        <f>35.39*10.764</f>
        <v>380.93795999999998</v>
      </c>
      <c r="E455" s="42">
        <v>0</v>
      </c>
      <c r="F455" s="67">
        <v>598</v>
      </c>
      <c r="G455" s="78"/>
      <c r="H455" s="79"/>
    </row>
    <row r="456" spans="1:10" ht="15.75" customHeight="1" x14ac:dyDescent="0.25">
      <c r="A456" s="42">
        <f t="shared" si="68"/>
        <v>3</v>
      </c>
      <c r="B456" s="42" t="s">
        <v>259</v>
      </c>
      <c r="C456" s="42" t="s">
        <v>274</v>
      </c>
      <c r="D456" s="42">
        <f>29.53*10.764</f>
        <v>317.86091999999996</v>
      </c>
      <c r="E456" s="42">
        <v>0</v>
      </c>
      <c r="F456" s="67">
        <v>520</v>
      </c>
      <c r="G456" s="78"/>
      <c r="H456" s="79"/>
    </row>
    <row r="457" spans="1:10" ht="15.75" customHeight="1" x14ac:dyDescent="0.25">
      <c r="A457" s="42">
        <f t="shared" si="68"/>
        <v>4</v>
      </c>
      <c r="B457" s="42" t="s">
        <v>259</v>
      </c>
      <c r="C457" s="42" t="s">
        <v>289</v>
      </c>
      <c r="D457" s="42">
        <f>21.37*10.764</f>
        <v>230.02668</v>
      </c>
      <c r="E457" s="42">
        <v>0</v>
      </c>
      <c r="F457" s="67">
        <v>375</v>
      </c>
      <c r="G457" s="78"/>
      <c r="H457" s="79"/>
    </row>
    <row r="458" spans="1:10" ht="15.75" customHeight="1" x14ac:dyDescent="0.25">
      <c r="A458" s="42">
        <f t="shared" si="68"/>
        <v>5</v>
      </c>
      <c r="B458" s="42" t="s">
        <v>273</v>
      </c>
      <c r="C458" s="85" t="s">
        <v>70</v>
      </c>
      <c r="D458" s="86"/>
      <c r="E458" s="86"/>
      <c r="F458" s="87"/>
      <c r="G458" s="80"/>
      <c r="H458" s="81"/>
    </row>
    <row r="459" spans="1:10" x14ac:dyDescent="0.25">
      <c r="A459" s="82" t="s">
        <v>288</v>
      </c>
      <c r="B459" s="83"/>
      <c r="C459" s="83"/>
      <c r="D459" s="83"/>
      <c r="E459" s="83"/>
      <c r="F459" s="83"/>
      <c r="G459" s="83"/>
      <c r="H459" s="84"/>
    </row>
    <row r="460" spans="1:10" x14ac:dyDescent="0.25">
      <c r="A460" s="42">
        <v>1</v>
      </c>
      <c r="B460" s="42" t="s">
        <v>259</v>
      </c>
      <c r="C460" s="60" t="s">
        <v>320</v>
      </c>
      <c r="D460" s="42">
        <f>(19.91)*10.764</f>
        <v>214.31124</v>
      </c>
      <c r="E460" s="42">
        <v>0</v>
      </c>
      <c r="F460" s="67">
        <v>349</v>
      </c>
      <c r="G460" s="76" t="str">
        <f>A459</f>
        <v>4th Floor For residential, Society Office &amp; Car Lift Machine Room</v>
      </c>
      <c r="H460" s="77"/>
    </row>
    <row r="461" spans="1:10" ht="15.75" customHeight="1" x14ac:dyDescent="0.25">
      <c r="A461" s="42">
        <f t="shared" ref="A461:A464" si="69">A460+1</f>
        <v>2</v>
      </c>
      <c r="B461" s="42" t="s">
        <v>259</v>
      </c>
      <c r="C461" s="42" t="s">
        <v>274</v>
      </c>
      <c r="D461" s="42">
        <f>35.39*10.764</f>
        <v>380.93795999999998</v>
      </c>
      <c r="E461" s="42">
        <v>0</v>
      </c>
      <c r="F461" s="67">
        <v>598</v>
      </c>
      <c r="G461" s="78"/>
      <c r="H461" s="79"/>
    </row>
    <row r="462" spans="1:10" ht="15.75" customHeight="1" x14ac:dyDescent="0.25">
      <c r="A462" s="42">
        <f t="shared" si="69"/>
        <v>3</v>
      </c>
      <c r="B462" s="42" t="s">
        <v>259</v>
      </c>
      <c r="C462" s="42" t="s">
        <v>274</v>
      </c>
      <c r="D462" s="42">
        <f>29.53*10.764</f>
        <v>317.86091999999996</v>
      </c>
      <c r="E462" s="42">
        <v>0</v>
      </c>
      <c r="F462" s="67">
        <v>520</v>
      </c>
      <c r="G462" s="78"/>
      <c r="H462" s="79"/>
    </row>
    <row r="463" spans="1:10" ht="15.75" customHeight="1" x14ac:dyDescent="0.25">
      <c r="A463" s="42">
        <f t="shared" si="69"/>
        <v>4</v>
      </c>
      <c r="B463" s="42" t="s">
        <v>259</v>
      </c>
      <c r="C463" s="42" t="s">
        <v>289</v>
      </c>
      <c r="D463" s="42">
        <f>21.37*10.764</f>
        <v>230.02668</v>
      </c>
      <c r="E463" s="42">
        <v>0</v>
      </c>
      <c r="F463" s="67">
        <v>375</v>
      </c>
      <c r="G463" s="78"/>
      <c r="H463" s="79"/>
      <c r="I463" s="24">
        <f>2.75*4+2.25*3+2.25*1.2</f>
        <v>20.45</v>
      </c>
    </row>
    <row r="464" spans="1:10" ht="15.75" customHeight="1" x14ac:dyDescent="0.25">
      <c r="A464" s="42">
        <f t="shared" si="69"/>
        <v>5</v>
      </c>
      <c r="B464" s="42" t="s">
        <v>273</v>
      </c>
      <c r="C464" s="85" t="s">
        <v>284</v>
      </c>
      <c r="D464" s="86"/>
      <c r="E464" s="86"/>
      <c r="F464" s="87"/>
      <c r="G464" s="80"/>
      <c r="H464" s="81"/>
    </row>
    <row r="465" spans="1:13" x14ac:dyDescent="0.25">
      <c r="A465" s="82" t="s">
        <v>291</v>
      </c>
      <c r="B465" s="83"/>
      <c r="C465" s="83"/>
      <c r="D465" s="83"/>
      <c r="E465" s="83"/>
      <c r="F465" s="83"/>
      <c r="G465" s="83"/>
      <c r="H465" s="84"/>
    </row>
    <row r="466" spans="1:13" x14ac:dyDescent="0.25">
      <c r="A466" s="42">
        <v>1</v>
      </c>
      <c r="B466" s="42" t="s">
        <v>259</v>
      </c>
      <c r="C466" s="60" t="s">
        <v>320</v>
      </c>
      <c r="D466" s="42">
        <f>(19.91)*10.764</f>
        <v>214.31124</v>
      </c>
      <c r="E466" s="42">
        <v>0</v>
      </c>
      <c r="F466" s="67">
        <v>349</v>
      </c>
      <c r="G466" s="76" t="str">
        <f>A465</f>
        <v>5th Floor For residential, Society Office &amp; Car Lift Machine Room</v>
      </c>
      <c r="H466" s="77"/>
    </row>
    <row r="467" spans="1:13" ht="15.75" customHeight="1" x14ac:dyDescent="0.25">
      <c r="A467" s="42">
        <f t="shared" ref="A467:A470" si="70">A466+1</f>
        <v>2</v>
      </c>
      <c r="B467" s="42" t="s">
        <v>259</v>
      </c>
      <c r="C467" s="42" t="s">
        <v>274</v>
      </c>
      <c r="D467" s="42">
        <f>35.39*10.764</f>
        <v>380.93795999999998</v>
      </c>
      <c r="E467" s="42">
        <v>0</v>
      </c>
      <c r="F467" s="67">
        <v>598</v>
      </c>
      <c r="G467" s="78"/>
      <c r="H467" s="79"/>
    </row>
    <row r="468" spans="1:13" ht="15.75" customHeight="1" x14ac:dyDescent="0.25">
      <c r="A468" s="42">
        <f t="shared" si="70"/>
        <v>3</v>
      </c>
      <c r="B468" s="42" t="s">
        <v>259</v>
      </c>
      <c r="C468" s="42" t="s">
        <v>274</v>
      </c>
      <c r="D468" s="42">
        <f>29.53*10.764</f>
        <v>317.86091999999996</v>
      </c>
      <c r="E468" s="42">
        <v>0</v>
      </c>
      <c r="F468" s="67">
        <v>520</v>
      </c>
      <c r="G468" s="78"/>
      <c r="H468" s="79"/>
    </row>
    <row r="469" spans="1:13" ht="15.75" customHeight="1" x14ac:dyDescent="0.25">
      <c r="A469" s="42">
        <f t="shared" si="70"/>
        <v>4</v>
      </c>
      <c r="B469" s="42" t="s">
        <v>273</v>
      </c>
      <c r="C469" s="85" t="s">
        <v>294</v>
      </c>
      <c r="D469" s="86"/>
      <c r="E469" s="86"/>
      <c r="F469" s="87"/>
      <c r="G469" s="78"/>
      <c r="H469" s="79"/>
      <c r="I469" s="24"/>
    </row>
    <row r="470" spans="1:13" ht="15.75" customHeight="1" x14ac:dyDescent="0.25">
      <c r="A470" s="42">
        <f t="shared" si="70"/>
        <v>5</v>
      </c>
      <c r="B470" s="42" t="s">
        <v>273</v>
      </c>
      <c r="C470" s="85" t="s">
        <v>294</v>
      </c>
      <c r="D470" s="86"/>
      <c r="E470" s="86"/>
      <c r="F470" s="87"/>
      <c r="G470" s="80"/>
      <c r="H470" s="81"/>
    </row>
    <row r="471" spans="1:13" ht="15.75" customHeight="1" x14ac:dyDescent="0.25">
      <c r="A471" s="82" t="s">
        <v>295</v>
      </c>
      <c r="B471" s="83"/>
      <c r="C471" s="83"/>
      <c r="D471" s="83"/>
      <c r="E471" s="83"/>
      <c r="F471" s="83"/>
      <c r="G471" s="83"/>
      <c r="H471" s="84"/>
    </row>
    <row r="472" spans="1:13" x14ac:dyDescent="0.25">
      <c r="A472" s="42">
        <v>1</v>
      </c>
      <c r="B472" s="42" t="s">
        <v>259</v>
      </c>
      <c r="C472" s="60" t="s">
        <v>320</v>
      </c>
      <c r="D472" s="42">
        <f>(19.91)*10.764</f>
        <v>214.31124</v>
      </c>
      <c r="E472" s="42">
        <v>0</v>
      </c>
      <c r="F472" s="67">
        <v>349</v>
      </c>
      <c r="G472" s="76" t="str">
        <f>A471</f>
        <v>6th &amp; 7th Floor For residential</v>
      </c>
      <c r="H472" s="77"/>
      <c r="L472" s="67">
        <v>349</v>
      </c>
      <c r="M472" s="21">
        <f>L472/D472</f>
        <v>1.6284726830006677</v>
      </c>
    </row>
    <row r="473" spans="1:13" ht="15.75" customHeight="1" x14ac:dyDescent="0.25">
      <c r="A473" s="42">
        <f t="shared" ref="A473:A476" si="71">A472+1</f>
        <v>2</v>
      </c>
      <c r="B473" s="42" t="s">
        <v>259</v>
      </c>
      <c r="C473" s="42" t="s">
        <v>274</v>
      </c>
      <c r="D473" s="42">
        <f>35.39*10.764</f>
        <v>380.93795999999998</v>
      </c>
      <c r="E473" s="42">
        <v>0</v>
      </c>
      <c r="F473" s="67">
        <v>598</v>
      </c>
      <c r="G473" s="78"/>
      <c r="H473" s="79"/>
      <c r="L473" s="67">
        <v>598</v>
      </c>
      <c r="M473" s="21">
        <f t="shared" ref="M473:M476" si="72">L473/D473</f>
        <v>1.5698094251357886</v>
      </c>
    </row>
    <row r="474" spans="1:13" ht="15.75" customHeight="1" x14ac:dyDescent="0.25">
      <c r="A474" s="42">
        <f t="shared" si="71"/>
        <v>3</v>
      </c>
      <c r="B474" s="42" t="s">
        <v>259</v>
      </c>
      <c r="C474" s="42" t="s">
        <v>274</v>
      </c>
      <c r="D474" s="42">
        <f>29.53*10.764</f>
        <v>317.86091999999996</v>
      </c>
      <c r="E474" s="42">
        <v>0</v>
      </c>
      <c r="F474" s="67">
        <v>520</v>
      </c>
      <c r="G474" s="78"/>
      <c r="H474" s="79"/>
      <c r="L474" s="67">
        <v>520</v>
      </c>
      <c r="M474" s="21">
        <f t="shared" si="72"/>
        <v>1.6359356161178922</v>
      </c>
    </row>
    <row r="475" spans="1:13" ht="15.75" customHeight="1" x14ac:dyDescent="0.25">
      <c r="A475" s="42">
        <f t="shared" si="71"/>
        <v>4</v>
      </c>
      <c r="B475" s="42" t="s">
        <v>259</v>
      </c>
      <c r="C475" s="42" t="s">
        <v>289</v>
      </c>
      <c r="D475" s="42">
        <f>21.37*10.764</f>
        <v>230.02668</v>
      </c>
      <c r="E475" s="42">
        <v>0</v>
      </c>
      <c r="F475" s="67">
        <v>375</v>
      </c>
      <c r="G475" s="78"/>
      <c r="H475" s="79"/>
      <c r="I475" s="24"/>
      <c r="L475" s="67">
        <v>375</v>
      </c>
      <c r="M475" s="21">
        <f t="shared" si="72"/>
        <v>1.6302456741104989</v>
      </c>
    </row>
    <row r="476" spans="1:13" ht="15.75" customHeight="1" x14ac:dyDescent="0.25">
      <c r="A476" s="42">
        <f t="shared" si="71"/>
        <v>5</v>
      </c>
      <c r="B476" s="42" t="s">
        <v>259</v>
      </c>
      <c r="C476" s="42" t="s">
        <v>274</v>
      </c>
      <c r="D476" s="42">
        <f>38.51*10.764</f>
        <v>414.52163999999993</v>
      </c>
      <c r="E476" s="42">
        <v>0</v>
      </c>
      <c r="F476" s="67">
        <v>606</v>
      </c>
      <c r="G476" s="80"/>
      <c r="H476" s="81"/>
      <c r="L476" s="67">
        <v>606</v>
      </c>
      <c r="M476" s="21">
        <f t="shared" si="72"/>
        <v>1.4619260890698014</v>
      </c>
    </row>
    <row r="477" spans="1:13" ht="15.75" customHeight="1" x14ac:dyDescent="0.25">
      <c r="A477" s="82" t="s">
        <v>303</v>
      </c>
      <c r="B477" s="83"/>
      <c r="C477" s="83"/>
      <c r="D477" s="83"/>
      <c r="E477" s="83"/>
      <c r="F477" s="83"/>
      <c r="G477" s="83"/>
      <c r="H477" s="84"/>
    </row>
    <row r="478" spans="1:13" x14ac:dyDescent="0.25">
      <c r="A478" s="42">
        <v>1</v>
      </c>
      <c r="B478" s="42" t="s">
        <v>273</v>
      </c>
      <c r="C478" s="76" t="s">
        <v>296</v>
      </c>
      <c r="D478" s="94"/>
      <c r="E478" s="94"/>
      <c r="F478" s="77"/>
      <c r="G478" s="76" t="str">
        <f>A477</f>
        <v>8th Floor (Part Refuge Area)</v>
      </c>
      <c r="H478" s="77"/>
    </row>
    <row r="479" spans="1:13" ht="15.75" customHeight="1" x14ac:dyDescent="0.25">
      <c r="A479" s="42">
        <f t="shared" ref="A479:A482" si="73">A478+1</f>
        <v>2</v>
      </c>
      <c r="B479" s="42" t="s">
        <v>273</v>
      </c>
      <c r="C479" s="80"/>
      <c r="D479" s="95"/>
      <c r="E479" s="95"/>
      <c r="F479" s="81"/>
      <c r="G479" s="78"/>
      <c r="H479" s="79"/>
    </row>
    <row r="480" spans="1:13" ht="15.75" customHeight="1" x14ac:dyDescent="0.25">
      <c r="A480" s="42">
        <f t="shared" si="73"/>
        <v>3</v>
      </c>
      <c r="B480" s="42" t="s">
        <v>259</v>
      </c>
      <c r="C480" s="42" t="s">
        <v>274</v>
      </c>
      <c r="D480" s="42">
        <f>29.53*10.764</f>
        <v>317.86091999999996</v>
      </c>
      <c r="E480" s="42">
        <v>0</v>
      </c>
      <c r="F480" s="67">
        <v>520</v>
      </c>
      <c r="G480" s="78"/>
      <c r="H480" s="79"/>
    </row>
    <row r="481" spans="1:9" ht="15.75" customHeight="1" x14ac:dyDescent="0.25">
      <c r="A481" s="42">
        <f t="shared" si="73"/>
        <v>4</v>
      </c>
      <c r="B481" s="42" t="s">
        <v>259</v>
      </c>
      <c r="C481" s="42" t="s">
        <v>289</v>
      </c>
      <c r="D481" s="42">
        <f>21.37*10.764</f>
        <v>230.02668</v>
      </c>
      <c r="E481" s="42">
        <v>0</v>
      </c>
      <c r="F481" s="67">
        <v>375</v>
      </c>
      <c r="G481" s="78"/>
      <c r="H481" s="79"/>
      <c r="I481" s="24"/>
    </row>
    <row r="482" spans="1:9" ht="15.75" customHeight="1" x14ac:dyDescent="0.25">
      <c r="A482" s="42">
        <f t="shared" si="73"/>
        <v>5</v>
      </c>
      <c r="B482" s="42" t="s">
        <v>259</v>
      </c>
      <c r="C482" s="42" t="s">
        <v>274</v>
      </c>
      <c r="D482" s="42">
        <f>38.51*10.764</f>
        <v>414.52163999999993</v>
      </c>
      <c r="E482" s="42">
        <v>0</v>
      </c>
      <c r="F482" s="67">
        <v>606</v>
      </c>
      <c r="G482" s="80"/>
      <c r="H482" s="81"/>
    </row>
    <row r="483" spans="1:9" ht="15.75" customHeight="1" x14ac:dyDescent="0.25">
      <c r="A483" s="82" t="s">
        <v>302</v>
      </c>
      <c r="B483" s="83"/>
      <c r="C483" s="83"/>
      <c r="D483" s="83"/>
      <c r="E483" s="83"/>
      <c r="F483" s="83"/>
      <c r="G483" s="83"/>
      <c r="H483" s="84"/>
    </row>
    <row r="484" spans="1:9" x14ac:dyDescent="0.25">
      <c r="A484" s="42">
        <v>1</v>
      </c>
      <c r="B484" s="42" t="s">
        <v>259</v>
      </c>
      <c r="C484" s="60" t="s">
        <v>320</v>
      </c>
      <c r="D484" s="42">
        <f>(19.91)*10.764</f>
        <v>214.31124</v>
      </c>
      <c r="E484" s="42">
        <v>0</v>
      </c>
      <c r="F484" s="67">
        <v>349</v>
      </c>
      <c r="G484" s="76" t="str">
        <f>A483</f>
        <v>9th &amp; 10th Floor</v>
      </c>
      <c r="H484" s="77"/>
    </row>
    <row r="485" spans="1:9" ht="15.75" customHeight="1" x14ac:dyDescent="0.25">
      <c r="A485" s="42">
        <f t="shared" ref="A485:A488" si="74">A484+1</f>
        <v>2</v>
      </c>
      <c r="B485" s="42" t="s">
        <v>259</v>
      </c>
      <c r="C485" s="42" t="s">
        <v>274</v>
      </c>
      <c r="D485" s="42">
        <f>35.39*10.764</f>
        <v>380.93795999999998</v>
      </c>
      <c r="E485" s="42">
        <v>0</v>
      </c>
      <c r="F485" s="67">
        <v>598</v>
      </c>
      <c r="G485" s="78"/>
      <c r="H485" s="79"/>
    </row>
    <row r="486" spans="1:9" ht="15.75" customHeight="1" x14ac:dyDescent="0.25">
      <c r="A486" s="42">
        <f t="shared" si="74"/>
        <v>3</v>
      </c>
      <c r="B486" s="42" t="s">
        <v>259</v>
      </c>
      <c r="C486" s="42" t="s">
        <v>274</v>
      </c>
      <c r="D486" s="42">
        <f>29.53*10.764</f>
        <v>317.86091999999996</v>
      </c>
      <c r="E486" s="42">
        <v>0</v>
      </c>
      <c r="F486" s="67">
        <v>520</v>
      </c>
      <c r="G486" s="78"/>
      <c r="H486" s="79"/>
    </row>
    <row r="487" spans="1:9" ht="15.75" customHeight="1" x14ac:dyDescent="0.25">
      <c r="A487" s="42">
        <f t="shared" si="74"/>
        <v>4</v>
      </c>
      <c r="B487" s="42" t="s">
        <v>259</v>
      </c>
      <c r="C487" s="42" t="s">
        <v>289</v>
      </c>
      <c r="D487" s="42">
        <f>21.37*10.764</f>
        <v>230.02668</v>
      </c>
      <c r="E487" s="42">
        <v>0</v>
      </c>
      <c r="F487" s="67">
        <v>375</v>
      </c>
      <c r="G487" s="78"/>
      <c r="H487" s="79"/>
      <c r="I487" s="24"/>
    </row>
    <row r="488" spans="1:9" ht="15.75" customHeight="1" x14ac:dyDescent="0.25">
      <c r="A488" s="42">
        <f t="shared" si="74"/>
        <v>5</v>
      </c>
      <c r="B488" s="42" t="s">
        <v>259</v>
      </c>
      <c r="C488" s="42" t="s">
        <v>274</v>
      </c>
      <c r="D488" s="42">
        <f>38.51*10.764</f>
        <v>414.52163999999993</v>
      </c>
      <c r="E488" s="42">
        <v>0</v>
      </c>
      <c r="F488" s="67">
        <v>606</v>
      </c>
      <c r="G488" s="80"/>
      <c r="H488" s="81"/>
    </row>
    <row r="489" spans="1:9" ht="15.75" customHeight="1" x14ac:dyDescent="0.25">
      <c r="A489" s="82" t="s">
        <v>301</v>
      </c>
      <c r="B489" s="83"/>
      <c r="C489" s="83"/>
      <c r="D489" s="83"/>
      <c r="E489" s="83"/>
      <c r="F489" s="83"/>
      <c r="G489" s="83"/>
      <c r="H489" s="84"/>
    </row>
    <row r="490" spans="1:9" x14ac:dyDescent="0.25">
      <c r="A490" s="42">
        <v>1</v>
      </c>
      <c r="B490" s="42" t="s">
        <v>259</v>
      </c>
      <c r="C490" s="60" t="s">
        <v>320</v>
      </c>
      <c r="D490" s="42">
        <f>(19.91)*10.764</f>
        <v>214.31124</v>
      </c>
      <c r="E490" s="42">
        <v>0</v>
      </c>
      <c r="F490" s="67">
        <v>349</v>
      </c>
      <c r="G490" s="76" t="str">
        <f>A489</f>
        <v>11th Floor</v>
      </c>
      <c r="H490" s="77"/>
    </row>
    <row r="491" spans="1:9" ht="15.75" customHeight="1" x14ac:dyDescent="0.25">
      <c r="A491" s="42">
        <f t="shared" ref="A491:A494" si="75">A490+1</f>
        <v>2</v>
      </c>
      <c r="B491" s="42" t="s">
        <v>259</v>
      </c>
      <c r="C491" s="42" t="s">
        <v>274</v>
      </c>
      <c r="D491" s="42">
        <f>35.39*10.764</f>
        <v>380.93795999999998</v>
      </c>
      <c r="E491" s="42">
        <v>0</v>
      </c>
      <c r="F491" s="67">
        <v>598</v>
      </c>
      <c r="G491" s="78"/>
      <c r="H491" s="79"/>
    </row>
    <row r="492" spans="1:9" ht="15.75" customHeight="1" x14ac:dyDescent="0.25">
      <c r="A492" s="42">
        <f t="shared" si="75"/>
        <v>3</v>
      </c>
      <c r="B492" s="42" t="s">
        <v>259</v>
      </c>
      <c r="C492" s="42" t="s">
        <v>274</v>
      </c>
      <c r="D492" s="42">
        <f>29.53*10.764</f>
        <v>317.86091999999996</v>
      </c>
      <c r="E492" s="42">
        <v>0</v>
      </c>
      <c r="F492" s="67">
        <v>520</v>
      </c>
      <c r="G492" s="78"/>
      <c r="H492" s="79"/>
    </row>
    <row r="493" spans="1:9" ht="15.75" customHeight="1" x14ac:dyDescent="0.25">
      <c r="A493" s="42">
        <f t="shared" si="75"/>
        <v>4</v>
      </c>
      <c r="B493" s="42" t="s">
        <v>259</v>
      </c>
      <c r="C493" s="42" t="s">
        <v>289</v>
      </c>
      <c r="D493" s="42">
        <f>21.37*10.764</f>
        <v>230.02668</v>
      </c>
      <c r="E493" s="42">
        <v>0</v>
      </c>
      <c r="F493" s="67">
        <v>375</v>
      </c>
      <c r="G493" s="78"/>
      <c r="H493" s="79"/>
      <c r="I493" s="24"/>
    </row>
    <row r="494" spans="1:9" ht="15.75" customHeight="1" x14ac:dyDescent="0.25">
      <c r="A494" s="42">
        <f t="shared" si="75"/>
        <v>5</v>
      </c>
      <c r="B494" s="42" t="s">
        <v>259</v>
      </c>
      <c r="C494" s="42" t="s">
        <v>274</v>
      </c>
      <c r="D494" s="42">
        <f>38.51*10.764</f>
        <v>414.52163999999993</v>
      </c>
      <c r="E494" s="42">
        <v>0</v>
      </c>
      <c r="F494" s="67">
        <v>606</v>
      </c>
      <c r="G494" s="80"/>
      <c r="H494" s="81"/>
    </row>
    <row r="495" spans="1:9" ht="15.75" customHeight="1" x14ac:dyDescent="0.25">
      <c r="A495" s="82" t="s">
        <v>300</v>
      </c>
      <c r="B495" s="83"/>
      <c r="C495" s="83"/>
      <c r="D495" s="83"/>
      <c r="E495" s="83"/>
      <c r="F495" s="83"/>
      <c r="G495" s="83"/>
      <c r="H495" s="84"/>
    </row>
    <row r="496" spans="1:9" x14ac:dyDescent="0.25">
      <c r="A496" s="42">
        <v>1</v>
      </c>
      <c r="B496" s="42" t="s">
        <v>259</v>
      </c>
      <c r="C496" s="60" t="s">
        <v>320</v>
      </c>
      <c r="D496" s="42">
        <f>(19.91)*10.764</f>
        <v>214.31124</v>
      </c>
      <c r="E496" s="42">
        <v>0</v>
      </c>
      <c r="F496" s="67">
        <v>349</v>
      </c>
      <c r="G496" s="76" t="str">
        <f>A495</f>
        <v>12th to 14th Floor</v>
      </c>
      <c r="H496" s="77"/>
    </row>
    <row r="497" spans="1:9" ht="15.75" customHeight="1" x14ac:dyDescent="0.25">
      <c r="A497" s="42">
        <f t="shared" ref="A497:A500" si="76">A496+1</f>
        <v>2</v>
      </c>
      <c r="B497" s="42" t="s">
        <v>259</v>
      </c>
      <c r="C497" s="42" t="s">
        <v>274</v>
      </c>
      <c r="D497" s="42">
        <f>35.39*10.764</f>
        <v>380.93795999999998</v>
      </c>
      <c r="E497" s="42">
        <v>0</v>
      </c>
      <c r="F497" s="67">
        <v>598</v>
      </c>
      <c r="G497" s="78"/>
      <c r="H497" s="79"/>
    </row>
    <row r="498" spans="1:9" ht="15.75" customHeight="1" x14ac:dyDescent="0.25">
      <c r="A498" s="42">
        <f t="shared" si="76"/>
        <v>3</v>
      </c>
      <c r="B498" s="42" t="s">
        <v>259</v>
      </c>
      <c r="C498" s="42" t="s">
        <v>274</v>
      </c>
      <c r="D498" s="42">
        <f>29.53*10.764</f>
        <v>317.86091999999996</v>
      </c>
      <c r="E498" s="42">
        <v>0</v>
      </c>
      <c r="F498" s="67">
        <v>520</v>
      </c>
      <c r="G498" s="78"/>
      <c r="H498" s="79"/>
    </row>
    <row r="499" spans="1:9" ht="15.75" customHeight="1" x14ac:dyDescent="0.25">
      <c r="A499" s="42">
        <f t="shared" si="76"/>
        <v>4</v>
      </c>
      <c r="B499" s="42" t="s">
        <v>259</v>
      </c>
      <c r="C499" s="42" t="s">
        <v>289</v>
      </c>
      <c r="D499" s="42">
        <f>21.37*10.764</f>
        <v>230.02668</v>
      </c>
      <c r="E499" s="42">
        <v>0</v>
      </c>
      <c r="F499" s="67">
        <v>375</v>
      </c>
      <c r="G499" s="78"/>
      <c r="H499" s="79"/>
      <c r="I499" s="24"/>
    </row>
    <row r="500" spans="1:9" ht="15.75" customHeight="1" x14ac:dyDescent="0.25">
      <c r="A500" s="42">
        <f t="shared" si="76"/>
        <v>5</v>
      </c>
      <c r="B500" s="42" t="s">
        <v>259</v>
      </c>
      <c r="C500" s="42" t="s">
        <v>274</v>
      </c>
      <c r="D500" s="42">
        <f>38.51*10.764</f>
        <v>414.52163999999993</v>
      </c>
      <c r="E500" s="42">
        <v>0</v>
      </c>
      <c r="F500" s="67">
        <v>606</v>
      </c>
      <c r="G500" s="80"/>
      <c r="H500" s="81"/>
    </row>
    <row r="501" spans="1:9" ht="15.75" customHeight="1" x14ac:dyDescent="0.25">
      <c r="A501" s="82" t="s">
        <v>298</v>
      </c>
      <c r="B501" s="83"/>
      <c r="C501" s="83"/>
      <c r="D501" s="83"/>
      <c r="E501" s="83"/>
      <c r="F501" s="83"/>
      <c r="G501" s="83"/>
      <c r="H501" s="84"/>
    </row>
    <row r="502" spans="1:9" x14ac:dyDescent="0.25">
      <c r="A502" s="42">
        <v>1</v>
      </c>
      <c r="B502" s="42" t="s">
        <v>273</v>
      </c>
      <c r="C502" s="88" t="s">
        <v>296</v>
      </c>
      <c r="D502" s="89"/>
      <c r="E502" s="89"/>
      <c r="F502" s="90"/>
      <c r="G502" s="76" t="str">
        <f>A501</f>
        <v>15th Floor (Part Refuge Area)</v>
      </c>
      <c r="H502" s="77"/>
    </row>
    <row r="503" spans="1:9" ht="15.75" customHeight="1" x14ac:dyDescent="0.25">
      <c r="A503" s="42">
        <f t="shared" ref="A503:A506" si="77">A502+1</f>
        <v>2</v>
      </c>
      <c r="B503" s="42" t="s">
        <v>273</v>
      </c>
      <c r="C503" s="91"/>
      <c r="D503" s="92"/>
      <c r="E503" s="92"/>
      <c r="F503" s="93"/>
      <c r="G503" s="78"/>
      <c r="H503" s="79"/>
    </row>
    <row r="504" spans="1:9" ht="15.75" customHeight="1" x14ac:dyDescent="0.25">
      <c r="A504" s="42">
        <f t="shared" si="77"/>
        <v>3</v>
      </c>
      <c r="B504" s="42" t="s">
        <v>259</v>
      </c>
      <c r="C504" s="42" t="s">
        <v>274</v>
      </c>
      <c r="D504" s="42">
        <f>29.53*10.764</f>
        <v>317.86091999999996</v>
      </c>
      <c r="E504" s="42">
        <v>0</v>
      </c>
      <c r="F504" s="67">
        <v>520</v>
      </c>
      <c r="G504" s="78"/>
      <c r="H504" s="79"/>
    </row>
    <row r="505" spans="1:9" ht="15.75" customHeight="1" x14ac:dyDescent="0.25">
      <c r="A505" s="42">
        <f t="shared" si="77"/>
        <v>4</v>
      </c>
      <c r="B505" s="42" t="s">
        <v>259</v>
      </c>
      <c r="C505" s="42" t="s">
        <v>289</v>
      </c>
      <c r="D505" s="42">
        <f>21.37*10.764</f>
        <v>230.02668</v>
      </c>
      <c r="E505" s="42">
        <v>0</v>
      </c>
      <c r="F505" s="67">
        <v>375</v>
      </c>
      <c r="G505" s="78"/>
      <c r="H505" s="79"/>
      <c r="I505" s="24"/>
    </row>
    <row r="506" spans="1:9" ht="15.75" customHeight="1" x14ac:dyDescent="0.25">
      <c r="A506" s="42">
        <f t="shared" si="77"/>
        <v>5</v>
      </c>
      <c r="B506" s="42" t="s">
        <v>259</v>
      </c>
      <c r="C506" s="42" t="s">
        <v>274</v>
      </c>
      <c r="D506" s="42">
        <f>38.51*10.764</f>
        <v>414.52163999999993</v>
      </c>
      <c r="E506" s="42">
        <v>0</v>
      </c>
      <c r="F506" s="67">
        <v>606</v>
      </c>
      <c r="G506" s="80"/>
      <c r="H506" s="81"/>
    </row>
    <row r="507" spans="1:9" ht="15.75" customHeight="1" x14ac:dyDescent="0.25">
      <c r="A507" s="82" t="s">
        <v>299</v>
      </c>
      <c r="B507" s="83"/>
      <c r="C507" s="83"/>
      <c r="D507" s="83"/>
      <c r="E507" s="83"/>
      <c r="F507" s="83"/>
      <c r="G507" s="83"/>
      <c r="H507" s="84"/>
    </row>
    <row r="508" spans="1:9" x14ac:dyDescent="0.25">
      <c r="A508" s="42">
        <v>1</v>
      </c>
      <c r="B508" s="42" t="s">
        <v>259</v>
      </c>
      <c r="C508" s="60" t="s">
        <v>320</v>
      </c>
      <c r="D508" s="42">
        <f>(19.91)*10.764</f>
        <v>214.31124</v>
      </c>
      <c r="E508" s="42">
        <v>0</v>
      </c>
      <c r="F508" s="67">
        <v>349</v>
      </c>
      <c r="G508" s="76" t="str">
        <f>A507</f>
        <v>16th Floor</v>
      </c>
      <c r="H508" s="77"/>
    </row>
    <row r="509" spans="1:9" ht="15.75" customHeight="1" x14ac:dyDescent="0.25">
      <c r="A509" s="42">
        <f t="shared" ref="A509:A512" si="78">A508+1</f>
        <v>2</v>
      </c>
      <c r="B509" s="42" t="s">
        <v>259</v>
      </c>
      <c r="C509" s="42" t="s">
        <v>274</v>
      </c>
      <c r="D509" s="42">
        <f>35.39*10.764</f>
        <v>380.93795999999998</v>
      </c>
      <c r="E509" s="42">
        <v>0</v>
      </c>
      <c r="F509" s="67">
        <v>598</v>
      </c>
      <c r="G509" s="78"/>
      <c r="H509" s="79"/>
    </row>
    <row r="510" spans="1:9" ht="15.75" customHeight="1" x14ac:dyDescent="0.25">
      <c r="A510" s="42">
        <f t="shared" si="78"/>
        <v>3</v>
      </c>
      <c r="B510" s="42" t="s">
        <v>259</v>
      </c>
      <c r="C510" s="42" t="s">
        <v>274</v>
      </c>
      <c r="D510" s="42">
        <f>29.53*10.764</f>
        <v>317.86091999999996</v>
      </c>
      <c r="E510" s="42">
        <v>0</v>
      </c>
      <c r="F510" s="67">
        <v>520</v>
      </c>
      <c r="G510" s="78"/>
      <c r="H510" s="79"/>
    </row>
    <row r="511" spans="1:9" ht="15.75" customHeight="1" x14ac:dyDescent="0.25">
      <c r="A511" s="42">
        <f t="shared" si="78"/>
        <v>4</v>
      </c>
      <c r="B511" s="42" t="s">
        <v>259</v>
      </c>
      <c r="C511" s="42" t="s">
        <v>289</v>
      </c>
      <c r="D511" s="42">
        <f>21.37*10.764</f>
        <v>230.02668</v>
      </c>
      <c r="E511" s="42">
        <v>0</v>
      </c>
      <c r="F511" s="67">
        <v>375</v>
      </c>
      <c r="G511" s="78"/>
      <c r="H511" s="79"/>
      <c r="I511" s="24"/>
    </row>
    <row r="512" spans="1:9" ht="15.75" customHeight="1" x14ac:dyDescent="0.25">
      <c r="A512" s="42">
        <f t="shared" si="78"/>
        <v>5</v>
      </c>
      <c r="B512" s="42" t="s">
        <v>259</v>
      </c>
      <c r="C512" s="42" t="s">
        <v>274</v>
      </c>
      <c r="D512" s="42">
        <f>38.51*10.764</f>
        <v>414.52163999999993</v>
      </c>
      <c r="E512" s="42">
        <v>0</v>
      </c>
      <c r="F512" s="67">
        <v>606</v>
      </c>
      <c r="G512" s="80"/>
      <c r="H512" s="81"/>
    </row>
    <row r="513" spans="1:10" ht="15.75" customHeight="1" x14ac:dyDescent="0.25">
      <c r="A513" s="82" t="s">
        <v>307</v>
      </c>
      <c r="B513" s="83"/>
      <c r="C513" s="83"/>
      <c r="D513" s="83"/>
      <c r="E513" s="83"/>
      <c r="F513" s="83"/>
      <c r="G513" s="83"/>
      <c r="H513" s="84"/>
    </row>
    <row r="514" spans="1:10" x14ac:dyDescent="0.25">
      <c r="A514" s="42">
        <v>1</v>
      </c>
      <c r="B514" s="42" t="s">
        <v>259</v>
      </c>
      <c r="C514" s="60" t="s">
        <v>320</v>
      </c>
      <c r="D514" s="42">
        <f>(19.91)*10.764</f>
        <v>214.31124</v>
      </c>
      <c r="E514" s="42">
        <v>0</v>
      </c>
      <c r="F514" s="67">
        <v>349</v>
      </c>
      <c r="G514" s="76" t="str">
        <f>A513</f>
        <v>17th Floor</v>
      </c>
      <c r="H514" s="77"/>
    </row>
    <row r="515" spans="1:10" ht="15.75" customHeight="1" x14ac:dyDescent="0.25">
      <c r="A515" s="42">
        <f t="shared" ref="A515:A518" si="79">A514+1</f>
        <v>2</v>
      </c>
      <c r="B515" s="42" t="s">
        <v>259</v>
      </c>
      <c r="C515" s="42" t="s">
        <v>274</v>
      </c>
      <c r="D515" s="42">
        <f>35.39*10.764</f>
        <v>380.93795999999998</v>
      </c>
      <c r="E515" s="42">
        <v>0</v>
      </c>
      <c r="F515" s="67">
        <v>598</v>
      </c>
      <c r="G515" s="78"/>
      <c r="H515" s="79"/>
    </row>
    <row r="516" spans="1:10" ht="15.75" customHeight="1" x14ac:dyDescent="0.25">
      <c r="A516" s="42">
        <f t="shared" si="79"/>
        <v>3</v>
      </c>
      <c r="B516" s="42" t="s">
        <v>259</v>
      </c>
      <c r="C516" s="42" t="s">
        <v>274</v>
      </c>
      <c r="D516" s="42">
        <f>29.53*10.764</f>
        <v>317.86091999999996</v>
      </c>
      <c r="E516" s="42">
        <v>0</v>
      </c>
      <c r="F516" s="67">
        <v>520</v>
      </c>
      <c r="G516" s="78"/>
      <c r="H516" s="79"/>
    </row>
    <row r="517" spans="1:10" ht="15.75" customHeight="1" x14ac:dyDescent="0.25">
      <c r="A517" s="42">
        <f t="shared" si="79"/>
        <v>4</v>
      </c>
      <c r="B517" s="42" t="s">
        <v>259</v>
      </c>
      <c r="C517" s="42" t="s">
        <v>289</v>
      </c>
      <c r="D517" s="42">
        <f>21.37*10.764</f>
        <v>230.02668</v>
      </c>
      <c r="E517" s="42">
        <v>0</v>
      </c>
      <c r="F517" s="67">
        <v>375</v>
      </c>
      <c r="G517" s="78"/>
      <c r="H517" s="79"/>
      <c r="I517" s="24"/>
    </row>
    <row r="518" spans="1:10" ht="15.75" customHeight="1" x14ac:dyDescent="0.25">
      <c r="A518" s="42">
        <f t="shared" si="79"/>
        <v>5</v>
      </c>
      <c r="B518" s="42" t="s">
        <v>259</v>
      </c>
      <c r="C518" s="42" t="s">
        <v>274</v>
      </c>
      <c r="D518" s="42">
        <f>38.51*10.764</f>
        <v>414.52163999999993</v>
      </c>
      <c r="E518" s="42">
        <v>0</v>
      </c>
      <c r="F518" s="67">
        <v>606</v>
      </c>
      <c r="G518" s="80"/>
      <c r="H518" s="81"/>
    </row>
    <row r="519" spans="1:10" ht="15.75" customHeight="1" x14ac:dyDescent="0.25">
      <c r="A519" s="82" t="s">
        <v>306</v>
      </c>
      <c r="B519" s="83"/>
      <c r="C519" s="83"/>
      <c r="D519" s="83"/>
      <c r="E519" s="83"/>
      <c r="F519" s="83"/>
      <c r="G519" s="83"/>
      <c r="H519" s="84"/>
    </row>
    <row r="520" spans="1:10" x14ac:dyDescent="0.25">
      <c r="A520" s="42">
        <v>1</v>
      </c>
      <c r="B520" s="42" t="s">
        <v>259</v>
      </c>
      <c r="C520" s="60" t="s">
        <v>320</v>
      </c>
      <c r="D520" s="42">
        <f>(19.91)*10.764</f>
        <v>214.31124</v>
      </c>
      <c r="E520" s="42">
        <v>0</v>
      </c>
      <c r="F520" s="67">
        <v>349</v>
      </c>
      <c r="G520" s="76" t="str">
        <f>A519</f>
        <v>18th to 20th Floor</v>
      </c>
      <c r="H520" s="77"/>
    </row>
    <row r="521" spans="1:10" ht="15.75" customHeight="1" x14ac:dyDescent="0.25">
      <c r="A521" s="42">
        <f t="shared" ref="A521:A524" si="80">A520+1</f>
        <v>2</v>
      </c>
      <c r="B521" s="42" t="s">
        <v>259</v>
      </c>
      <c r="C521" s="42" t="s">
        <v>274</v>
      </c>
      <c r="D521" s="42">
        <f>35.39*10.764</f>
        <v>380.93795999999998</v>
      </c>
      <c r="E521" s="42">
        <v>0</v>
      </c>
      <c r="F521" s="67">
        <v>598</v>
      </c>
      <c r="G521" s="78"/>
      <c r="H521" s="79"/>
    </row>
    <row r="522" spans="1:10" ht="15.75" customHeight="1" x14ac:dyDescent="0.25">
      <c r="A522" s="42">
        <f t="shared" si="80"/>
        <v>3</v>
      </c>
      <c r="B522" s="42" t="s">
        <v>259</v>
      </c>
      <c r="C522" s="42" t="s">
        <v>274</v>
      </c>
      <c r="D522" s="42">
        <f>29.53*10.764</f>
        <v>317.86091999999996</v>
      </c>
      <c r="E522" s="42">
        <v>0</v>
      </c>
      <c r="F522" s="67">
        <v>520</v>
      </c>
      <c r="G522" s="78"/>
      <c r="H522" s="79"/>
    </row>
    <row r="523" spans="1:10" ht="15.75" customHeight="1" x14ac:dyDescent="0.25">
      <c r="A523" s="42">
        <f t="shared" si="80"/>
        <v>4</v>
      </c>
      <c r="B523" s="42" t="s">
        <v>259</v>
      </c>
      <c r="C523" s="42" t="s">
        <v>289</v>
      </c>
      <c r="D523" s="42">
        <f>21.37*10.764</f>
        <v>230.02668</v>
      </c>
      <c r="E523" s="42">
        <v>0</v>
      </c>
      <c r="F523" s="67">
        <v>375</v>
      </c>
      <c r="G523" s="78"/>
      <c r="H523" s="79"/>
      <c r="I523" s="24"/>
    </row>
    <row r="524" spans="1:10" ht="15.75" customHeight="1" x14ac:dyDescent="0.25">
      <c r="A524" s="42">
        <f t="shared" si="80"/>
        <v>5</v>
      </c>
      <c r="B524" s="42" t="s">
        <v>259</v>
      </c>
      <c r="C524" s="42" t="s">
        <v>274</v>
      </c>
      <c r="D524" s="42">
        <f>38.51*10.764</f>
        <v>414.52163999999993</v>
      </c>
      <c r="E524" s="42">
        <v>0</v>
      </c>
      <c r="F524" s="67">
        <v>606</v>
      </c>
      <c r="G524" s="80"/>
      <c r="H524" s="81"/>
    </row>
    <row r="525" spans="1:10" ht="15.75" customHeight="1" x14ac:dyDescent="0.25">
      <c r="A525" s="82" t="s">
        <v>305</v>
      </c>
      <c r="B525" s="83"/>
      <c r="C525" s="83"/>
      <c r="D525" s="83"/>
      <c r="E525" s="83"/>
      <c r="F525" s="83"/>
      <c r="G525" s="83"/>
      <c r="H525" s="84"/>
      <c r="J525" s="21" t="s">
        <v>275</v>
      </c>
    </row>
    <row r="526" spans="1:10" x14ac:dyDescent="0.25">
      <c r="A526" s="42">
        <v>1</v>
      </c>
      <c r="B526" s="42" t="s">
        <v>259</v>
      </c>
      <c r="C526" s="60" t="s">
        <v>320</v>
      </c>
      <c r="D526" s="42">
        <f>(19.91)*10.764</f>
        <v>214.31124</v>
      </c>
      <c r="E526" s="42">
        <v>0</v>
      </c>
      <c r="F526" s="67">
        <v>349</v>
      </c>
      <c r="G526" s="76" t="str">
        <f>A525</f>
        <v>21th &amp; 22th Floor</v>
      </c>
      <c r="H526" s="77"/>
    </row>
    <row r="527" spans="1:10" ht="15.75" customHeight="1" x14ac:dyDescent="0.25">
      <c r="A527" s="42">
        <f t="shared" ref="A527:A530" si="81">A526+1</f>
        <v>2</v>
      </c>
      <c r="B527" s="42" t="s">
        <v>259</v>
      </c>
      <c r="C527" s="42" t="s">
        <v>274</v>
      </c>
      <c r="D527" s="42">
        <f>35.39*10.764</f>
        <v>380.93795999999998</v>
      </c>
      <c r="E527" s="42">
        <v>0</v>
      </c>
      <c r="F527" s="67">
        <v>598</v>
      </c>
      <c r="G527" s="78"/>
      <c r="H527" s="79"/>
    </row>
    <row r="528" spans="1:10" ht="15.75" customHeight="1" x14ac:dyDescent="0.25">
      <c r="A528" s="42">
        <f t="shared" si="81"/>
        <v>3</v>
      </c>
      <c r="B528" s="42" t="s">
        <v>259</v>
      </c>
      <c r="C528" s="42" t="s">
        <v>274</v>
      </c>
      <c r="D528" s="42">
        <f>29.53*10.764</f>
        <v>317.86091999999996</v>
      </c>
      <c r="E528" s="42">
        <v>0</v>
      </c>
      <c r="F528" s="67">
        <v>520</v>
      </c>
      <c r="G528" s="78"/>
      <c r="H528" s="79"/>
    </row>
    <row r="529" spans="1:9" ht="15.75" customHeight="1" x14ac:dyDescent="0.25">
      <c r="A529" s="42">
        <f t="shared" si="81"/>
        <v>4</v>
      </c>
      <c r="B529" s="42" t="s">
        <v>259</v>
      </c>
      <c r="C529" s="42" t="s">
        <v>289</v>
      </c>
      <c r="D529" s="42">
        <f>21.37*10.764</f>
        <v>230.02668</v>
      </c>
      <c r="E529" s="42">
        <v>0</v>
      </c>
      <c r="F529" s="67">
        <v>375</v>
      </c>
      <c r="G529" s="78"/>
      <c r="H529" s="79"/>
      <c r="I529" s="24"/>
    </row>
    <row r="530" spans="1:9" ht="15.75" customHeight="1" x14ac:dyDescent="0.25">
      <c r="A530" s="42">
        <f t="shared" si="81"/>
        <v>5</v>
      </c>
      <c r="B530" s="42" t="s">
        <v>259</v>
      </c>
      <c r="C530" s="42" t="s">
        <v>274</v>
      </c>
      <c r="D530" s="42">
        <f>38.51*10.764</f>
        <v>414.52163999999993</v>
      </c>
      <c r="E530" s="42">
        <v>0</v>
      </c>
      <c r="F530" s="67">
        <v>606</v>
      </c>
      <c r="G530" s="80"/>
      <c r="H530" s="81"/>
    </row>
    <row r="531" spans="1:9" x14ac:dyDescent="0.25">
      <c r="A531" s="194" t="s">
        <v>68</v>
      </c>
      <c r="B531" s="194"/>
      <c r="C531" s="194"/>
      <c r="D531" s="194"/>
      <c r="E531" s="194"/>
      <c r="F531" s="194"/>
      <c r="G531" s="194"/>
      <c r="H531" s="194"/>
    </row>
    <row r="532" spans="1:9" ht="32.25" customHeight="1" x14ac:dyDescent="0.25">
      <c r="A532" s="46" t="s">
        <v>151</v>
      </c>
      <c r="B532" s="73" t="s">
        <v>331</v>
      </c>
      <c r="C532" s="74"/>
      <c r="D532" s="74"/>
      <c r="E532" s="74"/>
      <c r="F532" s="74"/>
      <c r="G532" s="74"/>
      <c r="H532" s="75"/>
    </row>
    <row r="533" spans="1:9" x14ac:dyDescent="0.25">
      <c r="A533" s="46" t="s">
        <v>151</v>
      </c>
      <c r="B533" s="73" t="s">
        <v>311</v>
      </c>
      <c r="C533" s="74"/>
      <c r="D533" s="74"/>
      <c r="E533" s="74"/>
      <c r="F533" s="74"/>
      <c r="G533" s="74"/>
      <c r="H533" s="75"/>
    </row>
    <row r="534" spans="1:9" x14ac:dyDescent="0.25">
      <c r="A534" s="46" t="s">
        <v>151</v>
      </c>
      <c r="B534" s="73" t="str">
        <f>(IF(F179="Saleable area Loading :","We have considered Saleable area of Flats as per our Calculation.","We considered Saleable area of Flat as per Builder area Sheet."))</f>
        <v>We considered Saleable area of Flat as per Builder area Sheet.</v>
      </c>
      <c r="C534" s="74"/>
      <c r="D534" s="74"/>
      <c r="E534" s="74"/>
      <c r="F534" s="74"/>
      <c r="G534" s="74"/>
      <c r="H534" s="75"/>
    </row>
    <row r="535" spans="1:9" x14ac:dyDescent="0.25">
      <c r="A535" s="46" t="s">
        <v>151</v>
      </c>
      <c r="B535" s="73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35" s="74"/>
      <c r="D535" s="74"/>
      <c r="E535" s="74"/>
      <c r="F535" s="74"/>
      <c r="G535" s="74"/>
      <c r="H535" s="75"/>
    </row>
    <row r="536" spans="1:9" x14ac:dyDescent="0.25">
      <c r="A536" s="46" t="s">
        <v>151</v>
      </c>
      <c r="B536" s="70" t="s">
        <v>121</v>
      </c>
      <c r="C536" s="71"/>
      <c r="D536" s="71"/>
      <c r="E536" s="71"/>
      <c r="F536" s="71"/>
      <c r="G536" s="71"/>
      <c r="H536" s="72"/>
    </row>
    <row r="537" spans="1:9" x14ac:dyDescent="0.25">
      <c r="A537" s="46" t="s">
        <v>151</v>
      </c>
      <c r="B537" s="70" t="s">
        <v>310</v>
      </c>
      <c r="C537" s="71"/>
      <c r="D537" s="71"/>
      <c r="E537" s="71"/>
      <c r="F537" s="71"/>
      <c r="G537" s="71"/>
      <c r="H537" s="72"/>
    </row>
    <row r="538" spans="1:9" x14ac:dyDescent="0.25">
      <c r="A538" s="46" t="s">
        <v>151</v>
      </c>
      <c r="B538" s="70" t="s">
        <v>150</v>
      </c>
      <c r="C538" s="71"/>
      <c r="D538" s="71"/>
      <c r="E538" s="71"/>
      <c r="F538" s="71"/>
      <c r="G538" s="71"/>
      <c r="H538" s="72"/>
    </row>
    <row r="539" spans="1:9" x14ac:dyDescent="0.25">
      <c r="A539" s="46" t="s">
        <v>151</v>
      </c>
      <c r="B539" s="70" t="s">
        <v>122</v>
      </c>
      <c r="C539" s="71"/>
      <c r="D539" s="71"/>
      <c r="E539" s="71"/>
      <c r="F539" s="71"/>
      <c r="G539" s="71"/>
      <c r="H539" s="72"/>
    </row>
    <row r="540" spans="1:9" ht="34.5" customHeight="1" x14ac:dyDescent="0.25">
      <c r="A540" s="46" t="s">
        <v>151</v>
      </c>
      <c r="B540" s="70" t="s">
        <v>152</v>
      </c>
      <c r="C540" s="71"/>
      <c r="D540" s="71"/>
      <c r="E540" s="71"/>
      <c r="F540" s="71"/>
      <c r="G540" s="71"/>
      <c r="H540" s="72"/>
    </row>
    <row r="541" spans="1:9" x14ac:dyDescent="0.25">
      <c r="A541" s="46" t="s">
        <v>151</v>
      </c>
      <c r="B541" s="70" t="s">
        <v>123</v>
      </c>
      <c r="C541" s="71"/>
      <c r="D541" s="71"/>
      <c r="E541" s="71"/>
      <c r="F541" s="71"/>
      <c r="G541" s="71"/>
      <c r="H541" s="72"/>
    </row>
    <row r="542" spans="1:9" ht="31.5" customHeight="1" x14ac:dyDescent="0.25">
      <c r="A542" s="46" t="s">
        <v>151</v>
      </c>
      <c r="B542" s="70" t="s">
        <v>327</v>
      </c>
      <c r="C542" s="71"/>
      <c r="D542" s="71"/>
      <c r="E542" s="71"/>
      <c r="F542" s="71"/>
      <c r="G542" s="71"/>
      <c r="H542" s="72"/>
    </row>
    <row r="543" spans="1:9" x14ac:dyDescent="0.25">
      <c r="A543" s="141" t="s">
        <v>61</v>
      </c>
      <c r="B543" s="141"/>
      <c r="C543" s="141"/>
      <c r="D543" s="141"/>
      <c r="E543" s="141"/>
      <c r="F543" s="141"/>
      <c r="G543" s="141"/>
      <c r="H543" s="141"/>
    </row>
    <row r="544" spans="1:9" x14ac:dyDescent="0.25">
      <c r="A544" s="117" t="s">
        <v>62</v>
      </c>
      <c r="B544" s="117"/>
      <c r="C544" s="117"/>
      <c r="D544" s="117"/>
      <c r="E544" s="117"/>
      <c r="F544" s="117"/>
      <c r="G544" s="117"/>
      <c r="H544" s="117"/>
    </row>
    <row r="545" spans="1:8" x14ac:dyDescent="0.25">
      <c r="A545" s="144" t="s">
        <v>63</v>
      </c>
      <c r="B545" s="144"/>
      <c r="C545" s="144"/>
      <c r="D545" s="144"/>
      <c r="E545" s="144"/>
      <c r="F545" s="144"/>
      <c r="G545" s="144"/>
      <c r="H545" s="144"/>
    </row>
    <row r="546" spans="1:8" x14ac:dyDescent="0.25">
      <c r="A546" s="117" t="s">
        <v>64</v>
      </c>
      <c r="B546" s="117"/>
      <c r="C546" s="117"/>
      <c r="D546" s="117"/>
      <c r="E546" s="117"/>
      <c r="F546" s="117"/>
      <c r="G546" s="117"/>
      <c r="H546" s="117"/>
    </row>
    <row r="547" spans="1:8" x14ac:dyDescent="0.25">
      <c r="A547" s="117" t="s">
        <v>65</v>
      </c>
      <c r="B547" s="117"/>
      <c r="C547" s="117"/>
      <c r="D547" s="117"/>
      <c r="E547" s="117"/>
      <c r="F547" s="117"/>
      <c r="G547" s="117"/>
      <c r="H547" s="117"/>
    </row>
    <row r="548" spans="1:8" x14ac:dyDescent="0.25">
      <c r="A548" s="117" t="s">
        <v>124</v>
      </c>
      <c r="B548" s="117"/>
      <c r="C548" s="117"/>
      <c r="D548" s="117"/>
      <c r="E548" s="117"/>
      <c r="F548" s="117"/>
      <c r="G548" s="117"/>
      <c r="H548" s="117"/>
    </row>
    <row r="549" spans="1:8" hidden="1" x14ac:dyDescent="0.25">
      <c r="A549" s="122" t="s">
        <v>125</v>
      </c>
      <c r="B549" s="122"/>
      <c r="C549" s="122"/>
      <c r="D549" s="122"/>
      <c r="E549" s="122"/>
      <c r="F549" s="122"/>
      <c r="G549" s="122"/>
      <c r="H549" s="122"/>
    </row>
    <row r="550" spans="1:8" x14ac:dyDescent="0.25">
      <c r="A550" s="138" t="s">
        <v>75</v>
      </c>
      <c r="B550" s="138"/>
      <c r="C550" s="138" t="s">
        <v>330</v>
      </c>
      <c r="D550" s="138"/>
      <c r="E550" s="138" t="s">
        <v>105</v>
      </c>
      <c r="F550" s="138"/>
      <c r="G550" s="138" t="s">
        <v>329</v>
      </c>
      <c r="H550" s="138"/>
    </row>
    <row r="551" spans="1:8" x14ac:dyDescent="0.25">
      <c r="A551" s="137" t="s">
        <v>77</v>
      </c>
      <c r="B551" s="137"/>
      <c r="C551" s="137"/>
      <c r="D551" s="137"/>
      <c r="E551" s="137"/>
      <c r="F551" s="137"/>
      <c r="G551" s="137"/>
      <c r="H551" s="137"/>
    </row>
    <row r="552" spans="1:8" x14ac:dyDescent="0.25">
      <c r="A552" s="137"/>
      <c r="B552" s="137"/>
      <c r="C552" s="137"/>
      <c r="D552" s="137"/>
      <c r="E552" s="137"/>
      <c r="F552" s="137"/>
      <c r="G552" s="137"/>
      <c r="H552" s="137"/>
    </row>
    <row r="553" spans="1:8" x14ac:dyDescent="0.25">
      <c r="A553" s="137"/>
      <c r="B553" s="137"/>
      <c r="C553" s="137"/>
      <c r="D553" s="137"/>
      <c r="E553" s="137"/>
      <c r="F553" s="137"/>
      <c r="G553" s="137"/>
      <c r="H553" s="137"/>
    </row>
    <row r="554" spans="1:8" x14ac:dyDescent="0.25">
      <c r="A554" s="137"/>
      <c r="B554" s="137"/>
      <c r="C554" s="137"/>
      <c r="D554" s="137"/>
      <c r="E554" s="137"/>
      <c r="F554" s="137"/>
      <c r="G554" s="137"/>
      <c r="H554" s="137"/>
    </row>
    <row r="555" spans="1:8" x14ac:dyDescent="0.25">
      <c r="A555" s="38" t="s">
        <v>66</v>
      </c>
      <c r="B555" s="39"/>
      <c r="C555" s="39"/>
      <c r="D555" s="38" t="str">
        <f>E8</f>
        <v>Laxminarayan SRA CHS Ltd</v>
      </c>
      <c r="F555" s="39"/>
      <c r="G555" s="39"/>
      <c r="H555" s="39"/>
    </row>
    <row r="556" spans="1:8" x14ac:dyDescent="0.25">
      <c r="A556" s="39"/>
      <c r="B556" s="39"/>
      <c r="C556" s="39"/>
      <c r="D556" s="39"/>
      <c r="E556" s="39"/>
      <c r="F556" s="39"/>
      <c r="G556" s="39"/>
      <c r="H556" s="39"/>
    </row>
    <row r="557" spans="1:8" x14ac:dyDescent="0.25">
      <c r="A557" s="39"/>
      <c r="B557" s="39"/>
      <c r="C557" s="39"/>
      <c r="D557" s="39"/>
      <c r="E557" s="39"/>
      <c r="F557" s="39"/>
      <c r="G557" s="39"/>
      <c r="H557" s="39"/>
    </row>
    <row r="597" spans="1:1" x14ac:dyDescent="0.25">
      <c r="A597" s="41" t="s">
        <v>162</v>
      </c>
    </row>
    <row r="639" spans="1:1" x14ac:dyDescent="0.25">
      <c r="A639" s="41" t="s">
        <v>67</v>
      </c>
    </row>
  </sheetData>
  <mergeCells count="497">
    <mergeCell ref="L148:M148"/>
    <mergeCell ref="E123:F123"/>
    <mergeCell ref="E121:F121"/>
    <mergeCell ref="G121:H121"/>
    <mergeCell ref="A187:H187"/>
    <mergeCell ref="C188:F189"/>
    <mergeCell ref="L149:M149"/>
    <mergeCell ref="A178:H178"/>
    <mergeCell ref="A133:B133"/>
    <mergeCell ref="G133:H133"/>
    <mergeCell ref="A134:B134"/>
    <mergeCell ref="C134:D134"/>
    <mergeCell ref="E134:F134"/>
    <mergeCell ref="G134:H134"/>
    <mergeCell ref="E124:F124"/>
    <mergeCell ref="G131:H131"/>
    <mergeCell ref="A132:B132"/>
    <mergeCell ref="C132:D132"/>
    <mergeCell ref="E132:F132"/>
    <mergeCell ref="G132:H132"/>
    <mergeCell ref="A127:H127"/>
    <mergeCell ref="C128:D128"/>
    <mergeCell ref="E128:F128"/>
    <mergeCell ref="C129:D129"/>
    <mergeCell ref="G116:H116"/>
    <mergeCell ref="G124:H124"/>
    <mergeCell ref="A124:B124"/>
    <mergeCell ref="C124:D124"/>
    <mergeCell ref="J265:L265"/>
    <mergeCell ref="I349:L349"/>
    <mergeCell ref="C179:C180"/>
    <mergeCell ref="G276:H282"/>
    <mergeCell ref="E179:E180"/>
    <mergeCell ref="G179:H180"/>
    <mergeCell ref="G183:H186"/>
    <mergeCell ref="G188:H191"/>
    <mergeCell ref="A181:H181"/>
    <mergeCell ref="C183:F184"/>
    <mergeCell ref="A242:H242"/>
    <mergeCell ref="A243:H243"/>
    <mergeCell ref="A182:H182"/>
    <mergeCell ref="A192:H192"/>
    <mergeCell ref="G193:H196"/>
    <mergeCell ref="A259:H259"/>
    <mergeCell ref="A251:H251"/>
    <mergeCell ref="C194:F194"/>
    <mergeCell ref="A217:H217"/>
    <mergeCell ref="A202:H202"/>
    <mergeCell ref="G112:H112"/>
    <mergeCell ref="G84:H84"/>
    <mergeCell ref="A102:E102"/>
    <mergeCell ref="F102:H102"/>
    <mergeCell ref="A103:E103"/>
    <mergeCell ref="A105:E105"/>
    <mergeCell ref="F99:H99"/>
    <mergeCell ref="A104:E104"/>
    <mergeCell ref="E85:F94"/>
    <mergeCell ref="A92:B92"/>
    <mergeCell ref="A93:B93"/>
    <mergeCell ref="A89:B89"/>
    <mergeCell ref="A90:B90"/>
    <mergeCell ref="A91:B91"/>
    <mergeCell ref="F97:H97"/>
    <mergeCell ref="A84:B84"/>
    <mergeCell ref="A95:B95"/>
    <mergeCell ref="E95:F95"/>
    <mergeCell ref="G95:H95"/>
    <mergeCell ref="C95:D95"/>
    <mergeCell ref="A39:B39"/>
    <mergeCell ref="C39:H39"/>
    <mergeCell ref="A64:C64"/>
    <mergeCell ref="E70:F70"/>
    <mergeCell ref="A63:C63"/>
    <mergeCell ref="D63:H63"/>
    <mergeCell ref="A66:C66"/>
    <mergeCell ref="D66:H66"/>
    <mergeCell ref="D65:H65"/>
    <mergeCell ref="D62:H62"/>
    <mergeCell ref="C69:H69"/>
    <mergeCell ref="E45:H45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G53:H53"/>
    <mergeCell ref="D59:H59"/>
    <mergeCell ref="C50:E50"/>
    <mergeCell ref="B536:H536"/>
    <mergeCell ref="B537:H537"/>
    <mergeCell ref="A531:H531"/>
    <mergeCell ref="L152:M152"/>
    <mergeCell ref="C452:F452"/>
    <mergeCell ref="L151:M151"/>
    <mergeCell ref="L150:M150"/>
    <mergeCell ref="A58:C59"/>
    <mergeCell ref="A101:E101"/>
    <mergeCell ref="A94:B94"/>
    <mergeCell ref="A121:B121"/>
    <mergeCell ref="F104:H104"/>
    <mergeCell ref="C111:D111"/>
    <mergeCell ref="C121:D121"/>
    <mergeCell ref="E114:F114"/>
    <mergeCell ref="A139:H139"/>
    <mergeCell ref="G114:H114"/>
    <mergeCell ref="A115:B115"/>
    <mergeCell ref="C115:D115"/>
    <mergeCell ref="E115:F115"/>
    <mergeCell ref="G115:H115"/>
    <mergeCell ref="A122:H122"/>
    <mergeCell ref="A123:B123"/>
    <mergeCell ref="C123:D123"/>
    <mergeCell ref="B540:H540"/>
    <mergeCell ref="A48:B48"/>
    <mergeCell ref="C48:H48"/>
    <mergeCell ref="B538:H538"/>
    <mergeCell ref="G85:H94"/>
    <mergeCell ref="A86:B86"/>
    <mergeCell ref="A87:B87"/>
    <mergeCell ref="A88:B88"/>
    <mergeCell ref="F98:H98"/>
    <mergeCell ref="A98:E98"/>
    <mergeCell ref="D137:D138"/>
    <mergeCell ref="A100:E100"/>
    <mergeCell ref="A99:E99"/>
    <mergeCell ref="A71:B71"/>
    <mergeCell ref="G70:H70"/>
    <mergeCell ref="C83:H83"/>
    <mergeCell ref="A114:B114"/>
    <mergeCell ref="C114:D114"/>
    <mergeCell ref="E112:F112"/>
    <mergeCell ref="B137:B138"/>
    <mergeCell ref="A137:A138"/>
    <mergeCell ref="A96:E96"/>
    <mergeCell ref="F100:H100"/>
    <mergeCell ref="C52:H52"/>
    <mergeCell ref="A38:B38"/>
    <mergeCell ref="C38:H38"/>
    <mergeCell ref="A45:D45"/>
    <mergeCell ref="L143:M143"/>
    <mergeCell ref="L142:M142"/>
    <mergeCell ref="L141:M141"/>
    <mergeCell ref="L140:M140"/>
    <mergeCell ref="A78:B78"/>
    <mergeCell ref="G119:H119"/>
    <mergeCell ref="F103:H103"/>
    <mergeCell ref="A97:E97"/>
    <mergeCell ref="A140:H140"/>
    <mergeCell ref="E137:E138"/>
    <mergeCell ref="G137:H138"/>
    <mergeCell ref="A85:B85"/>
    <mergeCell ref="A119:B119"/>
    <mergeCell ref="C119:D119"/>
    <mergeCell ref="E119:F119"/>
    <mergeCell ref="C112:D112"/>
    <mergeCell ref="A81:B81"/>
    <mergeCell ref="C81:H81"/>
    <mergeCell ref="A44:D44"/>
    <mergeCell ref="E46:H46"/>
    <mergeCell ref="A83:B83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E71:F80"/>
    <mergeCell ref="G71:H80"/>
    <mergeCell ref="A79:B79"/>
    <mergeCell ref="A80:B80"/>
    <mergeCell ref="D61:H61"/>
    <mergeCell ref="A43:D43"/>
    <mergeCell ref="E43:H43"/>
    <mergeCell ref="A72:B72"/>
    <mergeCell ref="A74:B74"/>
    <mergeCell ref="E42:H42"/>
    <mergeCell ref="A42:D42"/>
    <mergeCell ref="E44:H44"/>
    <mergeCell ref="D58:H58"/>
    <mergeCell ref="A49:B49"/>
    <mergeCell ref="C49:E49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1:H11"/>
    <mergeCell ref="A16:B16"/>
    <mergeCell ref="A13:D13"/>
    <mergeCell ref="E13:H13"/>
    <mergeCell ref="A14:D14"/>
    <mergeCell ref="A15:B15"/>
    <mergeCell ref="C15:H15"/>
    <mergeCell ref="C16:H16"/>
    <mergeCell ref="A17:B1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C137:C138"/>
    <mergeCell ref="B179:B180"/>
    <mergeCell ref="A46:D46"/>
    <mergeCell ref="A47:H47"/>
    <mergeCell ref="D57:H57"/>
    <mergeCell ref="A57:C57"/>
    <mergeCell ref="G50:H50"/>
    <mergeCell ref="A77:B77"/>
    <mergeCell ref="A70:B70"/>
    <mergeCell ref="A73:B73"/>
    <mergeCell ref="A69:B69"/>
    <mergeCell ref="A67:B67"/>
    <mergeCell ref="C67:H67"/>
    <mergeCell ref="A75:B75"/>
    <mergeCell ref="A62:C62"/>
    <mergeCell ref="C17:H17"/>
    <mergeCell ref="A12:D12"/>
    <mergeCell ref="E12:H12"/>
    <mergeCell ref="A11:D11"/>
    <mergeCell ref="A551:H554"/>
    <mergeCell ref="A550:B550"/>
    <mergeCell ref="E550:F550"/>
    <mergeCell ref="C550:D550"/>
    <mergeCell ref="G550:H550"/>
    <mergeCell ref="A110:H110"/>
    <mergeCell ref="A108:E108"/>
    <mergeCell ref="F108:H108"/>
    <mergeCell ref="A109:E109"/>
    <mergeCell ref="F109:H109"/>
    <mergeCell ref="A112:B112"/>
    <mergeCell ref="A546:H546"/>
    <mergeCell ref="A117:H117"/>
    <mergeCell ref="A549:H549"/>
    <mergeCell ref="A547:H547"/>
    <mergeCell ref="A543:H543"/>
    <mergeCell ref="B542:H542"/>
    <mergeCell ref="G128:H128"/>
    <mergeCell ref="G120:H120"/>
    <mergeCell ref="G129:H129"/>
    <mergeCell ref="A179:A180"/>
    <mergeCell ref="A548:H548"/>
    <mergeCell ref="A545:H545"/>
    <mergeCell ref="A118:B118"/>
    <mergeCell ref="A544:H544"/>
    <mergeCell ref="E118:F118"/>
    <mergeCell ref="B539:H539"/>
    <mergeCell ref="B535:H535"/>
    <mergeCell ref="B533:H533"/>
    <mergeCell ref="B534:H534"/>
    <mergeCell ref="L157:M157"/>
    <mergeCell ref="A76:B76"/>
    <mergeCell ref="F96:H96"/>
    <mergeCell ref="A107:E107"/>
    <mergeCell ref="C113:D113"/>
    <mergeCell ref="E113:F113"/>
    <mergeCell ref="G113:H113"/>
    <mergeCell ref="A116:B116"/>
    <mergeCell ref="C116:D116"/>
    <mergeCell ref="E116:F116"/>
    <mergeCell ref="A162:H162"/>
    <mergeCell ref="A163:H163"/>
    <mergeCell ref="G164:H173"/>
    <mergeCell ref="A174:H174"/>
    <mergeCell ref="A175:H175"/>
    <mergeCell ref="G176:H177"/>
    <mergeCell ref="E84:F84"/>
    <mergeCell ref="D179:D180"/>
    <mergeCell ref="I14:P14"/>
    <mergeCell ref="F107:H107"/>
    <mergeCell ref="F105:H105"/>
    <mergeCell ref="A136:H136"/>
    <mergeCell ref="G111:H111"/>
    <mergeCell ref="A106:E106"/>
    <mergeCell ref="A53:B53"/>
    <mergeCell ref="C53:E53"/>
    <mergeCell ref="D55:H55"/>
    <mergeCell ref="F106:H106"/>
    <mergeCell ref="E111:F111"/>
    <mergeCell ref="A111:B111"/>
    <mergeCell ref="A113:B113"/>
    <mergeCell ref="C118:D118"/>
    <mergeCell ref="A130:B130"/>
    <mergeCell ref="G130:H130"/>
    <mergeCell ref="D64:H64"/>
    <mergeCell ref="A65:C65"/>
    <mergeCell ref="F101:H101"/>
    <mergeCell ref="C34:E34"/>
    <mergeCell ref="A24:D24"/>
    <mergeCell ref="E24:H24"/>
    <mergeCell ref="A18:B18"/>
    <mergeCell ref="C51:E51"/>
    <mergeCell ref="G118:H118"/>
    <mergeCell ref="C133:D133"/>
    <mergeCell ref="E133:F133"/>
    <mergeCell ref="G150:H161"/>
    <mergeCell ref="C130:D130"/>
    <mergeCell ref="E130:F130"/>
    <mergeCell ref="A125:B125"/>
    <mergeCell ref="C125:D125"/>
    <mergeCell ref="E125:F125"/>
    <mergeCell ref="G125:H125"/>
    <mergeCell ref="C126:D126"/>
    <mergeCell ref="A126:B126"/>
    <mergeCell ref="E126:F126"/>
    <mergeCell ref="G126:H126"/>
    <mergeCell ref="A120:B120"/>
    <mergeCell ref="G141:H147"/>
    <mergeCell ref="A148:H148"/>
    <mergeCell ref="A149:H149"/>
    <mergeCell ref="A135:H135"/>
    <mergeCell ref="C120:D120"/>
    <mergeCell ref="E120:F120"/>
    <mergeCell ref="A131:B131"/>
    <mergeCell ref="C131:D131"/>
    <mergeCell ref="E131:F131"/>
    <mergeCell ref="E129:F129"/>
    <mergeCell ref="G123:H123"/>
    <mergeCell ref="A129:B129"/>
    <mergeCell ref="A128:B128"/>
    <mergeCell ref="G213:H216"/>
    <mergeCell ref="G198:H201"/>
    <mergeCell ref="A267:H267"/>
    <mergeCell ref="G268:H274"/>
    <mergeCell ref="A369:H369"/>
    <mergeCell ref="G363:H368"/>
    <mergeCell ref="G238:H241"/>
    <mergeCell ref="A339:H339"/>
    <mergeCell ref="G340:H346"/>
    <mergeCell ref="A291:H291"/>
    <mergeCell ref="G292:H298"/>
    <mergeCell ref="C367:F367"/>
    <mergeCell ref="A197:H197"/>
    <mergeCell ref="G203:H206"/>
    <mergeCell ref="A275:H275"/>
    <mergeCell ref="G218:H221"/>
    <mergeCell ref="A299:H299"/>
    <mergeCell ref="A207:H207"/>
    <mergeCell ref="G208:H211"/>
    <mergeCell ref="A283:H283"/>
    <mergeCell ref="C211:F211"/>
    <mergeCell ref="C284:F285"/>
    <mergeCell ref="C387:F387"/>
    <mergeCell ref="C478:F479"/>
    <mergeCell ref="A212:H212"/>
    <mergeCell ref="A411:H411"/>
    <mergeCell ref="G412:H417"/>
    <mergeCell ref="A418:H418"/>
    <mergeCell ref="G419:H424"/>
    <mergeCell ref="A425:H425"/>
    <mergeCell ref="G426:H431"/>
    <mergeCell ref="A390:H390"/>
    <mergeCell ref="G391:H396"/>
    <mergeCell ref="C257:F258"/>
    <mergeCell ref="G252:H258"/>
    <mergeCell ref="G284:H290"/>
    <mergeCell ref="A383:H383"/>
    <mergeCell ref="A222:H222"/>
    <mergeCell ref="G223:H226"/>
    <mergeCell ref="A307:H307"/>
    <mergeCell ref="G308:H314"/>
    <mergeCell ref="C368:F368"/>
    <mergeCell ref="G356:H361"/>
    <mergeCell ref="A227:H227"/>
    <mergeCell ref="G377:H382"/>
    <mergeCell ref="C375:F375"/>
    <mergeCell ref="G260:H266"/>
    <mergeCell ref="C249:F250"/>
    <mergeCell ref="G244:H250"/>
    <mergeCell ref="A404:H404"/>
    <mergeCell ref="G405:H410"/>
    <mergeCell ref="A315:H315"/>
    <mergeCell ref="G316:H322"/>
    <mergeCell ref="A323:H323"/>
    <mergeCell ref="G324:H330"/>
    <mergeCell ref="A362:H362"/>
    <mergeCell ref="C351:F351"/>
    <mergeCell ref="C353:F354"/>
    <mergeCell ref="A347:H347"/>
    <mergeCell ref="A348:H348"/>
    <mergeCell ref="G349:H354"/>
    <mergeCell ref="G370:H375"/>
    <mergeCell ref="C374:F374"/>
    <mergeCell ref="A376:H376"/>
    <mergeCell ref="C231:F231"/>
    <mergeCell ref="C324:F325"/>
    <mergeCell ref="A232:H232"/>
    <mergeCell ref="G233:H236"/>
    <mergeCell ref="A331:H331"/>
    <mergeCell ref="G332:H338"/>
    <mergeCell ref="G300:H306"/>
    <mergeCell ref="C360:F361"/>
    <mergeCell ref="A355:H355"/>
    <mergeCell ref="A237:H237"/>
    <mergeCell ref="G228:H231"/>
    <mergeCell ref="C470:F470"/>
    <mergeCell ref="A513:H513"/>
    <mergeCell ref="A501:H501"/>
    <mergeCell ref="G502:H506"/>
    <mergeCell ref="A489:H489"/>
    <mergeCell ref="G484:H488"/>
    <mergeCell ref="G384:H389"/>
    <mergeCell ref="C458:F458"/>
    <mergeCell ref="G454:H458"/>
    <mergeCell ref="A453:H453"/>
    <mergeCell ref="A446:H446"/>
    <mergeCell ref="A447:H447"/>
    <mergeCell ref="G448:H452"/>
    <mergeCell ref="C415:F415"/>
    <mergeCell ref="A397:H397"/>
    <mergeCell ref="G398:H403"/>
    <mergeCell ref="A459:H459"/>
    <mergeCell ref="A483:H483"/>
    <mergeCell ref="A477:H477"/>
    <mergeCell ref="G478:H482"/>
    <mergeCell ref="B541:H541"/>
    <mergeCell ref="B532:H532"/>
    <mergeCell ref="G514:H518"/>
    <mergeCell ref="A432:H432"/>
    <mergeCell ref="G433:H438"/>
    <mergeCell ref="A519:H519"/>
    <mergeCell ref="G520:H524"/>
    <mergeCell ref="A439:H439"/>
    <mergeCell ref="G440:H445"/>
    <mergeCell ref="A525:H525"/>
    <mergeCell ref="G526:H530"/>
    <mergeCell ref="A507:H507"/>
    <mergeCell ref="G508:H512"/>
    <mergeCell ref="C469:F469"/>
    <mergeCell ref="A471:H471"/>
    <mergeCell ref="G472:H476"/>
    <mergeCell ref="A465:H465"/>
    <mergeCell ref="C502:F503"/>
    <mergeCell ref="A495:H495"/>
    <mergeCell ref="G496:H500"/>
    <mergeCell ref="G490:H494"/>
    <mergeCell ref="G466:H470"/>
    <mergeCell ref="G460:H464"/>
    <mergeCell ref="C464:F464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37:E138">
      <formula1>"Attached Loft area,Attached Terrace area,Attached Mezzanine area"</formula1>
    </dataValidation>
    <dataValidation type="list" allowBlank="1" showInputMessage="1" showErrorMessage="1" sqref="F138 F180">
      <formula1>"45%,50%,55%,60%"</formula1>
    </dataValidation>
    <dataValidation type="list" allowBlank="1" showInputMessage="1" showErrorMessage="1" sqref="G550:H550">
      <formula1>"Kunal Kadam,Shruti Tathare,Pranita Mhatre,Shruti Fule,Pooja Kawale,Mansee Mohite,Anjali Kamble, Hitakshi Mhatre, Sachin Sawant"</formula1>
    </dataValidation>
    <dataValidation type="list" allowBlank="1" showInputMessage="1" showErrorMessage="1" sqref="F96:H96">
      <formula1>"On Saleable Area,On Builtup Area,On Carpet Area,On Plot Area"</formula1>
    </dataValidation>
    <dataValidation type="list" allowBlank="1" showInputMessage="1" showErrorMessage="1" sqref="F108:H108">
      <formula1>"100000,150000,200000,250000,300000,350000,400000,500000,600000,700000,800000,900000,1000000,1200000,1400000,1500000"</formula1>
    </dataValidation>
    <dataValidation type="list" allowBlank="1" showInputMessage="1" showErrorMessage="1" sqref="F137 F179">
      <formula1>"Saleable area Loading :,Builder Saleable area"</formula1>
    </dataValidation>
    <dataValidation type="list" allowBlank="1" showInputMessage="1" showErrorMessage="1" sqref="B137:B138">
      <formula1>"Shop No. (Sale Plan),Sale / Rehab,Sale / Mhada"</formula1>
    </dataValidation>
    <dataValidation type="list" allowBlank="1" showInputMessage="1" showErrorMessage="1" sqref="B179:B180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554" max="7" man="1"/>
    <brk id="595" max="16383" man="1"/>
    <brk id="63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5" t="s">
        <v>106</v>
      </c>
      <c r="C3" s="215"/>
      <c r="D3" s="215"/>
      <c r="E3" s="215"/>
      <c r="F3" s="215"/>
      <c r="G3" s="215"/>
      <c r="H3" s="215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174</v>
      </c>
      <c r="E4" s="56" t="s">
        <v>184</v>
      </c>
      <c r="F4" s="56" t="s">
        <v>169</v>
      </c>
      <c r="G4" s="56" t="s">
        <v>189</v>
      </c>
      <c r="H4" s="56" t="s">
        <v>207</v>
      </c>
      <c r="J4" t="s">
        <v>189</v>
      </c>
      <c r="K4" t="s">
        <v>205</v>
      </c>
    </row>
    <row r="5" spans="2:11" x14ac:dyDescent="0.25">
      <c r="B5" s="55"/>
      <c r="C5" s="55"/>
      <c r="D5" s="56" t="s">
        <v>175</v>
      </c>
      <c r="E5" s="56" t="s">
        <v>182</v>
      </c>
      <c r="F5" s="56" t="s">
        <v>204</v>
      </c>
      <c r="G5" s="56" t="s">
        <v>190</v>
      </c>
      <c r="H5" s="56" t="s">
        <v>208</v>
      </c>
    </row>
    <row r="6" spans="2:11" x14ac:dyDescent="0.25">
      <c r="B6" s="55"/>
      <c r="C6" s="55"/>
      <c r="D6" s="56" t="s">
        <v>176</v>
      </c>
      <c r="E6" s="56" t="s">
        <v>183</v>
      </c>
      <c r="F6" s="56" t="s">
        <v>205</v>
      </c>
      <c r="G6" s="56" t="s">
        <v>191</v>
      </c>
      <c r="H6" s="56" t="s">
        <v>221</v>
      </c>
    </row>
    <row r="7" spans="2:11" x14ac:dyDescent="0.25">
      <c r="B7" s="55"/>
      <c r="C7" s="55"/>
      <c r="D7" s="56" t="s">
        <v>177</v>
      </c>
      <c r="E7" s="56" t="s">
        <v>185</v>
      </c>
      <c r="F7" s="56" t="s">
        <v>206</v>
      </c>
      <c r="G7" s="56" t="s">
        <v>192</v>
      </c>
      <c r="H7" s="56" t="s">
        <v>209</v>
      </c>
    </row>
    <row r="8" spans="2:11" x14ac:dyDescent="0.25">
      <c r="B8" s="55"/>
      <c r="C8" s="55"/>
      <c r="D8" s="56" t="s">
        <v>178</v>
      </c>
      <c r="E8" s="56" t="s">
        <v>186</v>
      </c>
      <c r="F8" s="56"/>
      <c r="G8" s="56" t="s">
        <v>193</v>
      </c>
      <c r="H8" s="56" t="s">
        <v>210</v>
      </c>
    </row>
    <row r="9" spans="2:11" x14ac:dyDescent="0.25">
      <c r="B9" s="55"/>
      <c r="C9" s="55"/>
      <c r="D9" s="56" t="s">
        <v>179</v>
      </c>
      <c r="E9" s="56" t="s">
        <v>184</v>
      </c>
      <c r="F9" s="56"/>
      <c r="G9" s="56" t="s">
        <v>194</v>
      </c>
      <c r="H9" s="56" t="s">
        <v>211</v>
      </c>
    </row>
    <row r="10" spans="2:11" x14ac:dyDescent="0.25">
      <c r="B10" s="55"/>
      <c r="C10" s="55"/>
      <c r="D10" s="56" t="s">
        <v>180</v>
      </c>
      <c r="E10" s="56" t="s">
        <v>187</v>
      </c>
      <c r="F10" s="56"/>
      <c r="G10" s="56" t="s">
        <v>195</v>
      </c>
      <c r="H10" s="56" t="s">
        <v>212</v>
      </c>
    </row>
    <row r="11" spans="2:11" x14ac:dyDescent="0.25">
      <c r="B11" s="55"/>
      <c r="C11" s="55"/>
      <c r="D11" s="56" t="s">
        <v>181</v>
      </c>
      <c r="E11" s="56" t="s">
        <v>188</v>
      </c>
      <c r="F11" s="56"/>
      <c r="G11" s="56" t="s">
        <v>196</v>
      </c>
      <c r="H11" s="56" t="s">
        <v>213</v>
      </c>
    </row>
    <row r="12" spans="2:11" x14ac:dyDescent="0.25">
      <c r="B12" s="55"/>
      <c r="C12" s="55"/>
      <c r="D12" s="56"/>
      <c r="E12" s="56"/>
      <c r="F12" s="56"/>
      <c r="G12" s="56" t="s">
        <v>197</v>
      </c>
      <c r="H12" s="56" t="s">
        <v>214</v>
      </c>
    </row>
    <row r="13" spans="2:11" x14ac:dyDescent="0.25">
      <c r="B13" s="55"/>
      <c r="C13" s="55"/>
      <c r="D13" s="56"/>
      <c r="E13" s="56"/>
      <c r="F13" s="56"/>
      <c r="G13" s="56" t="s">
        <v>198</v>
      </c>
      <c r="H13" s="56" t="s">
        <v>215</v>
      </c>
    </row>
    <row r="14" spans="2:11" x14ac:dyDescent="0.25">
      <c r="B14" s="55"/>
      <c r="C14" s="55"/>
      <c r="D14" s="56"/>
      <c r="E14" s="56"/>
      <c r="F14" s="56"/>
      <c r="G14" s="56" t="s">
        <v>199</v>
      </c>
      <c r="H14" s="56" t="s">
        <v>216</v>
      </c>
    </row>
    <row r="15" spans="2:11" x14ac:dyDescent="0.25">
      <c r="B15" s="55"/>
      <c r="C15" s="55"/>
      <c r="D15" s="56"/>
      <c r="E15" s="56"/>
      <c r="F15" s="56"/>
      <c r="G15" s="56" t="s">
        <v>200</v>
      </c>
      <c r="H15" s="56" t="s">
        <v>217</v>
      </c>
    </row>
    <row r="16" spans="2:11" x14ac:dyDescent="0.25">
      <c r="B16" s="55"/>
      <c r="C16" s="55"/>
      <c r="D16" s="56"/>
      <c r="E16" s="56"/>
      <c r="F16" s="56"/>
      <c r="G16" s="56" t="s">
        <v>201</v>
      </c>
      <c r="H16" s="56" t="s">
        <v>218</v>
      </c>
    </row>
    <row r="17" spans="2:8" x14ac:dyDescent="0.25">
      <c r="B17" s="55"/>
      <c r="C17" s="55"/>
      <c r="D17" s="56"/>
      <c r="E17" s="56"/>
      <c r="F17" s="56"/>
      <c r="G17" s="56" t="s">
        <v>202</v>
      </c>
      <c r="H17" s="56" t="s">
        <v>219</v>
      </c>
    </row>
    <row r="18" spans="2:8" x14ac:dyDescent="0.25">
      <c r="B18" s="55"/>
      <c r="C18" s="55"/>
      <c r="D18" s="56"/>
      <c r="E18" s="56"/>
      <c r="F18" s="56"/>
      <c r="G18" s="56" t="s">
        <v>203</v>
      </c>
      <c r="H18" s="56" t="s">
        <v>220</v>
      </c>
    </row>
    <row r="24" spans="2:8" x14ac:dyDescent="0.25">
      <c r="C24" t="s">
        <v>167</v>
      </c>
    </row>
    <row r="25" spans="2:8" x14ac:dyDescent="0.25">
      <c r="C25" t="s">
        <v>222</v>
      </c>
    </row>
    <row r="26" spans="2:8" x14ac:dyDescent="0.25">
      <c r="C26" t="s">
        <v>223</v>
      </c>
    </row>
    <row r="27" spans="2:8" x14ac:dyDescent="0.25">
      <c r="C27" t="s">
        <v>224</v>
      </c>
    </row>
    <row r="28" spans="2:8" x14ac:dyDescent="0.25">
      <c r="C28" t="s">
        <v>225</v>
      </c>
    </row>
    <row r="29" spans="2:8" x14ac:dyDescent="0.25">
      <c r="C29" t="s">
        <v>226</v>
      </c>
    </row>
    <row r="30" spans="2:8" x14ac:dyDescent="0.25">
      <c r="C30" t="s">
        <v>167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2025-08-16T05:33:16Z</cp:lastPrinted>
  <dcterms:created xsi:type="dcterms:W3CDTF">2019-07-16T09:29:46Z</dcterms:created>
  <dcterms:modified xsi:type="dcterms:W3CDTF">2025-08-16T05:33:20Z</dcterms:modified>
</cp:coreProperties>
</file>