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Badlapur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8" i="1" s="1"/>
  <c r="C73" i="1"/>
  <c r="C93" i="1" l="1"/>
  <c r="C79" i="1"/>
  <c r="J104" i="1"/>
  <c r="J103" i="1"/>
  <c r="J102" i="1"/>
  <c r="J101" i="1"/>
  <c r="H94" i="1"/>
  <c r="J98" i="1" l="1"/>
  <c r="C97" i="1" s="1"/>
  <c r="J96" i="1"/>
  <c r="D103" i="1"/>
  <c r="D106" i="1"/>
  <c r="D102" i="1"/>
  <c r="D105" i="1"/>
  <c r="D101" i="1"/>
  <c r="J97" i="1"/>
  <c r="J99" i="1"/>
  <c r="D100" i="1"/>
  <c r="D99" i="1"/>
  <c r="D104" i="1"/>
  <c r="G161" i="1"/>
  <c r="G171" i="1"/>
  <c r="G192" i="1"/>
  <c r="G199" i="1"/>
  <c r="G216" i="1"/>
  <c r="G232" i="1"/>
  <c r="D97" i="1" l="1"/>
  <c r="J100" i="1"/>
  <c r="F11" i="5"/>
  <c r="F10" i="5"/>
  <c r="F6" i="5"/>
  <c r="F5" i="5"/>
  <c r="D211" i="1"/>
  <c r="F211" i="1" s="1"/>
  <c r="D210" i="1"/>
  <c r="F210" i="1" s="1"/>
  <c r="D209" i="1"/>
  <c r="F209" i="1" s="1"/>
  <c r="D208" i="1"/>
  <c r="F208" i="1" s="1"/>
  <c r="G206" i="1"/>
  <c r="D238" i="1"/>
  <c r="F238" i="1" s="1"/>
  <c r="D237" i="1"/>
  <c r="F237" i="1" s="1"/>
  <c r="D236" i="1"/>
  <c r="F236" i="1" s="1"/>
  <c r="D235" i="1"/>
  <c r="F235" i="1" s="1"/>
  <c r="D233" i="1"/>
  <c r="F233" i="1" s="1"/>
  <c r="D232" i="1"/>
  <c r="F232" i="1" s="1"/>
  <c r="D228" i="1"/>
  <c r="F228" i="1" s="1"/>
  <c r="D230" i="1"/>
  <c r="F230" i="1" s="1"/>
  <c r="D229" i="1"/>
  <c r="F229" i="1" s="1"/>
  <c r="D227" i="1"/>
  <c r="F227" i="1" s="1"/>
  <c r="D226" i="1"/>
  <c r="F226" i="1" s="1"/>
  <c r="D225" i="1"/>
  <c r="F225" i="1" s="1"/>
  <c r="G224" i="1"/>
  <c r="D224" i="1"/>
  <c r="F224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89" i="1"/>
  <c r="F189" i="1" s="1"/>
  <c r="D188" i="1"/>
  <c r="F188" i="1" s="1"/>
  <c r="D187" i="1"/>
  <c r="F187" i="1" s="1"/>
  <c r="D186" i="1"/>
  <c r="F186" i="1" s="1"/>
  <c r="D185" i="1"/>
  <c r="F185" i="1" s="1"/>
  <c r="D182" i="1"/>
  <c r="F182" i="1" s="1"/>
  <c r="A182" i="1"/>
  <c r="A183" i="1" s="1"/>
  <c r="A184" i="1" s="1"/>
  <c r="A185" i="1" s="1"/>
  <c r="A186" i="1" s="1"/>
  <c r="A187" i="1" s="1"/>
  <c r="A188" i="1" s="1"/>
  <c r="A189" i="1" s="1"/>
  <c r="G181" i="1"/>
  <c r="D181" i="1"/>
  <c r="F181" i="1" s="1"/>
  <c r="D179" i="1"/>
  <c r="F179" i="1" s="1"/>
  <c r="D178" i="1"/>
  <c r="F178" i="1" s="1"/>
  <c r="I178" i="1" s="1"/>
  <c r="D177" i="1"/>
  <c r="F177" i="1" s="1"/>
  <c r="D176" i="1"/>
  <c r="F176" i="1" s="1"/>
  <c r="I176" i="1" s="1"/>
  <c r="D175" i="1"/>
  <c r="F175" i="1" s="1"/>
  <c r="D174" i="1"/>
  <c r="F174" i="1" s="1"/>
  <c r="D173" i="1"/>
  <c r="F173" i="1" s="1"/>
  <c r="D172" i="1"/>
  <c r="F172" i="1" s="1"/>
  <c r="I172" i="1" s="1"/>
  <c r="A172" i="1"/>
  <c r="A173" i="1" s="1"/>
  <c r="A174" i="1" s="1"/>
  <c r="A175" i="1" s="1"/>
  <c r="A176" i="1" s="1"/>
  <c r="A177" i="1" s="1"/>
  <c r="A178" i="1" s="1"/>
  <c r="A179" i="1" s="1"/>
  <c r="D171" i="1"/>
  <c r="F171" i="1" s="1"/>
  <c r="I171" i="1" s="1"/>
  <c r="D222" i="1"/>
  <c r="F222" i="1" s="1"/>
  <c r="D221" i="1"/>
  <c r="F221" i="1" s="1"/>
  <c r="D219" i="1"/>
  <c r="D217" i="1"/>
  <c r="D218" i="1"/>
  <c r="D216" i="1"/>
  <c r="D197" i="1"/>
  <c r="F197" i="1" s="1"/>
  <c r="D196" i="1"/>
  <c r="D195" i="1"/>
  <c r="D193" i="1"/>
  <c r="D194" i="1"/>
  <c r="D192" i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D163" i="1"/>
  <c r="D162" i="1"/>
  <c r="D161" i="1"/>
  <c r="D155" i="1"/>
  <c r="D154" i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F155" i="1"/>
  <c r="F154" i="1"/>
  <c r="G148" i="1"/>
  <c r="D144" i="1"/>
  <c r="F144" i="1" s="1"/>
  <c r="D143" i="1"/>
  <c r="F143" i="1" s="1"/>
  <c r="D142" i="1"/>
  <c r="F142" i="1" s="1"/>
  <c r="D141" i="1"/>
  <c r="F141" i="1" s="1"/>
  <c r="D140" i="1"/>
  <c r="D139" i="1"/>
  <c r="D138" i="1"/>
  <c r="D137" i="1"/>
  <c r="J105" i="1" l="1"/>
  <c r="G122" i="1"/>
  <c r="E122" i="1"/>
  <c r="E126" i="1"/>
  <c r="E127" i="1"/>
  <c r="C128" i="1"/>
  <c r="E120" i="1"/>
  <c r="G121" i="1"/>
  <c r="C126" i="1"/>
  <c r="C127" i="1"/>
  <c r="E128" i="1"/>
  <c r="C122" i="1"/>
  <c r="C120" i="1"/>
  <c r="E121" i="1"/>
  <c r="C121" i="1"/>
  <c r="E27" i="1"/>
  <c r="J106" i="1" l="1"/>
  <c r="C98" i="1" s="1"/>
  <c r="C129" i="1"/>
  <c r="E129" i="1"/>
  <c r="E123" i="1"/>
  <c r="C123" i="1"/>
  <c r="F162" i="1"/>
  <c r="F163" i="1"/>
  <c r="F164" i="1"/>
  <c r="F161" i="1"/>
  <c r="A162" i="1"/>
  <c r="A163" i="1" s="1"/>
  <c r="A164" i="1" s="1"/>
  <c r="A165" i="1" s="1"/>
  <c r="A166" i="1" s="1"/>
  <c r="A167" i="1" s="1"/>
  <c r="A168" i="1" s="1"/>
  <c r="A169" i="1" s="1"/>
  <c r="E97" i="1" l="1"/>
  <c r="I93" i="1" s="1"/>
  <c r="C95" i="1" s="1"/>
  <c r="G97" i="1"/>
  <c r="D98" i="1"/>
  <c r="G126" i="1"/>
  <c r="F117" i="1"/>
  <c r="F138" i="1" l="1"/>
  <c r="F139" i="1"/>
  <c r="F140" i="1"/>
  <c r="F137" i="1"/>
  <c r="G120" i="1" l="1"/>
  <c r="G123" i="1" s="1"/>
  <c r="B241" i="1"/>
  <c r="C13" i="1" l="1"/>
  <c r="F219" i="1" l="1"/>
  <c r="F218" i="1"/>
  <c r="F217" i="1"/>
  <c r="F216" i="1"/>
  <c r="F196" i="1"/>
  <c r="F195" i="1"/>
  <c r="F194" i="1"/>
  <c r="F193" i="1"/>
  <c r="F192" i="1"/>
  <c r="G128" i="1" l="1"/>
  <c r="G127" i="1"/>
  <c r="B242" i="1"/>
  <c r="G129" i="1" l="1"/>
  <c r="G11" i="5"/>
  <c r="G10" i="5"/>
  <c r="F9" i="5"/>
  <c r="G9" i="5" s="1"/>
  <c r="F8" i="5"/>
  <c r="G8" i="5" s="1"/>
  <c r="F7" i="5"/>
  <c r="G7" i="5" s="1"/>
  <c r="G6" i="5"/>
  <c r="G5" i="5"/>
  <c r="D265" i="1"/>
  <c r="G137" i="1"/>
  <c r="J90" i="1"/>
  <c r="J89" i="1"/>
  <c r="J88" i="1"/>
  <c r="J87" i="1"/>
  <c r="J76" i="1"/>
  <c r="J75" i="1"/>
  <c r="J74" i="1"/>
  <c r="J73" i="1"/>
  <c r="C65" i="1"/>
  <c r="D52" i="1"/>
  <c r="G47" i="1"/>
  <c r="C47" i="1"/>
  <c r="E40" i="1"/>
  <c r="E41" i="1" s="1"/>
  <c r="E24" i="1"/>
  <c r="E22" i="1"/>
  <c r="E7" i="1"/>
  <c r="E3" i="1"/>
  <c r="D59" i="1" s="1"/>
  <c r="H80" i="1"/>
  <c r="H66" i="1"/>
  <c r="G12" i="5" l="1"/>
  <c r="D90" i="1"/>
  <c r="D91" i="1"/>
  <c r="D92" i="1"/>
  <c r="D86" i="1"/>
  <c r="D87" i="1"/>
  <c r="D88" i="1"/>
  <c r="D89" i="1"/>
  <c r="D85" i="1"/>
  <c r="D78" i="1"/>
  <c r="D76" i="1"/>
  <c r="D75" i="1"/>
  <c r="D74" i="1"/>
  <c r="D72" i="1"/>
  <c r="D71" i="1"/>
  <c r="D77" i="1"/>
  <c r="D73" i="1"/>
  <c r="J69" i="1"/>
  <c r="J70" i="1"/>
  <c r="C69" i="1" s="1"/>
  <c r="J68" i="1"/>
  <c r="J71" i="1"/>
  <c r="J85" i="1"/>
  <c r="J83" i="1"/>
  <c r="J84" i="1"/>
  <c r="C83" i="1" s="1"/>
  <c r="J82" i="1"/>
  <c r="J86" i="1" l="1"/>
  <c r="J91" i="1" s="1"/>
  <c r="J92" i="1" s="1"/>
  <c r="C84" i="1" s="1"/>
  <c r="E83" i="1" s="1"/>
  <c r="J72" i="1"/>
  <c r="D69" i="1"/>
  <c r="D83" i="1"/>
  <c r="G83" i="1" l="1"/>
  <c r="D84" i="1"/>
  <c r="J77" i="1"/>
  <c r="J78" i="1" s="1"/>
  <c r="C70" i="1" s="1"/>
  <c r="E69" i="1" s="1"/>
  <c r="I65" i="1" s="1"/>
  <c r="C67" i="1" s="1"/>
  <c r="I79" i="1"/>
  <c r="C81" i="1" s="1"/>
  <c r="G69" i="1" l="1"/>
  <c r="D63" i="1" s="1"/>
  <c r="F64" i="1" s="1"/>
  <c r="D70" i="1"/>
  <c r="D64" i="1" l="1"/>
</calcChain>
</file>

<file path=xl/sharedStrings.xml><?xml version="1.0" encoding="utf-8"?>
<sst xmlns="http://schemas.openxmlformats.org/spreadsheetml/2006/main" count="467" uniqueCount="241">
  <si>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</si>
  <si>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</si>
  <si>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</si>
  <si>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</si>
  <si>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</si>
  <si>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</si>
  <si>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</si>
  <si>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</si>
  <si>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</si>
  <si>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</si>
  <si>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</si>
  <si>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</si>
  <si>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</si>
  <si>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</si>
  <si>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</si>
  <si>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</si>
  <si>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</si>
  <si>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</si>
  <si>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</si>
  <si>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</si>
  <si>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</si>
  <si>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</si>
  <si>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</si>
  <si>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</si>
  <si>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</si>
  <si>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</si>
  <si>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</si>
  <si>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</si>
  <si>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</si>
  <si>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</si>
  <si>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</si>
  <si>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</si>
  <si>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</si>
  <si>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</si>
  <si>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</si>
  <si>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</si>
  <si>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</si>
  <si>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</si>
  <si>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</si>
  <si>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</si>
  <si>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</si>
  <si>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</si>
  <si>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</si>
  <si>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</si>
  <si>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</si>
  <si>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</si>
  <si>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</si>
  <si>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</si>
  <si>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</si>
  <si>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</si>
  <si>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</si>
  <si>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</si>
  <si>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</si>
  <si>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</si>
  <si>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</si>
  <si>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</si>
  <si>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</si>
  <si>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</si>
  <si>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</si>
  <si>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</si>
  <si>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</si>
  <si>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</si>
  <si>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</si>
  <si>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</si>
  <si>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</si>
  <si>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</si>
  <si>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</si>
  <si>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</si>
  <si>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</si>
  <si>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</si>
  <si>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</si>
  <si>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</si>
  <si>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</si>
  <si>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</si>
  <si>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</si>
  <si>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</si>
  <si>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</si>
  <si>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</si>
  <si>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</si>
  <si>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</si>
  <si>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</si>
  <si>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</si>
  <si>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</si>
  <si>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</si>
  <si>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</si>
  <si>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</si>
  <si>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</si>
  <si>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</si>
  <si>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</si>
  <si>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</si>
  <si>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</si>
  <si>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</si>
  <si>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</si>
  <si>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</si>
  <si>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</si>
  <si>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</si>
  <si>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</si>
  <si>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</si>
  <si>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</si>
  <si>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</si>
  <si>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</si>
  <si>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</si>
  <si>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</si>
  <si>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</si>
  <si>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</si>
  <si>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</si>
  <si>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</si>
  <si>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</si>
  <si>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</si>
  <si>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</si>
  <si>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</si>
  <si>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</si>
  <si>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</si>
  <si>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</si>
  <si>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</si>
  <si>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</si>
  <si>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</si>
  <si>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</si>
  <si>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</si>
  <si>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</si>
  <si>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</si>
  <si>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</si>
  <si>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</si>
  <si>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</si>
  <si>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</si>
  <si>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</si>
  <si>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</si>
  <si>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</si>
  <si>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</si>
  <si>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</si>
  <si>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</si>
  <si>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</si>
  <si>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</si>
  <si>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</si>
  <si>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</si>
  <si>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</si>
  <si>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</si>
  <si>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</si>
  <si>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</si>
  <si>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</si>
  <si>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</si>
  <si>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</si>
  <si>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</si>
  <si>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</si>
  <si>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</si>
  <si>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</si>
  <si>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</si>
  <si>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</si>
  <si>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</si>
  <si>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</si>
  <si>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</si>
  <si>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</si>
  <si>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</si>
  <si>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</si>
  <si>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</si>
  <si>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</si>
  <si>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</si>
  <si>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</si>
  <si>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</si>
  <si>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</si>
  <si>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</si>
  <si>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</si>
  <si>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</si>
  <si>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</si>
  <si>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Axis Sanpada</t>
  </si>
  <si>
    <t xml:space="preserve">A Wing = P51800031073
B Wing = P51800030751
C Wing = P51800030752
</t>
  </si>
  <si>
    <t>M/s. Marathon Nextgen Realty Ltd</t>
  </si>
  <si>
    <t>Slum Rehabilitation Authority (SRA)</t>
  </si>
  <si>
    <t>Mr. Amol - 9320090407</t>
  </si>
  <si>
    <t>Wing A, B &amp; C</t>
  </si>
  <si>
    <t>Approved Plans, CC, Sale Plans, Cost Sheet</t>
  </si>
  <si>
    <t>Marathon Neopark Ashoka Wing A, B &amp; C</t>
  </si>
  <si>
    <t>SRA/ENG/S/PVT/0143/20171213/AP/C</t>
  </si>
  <si>
    <t>CTS No</t>
  </si>
  <si>
    <t>87/D(Pt)</t>
  </si>
  <si>
    <t>Village</t>
  </si>
  <si>
    <t>Bhandup</t>
  </si>
  <si>
    <t>Kurla</t>
  </si>
  <si>
    <t>Mumbai</t>
  </si>
  <si>
    <t>3.1 KM from Bhandup Railway Station</t>
  </si>
  <si>
    <t>Lake Road</t>
  </si>
  <si>
    <t>Bhandup West</t>
  </si>
  <si>
    <t>Chawl</t>
  </si>
  <si>
    <t>Internal Road</t>
  </si>
  <si>
    <t>Marathon Neosquare</t>
  </si>
  <si>
    <t>As per RERA - 31/12/2025</t>
  </si>
  <si>
    <t>This C.C is re-endorsed as per approved amended plans Dated - 30/12/2021</t>
  </si>
  <si>
    <t>A Wing</t>
  </si>
  <si>
    <t>Shop 
(Sale Or Rehab)</t>
  </si>
  <si>
    <t>Sale</t>
  </si>
  <si>
    <t>Shop</t>
  </si>
  <si>
    <t>B Wing</t>
  </si>
  <si>
    <t>Rehab</t>
  </si>
  <si>
    <t>C Wing</t>
  </si>
  <si>
    <t>Ground Floor For Parking</t>
  </si>
  <si>
    <t>Basement Floor For Parking</t>
  </si>
  <si>
    <t>1st Floor For Residential</t>
  </si>
  <si>
    <t>1BHK</t>
  </si>
  <si>
    <t>M.P Room</t>
  </si>
  <si>
    <t>1st Floor For Residential &amp; Society Office</t>
  </si>
  <si>
    <t>Society Office</t>
  </si>
  <si>
    <t>2nd to 7th, 9th to 14th, 16th to 22nd Floor</t>
  </si>
  <si>
    <t>8th &amp; 15th Floor (Part Refuge Area)</t>
  </si>
  <si>
    <t>Refuge Area</t>
  </si>
  <si>
    <t>B Wing - Sale</t>
  </si>
  <si>
    <t>A Wing - Sale</t>
  </si>
  <si>
    <t>B Wing - Rehab</t>
  </si>
  <si>
    <t>A Wing =  B + G + 1st to 22th Floor</t>
  </si>
  <si>
    <t>B Wing =  B + G + 1st to 22th Floor</t>
  </si>
  <si>
    <t>C Wing =  B + G + 1st to 22th Floor</t>
  </si>
  <si>
    <t>Flats - 473, Sale Shop - 11, Rehab Shops - 3</t>
  </si>
  <si>
    <t>Advance Maintenance Charges (For 6 months)</t>
  </si>
  <si>
    <t>Club Membership Charges</t>
  </si>
  <si>
    <t>Corpus Fund For Society</t>
  </si>
  <si>
    <t>housing</t>
  </si>
  <si>
    <t>1bhk</t>
  </si>
  <si>
    <t>mp room</t>
  </si>
  <si>
    <r>
      <t>A Wing = B</t>
    </r>
    <r>
      <rPr>
        <b/>
        <sz val="12"/>
        <rFont val="Times New Roman"/>
        <family val="1"/>
      </rPr>
      <t xml:space="preserve"> + </t>
    </r>
    <r>
      <rPr>
        <sz val="12"/>
        <rFont val="Times New Roman"/>
        <family val="1"/>
      </rPr>
      <t>G + 1st to 22nd Floor
B Wing =  B + G + 1st to 22nd Floor
C Wing =  B + G + 1st to 22nd Floor</t>
    </r>
  </si>
  <si>
    <t>Project consist of A,B,C,D wings and on RERA site only A,B,C Wings are registered. So, we have not given details of D Wing.</t>
  </si>
  <si>
    <t>10000 to11600</t>
  </si>
  <si>
    <t>sanket</t>
  </si>
  <si>
    <t>market</t>
  </si>
  <si>
    <t>3 wings</t>
  </si>
  <si>
    <t>Location Link</t>
  </si>
  <si>
    <t>https://goo.gl/maps/wnBfPLPEQP65xhvw8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</si>
  <si>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E mail : vsjcapf@gmail.com. Web site : www.vsjadon.com</t>
  </si>
  <si>
    <t>11600 to12000</t>
  </si>
  <si>
    <t>Rushikesh</t>
  </si>
  <si>
    <t>Verbal</t>
  </si>
  <si>
    <t>MSEB/MJP (Electric Meter and Other Changes)</t>
  </si>
  <si>
    <t>On site we met Mr. Rahul Jaiswal : 7303081050.</t>
  </si>
  <si>
    <t>Latitude, Longitude</t>
  </si>
  <si>
    <t>19.161291,72.93128</t>
  </si>
  <si>
    <t>Share of Expense for the Formation and Registration of Apartment</t>
  </si>
  <si>
    <t>Construction work of D wing, 14th RCC Slab completed.</t>
  </si>
  <si>
    <t xml:space="preserve"> Rate 12400 Smith verbal    27/01/2025</t>
  </si>
  <si>
    <t>Recommended Rates / Other charges of the Property have been revised on 17/11/2023 &amp; 27/01/2025.</t>
  </si>
  <si>
    <t>Construction work is the same as last visit (dtd.11/11/2024), but work is in process at the time of the visit. (Slow Speed)</t>
  </si>
  <si>
    <t xml:space="preserve">A &amp; B Wing = Construction work is in process at the time of Visit.
C Wing = Construction work is in process at the time of Visit.
</t>
  </si>
  <si>
    <t>Pooja Kawale</t>
  </si>
  <si>
    <t>Nainesh 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</si>
</sst>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5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3" fillId="0" borderId="0" xfId="1" applyFont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2" fontId="8" fillId="0" borderId="0" xfId="1" applyNumberFormat="1" applyFont="1" applyAlignment="1">
      <alignment horizontal="center" vertical="center"/>
    </xf>
    <xf numFmtId="0" fontId="13" fillId="0" borderId="10" xfId="1" applyFont="1" applyBorder="1" applyProtection="1">
      <protection hidden="1"/>
    </xf>
    <xf numFmtId="0" fontId="13" fillId="0" borderId="11" xfId="1" applyFont="1" applyBorder="1" applyProtection="1">
      <protection hidden="1"/>
    </xf>
    <xf numFmtId="0" fontId="13" fillId="0" borderId="0" xfId="1" applyFont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hidden="1"/>
    </xf>
    <xf numFmtId="0" fontId="13" fillId="0" borderId="12" xfId="1" applyFont="1" applyBorder="1"/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5" fillId="0" borderId="12" xfId="0" applyFont="1" applyBorder="1" applyProtection="1">
      <protection hidden="1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0" borderId="7" xfId="8" applyFont="1" applyFill="1" applyBorder="1" applyAlignment="1" applyProtection="1">
      <alignment horizontal="center" vertical="top" wrapText="1"/>
      <protection locked="0"/>
    </xf>
    <xf numFmtId="0" fontId="15" fillId="0" borderId="13" xfId="0" applyFont="1" applyBorder="1" applyProtection="1">
      <protection hidden="1"/>
    </xf>
    <xf numFmtId="1" fontId="24" fillId="0" borderId="14" xfId="0" applyNumberFormat="1" applyFont="1" applyBorder="1"/>
    <xf numFmtId="0" fontId="15" fillId="0" borderId="0" xfId="1" applyFont="1"/>
    <xf numFmtId="0" fontId="1" fillId="0" borderId="1" xfId="5" applyFont="1" applyBorder="1" applyAlignment="1">
      <alignment horizontal="center" vertical="center"/>
    </xf>
    <xf numFmtId="0" fontId="13" fillId="2" borderId="0" xfId="1" applyFont="1" applyFill="1"/>
    <xf numFmtId="14" fontId="13" fillId="2" borderId="0" xfId="1" applyNumberFormat="1" applyFont="1" applyFill="1"/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left" vertical="center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9" fontId="13" fillId="0" borderId="19" xfId="8" applyFont="1" applyFill="1" applyBorder="1" applyAlignment="1" applyProtection="1">
      <alignment horizontal="center" vertical="center" wrapText="1"/>
      <protection locked="0"/>
    </xf>
    <xf numFmtId="9" fontId="13" fillId="0" borderId="20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30" xfId="8" applyFont="1" applyFill="1" applyBorder="1" applyAlignment="1" applyProtection="1">
      <alignment horizontal="center" vertical="center" wrapText="1"/>
      <protection locked="0"/>
    </xf>
    <xf numFmtId="9" fontId="13" fillId="0" borderId="31" xfId="8" applyFont="1" applyFill="1" applyBorder="1" applyAlignment="1" applyProtection="1">
      <alignment horizontal="center" vertical="center" wrapText="1"/>
      <protection locked="0"/>
    </xf>
    <xf numFmtId="9" fontId="13" fillId="0" borderId="29" xfId="8" applyFont="1" applyFill="1" applyBorder="1" applyAlignment="1" applyProtection="1">
      <alignment horizontal="center" vertical="center" wrapText="1"/>
      <protection locked="0"/>
    </xf>
    <xf numFmtId="9" fontId="13" fillId="0" borderId="12" xfId="8" applyFont="1" applyFill="1" applyBorder="1" applyAlignment="1" applyProtection="1">
      <alignment horizontal="center" vertical="center" wrapText="1"/>
      <protection locked="0"/>
    </xf>
    <xf numFmtId="9" fontId="13" fillId="0" borderId="14" xfId="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3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/>
      <protection locked="0"/>
    </xf>
    <xf numFmtId="0" fontId="14" fillId="0" borderId="18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14" fillId="0" borderId="19" xfId="1" applyFont="1" applyBorder="1" applyAlignment="1" applyProtection="1">
      <alignment horizontal="center" vertical="top" wrapText="1"/>
      <protection locked="0"/>
    </xf>
    <xf numFmtId="0" fontId="14" fillId="0" borderId="26" xfId="1" applyFont="1" applyBorder="1" applyAlignment="1" applyProtection="1">
      <alignment horizontal="center" vertical="top" wrapText="1"/>
      <protection locked="0"/>
    </xf>
    <xf numFmtId="0" fontId="14" fillId="0" borderId="20" xfId="1" applyFont="1" applyBorder="1" applyAlignment="1" applyProtection="1">
      <alignment horizontal="center" vertical="top" wrapText="1"/>
      <protection locked="0"/>
    </xf>
    <xf numFmtId="0" fontId="14" fillId="0" borderId="27" xfId="1" applyFont="1" applyBorder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14" fillId="0" borderId="28" xfId="1" applyFont="1" applyBorder="1" applyAlignment="1" applyProtection="1">
      <alignment horizontal="center" vertical="top" wrapText="1"/>
      <protection locked="0"/>
    </xf>
    <xf numFmtId="0" fontId="14" fillId="0" borderId="21" xfId="1" applyFont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top" wrapText="1"/>
      <protection locked="0"/>
    </xf>
    <xf numFmtId="0" fontId="14" fillId="0" borderId="22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vertical="top"/>
      <protection locked="0"/>
    </xf>
    <xf numFmtId="0" fontId="9" fillId="0" borderId="23" xfId="1" applyFont="1" applyBorder="1" applyAlignment="1" applyProtection="1">
      <alignment vertical="top"/>
      <protection locked="0"/>
    </xf>
    <xf numFmtId="0" fontId="9" fillId="0" borderId="9" xfId="1" applyFont="1" applyBorder="1" applyAlignment="1" applyProtection="1">
      <alignment vertical="top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horizontal="left" vertical="top" wrapText="1"/>
      <protection locked="0"/>
    </xf>
    <xf numFmtId="1" fontId="9" fillId="0" borderId="23" xfId="0" applyNumberFormat="1" applyFont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vertical="top"/>
      <protection locked="0"/>
    </xf>
    <xf numFmtId="0" fontId="7" fillId="0" borderId="23" xfId="1" applyFont="1" applyBorder="1" applyAlignment="1" applyProtection="1">
      <alignment vertical="top"/>
      <protection locked="0"/>
    </xf>
    <xf numFmtId="0" fontId="7" fillId="0" borderId="9" xfId="1" applyFont="1" applyBorder="1" applyAlignment="1" applyProtection="1">
      <alignment vertical="top"/>
      <protection locked="0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5" fillId="0" borderId="1" xfId="10" applyFill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328</xdr:row>
      <xdr:rowOff>114301</xdr:rowOff>
    </xdr:from>
    <xdr:to>
      <xdr:col>6</xdr:col>
      <xdr:colOff>223173</xdr:colOff>
      <xdr:row>348</xdr:row>
      <xdr:rowOff>73801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4475" y="68741926"/>
          <a:ext cx="398554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695325</xdr:colOff>
      <xdr:row>308</xdr:row>
      <xdr:rowOff>0</xdr:rowOff>
    </xdr:from>
    <xdr:to>
      <xdr:col>6</xdr:col>
      <xdr:colOff>223173</xdr:colOff>
      <xdr:row>327</xdr:row>
      <xdr:rowOff>159524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4475" y="64627125"/>
          <a:ext cx="3985548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13</xdr:col>
      <xdr:colOff>415925</xdr:colOff>
      <xdr:row>282</xdr:row>
      <xdr:rowOff>2117</xdr:rowOff>
    </xdr:from>
    <xdr:ext cx="781624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093450" y="59285717"/>
          <a:ext cx="78162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D</a:t>
          </a:r>
        </a:p>
      </xdr:txBody>
    </xdr:sp>
    <xdr:clientData/>
  </xdr:oneCellAnchor>
  <xdr:twoCellAnchor editAs="oneCell">
    <xdr:from>
      <xdr:col>12</xdr:col>
      <xdr:colOff>756285</xdr:colOff>
      <xdr:row>294</xdr:row>
      <xdr:rowOff>186690</xdr:rowOff>
    </xdr:from>
    <xdr:to>
      <xdr:col>15</xdr:col>
      <xdr:colOff>64324</xdr:colOff>
      <xdr:row>305</xdr:row>
      <xdr:rowOff>146415</xdr:rowOff>
    </xdr:to>
    <xdr:pic>
      <xdr:nvPicPr>
        <xdr:cNvPr id="19" name="Picture 18" descr="https://vsjcllp.vsjadon.com/upload/insp-217368-152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6645" y="62167770"/>
          <a:ext cx="1662619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22860</xdr:colOff>
      <xdr:row>282</xdr:row>
      <xdr:rowOff>131444</xdr:rowOff>
    </xdr:from>
    <xdr:to>
      <xdr:col>16</xdr:col>
      <xdr:colOff>359599</xdr:colOff>
      <xdr:row>294</xdr:row>
      <xdr:rowOff>93779</xdr:rowOff>
    </xdr:to>
    <xdr:pic>
      <xdr:nvPicPr>
        <xdr:cNvPr id="21" name="Picture 20" descr="https://vsjcllp.vsjadon.com/upload/insp-217368-849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9620" y="59735084"/>
          <a:ext cx="1815019" cy="23397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443865</xdr:colOff>
      <xdr:row>294</xdr:row>
      <xdr:rowOff>186690</xdr:rowOff>
    </xdr:from>
    <xdr:to>
      <xdr:col>12</xdr:col>
      <xdr:colOff>666304</xdr:colOff>
      <xdr:row>305</xdr:row>
      <xdr:rowOff>146415</xdr:rowOff>
    </xdr:to>
    <xdr:pic>
      <xdr:nvPicPr>
        <xdr:cNvPr id="30" name="Picture 29" descr="https://vsjcllp.vsjadon.com/upload/insp-217368-880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6425" y="62167770"/>
          <a:ext cx="1670239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226695</xdr:colOff>
      <xdr:row>264</xdr:row>
      <xdr:rowOff>167640</xdr:rowOff>
    </xdr:from>
    <xdr:to>
      <xdr:col>12</xdr:col>
      <xdr:colOff>625386</xdr:colOff>
      <xdr:row>282</xdr:row>
      <xdr:rowOff>26670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608695" y="56130190"/>
          <a:ext cx="2703741" cy="3395980"/>
          <a:chOff x="847725" y="56521350"/>
          <a:chExt cx="2593251" cy="3448050"/>
        </a:xfrm>
      </xdr:grpSpPr>
      <xdr:pic>
        <xdr:nvPicPr>
          <xdr:cNvPr id="31" name="Picture 30" descr="https://vsjcllp.vsjadon.com/upload/insp-217368-883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7725" y="56521350"/>
            <a:ext cx="2593251" cy="3448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2505075" y="56530875"/>
            <a:ext cx="723900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Wing</a:t>
            </a:r>
            <a:r>
              <a:rPr lang="en-IN" sz="1600" b="1" baseline="0"/>
              <a:t> A</a:t>
            </a:r>
            <a:endParaRPr lang="en-IN" sz="1600" b="1"/>
          </a:p>
        </xdr:txBody>
      </xdr:sp>
    </xdr:grpSp>
    <xdr:clientData/>
  </xdr:twoCellAnchor>
  <xdr:twoCellAnchor>
    <xdr:from>
      <xdr:col>12</xdr:col>
      <xdr:colOff>718185</xdr:colOff>
      <xdr:row>264</xdr:row>
      <xdr:rowOff>167640</xdr:rowOff>
    </xdr:from>
    <xdr:to>
      <xdr:col>16</xdr:col>
      <xdr:colOff>213906</xdr:colOff>
      <xdr:row>282</xdr:row>
      <xdr:rowOff>26670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1405235" y="56130190"/>
          <a:ext cx="2708821" cy="3395980"/>
          <a:chOff x="3533775" y="56521350"/>
          <a:chExt cx="2593251" cy="3448050"/>
        </a:xfrm>
      </xdr:grpSpPr>
      <xdr:pic>
        <xdr:nvPicPr>
          <xdr:cNvPr id="32" name="Picture 31" descr="https://vsjcllp.vsjadon.com/upload/insp-217368-931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33775" y="56521350"/>
            <a:ext cx="2593251" cy="3448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3762374" y="56530875"/>
            <a:ext cx="771525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Wing</a:t>
            </a:r>
            <a:r>
              <a:rPr lang="en-IN" sz="1600" b="1" baseline="0"/>
              <a:t> B</a:t>
            </a:r>
            <a:endParaRPr lang="en-IN" sz="1600" b="1"/>
          </a:p>
        </xdr:txBody>
      </xdr:sp>
    </xdr:grpSp>
    <xdr:clientData/>
  </xdr:twoCellAnchor>
  <xdr:twoCellAnchor>
    <xdr:from>
      <xdr:col>9</xdr:col>
      <xdr:colOff>99060</xdr:colOff>
      <xdr:row>282</xdr:row>
      <xdr:rowOff>112394</xdr:rowOff>
    </xdr:from>
    <xdr:to>
      <xdr:col>11</xdr:col>
      <xdr:colOff>403414</xdr:colOff>
      <xdr:row>294</xdr:row>
      <xdr:rowOff>93779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481060" y="59611894"/>
          <a:ext cx="1872804" cy="2343585"/>
          <a:chOff x="742950" y="60055124"/>
          <a:chExt cx="1776919" cy="2381685"/>
        </a:xfrm>
      </xdr:grpSpPr>
      <xdr:pic>
        <xdr:nvPicPr>
          <xdr:cNvPr id="20" name="Picture 19" descr="https://vsjcllp.vsjadon.com/upload/insp-217368-843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42950" y="60074174"/>
            <a:ext cx="1776919" cy="23626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695450" y="60055124"/>
            <a:ext cx="723900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Wing</a:t>
            </a:r>
            <a:r>
              <a:rPr lang="en-IN" sz="1600" b="1" baseline="0"/>
              <a:t> C</a:t>
            </a:r>
            <a:endParaRPr lang="en-IN" sz="1600" b="1"/>
          </a:p>
        </xdr:txBody>
      </xdr:sp>
    </xdr:grpSp>
    <xdr:clientData/>
  </xdr:twoCellAnchor>
  <xdr:twoCellAnchor>
    <xdr:from>
      <xdr:col>11</xdr:col>
      <xdr:colOff>502920</xdr:colOff>
      <xdr:row>282</xdr:row>
      <xdr:rowOff>131444</xdr:rowOff>
    </xdr:from>
    <xdr:to>
      <xdr:col>13</xdr:col>
      <xdr:colOff>784414</xdr:colOff>
      <xdr:row>294</xdr:row>
      <xdr:rowOff>93779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0453370" y="59630944"/>
          <a:ext cx="1849944" cy="2324535"/>
          <a:chOff x="2619375" y="60074174"/>
          <a:chExt cx="1776919" cy="2362635"/>
        </a:xfrm>
      </xdr:grpSpPr>
      <xdr:pic>
        <xdr:nvPicPr>
          <xdr:cNvPr id="29" name="Picture 28" descr="https://vsjcllp.vsjadon.com/upload/insp-217368-851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19375" y="60074174"/>
            <a:ext cx="1776919" cy="23626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3181350" y="60302774"/>
            <a:ext cx="570526" cy="268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Wing</a:t>
            </a:r>
            <a:r>
              <a:rPr lang="en-IN" sz="1100" baseline="0"/>
              <a:t> A</a:t>
            </a:r>
            <a:endParaRPr lang="en-IN" sz="1100"/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2714625" y="60702824"/>
            <a:ext cx="570526" cy="268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Wing</a:t>
            </a:r>
            <a:r>
              <a:rPr lang="en-IN" sz="1100" baseline="0"/>
              <a:t> B</a:t>
            </a:r>
            <a:endParaRPr lang="en-IN" sz="1100"/>
          </a:p>
        </xdr:txBody>
      </xdr:sp>
    </xdr:grpSp>
    <xdr:clientData/>
  </xdr:twoCellAnchor>
  <xdr:twoCellAnchor>
    <xdr:from>
      <xdr:col>0</xdr:col>
      <xdr:colOff>279400</xdr:colOff>
      <xdr:row>265</xdr:row>
      <xdr:rowOff>127000</xdr:rowOff>
    </xdr:from>
    <xdr:to>
      <xdr:col>7</xdr:col>
      <xdr:colOff>847942</xdr:colOff>
      <xdr:row>294</xdr:row>
      <xdr:rowOff>6937</xdr:rowOff>
    </xdr:to>
    <xdr:grpSp>
      <xdr:nvGrpSpPr>
        <xdr:cNvPr id="5" name="Group 4"/>
        <xdr:cNvGrpSpPr/>
      </xdr:nvGrpSpPr>
      <xdr:grpSpPr>
        <a:xfrm>
          <a:off x="279400" y="56286400"/>
          <a:ext cx="6512142" cy="5582237"/>
          <a:chOff x="279400" y="56286400"/>
          <a:chExt cx="6512142" cy="5582237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3818" y="5913263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3818" y="56286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56286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6609" y="56286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5913263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6609" y="5913263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707091</xdr:colOff>
      <xdr:row>14</xdr:row>
      <xdr:rowOff>0</xdr:rowOff>
    </xdr:from>
    <xdr:to>
      <xdr:col>16</xdr:col>
      <xdr:colOff>471768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356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106658</xdr:rowOff>
    </xdr:from>
    <xdr:to>
      <xdr:col>6</xdr:col>
      <xdr:colOff>459441</xdr:colOff>
      <xdr:row>55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6785364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707091</xdr:colOff>
      <xdr:row>35</xdr:row>
      <xdr:rowOff>106658</xdr:rowOff>
    </xdr:from>
    <xdr:to>
      <xdr:col>16</xdr:col>
      <xdr:colOff>471768</xdr:colOff>
      <xdr:row>55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356" y="6785364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nBfPLPEQP65xhvw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8"/>
  <sheetViews>
    <sheetView tabSelected="1" view="pageBreakPreview" zoomScaleNormal="100" zoomScaleSheetLayoutView="100" zoomScalePageLayoutView="90" workbookViewId="0">
      <selection activeCell="E9" sqref="E9:H9"/>
    </sheetView>
  </sheetViews>
  <sheetFormatPr defaultColWidth="9.08984375" defaultRowHeight="15.5" x14ac:dyDescent="0.35"/>
  <cols>
    <col min="1" max="1" width="11.453125" style="31" customWidth="1"/>
    <col min="2" max="2" width="12" style="31" customWidth="1"/>
    <col min="3" max="3" width="12.6328125" style="31" customWidth="1"/>
    <col min="4" max="4" width="14.08984375" style="31" customWidth="1"/>
    <col min="5" max="7" width="11.6328125" style="31" customWidth="1"/>
    <col min="8" max="8" width="17.453125" style="31" customWidth="1"/>
    <col min="9" max="9" width="17.453125" style="17" customWidth="1"/>
    <col min="10" max="10" width="11.90625" style="17" bestFit="1" customWidth="1"/>
    <col min="11" max="11" width="10.54296875" style="17" bestFit="1" customWidth="1"/>
    <col min="12" max="12" width="10.54296875" style="17" customWidth="1"/>
    <col min="13" max="13" width="11.90625" style="17" customWidth="1"/>
    <col min="14" max="14" width="12.54296875" style="17" customWidth="1"/>
    <col min="15" max="15" width="9.90625" style="17" customWidth="1"/>
    <col min="16" max="16" width="11.6328125" style="17" customWidth="1"/>
    <col min="17" max="247" width="9.08984375" style="17"/>
    <col min="248" max="248" width="8.6328125" style="17" customWidth="1"/>
    <col min="249" max="249" width="9.90625" style="17" customWidth="1"/>
    <col min="250" max="250" width="14.453125" style="17" customWidth="1"/>
    <col min="251" max="251" width="7.36328125" style="17" customWidth="1"/>
    <col min="252" max="252" width="5.54296875" style="17" customWidth="1"/>
    <col min="253" max="253" width="9" style="17" customWidth="1"/>
    <col min="254" max="255" width="9.90625" style="17" customWidth="1"/>
    <col min="256" max="256" width="11.08984375" style="17" customWidth="1"/>
    <col min="257" max="257" width="2.90625" style="17" customWidth="1"/>
    <col min="258" max="258" width="3.54296875" style="17" customWidth="1"/>
    <col min="259" max="503" width="9.08984375" style="17"/>
    <col min="504" max="504" width="8.6328125" style="17" customWidth="1"/>
    <col min="505" max="505" width="9.90625" style="17" customWidth="1"/>
    <col min="506" max="506" width="14.453125" style="17" customWidth="1"/>
    <col min="507" max="507" width="7.36328125" style="17" customWidth="1"/>
    <col min="508" max="508" width="5.54296875" style="17" customWidth="1"/>
    <col min="509" max="509" width="9" style="17" customWidth="1"/>
    <col min="510" max="511" width="9.90625" style="17" customWidth="1"/>
    <col min="512" max="512" width="11.08984375" style="17" customWidth="1"/>
    <col min="513" max="513" width="2.90625" style="17" customWidth="1"/>
    <col min="514" max="514" width="3.54296875" style="17" customWidth="1"/>
    <col min="515" max="759" width="9.08984375" style="17"/>
    <col min="760" max="760" width="8.6328125" style="17" customWidth="1"/>
    <col min="761" max="761" width="9.90625" style="17" customWidth="1"/>
    <col min="762" max="762" width="14.453125" style="17" customWidth="1"/>
    <col min="763" max="763" width="7.36328125" style="17" customWidth="1"/>
    <col min="764" max="764" width="5.54296875" style="17" customWidth="1"/>
    <col min="765" max="765" width="9" style="17" customWidth="1"/>
    <col min="766" max="767" width="9.90625" style="17" customWidth="1"/>
    <col min="768" max="768" width="11.08984375" style="17" customWidth="1"/>
    <col min="769" max="769" width="2.90625" style="17" customWidth="1"/>
    <col min="770" max="770" width="3.54296875" style="17" customWidth="1"/>
    <col min="771" max="1015" width="9.08984375" style="17"/>
    <col min="1016" max="1016" width="8.6328125" style="17" customWidth="1"/>
    <col min="1017" max="1017" width="9.90625" style="17" customWidth="1"/>
    <col min="1018" max="1018" width="14.453125" style="17" customWidth="1"/>
    <col min="1019" max="1019" width="7.36328125" style="17" customWidth="1"/>
    <col min="1020" max="1020" width="5.54296875" style="17" customWidth="1"/>
    <col min="1021" max="1021" width="9" style="17" customWidth="1"/>
    <col min="1022" max="1023" width="9.90625" style="17" customWidth="1"/>
    <col min="1024" max="1024" width="11.08984375" style="17" customWidth="1"/>
    <col min="1025" max="1025" width="2.90625" style="17" customWidth="1"/>
    <col min="1026" max="1026" width="3.54296875" style="17" customWidth="1"/>
    <col min="1027" max="1271" width="9.08984375" style="17"/>
    <col min="1272" max="1272" width="8.6328125" style="17" customWidth="1"/>
    <col min="1273" max="1273" width="9.90625" style="17" customWidth="1"/>
    <col min="1274" max="1274" width="14.453125" style="17" customWidth="1"/>
    <col min="1275" max="1275" width="7.36328125" style="17" customWidth="1"/>
    <col min="1276" max="1276" width="5.54296875" style="17" customWidth="1"/>
    <col min="1277" max="1277" width="9" style="17" customWidth="1"/>
    <col min="1278" max="1279" width="9.90625" style="17" customWidth="1"/>
    <col min="1280" max="1280" width="11.08984375" style="17" customWidth="1"/>
    <col min="1281" max="1281" width="2.90625" style="17" customWidth="1"/>
    <col min="1282" max="1282" width="3.54296875" style="17" customWidth="1"/>
    <col min="1283" max="1527" width="9.08984375" style="17"/>
    <col min="1528" max="1528" width="8.6328125" style="17" customWidth="1"/>
    <col min="1529" max="1529" width="9.90625" style="17" customWidth="1"/>
    <col min="1530" max="1530" width="14.453125" style="17" customWidth="1"/>
    <col min="1531" max="1531" width="7.36328125" style="17" customWidth="1"/>
    <col min="1532" max="1532" width="5.54296875" style="17" customWidth="1"/>
    <col min="1533" max="1533" width="9" style="17" customWidth="1"/>
    <col min="1534" max="1535" width="9.90625" style="17" customWidth="1"/>
    <col min="1536" max="1536" width="11.08984375" style="17" customWidth="1"/>
    <col min="1537" max="1537" width="2.90625" style="17" customWidth="1"/>
    <col min="1538" max="1538" width="3.54296875" style="17" customWidth="1"/>
    <col min="1539" max="1783" width="9.08984375" style="17"/>
    <col min="1784" max="1784" width="8.6328125" style="17" customWidth="1"/>
    <col min="1785" max="1785" width="9.90625" style="17" customWidth="1"/>
    <col min="1786" max="1786" width="14.453125" style="17" customWidth="1"/>
    <col min="1787" max="1787" width="7.36328125" style="17" customWidth="1"/>
    <col min="1788" max="1788" width="5.54296875" style="17" customWidth="1"/>
    <col min="1789" max="1789" width="9" style="17" customWidth="1"/>
    <col min="1790" max="1791" width="9.90625" style="17" customWidth="1"/>
    <col min="1792" max="1792" width="11.08984375" style="17" customWidth="1"/>
    <col min="1793" max="1793" width="2.90625" style="17" customWidth="1"/>
    <col min="1794" max="1794" width="3.54296875" style="17" customWidth="1"/>
    <col min="1795" max="2039" width="9.08984375" style="17"/>
    <col min="2040" max="2040" width="8.6328125" style="17" customWidth="1"/>
    <col min="2041" max="2041" width="9.90625" style="17" customWidth="1"/>
    <col min="2042" max="2042" width="14.453125" style="17" customWidth="1"/>
    <col min="2043" max="2043" width="7.36328125" style="17" customWidth="1"/>
    <col min="2044" max="2044" width="5.54296875" style="17" customWidth="1"/>
    <col min="2045" max="2045" width="9" style="17" customWidth="1"/>
    <col min="2046" max="2047" width="9.90625" style="17" customWidth="1"/>
    <col min="2048" max="2048" width="11.08984375" style="17" customWidth="1"/>
    <col min="2049" max="2049" width="2.90625" style="17" customWidth="1"/>
    <col min="2050" max="2050" width="3.54296875" style="17" customWidth="1"/>
    <col min="2051" max="2295" width="9.08984375" style="17"/>
    <col min="2296" max="2296" width="8.6328125" style="17" customWidth="1"/>
    <col min="2297" max="2297" width="9.90625" style="17" customWidth="1"/>
    <col min="2298" max="2298" width="14.453125" style="17" customWidth="1"/>
    <col min="2299" max="2299" width="7.36328125" style="17" customWidth="1"/>
    <col min="2300" max="2300" width="5.54296875" style="17" customWidth="1"/>
    <col min="2301" max="2301" width="9" style="17" customWidth="1"/>
    <col min="2302" max="2303" width="9.90625" style="17" customWidth="1"/>
    <col min="2304" max="2304" width="11.08984375" style="17" customWidth="1"/>
    <col min="2305" max="2305" width="2.90625" style="17" customWidth="1"/>
    <col min="2306" max="2306" width="3.54296875" style="17" customWidth="1"/>
    <col min="2307" max="2551" width="9.08984375" style="17"/>
    <col min="2552" max="2552" width="8.6328125" style="17" customWidth="1"/>
    <col min="2553" max="2553" width="9.90625" style="17" customWidth="1"/>
    <col min="2554" max="2554" width="14.453125" style="17" customWidth="1"/>
    <col min="2555" max="2555" width="7.36328125" style="17" customWidth="1"/>
    <col min="2556" max="2556" width="5.54296875" style="17" customWidth="1"/>
    <col min="2557" max="2557" width="9" style="17" customWidth="1"/>
    <col min="2558" max="2559" width="9.90625" style="17" customWidth="1"/>
    <col min="2560" max="2560" width="11.08984375" style="17" customWidth="1"/>
    <col min="2561" max="2561" width="2.90625" style="17" customWidth="1"/>
    <col min="2562" max="2562" width="3.54296875" style="17" customWidth="1"/>
    <col min="2563" max="2807" width="9.08984375" style="17"/>
    <col min="2808" max="2808" width="8.6328125" style="17" customWidth="1"/>
    <col min="2809" max="2809" width="9.90625" style="17" customWidth="1"/>
    <col min="2810" max="2810" width="14.453125" style="17" customWidth="1"/>
    <col min="2811" max="2811" width="7.36328125" style="17" customWidth="1"/>
    <col min="2812" max="2812" width="5.54296875" style="17" customWidth="1"/>
    <col min="2813" max="2813" width="9" style="17" customWidth="1"/>
    <col min="2814" max="2815" width="9.90625" style="17" customWidth="1"/>
    <col min="2816" max="2816" width="11.08984375" style="17" customWidth="1"/>
    <col min="2817" max="2817" width="2.90625" style="17" customWidth="1"/>
    <col min="2818" max="2818" width="3.54296875" style="17" customWidth="1"/>
    <col min="2819" max="3063" width="9.08984375" style="17"/>
    <col min="3064" max="3064" width="8.6328125" style="17" customWidth="1"/>
    <col min="3065" max="3065" width="9.90625" style="17" customWidth="1"/>
    <col min="3066" max="3066" width="14.453125" style="17" customWidth="1"/>
    <col min="3067" max="3067" width="7.36328125" style="17" customWidth="1"/>
    <col min="3068" max="3068" width="5.54296875" style="17" customWidth="1"/>
    <col min="3069" max="3069" width="9" style="17" customWidth="1"/>
    <col min="3070" max="3071" width="9.90625" style="17" customWidth="1"/>
    <col min="3072" max="3072" width="11.08984375" style="17" customWidth="1"/>
    <col min="3073" max="3073" width="2.90625" style="17" customWidth="1"/>
    <col min="3074" max="3074" width="3.54296875" style="17" customWidth="1"/>
    <col min="3075" max="3319" width="9.08984375" style="17"/>
    <col min="3320" max="3320" width="8.6328125" style="17" customWidth="1"/>
    <col min="3321" max="3321" width="9.90625" style="17" customWidth="1"/>
    <col min="3322" max="3322" width="14.453125" style="17" customWidth="1"/>
    <col min="3323" max="3323" width="7.36328125" style="17" customWidth="1"/>
    <col min="3324" max="3324" width="5.54296875" style="17" customWidth="1"/>
    <col min="3325" max="3325" width="9" style="17" customWidth="1"/>
    <col min="3326" max="3327" width="9.90625" style="17" customWidth="1"/>
    <col min="3328" max="3328" width="11.08984375" style="17" customWidth="1"/>
    <col min="3329" max="3329" width="2.90625" style="17" customWidth="1"/>
    <col min="3330" max="3330" width="3.54296875" style="17" customWidth="1"/>
    <col min="3331" max="3575" width="9.08984375" style="17"/>
    <col min="3576" max="3576" width="8.6328125" style="17" customWidth="1"/>
    <col min="3577" max="3577" width="9.90625" style="17" customWidth="1"/>
    <col min="3578" max="3578" width="14.453125" style="17" customWidth="1"/>
    <col min="3579" max="3579" width="7.36328125" style="17" customWidth="1"/>
    <col min="3580" max="3580" width="5.54296875" style="17" customWidth="1"/>
    <col min="3581" max="3581" width="9" style="17" customWidth="1"/>
    <col min="3582" max="3583" width="9.90625" style="17" customWidth="1"/>
    <col min="3584" max="3584" width="11.08984375" style="17" customWidth="1"/>
    <col min="3585" max="3585" width="2.90625" style="17" customWidth="1"/>
    <col min="3586" max="3586" width="3.54296875" style="17" customWidth="1"/>
    <col min="3587" max="3831" width="9.08984375" style="17"/>
    <col min="3832" max="3832" width="8.6328125" style="17" customWidth="1"/>
    <col min="3833" max="3833" width="9.90625" style="17" customWidth="1"/>
    <col min="3834" max="3834" width="14.453125" style="17" customWidth="1"/>
    <col min="3835" max="3835" width="7.36328125" style="17" customWidth="1"/>
    <col min="3836" max="3836" width="5.54296875" style="17" customWidth="1"/>
    <col min="3837" max="3837" width="9" style="17" customWidth="1"/>
    <col min="3838" max="3839" width="9.90625" style="17" customWidth="1"/>
    <col min="3840" max="3840" width="11.08984375" style="17" customWidth="1"/>
    <col min="3841" max="3841" width="2.90625" style="17" customWidth="1"/>
    <col min="3842" max="3842" width="3.54296875" style="17" customWidth="1"/>
    <col min="3843" max="4087" width="9.08984375" style="17"/>
    <col min="4088" max="4088" width="8.6328125" style="17" customWidth="1"/>
    <col min="4089" max="4089" width="9.90625" style="17" customWidth="1"/>
    <col min="4090" max="4090" width="14.453125" style="17" customWidth="1"/>
    <col min="4091" max="4091" width="7.36328125" style="17" customWidth="1"/>
    <col min="4092" max="4092" width="5.54296875" style="17" customWidth="1"/>
    <col min="4093" max="4093" width="9" style="17" customWidth="1"/>
    <col min="4094" max="4095" width="9.90625" style="17" customWidth="1"/>
    <col min="4096" max="4096" width="11.08984375" style="17" customWidth="1"/>
    <col min="4097" max="4097" width="2.90625" style="17" customWidth="1"/>
    <col min="4098" max="4098" width="3.54296875" style="17" customWidth="1"/>
    <col min="4099" max="4343" width="9.08984375" style="17"/>
    <col min="4344" max="4344" width="8.6328125" style="17" customWidth="1"/>
    <col min="4345" max="4345" width="9.90625" style="17" customWidth="1"/>
    <col min="4346" max="4346" width="14.453125" style="17" customWidth="1"/>
    <col min="4347" max="4347" width="7.36328125" style="17" customWidth="1"/>
    <col min="4348" max="4348" width="5.54296875" style="17" customWidth="1"/>
    <col min="4349" max="4349" width="9" style="17" customWidth="1"/>
    <col min="4350" max="4351" width="9.90625" style="17" customWidth="1"/>
    <col min="4352" max="4352" width="11.08984375" style="17" customWidth="1"/>
    <col min="4353" max="4353" width="2.90625" style="17" customWidth="1"/>
    <col min="4354" max="4354" width="3.54296875" style="17" customWidth="1"/>
    <col min="4355" max="4599" width="9.08984375" style="17"/>
    <col min="4600" max="4600" width="8.6328125" style="17" customWidth="1"/>
    <col min="4601" max="4601" width="9.90625" style="17" customWidth="1"/>
    <col min="4602" max="4602" width="14.453125" style="17" customWidth="1"/>
    <col min="4603" max="4603" width="7.36328125" style="17" customWidth="1"/>
    <col min="4604" max="4604" width="5.54296875" style="17" customWidth="1"/>
    <col min="4605" max="4605" width="9" style="17" customWidth="1"/>
    <col min="4606" max="4607" width="9.90625" style="17" customWidth="1"/>
    <col min="4608" max="4608" width="11.08984375" style="17" customWidth="1"/>
    <col min="4609" max="4609" width="2.90625" style="17" customWidth="1"/>
    <col min="4610" max="4610" width="3.54296875" style="17" customWidth="1"/>
    <col min="4611" max="4855" width="9.08984375" style="17"/>
    <col min="4856" max="4856" width="8.6328125" style="17" customWidth="1"/>
    <col min="4857" max="4857" width="9.90625" style="17" customWidth="1"/>
    <col min="4858" max="4858" width="14.453125" style="17" customWidth="1"/>
    <col min="4859" max="4859" width="7.36328125" style="17" customWidth="1"/>
    <col min="4860" max="4860" width="5.54296875" style="17" customWidth="1"/>
    <col min="4861" max="4861" width="9" style="17" customWidth="1"/>
    <col min="4862" max="4863" width="9.90625" style="17" customWidth="1"/>
    <col min="4864" max="4864" width="11.08984375" style="17" customWidth="1"/>
    <col min="4865" max="4865" width="2.90625" style="17" customWidth="1"/>
    <col min="4866" max="4866" width="3.54296875" style="17" customWidth="1"/>
    <col min="4867" max="5111" width="9.08984375" style="17"/>
    <col min="5112" max="5112" width="8.6328125" style="17" customWidth="1"/>
    <col min="5113" max="5113" width="9.90625" style="17" customWidth="1"/>
    <col min="5114" max="5114" width="14.453125" style="17" customWidth="1"/>
    <col min="5115" max="5115" width="7.36328125" style="17" customWidth="1"/>
    <col min="5116" max="5116" width="5.54296875" style="17" customWidth="1"/>
    <col min="5117" max="5117" width="9" style="17" customWidth="1"/>
    <col min="5118" max="5119" width="9.90625" style="17" customWidth="1"/>
    <col min="5120" max="5120" width="11.08984375" style="17" customWidth="1"/>
    <col min="5121" max="5121" width="2.90625" style="17" customWidth="1"/>
    <col min="5122" max="5122" width="3.54296875" style="17" customWidth="1"/>
    <col min="5123" max="5367" width="9.08984375" style="17"/>
    <col min="5368" max="5368" width="8.6328125" style="17" customWidth="1"/>
    <col min="5369" max="5369" width="9.90625" style="17" customWidth="1"/>
    <col min="5370" max="5370" width="14.453125" style="17" customWidth="1"/>
    <col min="5371" max="5371" width="7.36328125" style="17" customWidth="1"/>
    <col min="5372" max="5372" width="5.54296875" style="17" customWidth="1"/>
    <col min="5373" max="5373" width="9" style="17" customWidth="1"/>
    <col min="5374" max="5375" width="9.90625" style="17" customWidth="1"/>
    <col min="5376" max="5376" width="11.08984375" style="17" customWidth="1"/>
    <col min="5377" max="5377" width="2.90625" style="17" customWidth="1"/>
    <col min="5378" max="5378" width="3.54296875" style="17" customWidth="1"/>
    <col min="5379" max="5623" width="9.08984375" style="17"/>
    <col min="5624" max="5624" width="8.6328125" style="17" customWidth="1"/>
    <col min="5625" max="5625" width="9.90625" style="17" customWidth="1"/>
    <col min="5626" max="5626" width="14.453125" style="17" customWidth="1"/>
    <col min="5627" max="5627" width="7.36328125" style="17" customWidth="1"/>
    <col min="5628" max="5628" width="5.54296875" style="17" customWidth="1"/>
    <col min="5629" max="5629" width="9" style="17" customWidth="1"/>
    <col min="5630" max="5631" width="9.90625" style="17" customWidth="1"/>
    <col min="5632" max="5632" width="11.08984375" style="17" customWidth="1"/>
    <col min="5633" max="5633" width="2.90625" style="17" customWidth="1"/>
    <col min="5634" max="5634" width="3.54296875" style="17" customWidth="1"/>
    <col min="5635" max="5879" width="9.08984375" style="17"/>
    <col min="5880" max="5880" width="8.6328125" style="17" customWidth="1"/>
    <col min="5881" max="5881" width="9.90625" style="17" customWidth="1"/>
    <col min="5882" max="5882" width="14.453125" style="17" customWidth="1"/>
    <col min="5883" max="5883" width="7.36328125" style="17" customWidth="1"/>
    <col min="5884" max="5884" width="5.54296875" style="17" customWidth="1"/>
    <col min="5885" max="5885" width="9" style="17" customWidth="1"/>
    <col min="5886" max="5887" width="9.90625" style="17" customWidth="1"/>
    <col min="5888" max="5888" width="11.08984375" style="17" customWidth="1"/>
    <col min="5889" max="5889" width="2.90625" style="17" customWidth="1"/>
    <col min="5890" max="5890" width="3.54296875" style="17" customWidth="1"/>
    <col min="5891" max="6135" width="9.08984375" style="17"/>
    <col min="6136" max="6136" width="8.6328125" style="17" customWidth="1"/>
    <col min="6137" max="6137" width="9.90625" style="17" customWidth="1"/>
    <col min="6138" max="6138" width="14.453125" style="17" customWidth="1"/>
    <col min="6139" max="6139" width="7.36328125" style="17" customWidth="1"/>
    <col min="6140" max="6140" width="5.54296875" style="17" customWidth="1"/>
    <col min="6141" max="6141" width="9" style="17" customWidth="1"/>
    <col min="6142" max="6143" width="9.90625" style="17" customWidth="1"/>
    <col min="6144" max="6144" width="11.08984375" style="17" customWidth="1"/>
    <col min="6145" max="6145" width="2.90625" style="17" customWidth="1"/>
    <col min="6146" max="6146" width="3.54296875" style="17" customWidth="1"/>
    <col min="6147" max="6391" width="9.08984375" style="17"/>
    <col min="6392" max="6392" width="8.6328125" style="17" customWidth="1"/>
    <col min="6393" max="6393" width="9.90625" style="17" customWidth="1"/>
    <col min="6394" max="6394" width="14.453125" style="17" customWidth="1"/>
    <col min="6395" max="6395" width="7.36328125" style="17" customWidth="1"/>
    <col min="6396" max="6396" width="5.54296875" style="17" customWidth="1"/>
    <col min="6397" max="6397" width="9" style="17" customWidth="1"/>
    <col min="6398" max="6399" width="9.90625" style="17" customWidth="1"/>
    <col min="6400" max="6400" width="11.08984375" style="17" customWidth="1"/>
    <col min="6401" max="6401" width="2.90625" style="17" customWidth="1"/>
    <col min="6402" max="6402" width="3.54296875" style="17" customWidth="1"/>
    <col min="6403" max="6647" width="9.08984375" style="17"/>
    <col min="6648" max="6648" width="8.6328125" style="17" customWidth="1"/>
    <col min="6649" max="6649" width="9.90625" style="17" customWidth="1"/>
    <col min="6650" max="6650" width="14.453125" style="17" customWidth="1"/>
    <col min="6651" max="6651" width="7.36328125" style="17" customWidth="1"/>
    <col min="6652" max="6652" width="5.54296875" style="17" customWidth="1"/>
    <col min="6653" max="6653" width="9" style="17" customWidth="1"/>
    <col min="6654" max="6655" width="9.90625" style="17" customWidth="1"/>
    <col min="6656" max="6656" width="11.08984375" style="17" customWidth="1"/>
    <col min="6657" max="6657" width="2.90625" style="17" customWidth="1"/>
    <col min="6658" max="6658" width="3.54296875" style="17" customWidth="1"/>
    <col min="6659" max="6903" width="9.08984375" style="17"/>
    <col min="6904" max="6904" width="8.6328125" style="17" customWidth="1"/>
    <col min="6905" max="6905" width="9.90625" style="17" customWidth="1"/>
    <col min="6906" max="6906" width="14.453125" style="17" customWidth="1"/>
    <col min="6907" max="6907" width="7.36328125" style="17" customWidth="1"/>
    <col min="6908" max="6908" width="5.54296875" style="17" customWidth="1"/>
    <col min="6909" max="6909" width="9" style="17" customWidth="1"/>
    <col min="6910" max="6911" width="9.90625" style="17" customWidth="1"/>
    <col min="6912" max="6912" width="11.08984375" style="17" customWidth="1"/>
    <col min="6913" max="6913" width="2.90625" style="17" customWidth="1"/>
    <col min="6914" max="6914" width="3.54296875" style="17" customWidth="1"/>
    <col min="6915" max="7159" width="9.08984375" style="17"/>
    <col min="7160" max="7160" width="8.6328125" style="17" customWidth="1"/>
    <col min="7161" max="7161" width="9.90625" style="17" customWidth="1"/>
    <col min="7162" max="7162" width="14.453125" style="17" customWidth="1"/>
    <col min="7163" max="7163" width="7.36328125" style="17" customWidth="1"/>
    <col min="7164" max="7164" width="5.54296875" style="17" customWidth="1"/>
    <col min="7165" max="7165" width="9" style="17" customWidth="1"/>
    <col min="7166" max="7167" width="9.90625" style="17" customWidth="1"/>
    <col min="7168" max="7168" width="11.08984375" style="17" customWidth="1"/>
    <col min="7169" max="7169" width="2.90625" style="17" customWidth="1"/>
    <col min="7170" max="7170" width="3.54296875" style="17" customWidth="1"/>
    <col min="7171" max="7415" width="9.08984375" style="17"/>
    <col min="7416" max="7416" width="8.6328125" style="17" customWidth="1"/>
    <col min="7417" max="7417" width="9.90625" style="17" customWidth="1"/>
    <col min="7418" max="7418" width="14.453125" style="17" customWidth="1"/>
    <col min="7419" max="7419" width="7.36328125" style="17" customWidth="1"/>
    <col min="7420" max="7420" width="5.54296875" style="17" customWidth="1"/>
    <col min="7421" max="7421" width="9" style="17" customWidth="1"/>
    <col min="7422" max="7423" width="9.90625" style="17" customWidth="1"/>
    <col min="7424" max="7424" width="11.08984375" style="17" customWidth="1"/>
    <col min="7425" max="7425" width="2.90625" style="17" customWidth="1"/>
    <col min="7426" max="7426" width="3.54296875" style="17" customWidth="1"/>
    <col min="7427" max="7671" width="9.08984375" style="17"/>
    <col min="7672" max="7672" width="8.6328125" style="17" customWidth="1"/>
    <col min="7673" max="7673" width="9.90625" style="17" customWidth="1"/>
    <col min="7674" max="7674" width="14.453125" style="17" customWidth="1"/>
    <col min="7675" max="7675" width="7.36328125" style="17" customWidth="1"/>
    <col min="7676" max="7676" width="5.54296875" style="17" customWidth="1"/>
    <col min="7677" max="7677" width="9" style="17" customWidth="1"/>
    <col min="7678" max="7679" width="9.90625" style="17" customWidth="1"/>
    <col min="7680" max="7680" width="11.08984375" style="17" customWidth="1"/>
    <col min="7681" max="7681" width="2.90625" style="17" customWidth="1"/>
    <col min="7682" max="7682" width="3.54296875" style="17" customWidth="1"/>
    <col min="7683" max="7927" width="9.08984375" style="17"/>
    <col min="7928" max="7928" width="8.6328125" style="17" customWidth="1"/>
    <col min="7929" max="7929" width="9.90625" style="17" customWidth="1"/>
    <col min="7930" max="7930" width="14.453125" style="17" customWidth="1"/>
    <col min="7931" max="7931" width="7.36328125" style="17" customWidth="1"/>
    <col min="7932" max="7932" width="5.54296875" style="17" customWidth="1"/>
    <col min="7933" max="7933" width="9" style="17" customWidth="1"/>
    <col min="7934" max="7935" width="9.90625" style="17" customWidth="1"/>
    <col min="7936" max="7936" width="11.08984375" style="17" customWidth="1"/>
    <col min="7937" max="7937" width="2.90625" style="17" customWidth="1"/>
    <col min="7938" max="7938" width="3.54296875" style="17" customWidth="1"/>
    <col min="7939" max="8183" width="9.08984375" style="17"/>
    <col min="8184" max="8184" width="8.6328125" style="17" customWidth="1"/>
    <col min="8185" max="8185" width="9.90625" style="17" customWidth="1"/>
    <col min="8186" max="8186" width="14.453125" style="17" customWidth="1"/>
    <col min="8187" max="8187" width="7.36328125" style="17" customWidth="1"/>
    <col min="8188" max="8188" width="5.54296875" style="17" customWidth="1"/>
    <col min="8189" max="8189" width="9" style="17" customWidth="1"/>
    <col min="8190" max="8191" width="9.90625" style="17" customWidth="1"/>
    <col min="8192" max="8192" width="11.08984375" style="17" customWidth="1"/>
    <col min="8193" max="8193" width="2.90625" style="17" customWidth="1"/>
    <col min="8194" max="8194" width="3.54296875" style="17" customWidth="1"/>
    <col min="8195" max="8439" width="9.08984375" style="17"/>
    <col min="8440" max="8440" width="8.6328125" style="17" customWidth="1"/>
    <col min="8441" max="8441" width="9.90625" style="17" customWidth="1"/>
    <col min="8442" max="8442" width="14.453125" style="17" customWidth="1"/>
    <col min="8443" max="8443" width="7.36328125" style="17" customWidth="1"/>
    <col min="8444" max="8444" width="5.54296875" style="17" customWidth="1"/>
    <col min="8445" max="8445" width="9" style="17" customWidth="1"/>
    <col min="8446" max="8447" width="9.90625" style="17" customWidth="1"/>
    <col min="8448" max="8448" width="11.08984375" style="17" customWidth="1"/>
    <col min="8449" max="8449" width="2.90625" style="17" customWidth="1"/>
    <col min="8450" max="8450" width="3.54296875" style="17" customWidth="1"/>
    <col min="8451" max="8695" width="9.08984375" style="17"/>
    <col min="8696" max="8696" width="8.6328125" style="17" customWidth="1"/>
    <col min="8697" max="8697" width="9.90625" style="17" customWidth="1"/>
    <col min="8698" max="8698" width="14.453125" style="17" customWidth="1"/>
    <col min="8699" max="8699" width="7.36328125" style="17" customWidth="1"/>
    <col min="8700" max="8700" width="5.54296875" style="17" customWidth="1"/>
    <col min="8701" max="8701" width="9" style="17" customWidth="1"/>
    <col min="8702" max="8703" width="9.90625" style="17" customWidth="1"/>
    <col min="8704" max="8704" width="11.08984375" style="17" customWidth="1"/>
    <col min="8705" max="8705" width="2.90625" style="17" customWidth="1"/>
    <col min="8706" max="8706" width="3.54296875" style="17" customWidth="1"/>
    <col min="8707" max="8951" width="9.08984375" style="17"/>
    <col min="8952" max="8952" width="8.6328125" style="17" customWidth="1"/>
    <col min="8953" max="8953" width="9.90625" style="17" customWidth="1"/>
    <col min="8954" max="8954" width="14.453125" style="17" customWidth="1"/>
    <col min="8955" max="8955" width="7.36328125" style="17" customWidth="1"/>
    <col min="8956" max="8956" width="5.54296875" style="17" customWidth="1"/>
    <col min="8957" max="8957" width="9" style="17" customWidth="1"/>
    <col min="8958" max="8959" width="9.90625" style="17" customWidth="1"/>
    <col min="8960" max="8960" width="11.08984375" style="17" customWidth="1"/>
    <col min="8961" max="8961" width="2.90625" style="17" customWidth="1"/>
    <col min="8962" max="8962" width="3.54296875" style="17" customWidth="1"/>
    <col min="8963" max="9207" width="9.08984375" style="17"/>
    <col min="9208" max="9208" width="8.6328125" style="17" customWidth="1"/>
    <col min="9209" max="9209" width="9.90625" style="17" customWidth="1"/>
    <col min="9210" max="9210" width="14.453125" style="17" customWidth="1"/>
    <col min="9211" max="9211" width="7.36328125" style="17" customWidth="1"/>
    <col min="9212" max="9212" width="5.54296875" style="17" customWidth="1"/>
    <col min="9213" max="9213" width="9" style="17" customWidth="1"/>
    <col min="9214" max="9215" width="9.90625" style="17" customWidth="1"/>
    <col min="9216" max="9216" width="11.08984375" style="17" customWidth="1"/>
    <col min="9217" max="9217" width="2.90625" style="17" customWidth="1"/>
    <col min="9218" max="9218" width="3.54296875" style="17" customWidth="1"/>
    <col min="9219" max="9463" width="9.08984375" style="17"/>
    <col min="9464" max="9464" width="8.6328125" style="17" customWidth="1"/>
    <col min="9465" max="9465" width="9.90625" style="17" customWidth="1"/>
    <col min="9466" max="9466" width="14.453125" style="17" customWidth="1"/>
    <col min="9467" max="9467" width="7.36328125" style="17" customWidth="1"/>
    <col min="9468" max="9468" width="5.54296875" style="17" customWidth="1"/>
    <col min="9469" max="9469" width="9" style="17" customWidth="1"/>
    <col min="9470" max="9471" width="9.90625" style="17" customWidth="1"/>
    <col min="9472" max="9472" width="11.08984375" style="17" customWidth="1"/>
    <col min="9473" max="9473" width="2.90625" style="17" customWidth="1"/>
    <col min="9474" max="9474" width="3.54296875" style="17" customWidth="1"/>
    <col min="9475" max="9719" width="9.08984375" style="17"/>
    <col min="9720" max="9720" width="8.6328125" style="17" customWidth="1"/>
    <col min="9721" max="9721" width="9.90625" style="17" customWidth="1"/>
    <col min="9722" max="9722" width="14.453125" style="17" customWidth="1"/>
    <col min="9723" max="9723" width="7.36328125" style="17" customWidth="1"/>
    <col min="9724" max="9724" width="5.54296875" style="17" customWidth="1"/>
    <col min="9725" max="9725" width="9" style="17" customWidth="1"/>
    <col min="9726" max="9727" width="9.90625" style="17" customWidth="1"/>
    <col min="9728" max="9728" width="11.08984375" style="17" customWidth="1"/>
    <col min="9729" max="9729" width="2.90625" style="17" customWidth="1"/>
    <col min="9730" max="9730" width="3.54296875" style="17" customWidth="1"/>
    <col min="9731" max="9975" width="9.08984375" style="17"/>
    <col min="9976" max="9976" width="8.6328125" style="17" customWidth="1"/>
    <col min="9977" max="9977" width="9.90625" style="17" customWidth="1"/>
    <col min="9978" max="9978" width="14.453125" style="17" customWidth="1"/>
    <col min="9979" max="9979" width="7.36328125" style="17" customWidth="1"/>
    <col min="9980" max="9980" width="5.54296875" style="17" customWidth="1"/>
    <col min="9981" max="9981" width="9" style="17" customWidth="1"/>
    <col min="9982" max="9983" width="9.90625" style="17" customWidth="1"/>
    <col min="9984" max="9984" width="11.08984375" style="17" customWidth="1"/>
    <col min="9985" max="9985" width="2.90625" style="17" customWidth="1"/>
    <col min="9986" max="9986" width="3.54296875" style="17" customWidth="1"/>
    <col min="9987" max="10231" width="9.08984375" style="17"/>
    <col min="10232" max="10232" width="8.6328125" style="17" customWidth="1"/>
    <col min="10233" max="10233" width="9.90625" style="17" customWidth="1"/>
    <col min="10234" max="10234" width="14.453125" style="17" customWidth="1"/>
    <col min="10235" max="10235" width="7.36328125" style="17" customWidth="1"/>
    <col min="10236" max="10236" width="5.54296875" style="17" customWidth="1"/>
    <col min="10237" max="10237" width="9" style="17" customWidth="1"/>
    <col min="10238" max="10239" width="9.90625" style="17" customWidth="1"/>
    <col min="10240" max="10240" width="11.08984375" style="17" customWidth="1"/>
    <col min="10241" max="10241" width="2.90625" style="17" customWidth="1"/>
    <col min="10242" max="10242" width="3.54296875" style="17" customWidth="1"/>
    <col min="10243" max="10487" width="9.08984375" style="17"/>
    <col min="10488" max="10488" width="8.6328125" style="17" customWidth="1"/>
    <col min="10489" max="10489" width="9.90625" style="17" customWidth="1"/>
    <col min="10490" max="10490" width="14.453125" style="17" customWidth="1"/>
    <col min="10491" max="10491" width="7.36328125" style="17" customWidth="1"/>
    <col min="10492" max="10492" width="5.54296875" style="17" customWidth="1"/>
    <col min="10493" max="10493" width="9" style="17" customWidth="1"/>
    <col min="10494" max="10495" width="9.90625" style="17" customWidth="1"/>
    <col min="10496" max="10496" width="11.08984375" style="17" customWidth="1"/>
    <col min="10497" max="10497" width="2.90625" style="17" customWidth="1"/>
    <col min="10498" max="10498" width="3.54296875" style="17" customWidth="1"/>
    <col min="10499" max="10743" width="9.08984375" style="17"/>
    <col min="10744" max="10744" width="8.6328125" style="17" customWidth="1"/>
    <col min="10745" max="10745" width="9.90625" style="17" customWidth="1"/>
    <col min="10746" max="10746" width="14.453125" style="17" customWidth="1"/>
    <col min="10747" max="10747" width="7.36328125" style="17" customWidth="1"/>
    <col min="10748" max="10748" width="5.54296875" style="17" customWidth="1"/>
    <col min="10749" max="10749" width="9" style="17" customWidth="1"/>
    <col min="10750" max="10751" width="9.90625" style="17" customWidth="1"/>
    <col min="10752" max="10752" width="11.08984375" style="17" customWidth="1"/>
    <col min="10753" max="10753" width="2.90625" style="17" customWidth="1"/>
    <col min="10754" max="10754" width="3.54296875" style="17" customWidth="1"/>
    <col min="10755" max="10999" width="9.08984375" style="17"/>
    <col min="11000" max="11000" width="8.6328125" style="17" customWidth="1"/>
    <col min="11001" max="11001" width="9.90625" style="17" customWidth="1"/>
    <col min="11002" max="11002" width="14.453125" style="17" customWidth="1"/>
    <col min="11003" max="11003" width="7.36328125" style="17" customWidth="1"/>
    <col min="11004" max="11004" width="5.54296875" style="17" customWidth="1"/>
    <col min="11005" max="11005" width="9" style="17" customWidth="1"/>
    <col min="11006" max="11007" width="9.90625" style="17" customWidth="1"/>
    <col min="11008" max="11008" width="11.08984375" style="17" customWidth="1"/>
    <col min="11009" max="11009" width="2.90625" style="17" customWidth="1"/>
    <col min="11010" max="11010" width="3.54296875" style="17" customWidth="1"/>
    <col min="11011" max="11255" width="9.08984375" style="17"/>
    <col min="11256" max="11256" width="8.6328125" style="17" customWidth="1"/>
    <col min="11257" max="11257" width="9.90625" style="17" customWidth="1"/>
    <col min="11258" max="11258" width="14.453125" style="17" customWidth="1"/>
    <col min="11259" max="11259" width="7.36328125" style="17" customWidth="1"/>
    <col min="11260" max="11260" width="5.54296875" style="17" customWidth="1"/>
    <col min="11261" max="11261" width="9" style="17" customWidth="1"/>
    <col min="11262" max="11263" width="9.90625" style="17" customWidth="1"/>
    <col min="11264" max="11264" width="11.08984375" style="17" customWidth="1"/>
    <col min="11265" max="11265" width="2.90625" style="17" customWidth="1"/>
    <col min="11266" max="11266" width="3.54296875" style="17" customWidth="1"/>
    <col min="11267" max="11511" width="9.08984375" style="17"/>
    <col min="11512" max="11512" width="8.6328125" style="17" customWidth="1"/>
    <col min="11513" max="11513" width="9.90625" style="17" customWidth="1"/>
    <col min="11514" max="11514" width="14.453125" style="17" customWidth="1"/>
    <col min="11515" max="11515" width="7.36328125" style="17" customWidth="1"/>
    <col min="11516" max="11516" width="5.54296875" style="17" customWidth="1"/>
    <col min="11517" max="11517" width="9" style="17" customWidth="1"/>
    <col min="11518" max="11519" width="9.90625" style="17" customWidth="1"/>
    <col min="11520" max="11520" width="11.08984375" style="17" customWidth="1"/>
    <col min="11521" max="11521" width="2.90625" style="17" customWidth="1"/>
    <col min="11522" max="11522" width="3.54296875" style="17" customWidth="1"/>
    <col min="11523" max="11767" width="9.08984375" style="17"/>
    <col min="11768" max="11768" width="8.6328125" style="17" customWidth="1"/>
    <col min="11769" max="11769" width="9.90625" style="17" customWidth="1"/>
    <col min="11770" max="11770" width="14.453125" style="17" customWidth="1"/>
    <col min="11771" max="11771" width="7.36328125" style="17" customWidth="1"/>
    <col min="11772" max="11772" width="5.54296875" style="17" customWidth="1"/>
    <col min="11773" max="11773" width="9" style="17" customWidth="1"/>
    <col min="11774" max="11775" width="9.90625" style="17" customWidth="1"/>
    <col min="11776" max="11776" width="11.08984375" style="17" customWidth="1"/>
    <col min="11777" max="11777" width="2.90625" style="17" customWidth="1"/>
    <col min="11778" max="11778" width="3.54296875" style="17" customWidth="1"/>
    <col min="11779" max="12023" width="9.08984375" style="17"/>
    <col min="12024" max="12024" width="8.6328125" style="17" customWidth="1"/>
    <col min="12025" max="12025" width="9.90625" style="17" customWidth="1"/>
    <col min="12026" max="12026" width="14.453125" style="17" customWidth="1"/>
    <col min="12027" max="12027" width="7.36328125" style="17" customWidth="1"/>
    <col min="12028" max="12028" width="5.54296875" style="17" customWidth="1"/>
    <col min="12029" max="12029" width="9" style="17" customWidth="1"/>
    <col min="12030" max="12031" width="9.90625" style="17" customWidth="1"/>
    <col min="12032" max="12032" width="11.08984375" style="17" customWidth="1"/>
    <col min="12033" max="12033" width="2.90625" style="17" customWidth="1"/>
    <col min="12034" max="12034" width="3.54296875" style="17" customWidth="1"/>
    <col min="12035" max="12279" width="9.08984375" style="17"/>
    <col min="12280" max="12280" width="8.6328125" style="17" customWidth="1"/>
    <col min="12281" max="12281" width="9.90625" style="17" customWidth="1"/>
    <col min="12282" max="12282" width="14.453125" style="17" customWidth="1"/>
    <col min="12283" max="12283" width="7.36328125" style="17" customWidth="1"/>
    <col min="12284" max="12284" width="5.54296875" style="17" customWidth="1"/>
    <col min="12285" max="12285" width="9" style="17" customWidth="1"/>
    <col min="12286" max="12287" width="9.90625" style="17" customWidth="1"/>
    <col min="12288" max="12288" width="11.08984375" style="17" customWidth="1"/>
    <col min="12289" max="12289" width="2.90625" style="17" customWidth="1"/>
    <col min="12290" max="12290" width="3.54296875" style="17" customWidth="1"/>
    <col min="12291" max="12535" width="9.08984375" style="17"/>
    <col min="12536" max="12536" width="8.6328125" style="17" customWidth="1"/>
    <col min="12537" max="12537" width="9.90625" style="17" customWidth="1"/>
    <col min="12538" max="12538" width="14.453125" style="17" customWidth="1"/>
    <col min="12539" max="12539" width="7.36328125" style="17" customWidth="1"/>
    <col min="12540" max="12540" width="5.54296875" style="17" customWidth="1"/>
    <col min="12541" max="12541" width="9" style="17" customWidth="1"/>
    <col min="12542" max="12543" width="9.90625" style="17" customWidth="1"/>
    <col min="12544" max="12544" width="11.08984375" style="17" customWidth="1"/>
    <col min="12545" max="12545" width="2.90625" style="17" customWidth="1"/>
    <col min="12546" max="12546" width="3.54296875" style="17" customWidth="1"/>
    <col min="12547" max="12791" width="9.08984375" style="17"/>
    <col min="12792" max="12792" width="8.6328125" style="17" customWidth="1"/>
    <col min="12793" max="12793" width="9.90625" style="17" customWidth="1"/>
    <col min="12794" max="12794" width="14.453125" style="17" customWidth="1"/>
    <col min="12795" max="12795" width="7.36328125" style="17" customWidth="1"/>
    <col min="12796" max="12796" width="5.54296875" style="17" customWidth="1"/>
    <col min="12797" max="12797" width="9" style="17" customWidth="1"/>
    <col min="12798" max="12799" width="9.90625" style="17" customWidth="1"/>
    <col min="12800" max="12800" width="11.08984375" style="17" customWidth="1"/>
    <col min="12801" max="12801" width="2.90625" style="17" customWidth="1"/>
    <col min="12802" max="12802" width="3.54296875" style="17" customWidth="1"/>
    <col min="12803" max="13047" width="9.08984375" style="17"/>
    <col min="13048" max="13048" width="8.6328125" style="17" customWidth="1"/>
    <col min="13049" max="13049" width="9.90625" style="17" customWidth="1"/>
    <col min="13050" max="13050" width="14.453125" style="17" customWidth="1"/>
    <col min="13051" max="13051" width="7.36328125" style="17" customWidth="1"/>
    <col min="13052" max="13052" width="5.54296875" style="17" customWidth="1"/>
    <col min="13053" max="13053" width="9" style="17" customWidth="1"/>
    <col min="13054" max="13055" width="9.90625" style="17" customWidth="1"/>
    <col min="13056" max="13056" width="11.08984375" style="17" customWidth="1"/>
    <col min="13057" max="13057" width="2.90625" style="17" customWidth="1"/>
    <col min="13058" max="13058" width="3.54296875" style="17" customWidth="1"/>
    <col min="13059" max="13303" width="9.08984375" style="17"/>
    <col min="13304" max="13304" width="8.6328125" style="17" customWidth="1"/>
    <col min="13305" max="13305" width="9.90625" style="17" customWidth="1"/>
    <col min="13306" max="13306" width="14.453125" style="17" customWidth="1"/>
    <col min="13307" max="13307" width="7.36328125" style="17" customWidth="1"/>
    <col min="13308" max="13308" width="5.54296875" style="17" customWidth="1"/>
    <col min="13309" max="13309" width="9" style="17" customWidth="1"/>
    <col min="13310" max="13311" width="9.90625" style="17" customWidth="1"/>
    <col min="13312" max="13312" width="11.08984375" style="17" customWidth="1"/>
    <col min="13313" max="13313" width="2.90625" style="17" customWidth="1"/>
    <col min="13314" max="13314" width="3.54296875" style="17" customWidth="1"/>
    <col min="13315" max="13559" width="9.08984375" style="17"/>
    <col min="13560" max="13560" width="8.6328125" style="17" customWidth="1"/>
    <col min="13561" max="13561" width="9.90625" style="17" customWidth="1"/>
    <col min="13562" max="13562" width="14.453125" style="17" customWidth="1"/>
    <col min="13563" max="13563" width="7.36328125" style="17" customWidth="1"/>
    <col min="13564" max="13564" width="5.54296875" style="17" customWidth="1"/>
    <col min="13565" max="13565" width="9" style="17" customWidth="1"/>
    <col min="13566" max="13567" width="9.90625" style="17" customWidth="1"/>
    <col min="13568" max="13568" width="11.08984375" style="17" customWidth="1"/>
    <col min="13569" max="13569" width="2.90625" style="17" customWidth="1"/>
    <col min="13570" max="13570" width="3.54296875" style="17" customWidth="1"/>
    <col min="13571" max="13815" width="9.08984375" style="17"/>
    <col min="13816" max="13816" width="8.6328125" style="17" customWidth="1"/>
    <col min="13817" max="13817" width="9.90625" style="17" customWidth="1"/>
    <col min="13818" max="13818" width="14.453125" style="17" customWidth="1"/>
    <col min="13819" max="13819" width="7.36328125" style="17" customWidth="1"/>
    <col min="13820" max="13820" width="5.54296875" style="17" customWidth="1"/>
    <col min="13821" max="13821" width="9" style="17" customWidth="1"/>
    <col min="13822" max="13823" width="9.90625" style="17" customWidth="1"/>
    <col min="13824" max="13824" width="11.08984375" style="17" customWidth="1"/>
    <col min="13825" max="13825" width="2.90625" style="17" customWidth="1"/>
    <col min="13826" max="13826" width="3.54296875" style="17" customWidth="1"/>
    <col min="13827" max="14071" width="9.08984375" style="17"/>
    <col min="14072" max="14072" width="8.6328125" style="17" customWidth="1"/>
    <col min="14073" max="14073" width="9.90625" style="17" customWidth="1"/>
    <col min="14074" max="14074" width="14.453125" style="17" customWidth="1"/>
    <col min="14075" max="14075" width="7.36328125" style="17" customWidth="1"/>
    <col min="14076" max="14076" width="5.54296875" style="17" customWidth="1"/>
    <col min="14077" max="14077" width="9" style="17" customWidth="1"/>
    <col min="14078" max="14079" width="9.90625" style="17" customWidth="1"/>
    <col min="14080" max="14080" width="11.08984375" style="17" customWidth="1"/>
    <col min="14081" max="14081" width="2.90625" style="17" customWidth="1"/>
    <col min="14082" max="14082" width="3.54296875" style="17" customWidth="1"/>
    <col min="14083" max="14327" width="9.08984375" style="17"/>
    <col min="14328" max="14328" width="8.6328125" style="17" customWidth="1"/>
    <col min="14329" max="14329" width="9.90625" style="17" customWidth="1"/>
    <col min="14330" max="14330" width="14.453125" style="17" customWidth="1"/>
    <col min="14331" max="14331" width="7.36328125" style="17" customWidth="1"/>
    <col min="14332" max="14332" width="5.54296875" style="17" customWidth="1"/>
    <col min="14333" max="14333" width="9" style="17" customWidth="1"/>
    <col min="14334" max="14335" width="9.90625" style="17" customWidth="1"/>
    <col min="14336" max="14336" width="11.08984375" style="17" customWidth="1"/>
    <col min="14337" max="14337" width="2.90625" style="17" customWidth="1"/>
    <col min="14338" max="14338" width="3.54296875" style="17" customWidth="1"/>
    <col min="14339" max="14583" width="9.08984375" style="17"/>
    <col min="14584" max="14584" width="8.6328125" style="17" customWidth="1"/>
    <col min="14585" max="14585" width="9.90625" style="17" customWidth="1"/>
    <col min="14586" max="14586" width="14.453125" style="17" customWidth="1"/>
    <col min="14587" max="14587" width="7.36328125" style="17" customWidth="1"/>
    <col min="14588" max="14588" width="5.54296875" style="17" customWidth="1"/>
    <col min="14589" max="14589" width="9" style="17" customWidth="1"/>
    <col min="14590" max="14591" width="9.90625" style="17" customWidth="1"/>
    <col min="14592" max="14592" width="11.08984375" style="17" customWidth="1"/>
    <col min="14593" max="14593" width="2.90625" style="17" customWidth="1"/>
    <col min="14594" max="14594" width="3.54296875" style="17" customWidth="1"/>
    <col min="14595" max="14839" width="9.08984375" style="17"/>
    <col min="14840" max="14840" width="8.6328125" style="17" customWidth="1"/>
    <col min="14841" max="14841" width="9.90625" style="17" customWidth="1"/>
    <col min="14842" max="14842" width="14.453125" style="17" customWidth="1"/>
    <col min="14843" max="14843" width="7.36328125" style="17" customWidth="1"/>
    <col min="14844" max="14844" width="5.54296875" style="17" customWidth="1"/>
    <col min="14845" max="14845" width="9" style="17" customWidth="1"/>
    <col min="14846" max="14847" width="9.90625" style="17" customWidth="1"/>
    <col min="14848" max="14848" width="11.08984375" style="17" customWidth="1"/>
    <col min="14849" max="14849" width="2.90625" style="17" customWidth="1"/>
    <col min="14850" max="14850" width="3.54296875" style="17" customWidth="1"/>
    <col min="14851" max="15095" width="9.08984375" style="17"/>
    <col min="15096" max="15096" width="8.6328125" style="17" customWidth="1"/>
    <col min="15097" max="15097" width="9.90625" style="17" customWidth="1"/>
    <col min="15098" max="15098" width="14.453125" style="17" customWidth="1"/>
    <col min="15099" max="15099" width="7.36328125" style="17" customWidth="1"/>
    <col min="15100" max="15100" width="5.54296875" style="17" customWidth="1"/>
    <col min="15101" max="15101" width="9" style="17" customWidth="1"/>
    <col min="15102" max="15103" width="9.90625" style="17" customWidth="1"/>
    <col min="15104" max="15104" width="11.08984375" style="17" customWidth="1"/>
    <col min="15105" max="15105" width="2.90625" style="17" customWidth="1"/>
    <col min="15106" max="15106" width="3.54296875" style="17" customWidth="1"/>
    <col min="15107" max="15351" width="9.08984375" style="17"/>
    <col min="15352" max="15352" width="8.6328125" style="17" customWidth="1"/>
    <col min="15353" max="15353" width="9.90625" style="17" customWidth="1"/>
    <col min="15354" max="15354" width="14.453125" style="17" customWidth="1"/>
    <col min="15355" max="15355" width="7.36328125" style="17" customWidth="1"/>
    <col min="15356" max="15356" width="5.54296875" style="17" customWidth="1"/>
    <col min="15357" max="15357" width="9" style="17" customWidth="1"/>
    <col min="15358" max="15359" width="9.90625" style="17" customWidth="1"/>
    <col min="15360" max="15360" width="11.08984375" style="17" customWidth="1"/>
    <col min="15361" max="15361" width="2.90625" style="17" customWidth="1"/>
    <col min="15362" max="15362" width="3.54296875" style="17" customWidth="1"/>
    <col min="15363" max="15607" width="9.08984375" style="17"/>
    <col min="15608" max="15608" width="8.6328125" style="17" customWidth="1"/>
    <col min="15609" max="15609" width="9.90625" style="17" customWidth="1"/>
    <col min="15610" max="15610" width="14.453125" style="17" customWidth="1"/>
    <col min="15611" max="15611" width="7.36328125" style="17" customWidth="1"/>
    <col min="15612" max="15612" width="5.54296875" style="17" customWidth="1"/>
    <col min="15613" max="15613" width="9" style="17" customWidth="1"/>
    <col min="15614" max="15615" width="9.90625" style="17" customWidth="1"/>
    <col min="15616" max="15616" width="11.08984375" style="17" customWidth="1"/>
    <col min="15617" max="15617" width="2.90625" style="17" customWidth="1"/>
    <col min="15618" max="15618" width="3.54296875" style="17" customWidth="1"/>
    <col min="15619" max="15863" width="9.08984375" style="17"/>
    <col min="15864" max="15864" width="8.6328125" style="17" customWidth="1"/>
    <col min="15865" max="15865" width="9.90625" style="17" customWidth="1"/>
    <col min="15866" max="15866" width="14.453125" style="17" customWidth="1"/>
    <col min="15867" max="15867" width="7.36328125" style="17" customWidth="1"/>
    <col min="15868" max="15868" width="5.54296875" style="17" customWidth="1"/>
    <col min="15869" max="15869" width="9" style="17" customWidth="1"/>
    <col min="15870" max="15871" width="9.90625" style="17" customWidth="1"/>
    <col min="15872" max="15872" width="11.08984375" style="17" customWidth="1"/>
    <col min="15873" max="15873" width="2.90625" style="17" customWidth="1"/>
    <col min="15874" max="15874" width="3.54296875" style="17" customWidth="1"/>
    <col min="15875" max="16119" width="9.08984375" style="17"/>
    <col min="16120" max="16120" width="8.6328125" style="17" customWidth="1"/>
    <col min="16121" max="16121" width="9.90625" style="17" customWidth="1"/>
    <col min="16122" max="16122" width="14.453125" style="17" customWidth="1"/>
    <col min="16123" max="16123" width="7.36328125" style="17" customWidth="1"/>
    <col min="16124" max="16124" width="5.54296875" style="17" customWidth="1"/>
    <col min="16125" max="16125" width="9" style="17" customWidth="1"/>
    <col min="16126" max="16127" width="9.90625" style="17" customWidth="1"/>
    <col min="16128" max="16128" width="11.08984375" style="17" customWidth="1"/>
    <col min="16129" max="16129" width="2.90625" style="17" customWidth="1"/>
    <col min="16130" max="16130" width="3.54296875" style="17" customWidth="1"/>
    <col min="16131" max="16384" width="9.08984375" style="17"/>
  </cols>
  <sheetData>
    <row r="1" spans="1:8" ht="46.5" customHeight="1" x14ac:dyDescent="0.35">
      <c r="A1" s="147" t="s">
        <v>225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35">
      <c r="A3" s="113" t="s">
        <v>1</v>
      </c>
      <c r="B3" s="113"/>
      <c r="C3" s="113"/>
      <c r="D3" s="113"/>
      <c r="E3" s="113" t="str">
        <f ca="1">TEXT(TODAY(),"DD/MM/YYYY")</f>
        <v>20/08/2025</v>
      </c>
      <c r="F3" s="113"/>
      <c r="G3" s="113"/>
      <c r="H3" s="113"/>
    </row>
    <row r="4" spans="1:8" ht="15" customHeight="1" x14ac:dyDescent="0.35">
      <c r="A4" s="113" t="s">
        <v>2</v>
      </c>
      <c r="B4" s="113"/>
      <c r="C4" s="113"/>
      <c r="D4" s="113"/>
      <c r="E4" s="113" t="s">
        <v>164</v>
      </c>
      <c r="F4" s="113"/>
      <c r="G4" s="113"/>
      <c r="H4" s="113"/>
    </row>
    <row r="5" spans="1:8" x14ac:dyDescent="0.35">
      <c r="A5" s="113" t="s">
        <v>3</v>
      </c>
      <c r="B5" s="113"/>
      <c r="C5" s="113"/>
      <c r="D5" s="113"/>
      <c r="E5" s="149">
        <v>45880</v>
      </c>
      <c r="F5" s="113"/>
      <c r="G5" s="113"/>
      <c r="H5" s="113"/>
    </row>
    <row r="6" spans="1:8" ht="16.5" customHeight="1" x14ac:dyDescent="0.35">
      <c r="A6" s="113" t="s">
        <v>4</v>
      </c>
      <c r="B6" s="113"/>
      <c r="C6" s="113"/>
      <c r="D6" s="113"/>
      <c r="E6" s="113" t="s">
        <v>166</v>
      </c>
      <c r="F6" s="113"/>
      <c r="G6" s="113"/>
      <c r="H6" s="113"/>
    </row>
    <row r="7" spans="1:8" ht="15" customHeight="1" x14ac:dyDescent="0.35">
      <c r="A7" s="113" t="s">
        <v>5</v>
      </c>
      <c r="B7" s="113"/>
      <c r="C7" s="113"/>
      <c r="D7" s="113"/>
      <c r="E7" s="113" t="str">
        <f>E6</f>
        <v>M/s. Marathon Nextgen Realty Ltd</v>
      </c>
      <c r="F7" s="113"/>
      <c r="G7" s="113"/>
      <c r="H7" s="113"/>
    </row>
    <row r="8" spans="1:8" x14ac:dyDescent="0.35">
      <c r="A8" s="113" t="s">
        <v>6</v>
      </c>
      <c r="B8" s="113"/>
      <c r="C8" s="113"/>
      <c r="D8" s="113"/>
      <c r="E8" s="89" t="s">
        <v>171</v>
      </c>
      <c r="F8" s="88"/>
      <c r="G8" s="88"/>
      <c r="H8" s="88"/>
    </row>
    <row r="9" spans="1:8" x14ac:dyDescent="0.35">
      <c r="A9" s="113" t="s">
        <v>121</v>
      </c>
      <c r="B9" s="113"/>
      <c r="C9" s="113"/>
      <c r="D9" s="113"/>
      <c r="E9" s="113" t="s">
        <v>168</v>
      </c>
      <c r="F9" s="113"/>
      <c r="G9" s="113"/>
      <c r="H9" s="113"/>
    </row>
    <row r="10" spans="1:8" x14ac:dyDescent="0.35">
      <c r="A10" s="113" t="s">
        <v>7</v>
      </c>
      <c r="B10" s="113"/>
      <c r="C10" s="113"/>
      <c r="D10" s="113"/>
      <c r="E10" s="113" t="s">
        <v>169</v>
      </c>
      <c r="F10" s="113"/>
      <c r="G10" s="113"/>
      <c r="H10" s="113"/>
    </row>
    <row r="11" spans="1:8" x14ac:dyDescent="0.35">
      <c r="A11" s="117" t="s">
        <v>8</v>
      </c>
      <c r="B11" s="117"/>
      <c r="C11" s="117"/>
      <c r="D11" s="117"/>
      <c r="E11" s="114" t="s">
        <v>170</v>
      </c>
      <c r="F11" s="114"/>
      <c r="G11" s="114"/>
      <c r="H11" s="114"/>
    </row>
    <row r="12" spans="1:8" ht="48.75" customHeight="1" x14ac:dyDescent="0.35">
      <c r="A12" s="117" t="s">
        <v>9</v>
      </c>
      <c r="B12" s="117"/>
      <c r="C12" s="117"/>
      <c r="D12" s="117"/>
      <c r="E12" s="114" t="s">
        <v>165</v>
      </c>
      <c r="F12" s="113"/>
      <c r="G12" s="113"/>
      <c r="H12" s="113"/>
    </row>
    <row r="13" spans="1:8" ht="36.75" customHeight="1" x14ac:dyDescent="0.35">
      <c r="A13" s="145" t="s">
        <v>10</v>
      </c>
      <c r="B13" s="145"/>
      <c r="C13" s="14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Marathon Neopark Ashoka Wing A, B &amp; C, CTS No.87/D(Pt), near Marathon Neosquare, Lake Road, Bhandup, Bhandup West, Kurla, Mumbai - 400078.</v>
      </c>
      <c r="D13" s="145"/>
      <c r="E13" s="145"/>
      <c r="F13" s="145"/>
      <c r="G13" s="145"/>
      <c r="H13" s="145"/>
    </row>
    <row r="14" spans="1:8" x14ac:dyDescent="0.35">
      <c r="A14" s="114" t="s">
        <v>173</v>
      </c>
      <c r="B14" s="114"/>
      <c r="C14" s="114" t="s">
        <v>174</v>
      </c>
      <c r="D14" s="114"/>
      <c r="E14" s="114"/>
      <c r="F14" s="114"/>
      <c r="G14" s="114"/>
      <c r="H14" s="114"/>
    </row>
    <row r="15" spans="1:8" ht="15.75" customHeight="1" x14ac:dyDescent="0.35">
      <c r="A15" s="145" t="s">
        <v>11</v>
      </c>
      <c r="B15" s="145"/>
      <c r="C15" s="113" t="s">
        <v>180</v>
      </c>
      <c r="D15" s="113"/>
      <c r="E15" s="145" t="s">
        <v>175</v>
      </c>
      <c r="F15" s="145"/>
      <c r="G15" s="114" t="s">
        <v>176</v>
      </c>
      <c r="H15" s="114"/>
    </row>
    <row r="16" spans="1:8" x14ac:dyDescent="0.35">
      <c r="A16" s="117" t="s">
        <v>13</v>
      </c>
      <c r="B16" s="117"/>
      <c r="C16" s="114" t="s">
        <v>181</v>
      </c>
      <c r="D16" s="114"/>
      <c r="E16" s="145" t="s">
        <v>12</v>
      </c>
      <c r="F16" s="145"/>
      <c r="G16" s="146" t="s">
        <v>178</v>
      </c>
      <c r="H16" s="146"/>
    </row>
    <row r="17" spans="1:8" x14ac:dyDescent="0.35">
      <c r="A17" s="117" t="s">
        <v>75</v>
      </c>
      <c r="B17" s="117"/>
      <c r="C17" s="114" t="s">
        <v>177</v>
      </c>
      <c r="D17" s="114"/>
      <c r="E17" s="145" t="s">
        <v>14</v>
      </c>
      <c r="F17" s="145"/>
      <c r="G17" s="114">
        <v>400078</v>
      </c>
      <c r="H17" s="114"/>
    </row>
    <row r="18" spans="1:8" ht="32.25" customHeight="1" x14ac:dyDescent="0.35">
      <c r="A18" s="117" t="s">
        <v>122</v>
      </c>
      <c r="B18" s="117"/>
      <c r="C18" s="114" t="s">
        <v>184</v>
      </c>
      <c r="D18" s="114"/>
      <c r="E18" s="145" t="s">
        <v>15</v>
      </c>
      <c r="F18" s="145"/>
      <c r="G18" s="114" t="s">
        <v>179</v>
      </c>
      <c r="H18" s="114"/>
    </row>
    <row r="19" spans="1:8" ht="15" customHeight="1" x14ac:dyDescent="0.35">
      <c r="A19" s="145" t="s">
        <v>78</v>
      </c>
      <c r="B19" s="145"/>
      <c r="C19" s="145"/>
      <c r="D19" s="145"/>
      <c r="E19" s="113" t="s">
        <v>16</v>
      </c>
      <c r="F19" s="113"/>
      <c r="G19" s="113"/>
      <c r="H19" s="113"/>
    </row>
    <row r="20" spans="1:8" ht="18.75" customHeight="1" x14ac:dyDescent="0.35">
      <c r="A20" s="145"/>
      <c r="B20" s="145"/>
      <c r="C20" s="145"/>
      <c r="D20" s="145"/>
      <c r="E20" s="113"/>
      <c r="F20" s="113"/>
      <c r="G20" s="113"/>
      <c r="H20" s="113"/>
    </row>
    <row r="21" spans="1:8" ht="15" customHeight="1" x14ac:dyDescent="0.35">
      <c r="A21" s="145" t="s">
        <v>17</v>
      </c>
      <c r="B21" s="145"/>
      <c r="C21" s="145"/>
      <c r="D21" s="145"/>
      <c r="E21" s="114" t="s">
        <v>18</v>
      </c>
      <c r="F21" s="114"/>
      <c r="G21" s="114"/>
      <c r="H21" s="114"/>
    </row>
    <row r="22" spans="1:8" ht="15" customHeight="1" x14ac:dyDescent="0.35">
      <c r="A22" s="117" t="s">
        <v>19</v>
      </c>
      <c r="B22" s="117"/>
      <c r="C22" s="117"/>
      <c r="D22" s="117"/>
      <c r="E22" s="114" t="str">
        <f>IF(AND(G16="Mumbai"),"Upper Class","Middle Class")</f>
        <v>Upper Class</v>
      </c>
      <c r="F22" s="114"/>
      <c r="G22" s="114"/>
      <c r="H22" s="114"/>
    </row>
    <row r="23" spans="1:8" x14ac:dyDescent="0.35">
      <c r="A23" s="117" t="s">
        <v>20</v>
      </c>
      <c r="B23" s="117"/>
      <c r="C23" s="117"/>
      <c r="D23" s="117"/>
      <c r="E23" s="114" t="s">
        <v>21</v>
      </c>
      <c r="F23" s="114"/>
      <c r="G23" s="114"/>
      <c r="H23" s="114"/>
    </row>
    <row r="24" spans="1:8" ht="15.75" customHeight="1" x14ac:dyDescent="0.35">
      <c r="A24" s="117" t="s">
        <v>22</v>
      </c>
      <c r="B24" s="117"/>
      <c r="C24" s="117"/>
      <c r="D24" s="117"/>
      <c r="E24" s="114" t="str">
        <f>IF(AND(G16="Mumbai"),"Developed","Developing")</f>
        <v>Developed</v>
      </c>
      <c r="F24" s="114"/>
      <c r="G24" s="114"/>
      <c r="H24" s="114"/>
    </row>
    <row r="25" spans="1:8" x14ac:dyDescent="0.35">
      <c r="A25" s="117" t="s">
        <v>23</v>
      </c>
      <c r="B25" s="117"/>
      <c r="C25" s="117"/>
      <c r="D25" s="117"/>
      <c r="E25" s="114" t="s">
        <v>24</v>
      </c>
      <c r="F25" s="114"/>
      <c r="G25" s="114"/>
      <c r="H25" s="114"/>
    </row>
    <row r="26" spans="1:8" ht="15.75" customHeight="1" x14ac:dyDescent="0.35">
      <c r="A26" s="117" t="s">
        <v>83</v>
      </c>
      <c r="B26" s="117"/>
      <c r="C26" s="117"/>
      <c r="D26" s="117"/>
      <c r="E26" s="114" t="s">
        <v>84</v>
      </c>
      <c r="F26" s="114"/>
      <c r="G26" s="114"/>
      <c r="H26" s="114"/>
    </row>
    <row r="27" spans="1:8" ht="15" customHeight="1" x14ac:dyDescent="0.35">
      <c r="A27" s="117" t="s">
        <v>33</v>
      </c>
      <c r="B27" s="117"/>
      <c r="C27" s="117"/>
      <c r="D27" s="117"/>
      <c r="E27" s="114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Residential + Commercial</v>
      </c>
      <c r="F27" s="114"/>
      <c r="G27" s="114"/>
      <c r="H27" s="114"/>
    </row>
    <row r="28" spans="1:8" ht="15.75" customHeight="1" x14ac:dyDescent="0.35">
      <c r="A28" s="117" t="s">
        <v>95</v>
      </c>
      <c r="B28" s="117"/>
      <c r="C28" s="117"/>
      <c r="D28" s="117"/>
      <c r="E28" s="114" t="s">
        <v>34</v>
      </c>
      <c r="F28" s="114"/>
      <c r="G28" s="114"/>
      <c r="H28" s="114"/>
    </row>
    <row r="29" spans="1:8" s="18" customFormat="1" x14ac:dyDescent="0.35">
      <c r="A29" s="133" t="s">
        <v>96</v>
      </c>
      <c r="B29" s="133"/>
      <c r="C29" s="131" t="s">
        <v>29</v>
      </c>
      <c r="D29" s="131"/>
      <c r="E29" s="131"/>
      <c r="F29" s="131" t="s">
        <v>31</v>
      </c>
      <c r="G29" s="131"/>
      <c r="H29" s="131"/>
    </row>
    <row r="30" spans="1:8" s="18" customFormat="1" x14ac:dyDescent="0.35">
      <c r="A30" s="132" t="s">
        <v>25</v>
      </c>
      <c r="B30" s="132" t="s">
        <v>30</v>
      </c>
      <c r="C30" s="127" t="s">
        <v>30</v>
      </c>
      <c r="D30" s="127"/>
      <c r="E30" s="127"/>
      <c r="F30" s="127" t="s">
        <v>182</v>
      </c>
      <c r="G30" s="127"/>
      <c r="H30" s="127"/>
    </row>
    <row r="31" spans="1:8" x14ac:dyDescent="0.35">
      <c r="A31" s="132" t="s">
        <v>26</v>
      </c>
      <c r="B31" s="132" t="s">
        <v>30</v>
      </c>
      <c r="C31" s="127" t="s">
        <v>30</v>
      </c>
      <c r="D31" s="127"/>
      <c r="E31" s="127"/>
      <c r="F31" s="127" t="s">
        <v>182</v>
      </c>
      <c r="G31" s="127"/>
      <c r="H31" s="127"/>
    </row>
    <row r="32" spans="1:8" s="18" customFormat="1" x14ac:dyDescent="0.35">
      <c r="A32" s="132" t="s">
        <v>28</v>
      </c>
      <c r="B32" s="132" t="s">
        <v>30</v>
      </c>
      <c r="C32" s="127" t="s">
        <v>30</v>
      </c>
      <c r="D32" s="127"/>
      <c r="E32" s="127"/>
      <c r="F32" s="127" t="s">
        <v>183</v>
      </c>
      <c r="G32" s="127"/>
      <c r="H32" s="127"/>
    </row>
    <row r="33" spans="1:8" x14ac:dyDescent="0.35">
      <c r="A33" s="132" t="s">
        <v>27</v>
      </c>
      <c r="B33" s="132" t="s">
        <v>30</v>
      </c>
      <c r="C33" s="127" t="s">
        <v>30</v>
      </c>
      <c r="D33" s="127"/>
      <c r="E33" s="127"/>
      <c r="F33" s="127" t="s">
        <v>183</v>
      </c>
      <c r="G33" s="127"/>
      <c r="H33" s="127"/>
    </row>
    <row r="34" spans="1:8" x14ac:dyDescent="0.35">
      <c r="A34" s="117" t="s">
        <v>32</v>
      </c>
      <c r="B34" s="117"/>
      <c r="C34" s="117"/>
      <c r="D34" s="117"/>
      <c r="E34" s="117"/>
      <c r="F34" s="117"/>
      <c r="G34" s="117"/>
      <c r="H34" s="117"/>
    </row>
    <row r="35" spans="1:8" ht="15.75" customHeight="1" x14ac:dyDescent="0.35">
      <c r="A35" s="125" t="s">
        <v>231</v>
      </c>
      <c r="B35" s="125"/>
      <c r="C35" s="203" t="s">
        <v>232</v>
      </c>
      <c r="D35" s="203"/>
      <c r="E35" s="203"/>
      <c r="F35" s="203"/>
      <c r="G35" s="203"/>
      <c r="H35" s="203"/>
    </row>
    <row r="36" spans="1:8" ht="15.75" customHeight="1" x14ac:dyDescent="0.35">
      <c r="A36" s="125" t="s">
        <v>223</v>
      </c>
      <c r="B36" s="125"/>
      <c r="C36" s="204" t="s">
        <v>224</v>
      </c>
      <c r="D36" s="203"/>
      <c r="E36" s="203"/>
      <c r="F36" s="203"/>
      <c r="G36" s="203"/>
      <c r="H36" s="203"/>
    </row>
    <row r="37" spans="1:8" x14ac:dyDescent="0.35">
      <c r="A37" s="125" t="s">
        <v>35</v>
      </c>
      <c r="B37" s="125"/>
      <c r="C37" s="125"/>
      <c r="D37" s="125"/>
      <c r="E37" s="125"/>
      <c r="F37" s="125"/>
      <c r="G37" s="125"/>
      <c r="H37" s="125"/>
    </row>
    <row r="38" spans="1:8" x14ac:dyDescent="0.35">
      <c r="A38" s="117" t="s">
        <v>36</v>
      </c>
      <c r="B38" s="117"/>
      <c r="C38" s="117"/>
      <c r="D38" s="117"/>
      <c r="E38" s="126">
        <v>2732</v>
      </c>
      <c r="F38" s="126"/>
      <c r="G38" s="126"/>
      <c r="H38" s="126"/>
    </row>
    <row r="39" spans="1:8" x14ac:dyDescent="0.35">
      <c r="A39" s="117" t="s">
        <v>37</v>
      </c>
      <c r="B39" s="117"/>
      <c r="C39" s="117"/>
      <c r="D39" s="117"/>
      <c r="E39" s="129">
        <v>1.1499999999999999</v>
      </c>
      <c r="F39" s="129"/>
      <c r="G39" s="129"/>
      <c r="H39" s="129"/>
    </row>
    <row r="40" spans="1:8" x14ac:dyDescent="0.35">
      <c r="A40" s="117" t="s">
        <v>38</v>
      </c>
      <c r="B40" s="117"/>
      <c r="C40" s="117"/>
      <c r="D40" s="117"/>
      <c r="E40" s="129">
        <f>E42/E38-E39</f>
        <v>4.5453843338213762</v>
      </c>
      <c r="F40" s="129"/>
      <c r="G40" s="129"/>
      <c r="H40" s="129"/>
    </row>
    <row r="41" spans="1:8" x14ac:dyDescent="0.35">
      <c r="A41" s="117" t="s">
        <v>39</v>
      </c>
      <c r="B41" s="117"/>
      <c r="C41" s="117"/>
      <c r="D41" s="117"/>
      <c r="E41" s="129">
        <f>E39+E40</f>
        <v>5.6953843338213765</v>
      </c>
      <c r="F41" s="129"/>
      <c r="G41" s="129"/>
      <c r="H41" s="129"/>
    </row>
    <row r="42" spans="1:8" x14ac:dyDescent="0.35">
      <c r="A42" s="117" t="s">
        <v>94</v>
      </c>
      <c r="B42" s="117"/>
      <c r="C42" s="117"/>
      <c r="D42" s="117"/>
      <c r="E42" s="130">
        <v>15559.79</v>
      </c>
      <c r="F42" s="130"/>
      <c r="G42" s="130"/>
      <c r="H42" s="130"/>
    </row>
    <row r="43" spans="1:8" x14ac:dyDescent="0.35">
      <c r="A43" s="113" t="s">
        <v>40</v>
      </c>
      <c r="B43" s="113"/>
      <c r="C43" s="113"/>
      <c r="D43" s="113"/>
      <c r="E43" s="113" t="s">
        <v>222</v>
      </c>
      <c r="F43" s="113"/>
      <c r="G43" s="113"/>
      <c r="H43" s="113"/>
    </row>
    <row r="44" spans="1:8" x14ac:dyDescent="0.35">
      <c r="A44" s="125" t="s">
        <v>41</v>
      </c>
      <c r="B44" s="125"/>
      <c r="C44" s="125"/>
      <c r="D44" s="125"/>
      <c r="E44" s="125"/>
      <c r="F44" s="125"/>
      <c r="G44" s="125"/>
      <c r="H44" s="125"/>
    </row>
    <row r="45" spans="1:8" ht="33.75" customHeight="1" x14ac:dyDescent="0.35">
      <c r="A45" s="107" t="s">
        <v>153</v>
      </c>
      <c r="B45" s="108"/>
      <c r="C45" s="109" t="s">
        <v>167</v>
      </c>
      <c r="D45" s="110"/>
      <c r="E45" s="110"/>
      <c r="F45" s="110"/>
      <c r="G45" s="110"/>
      <c r="H45" s="111"/>
    </row>
    <row r="46" spans="1:8" ht="15.75" customHeight="1" x14ac:dyDescent="0.35">
      <c r="A46" s="107" t="s">
        <v>42</v>
      </c>
      <c r="B46" s="108"/>
      <c r="C46" s="107" t="s">
        <v>172</v>
      </c>
      <c r="D46" s="135"/>
      <c r="E46" s="108"/>
      <c r="F46" s="16" t="s">
        <v>43</v>
      </c>
      <c r="G46" s="153">
        <v>44561</v>
      </c>
      <c r="H46" s="108"/>
    </row>
    <row r="47" spans="1:8" x14ac:dyDescent="0.35">
      <c r="A47" s="107" t="s">
        <v>44</v>
      </c>
      <c r="B47" s="108"/>
      <c r="C47" s="107" t="str">
        <f>C46</f>
        <v>SRA/ENG/S/PVT/0143/20171213/AP/C</v>
      </c>
      <c r="D47" s="135"/>
      <c r="E47" s="108"/>
      <c r="F47" s="16" t="s">
        <v>43</v>
      </c>
      <c r="G47" s="153">
        <f>G46</f>
        <v>44561</v>
      </c>
      <c r="H47" s="154"/>
    </row>
    <row r="48" spans="1:8" s="19" customFormat="1" ht="15.75" customHeight="1" x14ac:dyDescent="0.35">
      <c r="A48" s="155" t="s">
        <v>157</v>
      </c>
      <c r="B48" s="156"/>
      <c r="C48" s="107" t="s">
        <v>172</v>
      </c>
      <c r="D48" s="135"/>
      <c r="E48" s="108"/>
      <c r="F48" s="16" t="s">
        <v>43</v>
      </c>
      <c r="G48" s="153">
        <v>44561</v>
      </c>
      <c r="H48" s="108"/>
    </row>
    <row r="49" spans="1:14" s="19" customFormat="1" ht="20.25" customHeight="1" x14ac:dyDescent="0.35">
      <c r="A49" s="157"/>
      <c r="B49" s="158"/>
      <c r="C49" s="107" t="s">
        <v>186</v>
      </c>
      <c r="D49" s="135"/>
      <c r="E49" s="135"/>
      <c r="F49" s="135"/>
      <c r="G49" s="135"/>
      <c r="H49" s="108"/>
    </row>
    <row r="50" spans="1:14" x14ac:dyDescent="0.35">
      <c r="A50" s="162" t="s">
        <v>45</v>
      </c>
      <c r="B50" s="163"/>
      <c r="C50" s="162" t="s">
        <v>103</v>
      </c>
      <c r="D50" s="164"/>
      <c r="E50" s="163"/>
      <c r="F50" s="37" t="s">
        <v>43</v>
      </c>
      <c r="G50" s="166" t="s">
        <v>30</v>
      </c>
      <c r="H50" s="167"/>
    </row>
    <row r="51" spans="1:14" x14ac:dyDescent="0.35">
      <c r="A51" s="165" t="s">
        <v>47</v>
      </c>
      <c r="B51" s="165"/>
      <c r="C51" s="165"/>
      <c r="D51" s="165"/>
      <c r="E51" s="165"/>
      <c r="F51" s="165"/>
      <c r="G51" s="165"/>
      <c r="H51" s="165"/>
    </row>
    <row r="52" spans="1:14" x14ac:dyDescent="0.35">
      <c r="A52" s="145" t="s">
        <v>93</v>
      </c>
      <c r="B52" s="145"/>
      <c r="C52" s="145"/>
      <c r="D52" s="117">
        <f>E42</f>
        <v>15559.79</v>
      </c>
      <c r="E52" s="117"/>
      <c r="F52" s="117"/>
      <c r="G52" s="117"/>
      <c r="H52" s="117"/>
    </row>
    <row r="53" spans="1:14" x14ac:dyDescent="0.35">
      <c r="A53" s="114" t="s">
        <v>48</v>
      </c>
      <c r="B53" s="113"/>
      <c r="C53" s="113"/>
      <c r="D53" s="113" t="s">
        <v>210</v>
      </c>
      <c r="E53" s="113"/>
      <c r="F53" s="113"/>
      <c r="G53" s="113"/>
      <c r="H53" s="113"/>
      <c r="I53" s="20"/>
    </row>
    <row r="54" spans="1:14" ht="48.75" customHeight="1" x14ac:dyDescent="0.35">
      <c r="A54" s="136" t="s">
        <v>49</v>
      </c>
      <c r="B54" s="137"/>
      <c r="C54" s="152"/>
      <c r="D54" s="150" t="s">
        <v>217</v>
      </c>
      <c r="E54" s="151"/>
      <c r="F54" s="151"/>
      <c r="G54" s="151"/>
      <c r="H54" s="151"/>
    </row>
    <row r="55" spans="1:14" ht="15.75" customHeight="1" x14ac:dyDescent="0.35">
      <c r="A55" s="136" t="s">
        <v>91</v>
      </c>
      <c r="B55" s="137"/>
      <c r="C55" s="137"/>
      <c r="D55" s="142" t="s">
        <v>207</v>
      </c>
      <c r="E55" s="143"/>
      <c r="F55" s="143"/>
      <c r="G55" s="143"/>
      <c r="H55" s="144"/>
    </row>
    <row r="56" spans="1:14" ht="15.75" customHeight="1" x14ac:dyDescent="0.35">
      <c r="A56" s="138"/>
      <c r="B56" s="139"/>
      <c r="C56" s="139"/>
      <c r="D56" s="159" t="s">
        <v>208</v>
      </c>
      <c r="E56" s="160"/>
      <c r="F56" s="160"/>
      <c r="G56" s="160"/>
      <c r="H56" s="161"/>
    </row>
    <row r="57" spans="1:14" ht="15.75" customHeight="1" x14ac:dyDescent="0.35">
      <c r="A57" s="140"/>
      <c r="B57" s="141"/>
      <c r="C57" s="141"/>
      <c r="D57" s="196" t="s">
        <v>209</v>
      </c>
      <c r="E57" s="197"/>
      <c r="F57" s="197"/>
      <c r="G57" s="197"/>
      <c r="H57" s="198"/>
    </row>
    <row r="58" spans="1:14" ht="15.75" customHeight="1" x14ac:dyDescent="0.35">
      <c r="A58" s="117" t="s">
        <v>46</v>
      </c>
      <c r="B58" s="117"/>
      <c r="C58" s="117"/>
      <c r="D58" s="134" t="s">
        <v>185</v>
      </c>
      <c r="E58" s="134"/>
      <c r="F58" s="134"/>
      <c r="G58" s="134"/>
      <c r="H58" s="134"/>
      <c r="J58" s="21"/>
      <c r="K58" s="20"/>
      <c r="N58" s="20"/>
    </row>
    <row r="59" spans="1:14" ht="15.75" customHeight="1" x14ac:dyDescent="0.35">
      <c r="A59" s="117" t="s">
        <v>89</v>
      </c>
      <c r="B59" s="117"/>
      <c r="C59" s="117"/>
      <c r="D59" s="128" t="str">
        <f>(IF(G50="NA","60 Years After Completion",IF(G50&lt;&gt;"NA",""&amp;60-ROUNDDOWN((E3-G50)/360,0)&amp;" Years"," ")))</f>
        <v>60 Years After Completion</v>
      </c>
      <c r="E59" s="128"/>
      <c r="F59" s="128"/>
      <c r="G59" s="128"/>
      <c r="H59" s="128"/>
      <c r="N59" s="20"/>
    </row>
    <row r="60" spans="1:14" ht="15.75" customHeight="1" x14ac:dyDescent="0.35">
      <c r="A60" s="117" t="s">
        <v>90</v>
      </c>
      <c r="B60" s="117"/>
      <c r="C60" s="117"/>
      <c r="D60" s="145" t="s">
        <v>24</v>
      </c>
      <c r="E60" s="145"/>
      <c r="F60" s="145"/>
      <c r="G60" s="145"/>
      <c r="H60" s="145"/>
      <c r="J60" s="22"/>
      <c r="K60" s="22"/>
    </row>
    <row r="61" spans="1:14" ht="15" hidden="1" customHeight="1" x14ac:dyDescent="0.35">
      <c r="A61" s="117" t="s">
        <v>76</v>
      </c>
      <c r="B61" s="117"/>
      <c r="C61" s="117"/>
      <c r="D61" s="114" t="s">
        <v>149</v>
      </c>
      <c r="E61" s="145"/>
      <c r="F61" s="145"/>
      <c r="G61" s="145"/>
      <c r="H61" s="145"/>
    </row>
    <row r="62" spans="1:14" x14ac:dyDescent="0.35">
      <c r="A62" s="145" t="s">
        <v>150</v>
      </c>
      <c r="B62" s="145"/>
      <c r="C62" s="145"/>
      <c r="D62" s="145" t="s">
        <v>30</v>
      </c>
      <c r="E62" s="145"/>
      <c r="F62" s="145"/>
      <c r="G62" s="145"/>
      <c r="H62" s="145"/>
      <c r="I62" s="23"/>
      <c r="J62" s="23"/>
      <c r="K62" s="23"/>
      <c r="L62" s="23"/>
      <c r="M62" s="23"/>
      <c r="N62" s="23"/>
    </row>
    <row r="63" spans="1:14" ht="15.75" customHeight="1" x14ac:dyDescent="0.35">
      <c r="A63" s="169" t="s">
        <v>88</v>
      </c>
      <c r="B63" s="169"/>
      <c r="C63" s="169"/>
      <c r="D63" s="150" t="str">
        <f ca="1">(IF(G69&gt;95%,"Nothing",IF(G69&gt;0%,"Cement, Aggregate, Steel, etc",IF(G69=0%,"Work not yet Started"))))</f>
        <v>Cement, Aggregate, Steel, etc</v>
      </c>
      <c r="E63" s="150"/>
      <c r="F63" s="150"/>
      <c r="G63" s="150"/>
      <c r="H63" s="150"/>
      <c r="J63" s="22"/>
    </row>
    <row r="64" spans="1:14" ht="33.75" customHeight="1" thickBot="1" x14ac:dyDescent="0.4">
      <c r="A64" s="168" t="s">
        <v>116</v>
      </c>
      <c r="B64" s="168"/>
      <c r="C64" s="168"/>
      <c r="D64" s="150" t="str">
        <f ca="1">(IF(D63="Nothing","Yes",IF(D63="Cement, Aggregate, Steel, etc","Under Construction",IF(D63="Work not yet Started","Work not yet Started"))))</f>
        <v>Under Construction</v>
      </c>
      <c r="E64" s="150"/>
      <c r="F64" s="150" t="str">
        <f ca="1">(IF(D63="Nothing","Yes",IF(D63="Cement, Aggregate, Steel, etc","Under Construction",IF(D63="Work not yet Started","Work not yet Started"))))</f>
        <v>Under Construction</v>
      </c>
      <c r="G64" s="150"/>
      <c r="H64" s="150"/>
    </row>
    <row r="65" spans="1:10" s="19" customFormat="1" ht="15.75" customHeight="1" x14ac:dyDescent="0.35">
      <c r="A65" s="82" t="s">
        <v>141</v>
      </c>
      <c r="B65" s="83"/>
      <c r="C65" s="84" t="str">
        <f>D55</f>
        <v>A Wing =  B + G + 1st to 22th Floor</v>
      </c>
      <c r="D65" s="85"/>
      <c r="E65" s="85"/>
      <c r="F65" s="85"/>
      <c r="G65" s="85"/>
      <c r="H65" s="86"/>
      <c r="I65" s="39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upto 16.5 Floor Completed, External Plaster upto 13 Floor Completed, Flooring upto 3 Floor Completed, Painting upto 3 Floor Completed.</v>
      </c>
      <c r="J65" s="40"/>
    </row>
    <row r="66" spans="1:10" s="19" customFormat="1" x14ac:dyDescent="0.35">
      <c r="A66" s="14" t="s">
        <v>143</v>
      </c>
      <c r="B66" s="36">
        <v>1</v>
      </c>
      <c r="C66" s="36" t="s">
        <v>74</v>
      </c>
      <c r="D66" s="36">
        <v>1</v>
      </c>
      <c r="E66" s="36" t="s">
        <v>73</v>
      </c>
      <c r="F66" s="36">
        <v>0</v>
      </c>
      <c r="G66" s="36" t="s">
        <v>82</v>
      </c>
      <c r="H66" s="15">
        <f ca="1">--TRIM(RIGHT(SUBSTITUTE(LEFT(C65,_xlfn.AGGREGATE(16,6,FIND({0,1,2,3,4,5,6,7,8,9},C65,ROW(INDIRECT("1:"&amp;LEN(C65)))),1))," ",REPT(" ",LEN(C65))),LEN(C65)))</f>
        <v>22</v>
      </c>
      <c r="I66" s="41"/>
      <c r="J66" s="42"/>
    </row>
    <row r="67" spans="1:10" s="19" customFormat="1" ht="47.15" customHeight="1" x14ac:dyDescent="0.35">
      <c r="A67" s="87" t="s">
        <v>92</v>
      </c>
      <c r="B67" s="88"/>
      <c r="C67" s="89" t="str">
        <f ca="1">(IF($G$50="NA",I65,"All work Completed. OC Received."))</f>
        <v>Excavation work Completed. Plinth work completed, RCC Slab Completed, Brickwork Completed, Internal Plaster upto 16.5 Floor Completed, External Plaster upto 13 Floor Completed, Flooring upto 3 Floor Completed, Painting upto 3 Floor Completed.</v>
      </c>
      <c r="D67" s="89"/>
      <c r="E67" s="89"/>
      <c r="F67" s="89"/>
      <c r="G67" s="89"/>
      <c r="H67" s="90"/>
      <c r="I67" s="41" t="s">
        <v>102</v>
      </c>
      <c r="J67" s="42"/>
    </row>
    <row r="68" spans="1:10" s="19" customFormat="1" ht="15.75" customHeight="1" x14ac:dyDescent="0.35">
      <c r="A68" s="91" t="s">
        <v>50</v>
      </c>
      <c r="B68" s="92"/>
      <c r="C68" s="43" t="s">
        <v>140</v>
      </c>
      <c r="D68" s="43" t="s">
        <v>85</v>
      </c>
      <c r="E68" s="92" t="s">
        <v>87</v>
      </c>
      <c r="F68" s="92"/>
      <c r="G68" s="92" t="s">
        <v>86</v>
      </c>
      <c r="H68" s="93"/>
      <c r="I68" s="44" t="s">
        <v>142</v>
      </c>
      <c r="J68" s="45">
        <f ca="1">H66*25%</f>
        <v>5.5</v>
      </c>
    </row>
    <row r="69" spans="1:10" s="19" customFormat="1" x14ac:dyDescent="0.35">
      <c r="A69" s="91" t="s">
        <v>129</v>
      </c>
      <c r="B69" s="92"/>
      <c r="C69" s="43">
        <f ca="1">J70</f>
        <v>22</v>
      </c>
      <c r="D69" s="46">
        <f ca="1">((100/H66)*C69)/100</f>
        <v>1.0000000000000002</v>
      </c>
      <c r="E69" s="94">
        <f ca="1">(((C70/H66*10)+(40/(D66+F66+H66)*C71)+(7.5/(H66)*C72)+(7.5/(H66)*C73)+(10/H66*C74)+(10/H66*C75)+(5/H66*C76)+(5/H66*C77)+(5/H66*C78))/100)</f>
        <v>0.71079545454545456</v>
      </c>
      <c r="F69" s="95"/>
      <c r="G69" s="94">
        <f ca="1">((((C69/H66)*20)+((C70/H66)*25)+(30/(H66+F66+D66)*C71)+(5/H66*C72)+(5/H66*C73)+(5/H66*C74)+(5/H66*C75)+(0/H66*C76)+(0/H66*C77)+(5/H66*C78))/100)</f>
        <v>0.8738636363636364</v>
      </c>
      <c r="H69" s="100"/>
      <c r="I69" s="44" t="s">
        <v>97</v>
      </c>
      <c r="J69" s="47">
        <f ca="1">H66*50%</f>
        <v>11</v>
      </c>
    </row>
    <row r="70" spans="1:10" s="19" customFormat="1" x14ac:dyDescent="0.35">
      <c r="A70" s="91" t="s">
        <v>51</v>
      </c>
      <c r="B70" s="92"/>
      <c r="C70" s="58">
        <f ca="1">J78</f>
        <v>22</v>
      </c>
      <c r="D70" s="46">
        <f ca="1">((100/H66)*C70)/100</f>
        <v>1.0000000000000002</v>
      </c>
      <c r="E70" s="96"/>
      <c r="F70" s="97"/>
      <c r="G70" s="96"/>
      <c r="H70" s="101"/>
      <c r="I70" s="44" t="s">
        <v>98</v>
      </c>
      <c r="J70" s="47">
        <f ca="1">H66</f>
        <v>22</v>
      </c>
    </row>
    <row r="71" spans="1:10" s="19" customFormat="1" ht="15.75" customHeight="1" x14ac:dyDescent="0.35">
      <c r="A71" s="91" t="s">
        <v>130</v>
      </c>
      <c r="B71" s="92"/>
      <c r="C71" s="43">
        <v>23</v>
      </c>
      <c r="D71" s="46">
        <f ca="1">((100/(D66+F66+H66))*C71)/100</f>
        <v>1</v>
      </c>
      <c r="E71" s="96"/>
      <c r="F71" s="97"/>
      <c r="G71" s="96"/>
      <c r="H71" s="101"/>
      <c r="I71" s="44" t="s">
        <v>99</v>
      </c>
      <c r="J71" s="48">
        <f ca="1">(IF(B66&gt;1,(H66/(B66+2)),H66/4))</f>
        <v>5.5</v>
      </c>
    </row>
    <row r="72" spans="1:10" s="19" customFormat="1" ht="15.75" customHeight="1" x14ac:dyDescent="0.35">
      <c r="A72" s="91" t="s">
        <v>137</v>
      </c>
      <c r="B72" s="92" t="s">
        <v>131</v>
      </c>
      <c r="C72" s="43">
        <v>22</v>
      </c>
      <c r="D72" s="46">
        <f ca="1">((100/H66)*C72)/100</f>
        <v>1.0000000000000002</v>
      </c>
      <c r="E72" s="96"/>
      <c r="F72" s="97"/>
      <c r="G72" s="96"/>
      <c r="H72" s="101"/>
      <c r="I72" s="44" t="s">
        <v>100</v>
      </c>
      <c r="J72" s="48">
        <f ca="1">(IF(B66&gt;1,(H66/(B66+2)+J71),H66/4+J71))</f>
        <v>11</v>
      </c>
    </row>
    <row r="73" spans="1:10" s="19" customFormat="1" ht="15.75" customHeight="1" x14ac:dyDescent="0.35">
      <c r="A73" s="91" t="s">
        <v>138</v>
      </c>
      <c r="B73" s="92" t="s">
        <v>131</v>
      </c>
      <c r="C73" s="58">
        <f>C72*0.75</f>
        <v>16.5</v>
      </c>
      <c r="D73" s="46">
        <f ca="1">((100/H66)*C73)/100</f>
        <v>0.75</v>
      </c>
      <c r="E73" s="96"/>
      <c r="F73" s="97"/>
      <c r="G73" s="96"/>
      <c r="H73" s="101"/>
      <c r="I73" s="44" t="s">
        <v>147</v>
      </c>
      <c r="J73" s="48">
        <f>(IF(B66&gt;1,(H66/(B66+2)+J72),0))</f>
        <v>0</v>
      </c>
    </row>
    <row r="74" spans="1:10" s="19" customFormat="1" ht="15" customHeight="1" x14ac:dyDescent="0.35">
      <c r="A74" s="91" t="s">
        <v>136</v>
      </c>
      <c r="B74" s="92" t="s">
        <v>133</v>
      </c>
      <c r="C74" s="58">
        <v>13</v>
      </c>
      <c r="D74" s="46">
        <f ca="1">((100/(H66))*C74)/100</f>
        <v>0.59090909090909094</v>
      </c>
      <c r="E74" s="96"/>
      <c r="F74" s="97"/>
      <c r="G74" s="96"/>
      <c r="H74" s="101"/>
      <c r="I74" s="44" t="s">
        <v>144</v>
      </c>
      <c r="J74" s="48">
        <f>(IF(B66&gt;2,(H66/(B66+2)+J73),0))</f>
        <v>0</v>
      </c>
    </row>
    <row r="75" spans="1:10" s="19" customFormat="1" ht="15.75" customHeight="1" x14ac:dyDescent="0.35">
      <c r="A75" s="91" t="s">
        <v>132</v>
      </c>
      <c r="B75" s="92" t="s">
        <v>132</v>
      </c>
      <c r="C75" s="43">
        <v>3</v>
      </c>
      <c r="D75" s="46">
        <f ca="1">((100/H66)*C75)/100</f>
        <v>0.13636363636363635</v>
      </c>
      <c r="E75" s="96"/>
      <c r="F75" s="97"/>
      <c r="G75" s="96"/>
      <c r="H75" s="101"/>
      <c r="I75" s="44" t="s">
        <v>145</v>
      </c>
      <c r="J75" s="49">
        <f>(IF(B66&gt;3,(H66/(B66+2)+J74),0))</f>
        <v>0</v>
      </c>
    </row>
    <row r="76" spans="1:10" s="19" customFormat="1" ht="15.75" customHeight="1" x14ac:dyDescent="0.35">
      <c r="A76" s="91" t="s">
        <v>139</v>
      </c>
      <c r="B76" s="92"/>
      <c r="C76" s="43">
        <v>3</v>
      </c>
      <c r="D76" s="46">
        <f ca="1">((100/H66)*C76)/100</f>
        <v>0.13636363636363635</v>
      </c>
      <c r="E76" s="96"/>
      <c r="F76" s="97"/>
      <c r="G76" s="96"/>
      <c r="H76" s="101"/>
      <c r="I76" s="44" t="s">
        <v>146</v>
      </c>
      <c r="J76" s="48">
        <f>(IF(B66&gt;4,(H66/(B66+2)+J75),0))</f>
        <v>0</v>
      </c>
    </row>
    <row r="77" spans="1:10" s="19" customFormat="1" ht="15.75" customHeight="1" x14ac:dyDescent="0.35">
      <c r="A77" s="91" t="s">
        <v>134</v>
      </c>
      <c r="B77" s="92" t="s">
        <v>134</v>
      </c>
      <c r="C77" s="43">
        <v>0</v>
      </c>
      <c r="D77" s="46">
        <f ca="1">((100/(H66))*C77)/100</f>
        <v>0</v>
      </c>
      <c r="E77" s="96"/>
      <c r="F77" s="97"/>
      <c r="G77" s="96"/>
      <c r="H77" s="101"/>
      <c r="I77" s="44" t="s">
        <v>148</v>
      </c>
      <c r="J77" s="48">
        <f ca="1">(IF(B66=1,(H66/(B66+3)+J72),IF(B66=0,(H66/4+J72),IF(B66&gt;1,0))))</f>
        <v>16.5</v>
      </c>
    </row>
    <row r="78" spans="1:10" s="19" customFormat="1" ht="16" thickBot="1" x14ac:dyDescent="0.4">
      <c r="A78" s="119" t="s">
        <v>135</v>
      </c>
      <c r="B78" s="120"/>
      <c r="C78" s="50">
        <v>0</v>
      </c>
      <c r="D78" s="51">
        <f ca="1">((100/(H66))*C78)/100</f>
        <v>0</v>
      </c>
      <c r="E78" s="98"/>
      <c r="F78" s="99"/>
      <c r="G78" s="98"/>
      <c r="H78" s="102"/>
      <c r="I78" s="52" t="s">
        <v>101</v>
      </c>
      <c r="J78" s="53">
        <f ca="1">(IF(B66&gt;1.5,(H66/(B66+2)+J72+MAX(0,J73-J72)+MAX(0,J74-J73)+MAX(0,J75-J74)+MAX(0,J76-J75)+MAX(0,J77-J76)),IF(B66=1,(H66/(B66+3)+J77),IF(B66=0,H66/4+J77))))</f>
        <v>22</v>
      </c>
    </row>
    <row r="79" spans="1:10" s="19" customFormat="1" ht="15.75" customHeight="1" x14ac:dyDescent="0.35">
      <c r="A79" s="82" t="s">
        <v>141</v>
      </c>
      <c r="B79" s="83"/>
      <c r="C79" s="84" t="str">
        <f>D56</f>
        <v>B Wing =  B + G + 1st to 22th Floor</v>
      </c>
      <c r="D79" s="85"/>
      <c r="E79" s="85"/>
      <c r="F79" s="85"/>
      <c r="G79" s="85"/>
      <c r="H79" s="86"/>
      <c r="I79" s="39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Slab Completed, Brickwork Completed, Internal Plaster upto 16.5 Floor Completed, External Plaster upto 12.375 Floor Completed, Painting upto 2 Floor Completed.</v>
      </c>
      <c r="J79" s="40"/>
    </row>
    <row r="80" spans="1:10" s="19" customFormat="1" x14ac:dyDescent="0.35">
      <c r="A80" s="14" t="s">
        <v>143</v>
      </c>
      <c r="B80" s="36">
        <v>1</v>
      </c>
      <c r="C80" s="36" t="s">
        <v>74</v>
      </c>
      <c r="D80" s="36">
        <v>1</v>
      </c>
      <c r="E80" s="36" t="s">
        <v>73</v>
      </c>
      <c r="F80" s="36">
        <v>0</v>
      </c>
      <c r="G80" s="36" t="s">
        <v>82</v>
      </c>
      <c r="H80" s="15">
        <f ca="1">--TRIM(RIGHT(SUBSTITUTE(LEFT(C79,_xlfn.AGGREGATE(16,6,FIND({0,1,2,3,4,5,6,7,8,9},C79,ROW(INDIRECT("1:"&amp;LEN(C79)))),1))," ",REPT(" ",LEN(C79))),LEN(C79)))</f>
        <v>22</v>
      </c>
      <c r="I80" s="41"/>
      <c r="J80" s="42"/>
    </row>
    <row r="81" spans="1:10" s="19" customFormat="1" ht="48" customHeight="1" x14ac:dyDescent="0.35">
      <c r="A81" s="87" t="s">
        <v>92</v>
      </c>
      <c r="B81" s="88"/>
      <c r="C81" s="89" t="str">
        <f ca="1">(IF($G$50="NA",I79,"All work Completed. OC Received."))</f>
        <v>Excavation work Completed. Plinth work completed, RCC Slab Completed, Brickwork Completed, Internal Plaster upto 16.5 Floor Completed, External Plaster upto 12.375 Floor Completed, Painting upto 2 Floor Completed.</v>
      </c>
      <c r="D81" s="89"/>
      <c r="E81" s="89"/>
      <c r="F81" s="89"/>
      <c r="G81" s="89"/>
      <c r="H81" s="90"/>
      <c r="I81" s="41" t="s">
        <v>102</v>
      </c>
      <c r="J81" s="42"/>
    </row>
    <row r="82" spans="1:10" s="19" customFormat="1" ht="15.75" customHeight="1" x14ac:dyDescent="0.35">
      <c r="A82" s="91" t="s">
        <v>50</v>
      </c>
      <c r="B82" s="92"/>
      <c r="C82" s="43" t="s">
        <v>140</v>
      </c>
      <c r="D82" s="43" t="s">
        <v>85</v>
      </c>
      <c r="E82" s="92" t="s">
        <v>87</v>
      </c>
      <c r="F82" s="92"/>
      <c r="G82" s="92" t="s">
        <v>86</v>
      </c>
      <c r="H82" s="93"/>
      <c r="I82" s="44" t="s">
        <v>142</v>
      </c>
      <c r="J82" s="45">
        <f ca="1">H80*25%</f>
        <v>5.5</v>
      </c>
    </row>
    <row r="83" spans="1:10" s="19" customFormat="1" x14ac:dyDescent="0.35">
      <c r="A83" s="91" t="s">
        <v>129</v>
      </c>
      <c r="B83" s="92"/>
      <c r="C83" s="43">
        <f ca="1">J84</f>
        <v>22</v>
      </c>
      <c r="D83" s="46">
        <f ca="1">((100/H80)*C83)/100</f>
        <v>1.0000000000000002</v>
      </c>
      <c r="E83" s="94">
        <f ca="1">(((C84/H80*10)+(40/(D80+F80+H80)*C85)+(7.5/(H80)*C86)+(7.5/(H80)*C87)+(10/H80*C88)+(10/H80*C89)+(5/H80*C90)+(5/H80*C91)+(5/H80*C92))/100)</f>
        <v>0.69204545454545452</v>
      </c>
      <c r="F83" s="95"/>
      <c r="G83" s="94">
        <f ca="1">((((C83/H80)*20)+((C84/H80)*25)+(30/(H80+F80+D80)*C85)+(5/H80*C86)+(5/H80*C87)+(5/H80*C88)+(5/H80*C89)+(0/H80*C90)+(0/H80*C91)+(5/H80*C92))/100)</f>
        <v>0.86562499999999998</v>
      </c>
      <c r="H83" s="100"/>
      <c r="I83" s="44" t="s">
        <v>97</v>
      </c>
      <c r="J83" s="47">
        <f ca="1">H80*50%</f>
        <v>11</v>
      </c>
    </row>
    <row r="84" spans="1:10" s="19" customFormat="1" x14ac:dyDescent="0.35">
      <c r="A84" s="91" t="s">
        <v>51</v>
      </c>
      <c r="B84" s="92"/>
      <c r="C84" s="58">
        <f ca="1">J92</f>
        <v>22</v>
      </c>
      <c r="D84" s="46">
        <f ca="1">((100/H80)*C84)/100</f>
        <v>1.0000000000000002</v>
      </c>
      <c r="E84" s="96"/>
      <c r="F84" s="97"/>
      <c r="G84" s="96"/>
      <c r="H84" s="101"/>
      <c r="I84" s="44" t="s">
        <v>98</v>
      </c>
      <c r="J84" s="47">
        <f ca="1">H80</f>
        <v>22</v>
      </c>
    </row>
    <row r="85" spans="1:10" s="19" customFormat="1" ht="15.75" customHeight="1" x14ac:dyDescent="0.35">
      <c r="A85" s="91" t="s">
        <v>130</v>
      </c>
      <c r="B85" s="92"/>
      <c r="C85" s="43">
        <v>23</v>
      </c>
      <c r="D85" s="46">
        <f ca="1">((100/(D80+F80+H80))*C85)/100</f>
        <v>1</v>
      </c>
      <c r="E85" s="96"/>
      <c r="F85" s="97"/>
      <c r="G85" s="96"/>
      <c r="H85" s="101"/>
      <c r="I85" s="44" t="s">
        <v>99</v>
      </c>
      <c r="J85" s="48">
        <f ca="1">(IF(B80&gt;1,(H80/(B80+2)),H80/4))</f>
        <v>5.5</v>
      </c>
    </row>
    <row r="86" spans="1:10" s="19" customFormat="1" ht="15.75" customHeight="1" x14ac:dyDescent="0.35">
      <c r="A86" s="91" t="s">
        <v>137</v>
      </c>
      <c r="B86" s="92" t="s">
        <v>131</v>
      </c>
      <c r="C86" s="43">
        <v>22</v>
      </c>
      <c r="D86" s="46">
        <f ca="1">((100/H80)*C86)/100</f>
        <v>1.0000000000000002</v>
      </c>
      <c r="E86" s="96"/>
      <c r="F86" s="97"/>
      <c r="G86" s="96"/>
      <c r="H86" s="101"/>
      <c r="I86" s="44" t="s">
        <v>100</v>
      </c>
      <c r="J86" s="48">
        <f ca="1">(IF(B80&gt;1,(H80/(B80+2)+J85),H80/4+J85))</f>
        <v>11</v>
      </c>
    </row>
    <row r="87" spans="1:10" s="19" customFormat="1" ht="15.75" customHeight="1" x14ac:dyDescent="0.35">
      <c r="A87" s="91" t="s">
        <v>138</v>
      </c>
      <c r="B87" s="92" t="s">
        <v>131</v>
      </c>
      <c r="C87" s="58">
        <f>C86*0.75</f>
        <v>16.5</v>
      </c>
      <c r="D87" s="46">
        <f ca="1">((100/H80)*C87)/100</f>
        <v>0.75</v>
      </c>
      <c r="E87" s="96"/>
      <c r="F87" s="97"/>
      <c r="G87" s="96"/>
      <c r="H87" s="101"/>
      <c r="I87" s="44" t="s">
        <v>147</v>
      </c>
      <c r="J87" s="48">
        <f>(IF(B80&gt;1,(H80/(B80+2)+J86),0))</f>
        <v>0</v>
      </c>
    </row>
    <row r="88" spans="1:10" s="19" customFormat="1" ht="15" customHeight="1" x14ac:dyDescent="0.35">
      <c r="A88" s="91" t="s">
        <v>136</v>
      </c>
      <c r="B88" s="92" t="s">
        <v>133</v>
      </c>
      <c r="C88" s="58">
        <f>C87*0.75</f>
        <v>12.375</v>
      </c>
      <c r="D88" s="46">
        <f ca="1">((100/(H80))*C88)/100</f>
        <v>0.56250000000000011</v>
      </c>
      <c r="E88" s="96"/>
      <c r="F88" s="97"/>
      <c r="G88" s="96"/>
      <c r="H88" s="101"/>
      <c r="I88" s="44" t="s">
        <v>144</v>
      </c>
      <c r="J88" s="48">
        <f>(IF(B80&gt;2,(H80/(B80+2)+J87),0))</f>
        <v>0</v>
      </c>
    </row>
    <row r="89" spans="1:10" s="19" customFormat="1" ht="15.75" customHeight="1" x14ac:dyDescent="0.35">
      <c r="A89" s="91" t="s">
        <v>132</v>
      </c>
      <c r="B89" s="92" t="s">
        <v>132</v>
      </c>
      <c r="C89" s="43">
        <v>0</v>
      </c>
      <c r="D89" s="46">
        <f ca="1">((100/H80)*C89)/100</f>
        <v>0</v>
      </c>
      <c r="E89" s="96"/>
      <c r="F89" s="97"/>
      <c r="G89" s="96"/>
      <c r="H89" s="101"/>
      <c r="I89" s="44" t="s">
        <v>145</v>
      </c>
      <c r="J89" s="49">
        <f>(IF(B80&gt;3,(H80/(B80+2)+J88),0))</f>
        <v>0</v>
      </c>
    </row>
    <row r="90" spans="1:10" s="19" customFormat="1" ht="15.75" customHeight="1" x14ac:dyDescent="0.35">
      <c r="A90" s="91" t="s">
        <v>139</v>
      </c>
      <c r="B90" s="92"/>
      <c r="C90" s="43">
        <v>2</v>
      </c>
      <c r="D90" s="46">
        <f ca="1">((100/H80)*C90)/100</f>
        <v>9.0909090909090912E-2</v>
      </c>
      <c r="E90" s="96"/>
      <c r="F90" s="97"/>
      <c r="G90" s="96"/>
      <c r="H90" s="101"/>
      <c r="I90" s="44" t="s">
        <v>146</v>
      </c>
      <c r="J90" s="48">
        <f>(IF(B80&gt;4,(H80/(B80+2)+J89),0))</f>
        <v>0</v>
      </c>
    </row>
    <row r="91" spans="1:10" s="19" customFormat="1" ht="15.75" customHeight="1" x14ac:dyDescent="0.35">
      <c r="A91" s="91" t="s">
        <v>134</v>
      </c>
      <c r="B91" s="92" t="s">
        <v>134</v>
      </c>
      <c r="C91" s="43">
        <v>0</v>
      </c>
      <c r="D91" s="46">
        <f ca="1">((100/(H80))*C91)/100</f>
        <v>0</v>
      </c>
      <c r="E91" s="96"/>
      <c r="F91" s="97"/>
      <c r="G91" s="96"/>
      <c r="H91" s="101"/>
      <c r="I91" s="44" t="s">
        <v>148</v>
      </c>
      <c r="J91" s="48">
        <f ca="1">(IF(B80=1,(H80/(B80+3)+J86),IF(B80=0,(H80/4+J86),IF(B80&gt;1,0))))</f>
        <v>16.5</v>
      </c>
    </row>
    <row r="92" spans="1:10" s="19" customFormat="1" ht="16" thickBot="1" x14ac:dyDescent="0.4">
      <c r="A92" s="119" t="s">
        <v>135</v>
      </c>
      <c r="B92" s="120"/>
      <c r="C92" s="50">
        <v>0</v>
      </c>
      <c r="D92" s="51">
        <f ca="1">((100/(H80))*C92)/100</f>
        <v>0</v>
      </c>
      <c r="E92" s="98"/>
      <c r="F92" s="99"/>
      <c r="G92" s="98"/>
      <c r="H92" s="102"/>
      <c r="I92" s="52" t="s">
        <v>101</v>
      </c>
      <c r="J92" s="53">
        <f ca="1">(IF(B80&gt;1.5,(H80/(B80+2)+J86+MAX(0,J87-J86)+MAX(0,J88-J87)+MAX(0,J89-J88)+MAX(0,J90-J89)+MAX(0,J91-J90)),IF(B80=1,(H80/(B80+3)+J91),IF(B80=0,H80/4+J91))))</f>
        <v>22</v>
      </c>
    </row>
    <row r="93" spans="1:10" s="19" customFormat="1" ht="15.75" customHeight="1" x14ac:dyDescent="0.35">
      <c r="A93" s="82" t="s">
        <v>141</v>
      </c>
      <c r="B93" s="83"/>
      <c r="C93" s="84" t="str">
        <f>D57</f>
        <v>C Wing =  B + G + 1st to 22th Floor</v>
      </c>
      <c r="D93" s="85"/>
      <c r="E93" s="85"/>
      <c r="F93" s="85"/>
      <c r="G93" s="85"/>
      <c r="H93" s="86"/>
      <c r="I93" s="39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upto 6 Slab Completed, Brickwork upto 5 Floor Completed.</v>
      </c>
      <c r="J93" s="40"/>
    </row>
    <row r="94" spans="1:10" s="19" customFormat="1" x14ac:dyDescent="0.35">
      <c r="A94" s="14" t="s">
        <v>143</v>
      </c>
      <c r="B94" s="36">
        <v>1</v>
      </c>
      <c r="C94" s="36" t="s">
        <v>74</v>
      </c>
      <c r="D94" s="36">
        <v>1</v>
      </c>
      <c r="E94" s="36" t="s">
        <v>73</v>
      </c>
      <c r="F94" s="36">
        <v>0</v>
      </c>
      <c r="G94" s="36" t="s">
        <v>82</v>
      </c>
      <c r="H94" s="15">
        <f ca="1">--TRIM(RIGHT(SUBSTITUTE(LEFT(C93,_xlfn.AGGREGATE(16,6,FIND({0,1,2,3,4,5,6,7,8,9},C93,ROW(INDIRECT("1:"&amp;LEN(C93)))),1))," ",REPT(" ",LEN(C93))),LEN(C93)))</f>
        <v>22</v>
      </c>
      <c r="I94" s="41"/>
      <c r="J94" s="42"/>
    </row>
    <row r="95" spans="1:10" s="19" customFormat="1" ht="31" customHeight="1" x14ac:dyDescent="0.35">
      <c r="A95" s="87" t="s">
        <v>92</v>
      </c>
      <c r="B95" s="88"/>
      <c r="C95" s="89" t="str">
        <f ca="1">(IF($G$50="NA",I93,"All work Completed. OC Received."))</f>
        <v>Excavation work Completed. Plinth work completed, RCC upto 6 Slab Completed, Brickwork upto 5 Floor Completed.</v>
      </c>
      <c r="D95" s="89"/>
      <c r="E95" s="89"/>
      <c r="F95" s="89"/>
      <c r="G95" s="89"/>
      <c r="H95" s="90"/>
      <c r="I95" s="41" t="s">
        <v>102</v>
      </c>
      <c r="J95" s="42"/>
    </row>
    <row r="96" spans="1:10" s="19" customFormat="1" ht="15.75" customHeight="1" x14ac:dyDescent="0.35">
      <c r="A96" s="91" t="s">
        <v>50</v>
      </c>
      <c r="B96" s="92"/>
      <c r="C96" s="43" t="s">
        <v>140</v>
      </c>
      <c r="D96" s="43" t="s">
        <v>85</v>
      </c>
      <c r="E96" s="92" t="s">
        <v>87</v>
      </c>
      <c r="F96" s="92"/>
      <c r="G96" s="92" t="s">
        <v>86</v>
      </c>
      <c r="H96" s="93"/>
      <c r="I96" s="44" t="s">
        <v>142</v>
      </c>
      <c r="J96" s="45">
        <f ca="1">H94*25%</f>
        <v>5.5</v>
      </c>
    </row>
    <row r="97" spans="1:12" s="19" customFormat="1" x14ac:dyDescent="0.35">
      <c r="A97" s="91" t="s">
        <v>129</v>
      </c>
      <c r="B97" s="92"/>
      <c r="C97" s="43">
        <f ca="1">J98</f>
        <v>22</v>
      </c>
      <c r="D97" s="46">
        <f ca="1">((100/H94)*C97)/100</f>
        <v>1.0000000000000002</v>
      </c>
      <c r="E97" s="94">
        <f ca="1">(((C98/H94*10)+(40/(D94+F94+H94)*C99)+(7.5/(H94)*C100)+(7.5/(H94)*C101)+(10/H94*C102)+(10/H94*C103)+(5/H94*C104)+(5/H94*C105)+(5/H94*C106))/100)</f>
        <v>0.22139328063241107</v>
      </c>
      <c r="F97" s="95"/>
      <c r="G97" s="94">
        <f ca="1">((((C97/H94)*20)+((C98/H94)*25)+(30/(H94+F94+D94)*C99)+(5/H94*C100)+(5/H94*C101)+(5/H94*C102)+(5/H94*C103)+(0/H94*C104)+(0/H94*C105)+(5/H94*C106))/100)</f>
        <v>0.5396245059288538</v>
      </c>
      <c r="H97" s="100"/>
      <c r="I97" s="44" t="s">
        <v>97</v>
      </c>
      <c r="J97" s="47">
        <f ca="1">H94*50%</f>
        <v>11</v>
      </c>
    </row>
    <row r="98" spans="1:12" s="19" customFormat="1" x14ac:dyDescent="0.35">
      <c r="A98" s="91" t="s">
        <v>51</v>
      </c>
      <c r="B98" s="92"/>
      <c r="C98" s="58">
        <f ca="1">J106</f>
        <v>22</v>
      </c>
      <c r="D98" s="46">
        <f ca="1">((100/H94)*C98)/100</f>
        <v>1.0000000000000002</v>
      </c>
      <c r="E98" s="96"/>
      <c r="F98" s="97"/>
      <c r="G98" s="96"/>
      <c r="H98" s="101"/>
      <c r="I98" s="44" t="s">
        <v>98</v>
      </c>
      <c r="J98" s="47">
        <f ca="1">H94</f>
        <v>22</v>
      </c>
    </row>
    <row r="99" spans="1:12" s="19" customFormat="1" ht="15.75" customHeight="1" x14ac:dyDescent="0.35">
      <c r="A99" s="91" t="s">
        <v>130</v>
      </c>
      <c r="B99" s="92"/>
      <c r="C99" s="43">
        <v>6</v>
      </c>
      <c r="D99" s="46">
        <f ca="1">((100/(D94+F94+H94))*C99)/100</f>
        <v>0.2608695652173913</v>
      </c>
      <c r="E99" s="96"/>
      <c r="F99" s="97"/>
      <c r="G99" s="96"/>
      <c r="H99" s="101"/>
      <c r="I99" s="44" t="s">
        <v>99</v>
      </c>
      <c r="J99" s="48">
        <f ca="1">(IF(B94&gt;1,(H94/(B94+2)),H94/4))</f>
        <v>5.5</v>
      </c>
    </row>
    <row r="100" spans="1:12" s="19" customFormat="1" ht="15.75" customHeight="1" x14ac:dyDescent="0.35">
      <c r="A100" s="91" t="s">
        <v>137</v>
      </c>
      <c r="B100" s="92" t="s">
        <v>131</v>
      </c>
      <c r="C100" s="43">
        <v>5</v>
      </c>
      <c r="D100" s="46">
        <f ca="1">((100/H94)*C100)/100</f>
        <v>0.22727272727272729</v>
      </c>
      <c r="E100" s="96"/>
      <c r="F100" s="97"/>
      <c r="G100" s="96"/>
      <c r="H100" s="101"/>
      <c r="I100" s="44" t="s">
        <v>100</v>
      </c>
      <c r="J100" s="48">
        <f ca="1">(IF(B94&gt;1,(H94/(B94+2)+J99),H94/4+J99))</f>
        <v>11</v>
      </c>
    </row>
    <row r="101" spans="1:12" s="19" customFormat="1" ht="15.75" customHeight="1" x14ac:dyDescent="0.35">
      <c r="A101" s="91" t="s">
        <v>138</v>
      </c>
      <c r="B101" s="92" t="s">
        <v>131</v>
      </c>
      <c r="C101" s="43">
        <v>0</v>
      </c>
      <c r="D101" s="46">
        <f ca="1">((100/H94)*C101)/100</f>
        <v>0</v>
      </c>
      <c r="E101" s="96"/>
      <c r="F101" s="97"/>
      <c r="G101" s="96"/>
      <c r="H101" s="101"/>
      <c r="I101" s="44" t="s">
        <v>147</v>
      </c>
      <c r="J101" s="48">
        <f>(IF(B94&gt;1,(H94/(B94+2)+J100),0))</f>
        <v>0</v>
      </c>
    </row>
    <row r="102" spans="1:12" s="19" customFormat="1" ht="15" customHeight="1" x14ac:dyDescent="0.35">
      <c r="A102" s="91" t="s">
        <v>136</v>
      </c>
      <c r="B102" s="92" t="s">
        <v>133</v>
      </c>
      <c r="C102" s="43">
        <v>0</v>
      </c>
      <c r="D102" s="46">
        <f ca="1">((100/(H94))*C102)/100</f>
        <v>0</v>
      </c>
      <c r="E102" s="96"/>
      <c r="F102" s="97"/>
      <c r="G102" s="96"/>
      <c r="H102" s="101"/>
      <c r="I102" s="44" t="s">
        <v>144</v>
      </c>
      <c r="J102" s="48">
        <f>(IF(B94&gt;2,(H94/(B94+2)+J101),0))</f>
        <v>0</v>
      </c>
    </row>
    <row r="103" spans="1:12" s="19" customFormat="1" ht="15.75" customHeight="1" x14ac:dyDescent="0.35">
      <c r="A103" s="91" t="s">
        <v>132</v>
      </c>
      <c r="B103" s="92" t="s">
        <v>132</v>
      </c>
      <c r="C103" s="43">
        <v>0</v>
      </c>
      <c r="D103" s="46">
        <f ca="1">((100/H94)*C103)/100</f>
        <v>0</v>
      </c>
      <c r="E103" s="96"/>
      <c r="F103" s="97"/>
      <c r="G103" s="96"/>
      <c r="H103" s="101"/>
      <c r="I103" s="44" t="s">
        <v>145</v>
      </c>
      <c r="J103" s="49">
        <f>(IF(B94&gt;3,(H94/(B94+2)+J102),0))</f>
        <v>0</v>
      </c>
    </row>
    <row r="104" spans="1:12" s="19" customFormat="1" ht="15.75" customHeight="1" x14ac:dyDescent="0.35">
      <c r="A104" s="91" t="s">
        <v>139</v>
      </c>
      <c r="B104" s="92"/>
      <c r="C104" s="43">
        <v>0</v>
      </c>
      <c r="D104" s="46">
        <f ca="1">((100/H94)*C104)/100</f>
        <v>0</v>
      </c>
      <c r="E104" s="96"/>
      <c r="F104" s="97"/>
      <c r="G104" s="96"/>
      <c r="H104" s="101"/>
      <c r="I104" s="44" t="s">
        <v>146</v>
      </c>
      <c r="J104" s="48">
        <f>(IF(B94&gt;4,(H94/(B94+2)+J103),0))</f>
        <v>0</v>
      </c>
    </row>
    <row r="105" spans="1:12" s="19" customFormat="1" ht="15.75" customHeight="1" x14ac:dyDescent="0.35">
      <c r="A105" s="91" t="s">
        <v>134</v>
      </c>
      <c r="B105" s="92" t="s">
        <v>134</v>
      </c>
      <c r="C105" s="43">
        <v>0</v>
      </c>
      <c r="D105" s="46">
        <f ca="1">((100/(H94))*C105)/100</f>
        <v>0</v>
      </c>
      <c r="E105" s="96"/>
      <c r="F105" s="97"/>
      <c r="G105" s="96"/>
      <c r="H105" s="101"/>
      <c r="I105" s="44" t="s">
        <v>148</v>
      </c>
      <c r="J105" s="48">
        <f ca="1">(IF(B94=1,(H94/(B94+3)+J100),IF(B94=0,(H94/4+J100),IF(B94&gt;1,0))))</f>
        <v>16.5</v>
      </c>
    </row>
    <row r="106" spans="1:12" s="19" customFormat="1" ht="16" thickBot="1" x14ac:dyDescent="0.4">
      <c r="A106" s="119" t="s">
        <v>135</v>
      </c>
      <c r="B106" s="120"/>
      <c r="C106" s="50">
        <v>0</v>
      </c>
      <c r="D106" s="51">
        <f ca="1">((100/(H94))*C106)/100</f>
        <v>0</v>
      </c>
      <c r="E106" s="98"/>
      <c r="F106" s="99"/>
      <c r="G106" s="98"/>
      <c r="H106" s="102"/>
      <c r="I106" s="52" t="s">
        <v>101</v>
      </c>
      <c r="J106" s="53">
        <f ca="1">(IF(B94&gt;1.5,(H94/(B94+2)+J100+MAX(0,J101-J100)+MAX(0,J102-J101)+MAX(0,J103-J102)+MAX(0,J104-J103)+MAX(0,J105-J104)),IF(B94=1,(H94/(B94+3)+J105),IF(B94=0,H94/4+J105))))</f>
        <v>22</v>
      </c>
    </row>
    <row r="107" spans="1:12" s="19" customFormat="1" x14ac:dyDescent="0.35">
      <c r="A107" s="115" t="s">
        <v>159</v>
      </c>
      <c r="B107" s="115"/>
      <c r="C107" s="115"/>
      <c r="D107" s="115"/>
      <c r="E107" s="115"/>
      <c r="F107" s="116" t="s">
        <v>163</v>
      </c>
      <c r="G107" s="116"/>
      <c r="H107" s="116"/>
    </row>
    <row r="108" spans="1:12" s="19" customFormat="1" x14ac:dyDescent="0.35">
      <c r="A108" s="113" t="s">
        <v>162</v>
      </c>
      <c r="B108" s="113"/>
      <c r="C108" s="113"/>
      <c r="D108" s="113"/>
      <c r="E108" s="113"/>
      <c r="F108" s="112">
        <v>12400</v>
      </c>
      <c r="G108" s="112"/>
      <c r="H108" s="112"/>
      <c r="I108" s="56" t="s">
        <v>219</v>
      </c>
      <c r="J108" s="57">
        <v>44874</v>
      </c>
      <c r="K108" s="56" t="s">
        <v>220</v>
      </c>
      <c r="L108" s="56" t="s">
        <v>221</v>
      </c>
    </row>
    <row r="109" spans="1:12" s="19" customFormat="1" x14ac:dyDescent="0.35">
      <c r="A109" s="113" t="s">
        <v>161</v>
      </c>
      <c r="B109" s="113"/>
      <c r="C109" s="113"/>
      <c r="D109" s="113"/>
      <c r="E109" s="113"/>
      <c r="F109" s="112">
        <v>20000</v>
      </c>
      <c r="G109" s="112"/>
      <c r="H109" s="112"/>
      <c r="I109" s="56" t="s">
        <v>226</v>
      </c>
      <c r="J109" s="57">
        <v>45247</v>
      </c>
      <c r="K109" s="56" t="s">
        <v>227</v>
      </c>
      <c r="L109" s="56" t="s">
        <v>228</v>
      </c>
    </row>
    <row r="110" spans="1:12" s="54" customFormat="1" hidden="1" x14ac:dyDescent="0.3">
      <c r="A110" s="113" t="s">
        <v>160</v>
      </c>
      <c r="B110" s="113"/>
      <c r="C110" s="113"/>
      <c r="D110" s="113"/>
      <c r="E110" s="113"/>
      <c r="F110" s="112"/>
      <c r="G110" s="112"/>
      <c r="H110" s="112"/>
    </row>
    <row r="111" spans="1:12" s="24" customFormat="1" x14ac:dyDescent="0.3">
      <c r="A111" s="117" t="s">
        <v>211</v>
      </c>
      <c r="B111" s="117"/>
      <c r="C111" s="117"/>
      <c r="D111" s="117"/>
      <c r="E111" s="117"/>
      <c r="F111" s="112">
        <v>14520</v>
      </c>
      <c r="G111" s="112"/>
      <c r="H111" s="112"/>
      <c r="I111" s="24" t="s">
        <v>235</v>
      </c>
    </row>
    <row r="112" spans="1:12" s="54" customFormat="1" x14ac:dyDescent="0.3">
      <c r="A112" s="114" t="s">
        <v>233</v>
      </c>
      <c r="B112" s="113"/>
      <c r="C112" s="113"/>
      <c r="D112" s="113"/>
      <c r="E112" s="113"/>
      <c r="F112" s="112">
        <v>10000</v>
      </c>
      <c r="G112" s="112"/>
      <c r="H112" s="112"/>
    </row>
    <row r="113" spans="1:8" s="54" customFormat="1" x14ac:dyDescent="0.3">
      <c r="A113" s="113" t="s">
        <v>212</v>
      </c>
      <c r="B113" s="113"/>
      <c r="C113" s="113"/>
      <c r="D113" s="113"/>
      <c r="E113" s="113"/>
      <c r="F113" s="112">
        <v>20000</v>
      </c>
      <c r="G113" s="112"/>
      <c r="H113" s="112"/>
    </row>
    <row r="114" spans="1:8" s="54" customFormat="1" x14ac:dyDescent="0.3">
      <c r="A114" s="113" t="s">
        <v>229</v>
      </c>
      <c r="B114" s="113"/>
      <c r="C114" s="113"/>
      <c r="D114" s="113"/>
      <c r="E114" s="113"/>
      <c r="F114" s="112">
        <v>75000</v>
      </c>
      <c r="G114" s="112"/>
      <c r="H114" s="112"/>
    </row>
    <row r="115" spans="1:8" s="54" customFormat="1" x14ac:dyDescent="0.3">
      <c r="A115" s="113" t="s">
        <v>213</v>
      </c>
      <c r="B115" s="113"/>
      <c r="C115" s="113"/>
      <c r="D115" s="113"/>
      <c r="E115" s="113"/>
      <c r="F115" s="112">
        <v>43560</v>
      </c>
      <c r="G115" s="112"/>
      <c r="H115" s="112"/>
    </row>
    <row r="116" spans="1:8" x14ac:dyDescent="0.35">
      <c r="A116" s="117" t="s">
        <v>52</v>
      </c>
      <c r="B116" s="117"/>
      <c r="C116" s="117"/>
      <c r="D116" s="117"/>
      <c r="E116" s="117"/>
      <c r="F116" s="112">
        <v>500000</v>
      </c>
      <c r="G116" s="112"/>
      <c r="H116" s="112"/>
    </row>
    <row r="117" spans="1:8" s="25" customFormat="1" x14ac:dyDescent="0.35">
      <c r="A117" s="125" t="s">
        <v>53</v>
      </c>
      <c r="B117" s="125"/>
      <c r="C117" s="125"/>
      <c r="D117" s="125"/>
      <c r="E117" s="125"/>
      <c r="F117" s="112">
        <f>F108*0.8</f>
        <v>9920</v>
      </c>
      <c r="G117" s="112"/>
      <c r="H117" s="112"/>
    </row>
    <row r="118" spans="1:8" s="26" customFormat="1" ht="15.75" customHeight="1" x14ac:dyDescent="0.35">
      <c r="A118" s="121" t="s">
        <v>77</v>
      </c>
      <c r="B118" s="121"/>
      <c r="C118" s="121"/>
      <c r="D118" s="121"/>
      <c r="E118" s="121"/>
      <c r="F118" s="121"/>
      <c r="G118" s="121"/>
      <c r="H118" s="121"/>
    </row>
    <row r="119" spans="1:8" s="26" customFormat="1" ht="15.75" customHeight="1" x14ac:dyDescent="0.35">
      <c r="A119" s="69" t="s">
        <v>54</v>
      </c>
      <c r="B119" s="69"/>
      <c r="C119" s="68" t="s">
        <v>80</v>
      </c>
      <c r="D119" s="68"/>
      <c r="E119" s="103" t="s">
        <v>55</v>
      </c>
      <c r="F119" s="103"/>
      <c r="G119" s="69" t="s">
        <v>56</v>
      </c>
      <c r="H119" s="69"/>
    </row>
    <row r="120" spans="1:8" s="26" customFormat="1" x14ac:dyDescent="0.35">
      <c r="A120" s="65" t="s">
        <v>205</v>
      </c>
      <c r="B120" s="65"/>
      <c r="C120" s="122">
        <f>COUNT(D137:D144)</f>
        <v>8</v>
      </c>
      <c r="D120" s="66"/>
      <c r="E120" s="67">
        <f>SUM(D137:D144)</f>
        <v>1223.6730479999999</v>
      </c>
      <c r="F120" s="123"/>
      <c r="G120" s="67">
        <f>SUM(F137:F144)</f>
        <v>1957.8768768</v>
      </c>
      <c r="H120" s="123"/>
    </row>
    <row r="121" spans="1:8" s="26" customFormat="1" x14ac:dyDescent="0.35">
      <c r="A121" s="65" t="s">
        <v>204</v>
      </c>
      <c r="B121" s="65"/>
      <c r="C121" s="122">
        <f>COUNT(D148)+COUNT(D150:D152)+COUNT(D154)</f>
        <v>5</v>
      </c>
      <c r="D121" s="66"/>
      <c r="E121" s="67">
        <f>SUM(D148)+SUM(D150:D152)+SUM(D154)</f>
        <v>799.28081999999984</v>
      </c>
      <c r="F121" s="123"/>
      <c r="G121" s="67">
        <f>SUM(F148)+SUM(F150:F152)+SUM(F154)</f>
        <v>1278.8493119999998</v>
      </c>
      <c r="H121" s="123"/>
    </row>
    <row r="122" spans="1:8" s="26" customFormat="1" x14ac:dyDescent="0.35">
      <c r="A122" s="65" t="s">
        <v>206</v>
      </c>
      <c r="B122" s="65"/>
      <c r="C122" s="122">
        <f>COUNT(D149)+COUNT(D153)+COUNT(D155)</f>
        <v>3</v>
      </c>
      <c r="D122" s="66"/>
      <c r="E122" s="67">
        <f>SUM(D149)+SUM(D153)+SUM(D155)</f>
        <v>350.63729999999998</v>
      </c>
      <c r="F122" s="123"/>
      <c r="G122" s="67">
        <f>SUM(F149)+SUM(F153)+SUM(F155)</f>
        <v>561.01968000000011</v>
      </c>
      <c r="H122" s="123"/>
    </row>
    <row r="123" spans="1:8" s="26" customFormat="1" x14ac:dyDescent="0.35">
      <c r="A123" s="121" t="s">
        <v>152</v>
      </c>
      <c r="B123" s="121"/>
      <c r="C123" s="124">
        <f>SUM(C120:D122)</f>
        <v>16</v>
      </c>
      <c r="D123" s="68"/>
      <c r="E123" s="118">
        <f>SUM(E120:F122)</f>
        <v>2373.5911679999995</v>
      </c>
      <c r="F123" s="103"/>
      <c r="G123" s="69">
        <f>SUM(G120:H122)</f>
        <v>3797.7458687999997</v>
      </c>
      <c r="H123" s="69"/>
    </row>
    <row r="124" spans="1:8" s="26" customFormat="1" x14ac:dyDescent="0.35">
      <c r="A124" s="121" t="s">
        <v>72</v>
      </c>
      <c r="B124" s="121"/>
      <c r="C124" s="121"/>
      <c r="D124" s="121"/>
      <c r="E124" s="121"/>
      <c r="F124" s="121"/>
      <c r="G124" s="121"/>
      <c r="H124" s="121"/>
    </row>
    <row r="125" spans="1:8" s="26" customFormat="1" ht="15.75" customHeight="1" x14ac:dyDescent="0.35">
      <c r="A125" s="69" t="s">
        <v>54</v>
      </c>
      <c r="B125" s="69"/>
      <c r="C125" s="68" t="s">
        <v>80</v>
      </c>
      <c r="D125" s="68"/>
      <c r="E125" s="103" t="s">
        <v>55</v>
      </c>
      <c r="F125" s="103"/>
      <c r="G125" s="69" t="s">
        <v>56</v>
      </c>
      <c r="H125" s="69"/>
    </row>
    <row r="126" spans="1:8" s="26" customFormat="1" x14ac:dyDescent="0.35">
      <c r="A126" s="65" t="s">
        <v>187</v>
      </c>
      <c r="B126" s="65"/>
      <c r="C126" s="66">
        <f>COUNT(D161:D169)+COUNT(D171:D179)*19+COUNT(D181:D182)*2+COUNT(D185:D189)*2</f>
        <v>194</v>
      </c>
      <c r="D126" s="66"/>
      <c r="E126" s="67">
        <f>SUM(D161:D169)+SUM(D171:D179)*19+SUM(D181:D182)*2+SUM(D185:D189)*2</f>
        <v>45764.437679999995</v>
      </c>
      <c r="F126" s="67"/>
      <c r="G126" s="67">
        <f>SUM(F161:F169)+SUM(F171:F179)*19+SUM(F181:F182)*2+SUM(F185:F189)*2</f>
        <v>68646.656520000004</v>
      </c>
      <c r="H126" s="67"/>
    </row>
    <row r="127" spans="1:8" s="26" customFormat="1" x14ac:dyDescent="0.35">
      <c r="A127" s="65" t="s">
        <v>191</v>
      </c>
      <c r="B127" s="65"/>
      <c r="C127" s="66">
        <f>COUNT(D192:D197)+COUNT(D199:D204)*19+COUNT(D208:D211)*2</f>
        <v>128</v>
      </c>
      <c r="D127" s="66"/>
      <c r="E127" s="67">
        <f t="shared" ref="E127" si="0">SUM(D192:D197)+SUM(D199:D204)*19+SUM(D208:D211)*2</f>
        <v>32920.617599999998</v>
      </c>
      <c r="F127" s="67"/>
      <c r="G127" s="67">
        <f>SUM(F192:F197)+SUM(F199:F204)*19+SUM(F208:F211)*2</f>
        <v>49380.926399999989</v>
      </c>
      <c r="H127" s="67"/>
    </row>
    <row r="128" spans="1:8" s="26" customFormat="1" x14ac:dyDescent="0.35">
      <c r="A128" s="65" t="s">
        <v>193</v>
      </c>
      <c r="B128" s="65"/>
      <c r="C128" s="66">
        <f>COUNT(D216:D219)+COUNT(D221:D222)+COUNT(D224:D230)*19+COUNT(D232:D233)*2+COUNT(D235:D238)*2</f>
        <v>151</v>
      </c>
      <c r="D128" s="66"/>
      <c r="E128" s="67">
        <f>SUM(D216:D219)+SUM(D221:D222)+SUM(D224:D230)*19+SUM(D232:D233)*2+SUM(D235:D238)*2</f>
        <v>33254.086320000009</v>
      </c>
      <c r="F128" s="67"/>
      <c r="G128" s="67">
        <f>SUM(F216:F219)+SUM(F221:F222)+SUM(F224:F230)*19+SUM(F232:F233)*2+SUM(F235:F238)*2</f>
        <v>49881.129480000003</v>
      </c>
      <c r="H128" s="67"/>
    </row>
    <row r="129" spans="1:14" s="26" customFormat="1" x14ac:dyDescent="0.35">
      <c r="A129" s="121" t="s">
        <v>152</v>
      </c>
      <c r="B129" s="121"/>
      <c r="C129" s="68">
        <f>SUM(C126:D128)</f>
        <v>473</v>
      </c>
      <c r="D129" s="68"/>
      <c r="E129" s="67">
        <f>SUM(E126:F128)</f>
        <v>111939.1416</v>
      </c>
      <c r="F129" s="67"/>
      <c r="G129" s="69">
        <f>SUM(G126:H128)</f>
        <v>167908.71239999999</v>
      </c>
      <c r="H129" s="69"/>
    </row>
    <row r="130" spans="1:14" s="25" customFormat="1" x14ac:dyDescent="0.35">
      <c r="A130" s="148" t="s">
        <v>57</v>
      </c>
      <c r="B130" s="148"/>
      <c r="C130" s="148"/>
      <c r="D130" s="148"/>
      <c r="E130" s="148"/>
      <c r="F130" s="148"/>
      <c r="G130" s="148"/>
      <c r="H130" s="148"/>
    </row>
    <row r="131" spans="1:14" x14ac:dyDescent="0.35">
      <c r="A131" s="148" t="s">
        <v>58</v>
      </c>
      <c r="B131" s="148"/>
      <c r="C131" s="148"/>
      <c r="D131" s="148"/>
      <c r="E131" s="148"/>
      <c r="F131" s="148"/>
      <c r="G131" s="148"/>
      <c r="H131" s="148"/>
    </row>
    <row r="132" spans="1:14" ht="47.25" customHeight="1" x14ac:dyDescent="0.35">
      <c r="A132" s="74" t="s">
        <v>118</v>
      </c>
      <c r="B132" s="74" t="s">
        <v>188</v>
      </c>
      <c r="C132" s="74" t="s">
        <v>59</v>
      </c>
      <c r="D132" s="74" t="s">
        <v>60</v>
      </c>
      <c r="E132" s="190" t="s">
        <v>158</v>
      </c>
      <c r="F132" s="34" t="s">
        <v>151</v>
      </c>
      <c r="G132" s="70" t="s">
        <v>62</v>
      </c>
      <c r="H132" s="71"/>
    </row>
    <row r="133" spans="1:14" s="28" customFormat="1" x14ac:dyDescent="0.35">
      <c r="A133" s="75"/>
      <c r="B133" s="75"/>
      <c r="C133" s="75"/>
      <c r="D133" s="75"/>
      <c r="E133" s="191"/>
      <c r="F133" s="13">
        <v>0.6</v>
      </c>
      <c r="G133" s="72"/>
      <c r="H133" s="73"/>
    </row>
    <row r="134" spans="1:14" s="28" customFormat="1" x14ac:dyDescent="0.35">
      <c r="A134" s="62" t="s">
        <v>187</v>
      </c>
      <c r="B134" s="63"/>
      <c r="C134" s="63"/>
      <c r="D134" s="63"/>
      <c r="E134" s="63"/>
      <c r="F134" s="63"/>
      <c r="G134" s="63"/>
      <c r="H134" s="64"/>
      <c r="J134" s="27"/>
    </row>
    <row r="135" spans="1:14" s="28" customFormat="1" x14ac:dyDescent="0.35">
      <c r="A135" s="62" t="s">
        <v>195</v>
      </c>
      <c r="B135" s="63"/>
      <c r="C135" s="63"/>
      <c r="D135" s="63"/>
      <c r="E135" s="63"/>
      <c r="F135" s="63"/>
      <c r="G135" s="63"/>
      <c r="H135" s="64"/>
      <c r="J135" s="27"/>
    </row>
    <row r="136" spans="1:14" s="28" customFormat="1" x14ac:dyDescent="0.35">
      <c r="A136" s="62" t="s">
        <v>117</v>
      </c>
      <c r="B136" s="63"/>
      <c r="C136" s="63"/>
      <c r="D136" s="63"/>
      <c r="E136" s="63"/>
      <c r="F136" s="63"/>
      <c r="G136" s="63"/>
      <c r="H136" s="64"/>
      <c r="J136" s="27"/>
    </row>
    <row r="137" spans="1:14" s="28" customFormat="1" ht="15.75" customHeight="1" x14ac:dyDescent="0.35">
      <c r="A137" s="33">
        <v>1</v>
      </c>
      <c r="B137" s="33" t="s">
        <v>189</v>
      </c>
      <c r="C137" s="33" t="s">
        <v>190</v>
      </c>
      <c r="D137" s="33">
        <f>(3.37*3.85+0.9*1.2+1*1.2)*10.764</f>
        <v>164.19943799999999</v>
      </c>
      <c r="E137" s="33">
        <v>0</v>
      </c>
      <c r="F137" s="33">
        <f>(D137+E137)*(($F$133)+1)</f>
        <v>262.71910079999998</v>
      </c>
      <c r="G137" s="76" t="str">
        <f>A136</f>
        <v>Ground Floor</v>
      </c>
      <c r="H137" s="77"/>
      <c r="I137" s="27"/>
      <c r="L137" s="195"/>
      <c r="M137" s="195"/>
      <c r="N137" s="27"/>
    </row>
    <row r="138" spans="1:14" s="28" customFormat="1" ht="15.75" customHeight="1" x14ac:dyDescent="0.35">
      <c r="A138" s="33">
        <v>2</v>
      </c>
      <c r="B138" s="33" t="s">
        <v>189</v>
      </c>
      <c r="C138" s="33" t="s">
        <v>190</v>
      </c>
      <c r="D138" s="33">
        <f>(3.375*5.05)*10.764</f>
        <v>183.45892499999999</v>
      </c>
      <c r="E138" s="33">
        <v>0</v>
      </c>
      <c r="F138" s="33">
        <f t="shared" ref="F138:F140" si="1">(D138+E138)*(($F$133)+1)</f>
        <v>293.53428000000002</v>
      </c>
      <c r="G138" s="78"/>
      <c r="H138" s="79"/>
      <c r="I138" s="27"/>
      <c r="L138" s="195"/>
      <c r="M138" s="195"/>
      <c r="N138" s="27"/>
    </row>
    <row r="139" spans="1:14" s="28" customFormat="1" ht="15.75" customHeight="1" x14ac:dyDescent="0.35">
      <c r="A139" s="33">
        <v>3</v>
      </c>
      <c r="B139" s="33" t="s">
        <v>189</v>
      </c>
      <c r="C139" s="33" t="s">
        <v>190</v>
      </c>
      <c r="D139" s="33">
        <f>(2.425*5.05)*10.764</f>
        <v>131.81863499999997</v>
      </c>
      <c r="E139" s="33">
        <v>0</v>
      </c>
      <c r="F139" s="33">
        <f t="shared" si="1"/>
        <v>210.90981599999998</v>
      </c>
      <c r="G139" s="78"/>
      <c r="H139" s="79"/>
      <c r="I139" s="27"/>
      <c r="L139" s="195"/>
      <c r="M139" s="195"/>
      <c r="N139" s="27"/>
    </row>
    <row r="140" spans="1:14" s="28" customFormat="1" ht="15.75" customHeight="1" x14ac:dyDescent="0.35">
      <c r="A140" s="33">
        <v>4</v>
      </c>
      <c r="B140" s="33" t="s">
        <v>189</v>
      </c>
      <c r="C140" s="33" t="s">
        <v>190</v>
      </c>
      <c r="D140" s="33">
        <f>(2.425*4.275+1.1*1.2+0.6*1.25)*10.764</f>
        <v>133.87052249999999</v>
      </c>
      <c r="E140" s="33">
        <v>0</v>
      </c>
      <c r="F140" s="33">
        <f t="shared" si="1"/>
        <v>214.192836</v>
      </c>
      <c r="G140" s="78"/>
      <c r="H140" s="79"/>
      <c r="I140" s="27"/>
      <c r="L140" s="195"/>
      <c r="M140" s="195"/>
      <c r="N140" s="27"/>
    </row>
    <row r="141" spans="1:14" s="28" customFormat="1" ht="15.75" customHeight="1" x14ac:dyDescent="0.35">
      <c r="A141" s="33">
        <v>5</v>
      </c>
      <c r="B141" s="33" t="s">
        <v>189</v>
      </c>
      <c r="C141" s="33" t="s">
        <v>190</v>
      </c>
      <c r="D141" s="33">
        <f>(2.425*4.275+1.1*1.2+0.6*1.25)*10.764</f>
        <v>133.87052249999999</v>
      </c>
      <c r="E141" s="33">
        <v>0</v>
      </c>
      <c r="F141" s="33">
        <f>(D141+E141)*(($F$133)+1)</f>
        <v>214.192836</v>
      </c>
      <c r="G141" s="78"/>
      <c r="H141" s="79"/>
      <c r="I141" s="27"/>
      <c r="L141" s="195"/>
      <c r="M141" s="195"/>
      <c r="N141" s="27"/>
    </row>
    <row r="142" spans="1:14" s="28" customFormat="1" ht="15.75" customHeight="1" x14ac:dyDescent="0.35">
      <c r="A142" s="33">
        <v>6</v>
      </c>
      <c r="B142" s="33" t="s">
        <v>189</v>
      </c>
      <c r="C142" s="33" t="s">
        <v>190</v>
      </c>
      <c r="D142" s="33">
        <f>(2.425*5.05)*10.764</f>
        <v>131.81863499999997</v>
      </c>
      <c r="E142" s="33">
        <v>0</v>
      </c>
      <c r="F142" s="33">
        <f t="shared" ref="F142:F144" si="2">(D142+E142)*(($F$133)+1)</f>
        <v>210.90981599999998</v>
      </c>
      <c r="G142" s="78"/>
      <c r="H142" s="79"/>
      <c r="I142" s="27"/>
      <c r="L142" s="195"/>
      <c r="M142" s="195"/>
      <c r="N142" s="27"/>
    </row>
    <row r="143" spans="1:14" s="28" customFormat="1" ht="15.75" customHeight="1" x14ac:dyDescent="0.35">
      <c r="A143" s="33">
        <v>7</v>
      </c>
      <c r="B143" s="33" t="s">
        <v>189</v>
      </c>
      <c r="C143" s="33" t="s">
        <v>190</v>
      </c>
      <c r="D143" s="33">
        <f>(3.375*5.05)*10.764</f>
        <v>183.45892499999999</v>
      </c>
      <c r="E143" s="33">
        <v>0</v>
      </c>
      <c r="F143" s="33">
        <f t="shared" si="2"/>
        <v>293.53428000000002</v>
      </c>
      <c r="G143" s="78"/>
      <c r="H143" s="79"/>
      <c r="I143" s="27"/>
      <c r="L143" s="195"/>
      <c r="M143" s="195"/>
      <c r="N143" s="27"/>
    </row>
    <row r="144" spans="1:14" s="28" customFormat="1" ht="15.75" customHeight="1" x14ac:dyDescent="0.35">
      <c r="A144" s="33">
        <v>8</v>
      </c>
      <c r="B144" s="33" t="s">
        <v>189</v>
      </c>
      <c r="C144" s="33" t="s">
        <v>190</v>
      </c>
      <c r="D144" s="33">
        <f>(3.375*3.85+1.2*0.9+1.2*0.75)*10.764</f>
        <v>161.17744500000001</v>
      </c>
      <c r="E144" s="33">
        <v>0</v>
      </c>
      <c r="F144" s="33">
        <f t="shared" si="2"/>
        <v>257.88391200000001</v>
      </c>
      <c r="G144" s="80"/>
      <c r="H144" s="81"/>
      <c r="I144" s="27"/>
      <c r="L144" s="195"/>
      <c r="M144" s="195"/>
      <c r="N144" s="27"/>
    </row>
    <row r="145" spans="1:14" s="28" customFormat="1" x14ac:dyDescent="0.35">
      <c r="A145" s="62" t="s">
        <v>191</v>
      </c>
      <c r="B145" s="63"/>
      <c r="C145" s="63"/>
      <c r="D145" s="63"/>
      <c r="E145" s="63"/>
      <c r="F145" s="63"/>
      <c r="G145" s="63"/>
      <c r="H145" s="64"/>
      <c r="J145" s="27"/>
    </row>
    <row r="146" spans="1:14" s="28" customFormat="1" x14ac:dyDescent="0.35">
      <c r="A146" s="62" t="s">
        <v>195</v>
      </c>
      <c r="B146" s="63"/>
      <c r="C146" s="63"/>
      <c r="D146" s="63"/>
      <c r="E146" s="63"/>
      <c r="F146" s="63"/>
      <c r="G146" s="63"/>
      <c r="H146" s="64"/>
      <c r="J146" s="27"/>
    </row>
    <row r="147" spans="1:14" s="28" customFormat="1" x14ac:dyDescent="0.35">
      <c r="A147" s="62" t="s">
        <v>117</v>
      </c>
      <c r="B147" s="63"/>
      <c r="C147" s="63"/>
      <c r="D147" s="63"/>
      <c r="E147" s="63"/>
      <c r="F147" s="63"/>
      <c r="G147" s="63"/>
      <c r="H147" s="64"/>
      <c r="J147" s="27"/>
    </row>
    <row r="148" spans="1:14" s="28" customFormat="1" ht="15.75" customHeight="1" x14ac:dyDescent="0.35">
      <c r="A148" s="33">
        <v>29</v>
      </c>
      <c r="B148" s="33" t="s">
        <v>189</v>
      </c>
      <c r="C148" s="33" t="s">
        <v>190</v>
      </c>
      <c r="D148" s="33">
        <f>20.9*10.764</f>
        <v>224.96759999999998</v>
      </c>
      <c r="E148" s="33">
        <v>0</v>
      </c>
      <c r="F148" s="33">
        <f>(D148+E148)*(($F$133)+1)</f>
        <v>359.94815999999997</v>
      </c>
      <c r="G148" s="76" t="str">
        <f>A147</f>
        <v>Ground Floor</v>
      </c>
      <c r="H148" s="77"/>
      <c r="I148" s="27"/>
      <c r="L148" s="195"/>
      <c r="M148" s="195"/>
      <c r="N148" s="27"/>
    </row>
    <row r="149" spans="1:14" s="28" customFormat="1" ht="15.75" customHeight="1" x14ac:dyDescent="0.35">
      <c r="A149" s="33">
        <v>30</v>
      </c>
      <c r="B149" s="33" t="s">
        <v>192</v>
      </c>
      <c r="C149" s="33" t="s">
        <v>190</v>
      </c>
      <c r="D149" s="33">
        <f>5.76*10.764</f>
        <v>62.000639999999997</v>
      </c>
      <c r="E149" s="33">
        <v>0</v>
      </c>
      <c r="F149" s="33">
        <f t="shared" ref="F149:F151" si="3">(D149+E149)*(($F$133)+1)</f>
        <v>99.201024000000004</v>
      </c>
      <c r="G149" s="78"/>
      <c r="H149" s="79"/>
      <c r="I149" s="27"/>
      <c r="L149" s="195"/>
      <c r="M149" s="195"/>
      <c r="N149" s="27"/>
    </row>
    <row r="150" spans="1:14" s="28" customFormat="1" ht="15.75" customHeight="1" x14ac:dyDescent="0.35">
      <c r="A150" s="33">
        <v>31</v>
      </c>
      <c r="B150" s="33" t="s">
        <v>189</v>
      </c>
      <c r="C150" s="33" t="s">
        <v>190</v>
      </c>
      <c r="D150" s="33">
        <f>7.64*10.764</f>
        <v>82.236959999999996</v>
      </c>
      <c r="E150" s="33">
        <v>0</v>
      </c>
      <c r="F150" s="33">
        <f t="shared" si="3"/>
        <v>131.57913600000001</v>
      </c>
      <c r="G150" s="78"/>
      <c r="H150" s="79"/>
      <c r="I150" s="27"/>
      <c r="L150" s="195"/>
      <c r="M150" s="195"/>
      <c r="N150" s="27"/>
    </row>
    <row r="151" spans="1:14" s="28" customFormat="1" ht="15.75" customHeight="1" x14ac:dyDescent="0.35">
      <c r="A151" s="33">
        <v>32</v>
      </c>
      <c r="B151" s="33" t="s">
        <v>189</v>
      </c>
      <c r="C151" s="33" t="s">
        <v>190</v>
      </c>
      <c r="D151" s="33">
        <f>20.9*10.764</f>
        <v>224.96759999999998</v>
      </c>
      <c r="E151" s="33">
        <v>0</v>
      </c>
      <c r="F151" s="33">
        <f t="shared" si="3"/>
        <v>359.94815999999997</v>
      </c>
      <c r="G151" s="78"/>
      <c r="H151" s="79"/>
      <c r="I151" s="27"/>
      <c r="L151" s="195"/>
      <c r="M151" s="195"/>
      <c r="N151" s="27"/>
    </row>
    <row r="152" spans="1:14" s="28" customFormat="1" ht="15.75" customHeight="1" x14ac:dyDescent="0.35">
      <c r="A152" s="33">
        <v>33</v>
      </c>
      <c r="B152" s="33" t="s">
        <v>189</v>
      </c>
      <c r="C152" s="33" t="s">
        <v>190</v>
      </c>
      <c r="D152" s="33">
        <f>20.76*10.764</f>
        <v>223.46064000000001</v>
      </c>
      <c r="E152" s="33">
        <v>0</v>
      </c>
      <c r="F152" s="33">
        <f>(D152+E152)*(($F$133)+1)</f>
        <v>357.53702400000003</v>
      </c>
      <c r="G152" s="78"/>
      <c r="H152" s="79"/>
      <c r="I152" s="27"/>
      <c r="L152" s="195"/>
      <c r="M152" s="195"/>
      <c r="N152" s="27"/>
    </row>
    <row r="153" spans="1:14" s="28" customFormat="1" ht="15.75" customHeight="1" x14ac:dyDescent="0.35">
      <c r="A153" s="33">
        <v>34</v>
      </c>
      <c r="B153" s="33" t="s">
        <v>192</v>
      </c>
      <c r="C153" s="33" t="s">
        <v>190</v>
      </c>
      <c r="D153" s="33">
        <f>6.515*10.764</f>
        <v>70.127459999999999</v>
      </c>
      <c r="E153" s="33">
        <v>0</v>
      </c>
      <c r="F153" s="33">
        <f t="shared" ref="F153:F155" si="4">(D153+E153)*(($F$133)+1)</f>
        <v>112.203936</v>
      </c>
      <c r="G153" s="78"/>
      <c r="H153" s="79"/>
      <c r="I153" s="27"/>
      <c r="L153" s="195"/>
      <c r="M153" s="195"/>
      <c r="N153" s="27"/>
    </row>
    <row r="154" spans="1:14" s="28" customFormat="1" ht="15.75" customHeight="1" x14ac:dyDescent="0.35">
      <c r="A154" s="33">
        <v>35</v>
      </c>
      <c r="B154" s="33" t="s">
        <v>189</v>
      </c>
      <c r="C154" s="33" t="s">
        <v>190</v>
      </c>
      <c r="D154" s="33">
        <f>4.055*10.764</f>
        <v>43.648019999999995</v>
      </c>
      <c r="E154" s="33">
        <v>0</v>
      </c>
      <c r="F154" s="33">
        <f t="shared" si="4"/>
        <v>69.836832000000001</v>
      </c>
      <c r="G154" s="78"/>
      <c r="H154" s="79"/>
      <c r="I154" s="27"/>
      <c r="L154" s="195"/>
      <c r="M154" s="195"/>
      <c r="N154" s="27"/>
    </row>
    <row r="155" spans="1:14" s="28" customFormat="1" ht="15.75" customHeight="1" x14ac:dyDescent="0.35">
      <c r="A155" s="33">
        <v>36</v>
      </c>
      <c r="B155" s="33" t="s">
        <v>192</v>
      </c>
      <c r="C155" s="33" t="s">
        <v>190</v>
      </c>
      <c r="D155" s="33">
        <f>20.3*10.764</f>
        <v>218.50919999999999</v>
      </c>
      <c r="E155" s="33">
        <v>0</v>
      </c>
      <c r="F155" s="33">
        <f t="shared" si="4"/>
        <v>349.61472000000003</v>
      </c>
      <c r="G155" s="80"/>
      <c r="H155" s="81"/>
      <c r="I155" s="27"/>
      <c r="L155" s="195"/>
      <c r="M155" s="195"/>
      <c r="N155" s="27"/>
    </row>
    <row r="156" spans="1:14" s="28" customFormat="1" x14ac:dyDescent="0.35">
      <c r="A156" s="60"/>
      <c r="B156" s="170"/>
      <c r="C156" s="170"/>
      <c r="D156" s="170"/>
      <c r="E156" s="170"/>
      <c r="F156" s="170"/>
      <c r="G156" s="170"/>
      <c r="H156" s="61"/>
      <c r="I156" s="27"/>
      <c r="N156" s="27"/>
    </row>
    <row r="157" spans="1:14" ht="47.25" customHeight="1" x14ac:dyDescent="0.35">
      <c r="A157" s="70" t="s">
        <v>119</v>
      </c>
      <c r="B157" s="70" t="s">
        <v>120</v>
      </c>
      <c r="C157" s="74" t="s">
        <v>59</v>
      </c>
      <c r="D157" s="74" t="s">
        <v>60</v>
      </c>
      <c r="E157" s="190" t="s">
        <v>61</v>
      </c>
      <c r="F157" s="34" t="s">
        <v>151</v>
      </c>
      <c r="G157" s="70" t="s">
        <v>62</v>
      </c>
      <c r="H157" s="71"/>
      <c r="I157" s="27"/>
    </row>
    <row r="158" spans="1:14" s="28" customFormat="1" x14ac:dyDescent="0.35">
      <c r="A158" s="72"/>
      <c r="B158" s="72"/>
      <c r="C158" s="75"/>
      <c r="D158" s="75"/>
      <c r="E158" s="191"/>
      <c r="F158" s="13">
        <v>0.5</v>
      </c>
      <c r="G158" s="72"/>
      <c r="H158" s="73"/>
      <c r="I158" s="27"/>
    </row>
    <row r="159" spans="1:14" s="28" customFormat="1" x14ac:dyDescent="0.35">
      <c r="A159" s="62" t="s">
        <v>187</v>
      </c>
      <c r="B159" s="63"/>
      <c r="C159" s="63"/>
      <c r="D159" s="63"/>
      <c r="E159" s="63"/>
      <c r="F159" s="63"/>
      <c r="G159" s="63"/>
      <c r="H159" s="64"/>
      <c r="J159" s="27"/>
    </row>
    <row r="160" spans="1:14" s="28" customFormat="1" x14ac:dyDescent="0.35">
      <c r="A160" s="62" t="s">
        <v>196</v>
      </c>
      <c r="B160" s="63"/>
      <c r="C160" s="63"/>
      <c r="D160" s="63"/>
      <c r="E160" s="63"/>
      <c r="F160" s="63"/>
      <c r="G160" s="63"/>
      <c r="H160" s="64"/>
      <c r="J160" s="27"/>
    </row>
    <row r="161" spans="1:14" s="28" customFormat="1" ht="15.75" customHeight="1" x14ac:dyDescent="0.35">
      <c r="A161" s="60">
        <v>1</v>
      </c>
      <c r="B161" s="61"/>
      <c r="C161" s="33" t="s">
        <v>197</v>
      </c>
      <c r="D161" s="33">
        <f>26.44*10.764</f>
        <v>284.60016000000002</v>
      </c>
      <c r="E161" s="33">
        <v>0</v>
      </c>
      <c r="F161" s="33">
        <f t="shared" ref="F161:F169" si="5">D161*(($F$158)+1)+(IF(E161&lt;101,E161,IF(E161&lt;201,E161/2,IF(E161&lt;=301,E161/3,E161/4))))</f>
        <v>426.90024000000005</v>
      </c>
      <c r="G161" s="76" t="str">
        <f>A160</f>
        <v>1st Floor For Residential</v>
      </c>
      <c r="H161" s="77"/>
      <c r="I161" s="27"/>
      <c r="L161" s="195"/>
      <c r="M161" s="195"/>
      <c r="N161" s="27"/>
    </row>
    <row r="162" spans="1:14" s="28" customFormat="1" ht="15.75" customHeight="1" x14ac:dyDescent="0.35">
      <c r="A162" s="60">
        <f t="shared" ref="A162:A169" si="6">A161+1</f>
        <v>2</v>
      </c>
      <c r="B162" s="61"/>
      <c r="C162" s="33" t="s">
        <v>198</v>
      </c>
      <c r="D162" s="33">
        <f>22.56*10.764</f>
        <v>242.83583999999996</v>
      </c>
      <c r="E162" s="33">
        <v>0</v>
      </c>
      <c r="F162" s="33">
        <f t="shared" si="5"/>
        <v>364.25375999999994</v>
      </c>
      <c r="G162" s="78"/>
      <c r="H162" s="79"/>
      <c r="I162" s="27"/>
      <c r="L162" s="195"/>
      <c r="M162" s="195"/>
      <c r="N162" s="27"/>
    </row>
    <row r="163" spans="1:14" s="28" customFormat="1" ht="15.75" customHeight="1" x14ac:dyDescent="0.35">
      <c r="A163" s="60">
        <f t="shared" si="6"/>
        <v>3</v>
      </c>
      <c r="B163" s="61"/>
      <c r="C163" s="33" t="s">
        <v>198</v>
      </c>
      <c r="D163" s="33">
        <f>22.56*10.764</f>
        <v>242.83583999999996</v>
      </c>
      <c r="E163" s="33">
        <v>0</v>
      </c>
      <c r="F163" s="33">
        <f t="shared" si="5"/>
        <v>364.25375999999994</v>
      </c>
      <c r="G163" s="78"/>
      <c r="H163" s="79"/>
      <c r="I163" s="27"/>
      <c r="L163" s="195"/>
      <c r="M163" s="195"/>
      <c r="N163" s="27"/>
    </row>
    <row r="164" spans="1:14" s="28" customFormat="1" ht="15.75" customHeight="1" x14ac:dyDescent="0.35">
      <c r="A164" s="60">
        <f t="shared" si="6"/>
        <v>4</v>
      </c>
      <c r="B164" s="61"/>
      <c r="C164" s="33" t="s">
        <v>197</v>
      </c>
      <c r="D164" s="33">
        <f>26.44*10.764</f>
        <v>284.60016000000002</v>
      </c>
      <c r="E164" s="33">
        <v>0</v>
      </c>
      <c r="F164" s="33">
        <f t="shared" si="5"/>
        <v>426.90024000000005</v>
      </c>
      <c r="G164" s="78"/>
      <c r="H164" s="79"/>
      <c r="I164" s="38"/>
      <c r="L164" s="195"/>
      <c r="M164" s="195"/>
      <c r="N164" s="27"/>
    </row>
    <row r="165" spans="1:14" s="28" customFormat="1" ht="15.75" customHeight="1" x14ac:dyDescent="0.35">
      <c r="A165" s="60">
        <f t="shared" si="6"/>
        <v>5</v>
      </c>
      <c r="B165" s="61"/>
      <c r="C165" s="33" t="s">
        <v>198</v>
      </c>
      <c r="D165" s="33">
        <f>22.56*10.764</f>
        <v>242.83583999999996</v>
      </c>
      <c r="E165" s="33">
        <v>0</v>
      </c>
      <c r="F165" s="33">
        <f t="shared" si="5"/>
        <v>364.25375999999994</v>
      </c>
      <c r="G165" s="78"/>
      <c r="H165" s="79"/>
      <c r="I165" s="27"/>
      <c r="L165" s="195"/>
      <c r="M165" s="195"/>
      <c r="N165" s="27"/>
    </row>
    <row r="166" spans="1:14" s="28" customFormat="1" ht="15.75" customHeight="1" x14ac:dyDescent="0.35">
      <c r="A166" s="60">
        <f t="shared" si="6"/>
        <v>6</v>
      </c>
      <c r="B166" s="61"/>
      <c r="C166" s="33" t="s">
        <v>198</v>
      </c>
      <c r="D166" s="33">
        <f>22.56*10.764</f>
        <v>242.83583999999996</v>
      </c>
      <c r="E166" s="33">
        <v>0</v>
      </c>
      <c r="F166" s="33">
        <f t="shared" si="5"/>
        <v>364.25375999999994</v>
      </c>
      <c r="G166" s="78"/>
      <c r="H166" s="79"/>
      <c r="I166" s="27"/>
      <c r="L166" s="195"/>
      <c r="M166" s="195"/>
      <c r="N166" s="27"/>
    </row>
    <row r="167" spans="1:14" s="28" customFormat="1" ht="15.75" customHeight="1" x14ac:dyDescent="0.35">
      <c r="A167" s="60">
        <f t="shared" si="6"/>
        <v>7</v>
      </c>
      <c r="B167" s="61"/>
      <c r="C167" s="33" t="s">
        <v>198</v>
      </c>
      <c r="D167" s="33">
        <f>16.06*10.764</f>
        <v>172.86983999999998</v>
      </c>
      <c r="E167" s="33">
        <v>0</v>
      </c>
      <c r="F167" s="33">
        <f t="shared" si="5"/>
        <v>259.30475999999999</v>
      </c>
      <c r="G167" s="78"/>
      <c r="H167" s="79"/>
      <c r="I167" s="27"/>
      <c r="L167" s="195"/>
      <c r="M167" s="195"/>
      <c r="N167" s="27"/>
    </row>
    <row r="168" spans="1:14" s="28" customFormat="1" ht="15.75" customHeight="1" x14ac:dyDescent="0.35">
      <c r="A168" s="60">
        <f t="shared" si="6"/>
        <v>8</v>
      </c>
      <c r="B168" s="61"/>
      <c r="C168" s="33" t="s">
        <v>198</v>
      </c>
      <c r="D168" s="33">
        <f>16.06*10.764</f>
        <v>172.86983999999998</v>
      </c>
      <c r="E168" s="33">
        <v>0</v>
      </c>
      <c r="F168" s="33">
        <f t="shared" si="5"/>
        <v>259.30475999999999</v>
      </c>
      <c r="G168" s="78"/>
      <c r="H168" s="79"/>
      <c r="I168" s="27"/>
      <c r="L168" s="195"/>
      <c r="M168" s="195"/>
      <c r="N168" s="27"/>
    </row>
    <row r="169" spans="1:14" s="28" customFormat="1" ht="15.75" customHeight="1" x14ac:dyDescent="0.35">
      <c r="A169" s="60">
        <f t="shared" si="6"/>
        <v>9</v>
      </c>
      <c r="B169" s="61"/>
      <c r="C169" s="33" t="s">
        <v>198</v>
      </c>
      <c r="D169" s="33">
        <f>22.47*10.764</f>
        <v>241.86707999999999</v>
      </c>
      <c r="E169" s="33">
        <v>0</v>
      </c>
      <c r="F169" s="33">
        <f t="shared" si="5"/>
        <v>362.80061999999998</v>
      </c>
      <c r="G169" s="80"/>
      <c r="H169" s="81"/>
      <c r="I169" s="38"/>
      <c r="L169" s="195"/>
      <c r="M169" s="195"/>
      <c r="N169" s="27"/>
    </row>
    <row r="170" spans="1:14" s="28" customFormat="1" x14ac:dyDescent="0.35">
      <c r="A170" s="62" t="s">
        <v>201</v>
      </c>
      <c r="B170" s="63"/>
      <c r="C170" s="63"/>
      <c r="D170" s="63"/>
      <c r="E170" s="63"/>
      <c r="F170" s="63"/>
      <c r="G170" s="63"/>
      <c r="H170" s="64"/>
      <c r="J170" s="27"/>
    </row>
    <row r="171" spans="1:14" s="28" customFormat="1" ht="15.75" customHeight="1" x14ac:dyDescent="0.35">
      <c r="A171" s="60">
        <v>1</v>
      </c>
      <c r="B171" s="61"/>
      <c r="C171" s="33" t="s">
        <v>197</v>
      </c>
      <c r="D171" s="33">
        <f>26.44*10.764</f>
        <v>284.60016000000002</v>
      </c>
      <c r="E171" s="33">
        <v>0</v>
      </c>
      <c r="F171" s="33">
        <f t="shared" ref="F171:F179" si="7">D171*(($F$158)+1)+(IF(E171&lt;101,E171,IF(E171&lt;201,E171/2,IF(E171&lt;=301,E171/3,E171/4))))</f>
        <v>426.90024000000005</v>
      </c>
      <c r="G171" s="76" t="str">
        <f>A170</f>
        <v>2nd to 7th, 9th to 14th, 16th to 22nd Floor</v>
      </c>
      <c r="H171" s="77"/>
      <c r="I171" s="27">
        <f>3702600/F171</f>
        <v>8673.2207037409953</v>
      </c>
      <c r="L171" s="195"/>
      <c r="M171" s="195"/>
      <c r="N171" s="27"/>
    </row>
    <row r="172" spans="1:14" s="28" customFormat="1" ht="15.75" customHeight="1" x14ac:dyDescent="0.35">
      <c r="A172" s="60">
        <f t="shared" ref="A172:A179" si="8">A171+1</f>
        <v>2</v>
      </c>
      <c r="B172" s="61"/>
      <c r="C172" s="33" t="s">
        <v>198</v>
      </c>
      <c r="D172" s="33">
        <f>22.56*10.764</f>
        <v>242.83583999999996</v>
      </c>
      <c r="E172" s="33">
        <v>0</v>
      </c>
      <c r="F172" s="33">
        <f t="shared" si="7"/>
        <v>364.25375999999994</v>
      </c>
      <c r="G172" s="78"/>
      <c r="H172" s="79"/>
      <c r="I172" s="27">
        <f>2318200/F172</f>
        <v>6364.2445310653766</v>
      </c>
      <c r="L172" s="195"/>
      <c r="M172" s="195"/>
      <c r="N172" s="27"/>
    </row>
    <row r="173" spans="1:14" s="28" customFormat="1" ht="15.75" customHeight="1" x14ac:dyDescent="0.35">
      <c r="A173" s="60">
        <f t="shared" si="8"/>
        <v>3</v>
      </c>
      <c r="B173" s="61"/>
      <c r="C173" s="33" t="s">
        <v>198</v>
      </c>
      <c r="D173" s="33">
        <f>22.56*10.764</f>
        <v>242.83583999999996</v>
      </c>
      <c r="E173" s="33">
        <v>0</v>
      </c>
      <c r="F173" s="33">
        <f t="shared" si="7"/>
        <v>364.25375999999994</v>
      </c>
      <c r="G173" s="78"/>
      <c r="H173" s="79"/>
      <c r="I173" s="27"/>
      <c r="L173" s="195"/>
      <c r="M173" s="195"/>
      <c r="N173" s="27"/>
    </row>
    <row r="174" spans="1:14" s="28" customFormat="1" ht="15.75" customHeight="1" x14ac:dyDescent="0.35">
      <c r="A174" s="60">
        <f t="shared" si="8"/>
        <v>4</v>
      </c>
      <c r="B174" s="61"/>
      <c r="C174" s="33" t="s">
        <v>197</v>
      </c>
      <c r="D174" s="33">
        <f>26.44*10.764</f>
        <v>284.60016000000002</v>
      </c>
      <c r="E174" s="33">
        <v>0</v>
      </c>
      <c r="F174" s="33">
        <f t="shared" si="7"/>
        <v>426.90024000000005</v>
      </c>
      <c r="G174" s="78"/>
      <c r="H174" s="79"/>
      <c r="I174" s="38"/>
      <c r="L174" s="195"/>
      <c r="M174" s="195"/>
      <c r="N174" s="27"/>
    </row>
    <row r="175" spans="1:14" s="28" customFormat="1" ht="15.75" customHeight="1" x14ac:dyDescent="0.35">
      <c r="A175" s="60">
        <f t="shared" si="8"/>
        <v>5</v>
      </c>
      <c r="B175" s="61"/>
      <c r="C175" s="33" t="s">
        <v>198</v>
      </c>
      <c r="D175" s="33">
        <f>22.56*10.764</f>
        <v>242.83583999999996</v>
      </c>
      <c r="E175" s="33">
        <v>0</v>
      </c>
      <c r="F175" s="33">
        <f t="shared" si="7"/>
        <v>364.25375999999994</v>
      </c>
      <c r="G175" s="78"/>
      <c r="H175" s="79"/>
      <c r="I175" s="27"/>
      <c r="L175" s="195"/>
      <c r="M175" s="195"/>
      <c r="N175" s="27"/>
    </row>
    <row r="176" spans="1:14" s="28" customFormat="1" ht="15.75" customHeight="1" x14ac:dyDescent="0.35">
      <c r="A176" s="60">
        <f t="shared" si="8"/>
        <v>6</v>
      </c>
      <c r="B176" s="61"/>
      <c r="C176" s="33" t="s">
        <v>198</v>
      </c>
      <c r="D176" s="33">
        <f>22.56*10.764</f>
        <v>242.83583999999996</v>
      </c>
      <c r="E176" s="33">
        <v>0</v>
      </c>
      <c r="F176" s="33">
        <f t="shared" si="7"/>
        <v>364.25375999999994</v>
      </c>
      <c r="G176" s="78"/>
      <c r="H176" s="79"/>
      <c r="I176" s="27">
        <f>3702600/F176</f>
        <v>10164.891640377304</v>
      </c>
      <c r="L176" s="195"/>
      <c r="M176" s="195"/>
      <c r="N176" s="27"/>
    </row>
    <row r="177" spans="1:14" s="28" customFormat="1" ht="15.75" customHeight="1" x14ac:dyDescent="0.35">
      <c r="A177" s="60">
        <f t="shared" si="8"/>
        <v>7</v>
      </c>
      <c r="B177" s="61"/>
      <c r="C177" s="33" t="s">
        <v>198</v>
      </c>
      <c r="D177" s="33">
        <f>16.06*10.764</f>
        <v>172.86983999999998</v>
      </c>
      <c r="E177" s="33">
        <v>0</v>
      </c>
      <c r="F177" s="33">
        <f t="shared" si="7"/>
        <v>259.30475999999999</v>
      </c>
      <c r="G177" s="78"/>
      <c r="H177" s="79"/>
      <c r="I177" s="27"/>
      <c r="L177" s="195"/>
      <c r="M177" s="195"/>
      <c r="N177" s="27"/>
    </row>
    <row r="178" spans="1:14" s="28" customFormat="1" ht="15.75" customHeight="1" x14ac:dyDescent="0.35">
      <c r="A178" s="60">
        <f t="shared" si="8"/>
        <v>8</v>
      </c>
      <c r="B178" s="61"/>
      <c r="C178" s="33" t="s">
        <v>198</v>
      </c>
      <c r="D178" s="33">
        <f>16.06*10.764</f>
        <v>172.86983999999998</v>
      </c>
      <c r="E178" s="33">
        <v>0</v>
      </c>
      <c r="F178" s="33">
        <f t="shared" si="7"/>
        <v>259.30475999999999</v>
      </c>
      <c r="G178" s="78"/>
      <c r="H178" s="79"/>
      <c r="I178" s="27">
        <f>2318200/F178</f>
        <v>8940.0595654318113</v>
      </c>
      <c r="L178" s="195"/>
      <c r="M178" s="195"/>
      <c r="N178" s="27"/>
    </row>
    <row r="179" spans="1:14" s="28" customFormat="1" ht="15.75" customHeight="1" x14ac:dyDescent="0.35">
      <c r="A179" s="60">
        <f t="shared" si="8"/>
        <v>9</v>
      </c>
      <c r="B179" s="61"/>
      <c r="C179" s="33" t="s">
        <v>198</v>
      </c>
      <c r="D179" s="33">
        <f>22.47*10.764</f>
        <v>241.86707999999999</v>
      </c>
      <c r="E179" s="33">
        <v>0</v>
      </c>
      <c r="F179" s="33">
        <f t="shared" si="7"/>
        <v>362.80061999999998</v>
      </c>
      <c r="G179" s="80"/>
      <c r="H179" s="81"/>
      <c r="I179" s="38"/>
      <c r="L179" s="195"/>
      <c r="M179" s="195"/>
      <c r="N179" s="27"/>
    </row>
    <row r="180" spans="1:14" s="28" customFormat="1" x14ac:dyDescent="0.35">
      <c r="A180" s="62" t="s">
        <v>202</v>
      </c>
      <c r="B180" s="63"/>
      <c r="C180" s="63"/>
      <c r="D180" s="63"/>
      <c r="E180" s="63"/>
      <c r="F180" s="63"/>
      <c r="G180" s="63"/>
      <c r="H180" s="64"/>
      <c r="J180" s="27"/>
    </row>
    <row r="181" spans="1:14" s="28" customFormat="1" ht="15.75" customHeight="1" x14ac:dyDescent="0.35">
      <c r="A181" s="60">
        <v>1</v>
      </c>
      <c r="B181" s="61"/>
      <c r="C181" s="33" t="s">
        <v>197</v>
      </c>
      <c r="D181" s="33">
        <f>26.44*10.764</f>
        <v>284.60016000000002</v>
      </c>
      <c r="E181" s="33">
        <v>0</v>
      </c>
      <c r="F181" s="33">
        <f>D181*(($F$158)+1)+(IF(E181&lt;101,E181,IF(E181&lt;201,E181/2,IF(E181&lt;=301,E181/3,E181/4))))</f>
        <v>426.90024000000005</v>
      </c>
      <c r="G181" s="76" t="str">
        <f>A180</f>
        <v>8th &amp; 15th Floor (Part Refuge Area)</v>
      </c>
      <c r="H181" s="77"/>
      <c r="I181" s="27"/>
      <c r="L181" s="195"/>
      <c r="M181" s="195"/>
      <c r="N181" s="27"/>
    </row>
    <row r="182" spans="1:14" s="28" customFormat="1" ht="15.75" customHeight="1" x14ac:dyDescent="0.35">
      <c r="A182" s="60">
        <f t="shared" ref="A182:A189" si="9">A181+1</f>
        <v>2</v>
      </c>
      <c r="B182" s="61"/>
      <c r="C182" s="33" t="s">
        <v>198</v>
      </c>
      <c r="D182" s="33">
        <f>22.56*10.764</f>
        <v>242.83583999999996</v>
      </c>
      <c r="E182" s="33">
        <v>0</v>
      </c>
      <c r="F182" s="33">
        <f>D182*(($F$158)+1)+(IF(E182&lt;101,E182,IF(E182&lt;201,E182/2,IF(E182&lt;=301,E182/3,E182/4))))</f>
        <v>364.25375999999994</v>
      </c>
      <c r="G182" s="78"/>
      <c r="H182" s="79"/>
      <c r="I182" s="27"/>
      <c r="L182" s="195"/>
      <c r="M182" s="195"/>
      <c r="N182" s="27"/>
    </row>
    <row r="183" spans="1:14" s="28" customFormat="1" ht="15.75" customHeight="1" x14ac:dyDescent="0.35">
      <c r="A183" s="60">
        <f t="shared" si="9"/>
        <v>3</v>
      </c>
      <c r="B183" s="61"/>
      <c r="C183" s="60" t="s">
        <v>203</v>
      </c>
      <c r="D183" s="170"/>
      <c r="E183" s="170"/>
      <c r="F183" s="61"/>
      <c r="G183" s="78"/>
      <c r="H183" s="79"/>
      <c r="I183" s="27"/>
      <c r="L183" s="195"/>
      <c r="M183" s="195"/>
      <c r="N183" s="27"/>
    </row>
    <row r="184" spans="1:14" s="28" customFormat="1" ht="15.75" customHeight="1" x14ac:dyDescent="0.35">
      <c r="A184" s="60">
        <f t="shared" si="9"/>
        <v>4</v>
      </c>
      <c r="B184" s="61"/>
      <c r="C184" s="60" t="s">
        <v>203</v>
      </c>
      <c r="D184" s="170"/>
      <c r="E184" s="170"/>
      <c r="F184" s="61"/>
      <c r="G184" s="78"/>
      <c r="H184" s="79"/>
      <c r="I184" s="38"/>
      <c r="L184" s="195"/>
      <c r="M184" s="195"/>
      <c r="N184" s="27"/>
    </row>
    <row r="185" spans="1:14" s="28" customFormat="1" ht="15.75" customHeight="1" x14ac:dyDescent="0.35">
      <c r="A185" s="60">
        <f t="shared" si="9"/>
        <v>5</v>
      </c>
      <c r="B185" s="61"/>
      <c r="C185" s="33" t="s">
        <v>198</v>
      </c>
      <c r="D185" s="33">
        <f>22.56*10.764</f>
        <v>242.83583999999996</v>
      </c>
      <c r="E185" s="33">
        <v>0</v>
      </c>
      <c r="F185" s="33">
        <f>D185*(($F$158)+1)+(IF(E185&lt;101,E185,IF(E185&lt;201,E185/2,IF(E185&lt;=301,E185/3,E185/4))))</f>
        <v>364.25375999999994</v>
      </c>
      <c r="G185" s="78"/>
      <c r="H185" s="79"/>
      <c r="I185" s="27"/>
      <c r="L185" s="195"/>
      <c r="M185" s="195"/>
      <c r="N185" s="27"/>
    </row>
    <row r="186" spans="1:14" s="28" customFormat="1" ht="15.75" customHeight="1" x14ac:dyDescent="0.35">
      <c r="A186" s="60">
        <f t="shared" si="9"/>
        <v>6</v>
      </c>
      <c r="B186" s="61"/>
      <c r="C186" s="33" t="s">
        <v>198</v>
      </c>
      <c r="D186" s="33">
        <f>22.56*10.764</f>
        <v>242.83583999999996</v>
      </c>
      <c r="E186" s="33">
        <v>0</v>
      </c>
      <c r="F186" s="33">
        <f>D186*(($F$158)+1)+(IF(E186&lt;101,E186,IF(E186&lt;201,E186/2,IF(E186&lt;=301,E186/3,E186/4))))</f>
        <v>364.25375999999994</v>
      </c>
      <c r="G186" s="78"/>
      <c r="H186" s="79"/>
      <c r="I186" s="27"/>
      <c r="L186" s="195"/>
      <c r="M186" s="195"/>
      <c r="N186" s="27"/>
    </row>
    <row r="187" spans="1:14" s="28" customFormat="1" ht="15.75" customHeight="1" x14ac:dyDescent="0.35">
      <c r="A187" s="60">
        <f t="shared" si="9"/>
        <v>7</v>
      </c>
      <c r="B187" s="61"/>
      <c r="C187" s="33" t="s">
        <v>198</v>
      </c>
      <c r="D187" s="33">
        <f>16.06*10.764</f>
        <v>172.86983999999998</v>
      </c>
      <c r="E187" s="33">
        <v>0</v>
      </c>
      <c r="F187" s="33">
        <f>D187*(($F$158)+1)+(IF(E187&lt;101,E187,IF(E187&lt;201,E187/2,IF(E187&lt;=301,E187/3,E187/4))))</f>
        <v>259.30475999999999</v>
      </c>
      <c r="G187" s="78"/>
      <c r="H187" s="79"/>
      <c r="I187" s="27"/>
      <c r="L187" s="195"/>
      <c r="M187" s="195"/>
      <c r="N187" s="27"/>
    </row>
    <row r="188" spans="1:14" s="28" customFormat="1" ht="15.75" customHeight="1" x14ac:dyDescent="0.35">
      <c r="A188" s="60">
        <f t="shared" si="9"/>
        <v>8</v>
      </c>
      <c r="B188" s="61"/>
      <c r="C188" s="33" t="s">
        <v>198</v>
      </c>
      <c r="D188" s="33">
        <f>16.06*10.764</f>
        <v>172.86983999999998</v>
      </c>
      <c r="E188" s="33">
        <v>0</v>
      </c>
      <c r="F188" s="33">
        <f>D188*(($F$158)+1)+(IF(E188&lt;101,E188,IF(E188&lt;201,E188/2,IF(E188&lt;=301,E188/3,E188/4))))</f>
        <v>259.30475999999999</v>
      </c>
      <c r="G188" s="78"/>
      <c r="H188" s="79"/>
      <c r="I188" s="27"/>
      <c r="L188" s="195"/>
      <c r="M188" s="195"/>
      <c r="N188" s="27"/>
    </row>
    <row r="189" spans="1:14" s="28" customFormat="1" ht="15.75" customHeight="1" x14ac:dyDescent="0.35">
      <c r="A189" s="60">
        <f t="shared" si="9"/>
        <v>9</v>
      </c>
      <c r="B189" s="61"/>
      <c r="C189" s="33" t="s">
        <v>198</v>
      </c>
      <c r="D189" s="33">
        <f>22.47*10.764</f>
        <v>241.86707999999999</v>
      </c>
      <c r="E189" s="33">
        <v>0</v>
      </c>
      <c r="F189" s="33">
        <f>D189*(($F$158)+1)+(IF(E189&lt;101,E189,IF(E189&lt;201,E189/2,IF(E189&lt;=301,E189/3,E189/4))))</f>
        <v>362.80061999999998</v>
      </c>
      <c r="G189" s="80"/>
      <c r="H189" s="81"/>
      <c r="I189" s="38"/>
      <c r="L189" s="195"/>
      <c r="M189" s="195"/>
      <c r="N189" s="27"/>
    </row>
    <row r="190" spans="1:14" s="28" customFormat="1" x14ac:dyDescent="0.35">
      <c r="A190" s="62" t="s">
        <v>191</v>
      </c>
      <c r="B190" s="63"/>
      <c r="C190" s="63"/>
      <c r="D190" s="63"/>
      <c r="E190" s="63"/>
      <c r="F190" s="63"/>
      <c r="G190" s="63"/>
      <c r="H190" s="64"/>
      <c r="J190" s="27"/>
    </row>
    <row r="191" spans="1:14" s="28" customFormat="1" x14ac:dyDescent="0.35">
      <c r="A191" s="62" t="s">
        <v>196</v>
      </c>
      <c r="B191" s="63"/>
      <c r="C191" s="63"/>
      <c r="D191" s="63"/>
      <c r="E191" s="63"/>
      <c r="F191" s="63"/>
      <c r="G191" s="63"/>
      <c r="H191" s="64"/>
      <c r="I191" s="27"/>
    </row>
    <row r="192" spans="1:14" s="28" customFormat="1" ht="15.75" customHeight="1" x14ac:dyDescent="0.35">
      <c r="A192" s="60">
        <v>1</v>
      </c>
      <c r="B192" s="61"/>
      <c r="C192" s="33" t="s">
        <v>198</v>
      </c>
      <c r="D192" s="33">
        <f>22.56*10.764</f>
        <v>242.83583999999996</v>
      </c>
      <c r="E192" s="33">
        <v>0</v>
      </c>
      <c r="F192" s="33">
        <f t="shared" ref="F192:F197" si="10">D192*(($F$158)+1)+(IF(E192&lt;101,E192,IF(E192&lt;201,E192/2,IF(E192&lt;=301,E192/3,E192/4))))</f>
        <v>364.25375999999994</v>
      </c>
      <c r="G192" s="76" t="str">
        <f>A191</f>
        <v>1st Floor For Residential</v>
      </c>
      <c r="H192" s="77"/>
      <c r="I192" s="27"/>
    </row>
    <row r="193" spans="1:9" s="28" customFormat="1" ht="15.75" customHeight="1" x14ac:dyDescent="0.35">
      <c r="A193" s="60">
        <v>2</v>
      </c>
      <c r="B193" s="61"/>
      <c r="C193" s="33" t="s">
        <v>198</v>
      </c>
      <c r="D193" s="33">
        <f t="shared" ref="D193:D195" si="11">22.56*10.764</f>
        <v>242.83583999999996</v>
      </c>
      <c r="E193" s="33">
        <v>0</v>
      </c>
      <c r="F193" s="33">
        <f t="shared" si="10"/>
        <v>364.25375999999994</v>
      </c>
      <c r="G193" s="78"/>
      <c r="H193" s="79"/>
      <c r="I193" s="27"/>
    </row>
    <row r="194" spans="1:9" s="28" customFormat="1" ht="15.75" customHeight="1" x14ac:dyDescent="0.35">
      <c r="A194" s="60">
        <v>3</v>
      </c>
      <c r="B194" s="61"/>
      <c r="C194" s="33" t="s">
        <v>198</v>
      </c>
      <c r="D194" s="33">
        <f t="shared" si="11"/>
        <v>242.83583999999996</v>
      </c>
      <c r="E194" s="33">
        <v>0</v>
      </c>
      <c r="F194" s="33">
        <f t="shared" si="10"/>
        <v>364.25375999999994</v>
      </c>
      <c r="G194" s="78"/>
      <c r="H194" s="79"/>
      <c r="I194" s="27"/>
    </row>
    <row r="195" spans="1:9" s="28" customFormat="1" ht="15.75" customHeight="1" x14ac:dyDescent="0.35">
      <c r="A195" s="60">
        <v>4</v>
      </c>
      <c r="B195" s="61"/>
      <c r="C195" s="33" t="s">
        <v>198</v>
      </c>
      <c r="D195" s="33">
        <f t="shared" si="11"/>
        <v>242.83583999999996</v>
      </c>
      <c r="E195" s="33">
        <v>0</v>
      </c>
      <c r="F195" s="33">
        <f t="shared" si="10"/>
        <v>364.25375999999994</v>
      </c>
      <c r="G195" s="78"/>
      <c r="H195" s="79"/>
      <c r="I195" s="27"/>
    </row>
    <row r="196" spans="1:9" s="28" customFormat="1" ht="15.75" customHeight="1" x14ac:dyDescent="0.35">
      <c r="A196" s="60">
        <v>5</v>
      </c>
      <c r="B196" s="61"/>
      <c r="C196" s="33" t="s">
        <v>197</v>
      </c>
      <c r="D196" s="33">
        <f>26.44*10.764</f>
        <v>284.60016000000002</v>
      </c>
      <c r="E196" s="33">
        <v>0</v>
      </c>
      <c r="F196" s="33">
        <f t="shared" si="10"/>
        <v>426.90024000000005</v>
      </c>
      <c r="G196" s="78"/>
      <c r="H196" s="79"/>
      <c r="I196" s="27"/>
    </row>
    <row r="197" spans="1:9" s="28" customFormat="1" ht="15.75" customHeight="1" x14ac:dyDescent="0.35">
      <c r="A197" s="60">
        <v>6</v>
      </c>
      <c r="B197" s="61"/>
      <c r="C197" s="33" t="s">
        <v>197</v>
      </c>
      <c r="D197" s="33">
        <f>26.44*10.764</f>
        <v>284.60016000000002</v>
      </c>
      <c r="E197" s="33">
        <v>0</v>
      </c>
      <c r="F197" s="33">
        <f t="shared" si="10"/>
        <v>426.90024000000005</v>
      </c>
      <c r="G197" s="80"/>
      <c r="H197" s="81"/>
      <c r="I197" s="27"/>
    </row>
    <row r="198" spans="1:9" s="28" customFormat="1" x14ac:dyDescent="0.35">
      <c r="A198" s="62" t="s">
        <v>201</v>
      </c>
      <c r="B198" s="63"/>
      <c r="C198" s="63"/>
      <c r="D198" s="63"/>
      <c r="E198" s="63"/>
      <c r="F198" s="63"/>
      <c r="G198" s="63"/>
      <c r="H198" s="64"/>
      <c r="I198" s="27"/>
    </row>
    <row r="199" spans="1:9" s="28" customFormat="1" ht="15.75" customHeight="1" x14ac:dyDescent="0.35">
      <c r="A199" s="60">
        <v>1</v>
      </c>
      <c r="B199" s="61"/>
      <c r="C199" s="33" t="s">
        <v>198</v>
      </c>
      <c r="D199" s="33">
        <f>22.56*10.764</f>
        <v>242.83583999999996</v>
      </c>
      <c r="E199" s="33">
        <v>0</v>
      </c>
      <c r="F199" s="33">
        <f t="shared" ref="F199:F204" si="12">D199*(($F$158)+1)+(IF(E199&lt;101,E199,IF(E199&lt;201,E199/2,IF(E199&lt;=301,E199/3,E199/4))))</f>
        <v>364.25375999999994</v>
      </c>
      <c r="G199" s="76" t="str">
        <f>A198</f>
        <v>2nd to 7th, 9th to 14th, 16th to 22nd Floor</v>
      </c>
      <c r="H199" s="77"/>
      <c r="I199" s="27"/>
    </row>
    <row r="200" spans="1:9" s="28" customFormat="1" ht="15.75" customHeight="1" x14ac:dyDescent="0.35">
      <c r="A200" s="60">
        <v>2</v>
      </c>
      <c r="B200" s="61"/>
      <c r="C200" s="33" t="s">
        <v>198</v>
      </c>
      <c r="D200" s="33">
        <f t="shared" ref="D200:D202" si="13">22.56*10.764</f>
        <v>242.83583999999996</v>
      </c>
      <c r="E200" s="33">
        <v>0</v>
      </c>
      <c r="F200" s="33">
        <f t="shared" si="12"/>
        <v>364.25375999999994</v>
      </c>
      <c r="G200" s="78"/>
      <c r="H200" s="79"/>
      <c r="I200" s="27"/>
    </row>
    <row r="201" spans="1:9" s="28" customFormat="1" ht="15.75" customHeight="1" x14ac:dyDescent="0.35">
      <c r="A201" s="60">
        <v>3</v>
      </c>
      <c r="B201" s="61"/>
      <c r="C201" s="33" t="s">
        <v>198</v>
      </c>
      <c r="D201" s="33">
        <f t="shared" si="13"/>
        <v>242.83583999999996</v>
      </c>
      <c r="E201" s="33">
        <v>0</v>
      </c>
      <c r="F201" s="33">
        <f t="shared" si="12"/>
        <v>364.25375999999994</v>
      </c>
      <c r="G201" s="78"/>
      <c r="H201" s="79"/>
      <c r="I201" s="27"/>
    </row>
    <row r="202" spans="1:9" s="28" customFormat="1" ht="15.75" customHeight="1" x14ac:dyDescent="0.35">
      <c r="A202" s="60">
        <v>4</v>
      </c>
      <c r="B202" s="61"/>
      <c r="C202" s="33" t="s">
        <v>198</v>
      </c>
      <c r="D202" s="33">
        <f t="shared" si="13"/>
        <v>242.83583999999996</v>
      </c>
      <c r="E202" s="33">
        <v>0</v>
      </c>
      <c r="F202" s="33">
        <f t="shared" si="12"/>
        <v>364.25375999999994</v>
      </c>
      <c r="G202" s="78"/>
      <c r="H202" s="79"/>
      <c r="I202" s="27"/>
    </row>
    <row r="203" spans="1:9" s="28" customFormat="1" ht="15.75" customHeight="1" x14ac:dyDescent="0.35">
      <c r="A203" s="60">
        <v>5</v>
      </c>
      <c r="B203" s="61"/>
      <c r="C203" s="33" t="s">
        <v>197</v>
      </c>
      <c r="D203" s="33">
        <f>26.44*10.764</f>
        <v>284.60016000000002</v>
      </c>
      <c r="E203" s="33">
        <v>0</v>
      </c>
      <c r="F203" s="33">
        <f t="shared" si="12"/>
        <v>426.90024000000005</v>
      </c>
      <c r="G203" s="78"/>
      <c r="H203" s="79"/>
      <c r="I203" s="27"/>
    </row>
    <row r="204" spans="1:9" s="28" customFormat="1" ht="15.75" customHeight="1" x14ac:dyDescent="0.35">
      <c r="A204" s="60">
        <v>6</v>
      </c>
      <c r="B204" s="61"/>
      <c r="C204" s="33" t="s">
        <v>197</v>
      </c>
      <c r="D204" s="33">
        <f>26.44*10.764</f>
        <v>284.60016000000002</v>
      </c>
      <c r="E204" s="33">
        <v>0</v>
      </c>
      <c r="F204" s="33">
        <f t="shared" si="12"/>
        <v>426.90024000000005</v>
      </c>
      <c r="G204" s="80"/>
      <c r="H204" s="81"/>
      <c r="I204" s="27"/>
    </row>
    <row r="205" spans="1:9" s="28" customFormat="1" x14ac:dyDescent="0.35">
      <c r="A205" s="62" t="s">
        <v>202</v>
      </c>
      <c r="B205" s="63"/>
      <c r="C205" s="63"/>
      <c r="D205" s="63"/>
      <c r="E205" s="63"/>
      <c r="F205" s="63"/>
      <c r="G205" s="63"/>
      <c r="H205" s="64"/>
      <c r="I205" s="27"/>
    </row>
    <row r="206" spans="1:9" s="28" customFormat="1" ht="15.75" customHeight="1" x14ac:dyDescent="0.35">
      <c r="A206" s="60">
        <v>1</v>
      </c>
      <c r="B206" s="61"/>
      <c r="C206" s="60" t="s">
        <v>203</v>
      </c>
      <c r="D206" s="170"/>
      <c r="E206" s="170"/>
      <c r="F206" s="61"/>
      <c r="G206" s="76" t="str">
        <f>A205</f>
        <v>8th &amp; 15th Floor (Part Refuge Area)</v>
      </c>
      <c r="H206" s="77"/>
      <c r="I206" s="27"/>
    </row>
    <row r="207" spans="1:9" s="28" customFormat="1" ht="15.75" customHeight="1" x14ac:dyDescent="0.35">
      <c r="A207" s="60">
        <v>2</v>
      </c>
      <c r="B207" s="61"/>
      <c r="C207" s="60" t="s">
        <v>203</v>
      </c>
      <c r="D207" s="170"/>
      <c r="E207" s="170"/>
      <c r="F207" s="61"/>
      <c r="G207" s="78"/>
      <c r="H207" s="79"/>
      <c r="I207" s="27"/>
    </row>
    <row r="208" spans="1:9" s="28" customFormat="1" ht="15.75" customHeight="1" x14ac:dyDescent="0.35">
      <c r="A208" s="60">
        <v>3</v>
      </c>
      <c r="B208" s="61"/>
      <c r="C208" s="33" t="s">
        <v>198</v>
      </c>
      <c r="D208" s="33">
        <f t="shared" ref="D208:D209" si="14">22.56*10.764</f>
        <v>242.83583999999996</v>
      </c>
      <c r="E208" s="33">
        <v>0</v>
      </c>
      <c r="F208" s="33">
        <f>D208*(($F$158)+1)+(IF(E208&lt;101,E208,IF(E208&lt;201,E208/2,IF(E208&lt;=301,E208/3,E208/4))))</f>
        <v>364.25375999999994</v>
      </c>
      <c r="G208" s="78"/>
      <c r="H208" s="79"/>
      <c r="I208" s="27"/>
    </row>
    <row r="209" spans="1:10" s="28" customFormat="1" ht="15.75" customHeight="1" x14ac:dyDescent="0.35">
      <c r="A209" s="60">
        <v>4</v>
      </c>
      <c r="B209" s="61"/>
      <c r="C209" s="33" t="s">
        <v>198</v>
      </c>
      <c r="D209" s="33">
        <f t="shared" si="14"/>
        <v>242.83583999999996</v>
      </c>
      <c r="E209" s="33">
        <v>0</v>
      </c>
      <c r="F209" s="33">
        <f>D209*(($F$158)+1)+(IF(E209&lt;101,E209,IF(E209&lt;201,E209/2,IF(E209&lt;=301,E209/3,E209/4))))</f>
        <v>364.25375999999994</v>
      </c>
      <c r="G209" s="78"/>
      <c r="H209" s="79"/>
      <c r="I209" s="27"/>
    </row>
    <row r="210" spans="1:10" s="28" customFormat="1" ht="15.75" customHeight="1" x14ac:dyDescent="0.35">
      <c r="A210" s="60">
        <v>5</v>
      </c>
      <c r="B210" s="61"/>
      <c r="C210" s="33" t="s">
        <v>197</v>
      </c>
      <c r="D210" s="33">
        <f>26.44*10.764</f>
        <v>284.60016000000002</v>
      </c>
      <c r="E210" s="33">
        <v>0</v>
      </c>
      <c r="F210" s="33">
        <f>D210*(($F$158)+1)+(IF(E210&lt;101,E210,IF(E210&lt;201,E210/2,IF(E210&lt;=301,E210/3,E210/4))))</f>
        <v>426.90024000000005</v>
      </c>
      <c r="G210" s="78"/>
      <c r="H210" s="79"/>
      <c r="I210" s="27"/>
    </row>
    <row r="211" spans="1:10" s="28" customFormat="1" ht="15.75" customHeight="1" x14ac:dyDescent="0.35">
      <c r="A211" s="60">
        <v>6</v>
      </c>
      <c r="B211" s="61"/>
      <c r="C211" s="33" t="s">
        <v>197</v>
      </c>
      <c r="D211" s="33">
        <f>26.44*10.764</f>
        <v>284.60016000000002</v>
      </c>
      <c r="E211" s="33">
        <v>0</v>
      </c>
      <c r="F211" s="33">
        <f>D211*(($F$158)+1)+(IF(E211&lt;101,E211,IF(E211&lt;201,E211/2,IF(E211&lt;=301,E211/3,E211/4))))</f>
        <v>426.90024000000005</v>
      </c>
      <c r="G211" s="80"/>
      <c r="H211" s="81"/>
      <c r="I211" s="27"/>
    </row>
    <row r="212" spans="1:10" s="28" customFormat="1" x14ac:dyDescent="0.35">
      <c r="A212" s="62" t="s">
        <v>193</v>
      </c>
      <c r="B212" s="63"/>
      <c r="C212" s="63"/>
      <c r="D212" s="63"/>
      <c r="E212" s="63"/>
      <c r="F212" s="63"/>
      <c r="G212" s="63"/>
      <c r="H212" s="64"/>
      <c r="J212" s="27"/>
    </row>
    <row r="213" spans="1:10" s="28" customFormat="1" x14ac:dyDescent="0.35">
      <c r="A213" s="62" t="s">
        <v>195</v>
      </c>
      <c r="B213" s="63"/>
      <c r="C213" s="63"/>
      <c r="D213" s="63"/>
      <c r="E213" s="63"/>
      <c r="F213" s="63"/>
      <c r="G213" s="63"/>
      <c r="H213" s="64"/>
      <c r="J213" s="27"/>
    </row>
    <row r="214" spans="1:10" s="28" customFormat="1" x14ac:dyDescent="0.35">
      <c r="A214" s="62" t="s">
        <v>194</v>
      </c>
      <c r="B214" s="63"/>
      <c r="C214" s="63"/>
      <c r="D214" s="63"/>
      <c r="E214" s="63"/>
      <c r="F214" s="63"/>
      <c r="G214" s="63"/>
      <c r="H214" s="64"/>
      <c r="J214" s="27"/>
    </row>
    <row r="215" spans="1:10" s="28" customFormat="1" x14ac:dyDescent="0.35">
      <c r="A215" s="62" t="s">
        <v>199</v>
      </c>
      <c r="B215" s="63"/>
      <c r="C215" s="63"/>
      <c r="D215" s="63"/>
      <c r="E215" s="63"/>
      <c r="F215" s="63"/>
      <c r="G215" s="63"/>
      <c r="H215" s="64"/>
      <c r="I215" s="27"/>
    </row>
    <row r="216" spans="1:10" s="28" customFormat="1" ht="15.75" customHeight="1" x14ac:dyDescent="0.35">
      <c r="A216" s="60">
        <v>1</v>
      </c>
      <c r="B216" s="61"/>
      <c r="C216" s="33" t="s">
        <v>197</v>
      </c>
      <c r="D216" s="33">
        <f>26.44*10.764</f>
        <v>284.60016000000002</v>
      </c>
      <c r="E216" s="33">
        <v>0</v>
      </c>
      <c r="F216" s="33">
        <f>D216*(($F$158)+1)+(IF(E216&lt;101,E216,IF(E216&lt;201,E216/2,IF(E216&lt;=301,E216/3,E216/4))))</f>
        <v>426.90024000000005</v>
      </c>
      <c r="G216" s="76" t="str">
        <f>A215</f>
        <v>1st Floor For Residential &amp; Society Office</v>
      </c>
      <c r="H216" s="77"/>
      <c r="I216" s="27"/>
    </row>
    <row r="217" spans="1:10" s="28" customFormat="1" ht="15.75" customHeight="1" x14ac:dyDescent="0.35">
      <c r="A217" s="60">
        <v>2</v>
      </c>
      <c r="B217" s="61"/>
      <c r="C217" s="33" t="s">
        <v>197</v>
      </c>
      <c r="D217" s="33">
        <f t="shared" ref="D217:D218" si="15">26.44*10.764</f>
        <v>284.60016000000002</v>
      </c>
      <c r="E217" s="33">
        <v>0</v>
      </c>
      <c r="F217" s="33">
        <f>D217*(($F$158)+1)+(IF(E217&lt;101,E217,IF(E217&lt;201,E217/2,IF(E217&lt;=301,E217/3,E217/4))))</f>
        <v>426.90024000000005</v>
      </c>
      <c r="G217" s="78"/>
      <c r="H217" s="79"/>
      <c r="I217" s="27"/>
    </row>
    <row r="218" spans="1:10" s="28" customFormat="1" ht="15.75" customHeight="1" x14ac:dyDescent="0.35">
      <c r="A218" s="60">
        <v>3</v>
      </c>
      <c r="B218" s="61"/>
      <c r="C218" s="33" t="s">
        <v>197</v>
      </c>
      <c r="D218" s="33">
        <f t="shared" si="15"/>
        <v>284.60016000000002</v>
      </c>
      <c r="E218" s="33">
        <v>0</v>
      </c>
      <c r="F218" s="33">
        <f>D218*(($F$158)+1)+(IF(E218&lt;101,E218,IF(E218&lt;201,E218/2,IF(E218&lt;=301,E218/3,E218/4))))</f>
        <v>426.90024000000005</v>
      </c>
      <c r="G218" s="78"/>
      <c r="H218" s="79"/>
      <c r="I218" s="27"/>
    </row>
    <row r="219" spans="1:10" s="28" customFormat="1" ht="15.75" customHeight="1" x14ac:dyDescent="0.35">
      <c r="A219" s="60">
        <v>4</v>
      </c>
      <c r="B219" s="61"/>
      <c r="C219" s="33" t="s">
        <v>198</v>
      </c>
      <c r="D219" s="33">
        <f>16.06*10.764</f>
        <v>172.86983999999998</v>
      </c>
      <c r="E219" s="33">
        <v>0</v>
      </c>
      <c r="F219" s="33">
        <f>D219*(($F$158)+1)+(IF(E219&lt;101,E219,IF(E219&lt;201,E219/2,IF(E219&lt;=301,E219/3,E219/4))))</f>
        <v>259.30475999999999</v>
      </c>
      <c r="G219" s="78"/>
      <c r="H219" s="79"/>
      <c r="I219" s="27"/>
    </row>
    <row r="220" spans="1:10" s="28" customFormat="1" ht="15.75" customHeight="1" x14ac:dyDescent="0.35">
      <c r="A220" s="60">
        <v>5</v>
      </c>
      <c r="B220" s="61"/>
      <c r="C220" s="60" t="s">
        <v>200</v>
      </c>
      <c r="D220" s="170"/>
      <c r="E220" s="170"/>
      <c r="F220" s="61"/>
      <c r="G220" s="78"/>
      <c r="H220" s="79"/>
      <c r="I220" s="27"/>
    </row>
    <row r="221" spans="1:10" s="28" customFormat="1" ht="15.75" customHeight="1" x14ac:dyDescent="0.35">
      <c r="A221" s="60">
        <v>6</v>
      </c>
      <c r="B221" s="61"/>
      <c r="C221" s="33" t="s">
        <v>198</v>
      </c>
      <c r="D221" s="33">
        <f>16.06*10.764</f>
        <v>172.86983999999998</v>
      </c>
      <c r="E221" s="33">
        <v>0</v>
      </c>
      <c r="F221" s="33">
        <f>D221*(($F$158)+1)+(IF(E221&lt;101,E221,IF(E221&lt;201,E221/2,IF(E221&lt;=301,E221/3,E221/4))))</f>
        <v>259.30475999999999</v>
      </c>
      <c r="G221" s="78"/>
      <c r="H221" s="79"/>
      <c r="I221" s="27"/>
    </row>
    <row r="222" spans="1:10" s="28" customFormat="1" ht="15.75" customHeight="1" x14ac:dyDescent="0.35">
      <c r="A222" s="60">
        <v>7</v>
      </c>
      <c r="B222" s="61"/>
      <c r="C222" s="33" t="s">
        <v>198</v>
      </c>
      <c r="D222" s="33">
        <f>16.06*10.764</f>
        <v>172.86983999999998</v>
      </c>
      <c r="E222" s="33">
        <v>0</v>
      </c>
      <c r="F222" s="33">
        <f>D222*(($F$158)+1)+(IF(E222&lt;101,E222,IF(E222&lt;201,E222/2,IF(E222&lt;=301,E222/3,E222/4))))</f>
        <v>259.30475999999999</v>
      </c>
      <c r="G222" s="80"/>
      <c r="H222" s="81"/>
      <c r="I222" s="27"/>
    </row>
    <row r="223" spans="1:10" s="28" customFormat="1" x14ac:dyDescent="0.35">
      <c r="A223" s="62" t="s">
        <v>201</v>
      </c>
      <c r="B223" s="63"/>
      <c r="C223" s="63"/>
      <c r="D223" s="63"/>
      <c r="E223" s="63"/>
      <c r="F223" s="63"/>
      <c r="G223" s="63"/>
      <c r="H223" s="64"/>
      <c r="I223" s="27"/>
    </row>
    <row r="224" spans="1:10" s="28" customFormat="1" ht="15.75" customHeight="1" x14ac:dyDescent="0.35">
      <c r="A224" s="60">
        <v>1</v>
      </c>
      <c r="B224" s="61"/>
      <c r="C224" s="33" t="s">
        <v>197</v>
      </c>
      <c r="D224" s="33">
        <f>26.44*10.764</f>
        <v>284.60016000000002</v>
      </c>
      <c r="E224" s="33">
        <v>0</v>
      </c>
      <c r="F224" s="33">
        <f t="shared" ref="F224:F230" si="16">D224*(($F$158)+1)+(IF(E224&lt;101,E224,IF(E224&lt;201,E224/2,IF(E224&lt;=301,E224/3,E224/4))))</f>
        <v>426.90024000000005</v>
      </c>
      <c r="G224" s="76" t="str">
        <f>A223</f>
        <v>2nd to 7th, 9th to 14th, 16th to 22nd Floor</v>
      </c>
      <c r="H224" s="77"/>
      <c r="I224" s="27"/>
    </row>
    <row r="225" spans="1:9" s="28" customFormat="1" ht="15.75" customHeight="1" x14ac:dyDescent="0.35">
      <c r="A225" s="60">
        <v>2</v>
      </c>
      <c r="B225" s="61"/>
      <c r="C225" s="33" t="s">
        <v>197</v>
      </c>
      <c r="D225" s="33">
        <f t="shared" ref="D225:D226" si="17">26.44*10.764</f>
        <v>284.60016000000002</v>
      </c>
      <c r="E225" s="33">
        <v>0</v>
      </c>
      <c r="F225" s="33">
        <f t="shared" si="16"/>
        <v>426.90024000000005</v>
      </c>
      <c r="G225" s="78"/>
      <c r="H225" s="79"/>
      <c r="I225" s="27"/>
    </row>
    <row r="226" spans="1:9" s="28" customFormat="1" ht="15.75" customHeight="1" x14ac:dyDescent="0.35">
      <c r="A226" s="60">
        <v>3</v>
      </c>
      <c r="B226" s="61"/>
      <c r="C226" s="33" t="s">
        <v>197</v>
      </c>
      <c r="D226" s="33">
        <f t="shared" si="17"/>
        <v>284.60016000000002</v>
      </c>
      <c r="E226" s="33">
        <v>0</v>
      </c>
      <c r="F226" s="33">
        <f t="shared" si="16"/>
        <v>426.90024000000005</v>
      </c>
      <c r="G226" s="78"/>
      <c r="H226" s="79"/>
      <c r="I226" s="27"/>
    </row>
    <row r="227" spans="1:9" s="28" customFormat="1" ht="15.75" customHeight="1" x14ac:dyDescent="0.35">
      <c r="A227" s="60">
        <v>4</v>
      </c>
      <c r="B227" s="61"/>
      <c r="C227" s="33" t="s">
        <v>198</v>
      </c>
      <c r="D227" s="33">
        <f>16.06*10.764</f>
        <v>172.86983999999998</v>
      </c>
      <c r="E227" s="33">
        <v>0</v>
      </c>
      <c r="F227" s="33">
        <f t="shared" si="16"/>
        <v>259.30475999999999</v>
      </c>
      <c r="G227" s="78"/>
      <c r="H227" s="79"/>
      <c r="I227" s="27"/>
    </row>
    <row r="228" spans="1:9" s="28" customFormat="1" ht="15.75" customHeight="1" x14ac:dyDescent="0.35">
      <c r="A228" s="60">
        <v>5</v>
      </c>
      <c r="B228" s="61"/>
      <c r="C228" s="33" t="s">
        <v>198</v>
      </c>
      <c r="D228" s="33">
        <f>16.06*10.764</f>
        <v>172.86983999999998</v>
      </c>
      <c r="E228" s="33">
        <v>0</v>
      </c>
      <c r="F228" s="33">
        <f t="shared" si="16"/>
        <v>259.30475999999999</v>
      </c>
      <c r="G228" s="78"/>
      <c r="H228" s="79"/>
      <c r="I228" s="27"/>
    </row>
    <row r="229" spans="1:9" s="28" customFormat="1" ht="15.75" customHeight="1" x14ac:dyDescent="0.35">
      <c r="A229" s="60">
        <v>6</v>
      </c>
      <c r="B229" s="61"/>
      <c r="C229" s="33" t="s">
        <v>198</v>
      </c>
      <c r="D229" s="33">
        <f>16.06*10.764</f>
        <v>172.86983999999998</v>
      </c>
      <c r="E229" s="33">
        <v>0</v>
      </c>
      <c r="F229" s="33">
        <f t="shared" si="16"/>
        <v>259.30475999999999</v>
      </c>
      <c r="G229" s="78"/>
      <c r="H229" s="79"/>
      <c r="I229" s="27"/>
    </row>
    <row r="230" spans="1:9" s="28" customFormat="1" ht="15.75" customHeight="1" x14ac:dyDescent="0.35">
      <c r="A230" s="60">
        <v>7</v>
      </c>
      <c r="B230" s="61"/>
      <c r="C230" s="33" t="s">
        <v>198</v>
      </c>
      <c r="D230" s="33">
        <f>16.06*10.764</f>
        <v>172.86983999999998</v>
      </c>
      <c r="E230" s="33">
        <v>0</v>
      </c>
      <c r="F230" s="33">
        <f t="shared" si="16"/>
        <v>259.30475999999999</v>
      </c>
      <c r="G230" s="80"/>
      <c r="H230" s="81"/>
      <c r="I230" s="27"/>
    </row>
    <row r="231" spans="1:9" s="28" customFormat="1" x14ac:dyDescent="0.35">
      <c r="A231" s="62" t="s">
        <v>202</v>
      </c>
      <c r="B231" s="63"/>
      <c r="C231" s="63"/>
      <c r="D231" s="63"/>
      <c r="E231" s="63"/>
      <c r="F231" s="63"/>
      <c r="G231" s="63"/>
      <c r="H231" s="64"/>
      <c r="I231" s="27"/>
    </row>
    <row r="232" spans="1:9" s="28" customFormat="1" ht="15.75" customHeight="1" x14ac:dyDescent="0.35">
      <c r="A232" s="60">
        <v>1</v>
      </c>
      <c r="B232" s="61"/>
      <c r="C232" s="33" t="s">
        <v>197</v>
      </c>
      <c r="D232" s="33">
        <f>26.44*10.764</f>
        <v>284.60016000000002</v>
      </c>
      <c r="E232" s="33">
        <v>0</v>
      </c>
      <c r="F232" s="33">
        <f>D232*(($F$158)+1)+(IF(E232&lt;101,E232,IF(E232&lt;201,E232/2,IF(E232&lt;=301,E232/3,E232/4))))</f>
        <v>426.90024000000005</v>
      </c>
      <c r="G232" s="76" t="str">
        <f>A231</f>
        <v>8th &amp; 15th Floor (Part Refuge Area)</v>
      </c>
      <c r="H232" s="77"/>
      <c r="I232" s="27"/>
    </row>
    <row r="233" spans="1:9" s="28" customFormat="1" ht="15.75" customHeight="1" x14ac:dyDescent="0.35">
      <c r="A233" s="60">
        <v>2</v>
      </c>
      <c r="B233" s="61"/>
      <c r="C233" s="33" t="s">
        <v>197</v>
      </c>
      <c r="D233" s="33">
        <f t="shared" ref="D233" si="18">26.44*10.764</f>
        <v>284.60016000000002</v>
      </c>
      <c r="E233" s="33">
        <v>0</v>
      </c>
      <c r="F233" s="33">
        <f>D233*(($F$158)+1)+(IF(E233&lt;101,E233,IF(E233&lt;201,E233/2,IF(E233&lt;=301,E233/3,E233/4))))</f>
        <v>426.90024000000005</v>
      </c>
      <c r="G233" s="78"/>
      <c r="H233" s="79"/>
      <c r="I233" s="27"/>
    </row>
    <row r="234" spans="1:9" s="28" customFormat="1" ht="15.75" customHeight="1" x14ac:dyDescent="0.35">
      <c r="A234" s="60">
        <v>3</v>
      </c>
      <c r="B234" s="61"/>
      <c r="C234" s="60" t="s">
        <v>203</v>
      </c>
      <c r="D234" s="170"/>
      <c r="E234" s="170"/>
      <c r="F234" s="61"/>
      <c r="G234" s="78"/>
      <c r="H234" s="79"/>
      <c r="I234" s="27"/>
    </row>
    <row r="235" spans="1:9" s="28" customFormat="1" ht="15.75" customHeight="1" x14ac:dyDescent="0.35">
      <c r="A235" s="60">
        <v>4</v>
      </c>
      <c r="B235" s="61"/>
      <c r="C235" s="33" t="s">
        <v>198</v>
      </c>
      <c r="D235" s="33">
        <f>16.06*10.764</f>
        <v>172.86983999999998</v>
      </c>
      <c r="E235" s="33">
        <v>0</v>
      </c>
      <c r="F235" s="33">
        <f>D235*(($F$158)+1)+(IF(E235&lt;101,E235,IF(E235&lt;201,E235/2,IF(E235&lt;=301,E235/3,E235/4))))</f>
        <v>259.30475999999999</v>
      </c>
      <c r="G235" s="78"/>
      <c r="H235" s="79"/>
      <c r="I235" s="27"/>
    </row>
    <row r="236" spans="1:9" s="28" customFormat="1" ht="15.75" customHeight="1" x14ac:dyDescent="0.35">
      <c r="A236" s="60">
        <v>5</v>
      </c>
      <c r="B236" s="61"/>
      <c r="C236" s="33" t="s">
        <v>198</v>
      </c>
      <c r="D236" s="33">
        <f>16.06*10.764</f>
        <v>172.86983999999998</v>
      </c>
      <c r="E236" s="33">
        <v>0</v>
      </c>
      <c r="F236" s="33">
        <f>D236*(($F$158)+1)+(IF(E236&lt;101,E236,IF(E236&lt;201,E236/2,IF(E236&lt;=301,E236/3,E236/4))))</f>
        <v>259.30475999999999</v>
      </c>
      <c r="G236" s="78"/>
      <c r="H236" s="79"/>
      <c r="I236" s="27"/>
    </row>
    <row r="237" spans="1:9" s="28" customFormat="1" ht="15.75" customHeight="1" x14ac:dyDescent="0.35">
      <c r="A237" s="60">
        <v>6</v>
      </c>
      <c r="B237" s="61"/>
      <c r="C237" s="33" t="s">
        <v>198</v>
      </c>
      <c r="D237" s="33">
        <f>16.06*10.764</f>
        <v>172.86983999999998</v>
      </c>
      <c r="E237" s="33">
        <v>0</v>
      </c>
      <c r="F237" s="33">
        <f>D237*(($F$158)+1)+(IF(E237&lt;101,E237,IF(E237&lt;201,E237/2,IF(E237&lt;=301,E237/3,E237/4))))</f>
        <v>259.30475999999999</v>
      </c>
      <c r="G237" s="78"/>
      <c r="H237" s="79"/>
      <c r="I237" s="27"/>
    </row>
    <row r="238" spans="1:9" s="28" customFormat="1" ht="15.75" customHeight="1" x14ac:dyDescent="0.35">
      <c r="A238" s="60">
        <v>7</v>
      </c>
      <c r="B238" s="61"/>
      <c r="C238" s="33" t="s">
        <v>198</v>
      </c>
      <c r="D238" s="33">
        <f>16.06*10.764</f>
        <v>172.86983999999998</v>
      </c>
      <c r="E238" s="33">
        <v>0</v>
      </c>
      <c r="F238" s="33">
        <f>D238*(($F$158)+1)+(IF(E238&lt;101,E238,IF(E238&lt;201,E238/2,IF(E238&lt;=301,E238/3,E238/4))))</f>
        <v>259.30475999999999</v>
      </c>
      <c r="G238" s="80"/>
      <c r="H238" s="81"/>
      <c r="I238" s="27"/>
    </row>
    <row r="239" spans="1:9" s="26" customFormat="1" x14ac:dyDescent="0.35">
      <c r="A239" s="192" t="s">
        <v>70</v>
      </c>
      <c r="B239" s="193"/>
      <c r="C239" s="193"/>
      <c r="D239" s="193"/>
      <c r="E239" s="193"/>
      <c r="F239" s="193"/>
      <c r="G239" s="193"/>
      <c r="H239" s="194"/>
    </row>
    <row r="240" spans="1:9" s="26" customFormat="1" ht="36" customHeight="1" x14ac:dyDescent="0.35">
      <c r="A240" s="35" t="s">
        <v>155</v>
      </c>
      <c r="B240" s="187" t="s">
        <v>238</v>
      </c>
      <c r="C240" s="188"/>
      <c r="D240" s="188"/>
      <c r="E240" s="188"/>
      <c r="F240" s="188"/>
      <c r="G240" s="188"/>
      <c r="H240" s="189"/>
      <c r="I240" s="59" t="s">
        <v>237</v>
      </c>
    </row>
    <row r="241" spans="1:8" s="26" customFormat="1" ht="15.75" customHeight="1" x14ac:dyDescent="0.35">
      <c r="A241" s="35" t="s">
        <v>155</v>
      </c>
      <c r="B241" s="187" t="str">
        <f>(IF(F157="Saleable area Loading :","We have considered Saleable area of Flats as per our Calculation.","We considered Saleable area of Flat as per Builder area Sheet."))</f>
        <v>We have considered Saleable area of Flats as per our Calculation.</v>
      </c>
      <c r="C241" s="188"/>
      <c r="D241" s="188"/>
      <c r="E241" s="188"/>
      <c r="F241" s="188"/>
      <c r="G241" s="188"/>
      <c r="H241" s="189"/>
    </row>
    <row r="242" spans="1:8" s="26" customFormat="1" ht="15.75" customHeight="1" x14ac:dyDescent="0.35">
      <c r="A242" s="35" t="s">
        <v>155</v>
      </c>
      <c r="B242" s="187" t="str">
        <f>(IF(F132="Saleable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2" s="188"/>
      <c r="D242" s="188"/>
      <c r="E242" s="188"/>
      <c r="F242" s="188"/>
      <c r="G242" s="188"/>
      <c r="H242" s="189"/>
    </row>
    <row r="243" spans="1:8" s="26" customFormat="1" ht="15.75" customHeight="1" x14ac:dyDescent="0.35">
      <c r="A243" s="35" t="s">
        <v>155</v>
      </c>
      <c r="B243" s="104" t="s">
        <v>123</v>
      </c>
      <c r="C243" s="105"/>
      <c r="D243" s="105"/>
      <c r="E243" s="105"/>
      <c r="F243" s="105"/>
      <c r="G243" s="105"/>
      <c r="H243" s="106"/>
    </row>
    <row r="244" spans="1:8" s="26" customFormat="1" ht="15.75" customHeight="1" x14ac:dyDescent="0.35">
      <c r="A244" s="35" t="s">
        <v>155</v>
      </c>
      <c r="B244" s="104" t="s">
        <v>124</v>
      </c>
      <c r="C244" s="105"/>
      <c r="D244" s="105"/>
      <c r="E244" s="105"/>
      <c r="F244" s="105"/>
      <c r="G244" s="105"/>
      <c r="H244" s="106"/>
    </row>
    <row r="245" spans="1:8" s="26" customFormat="1" ht="15.75" customHeight="1" x14ac:dyDescent="0.35">
      <c r="A245" s="35" t="s">
        <v>155</v>
      </c>
      <c r="B245" s="104" t="s">
        <v>154</v>
      </c>
      <c r="C245" s="105"/>
      <c r="D245" s="105"/>
      <c r="E245" s="105"/>
      <c r="F245" s="105"/>
      <c r="G245" s="105"/>
      <c r="H245" s="106"/>
    </row>
    <row r="246" spans="1:8" s="26" customFormat="1" ht="15.75" customHeight="1" x14ac:dyDescent="0.35">
      <c r="A246" s="35" t="s">
        <v>155</v>
      </c>
      <c r="B246" s="104" t="s">
        <v>125</v>
      </c>
      <c r="C246" s="105"/>
      <c r="D246" s="105"/>
      <c r="E246" s="105"/>
      <c r="F246" s="105"/>
      <c r="G246" s="105"/>
      <c r="H246" s="106"/>
    </row>
    <row r="247" spans="1:8" s="26" customFormat="1" ht="34.5" customHeight="1" x14ac:dyDescent="0.35">
      <c r="A247" s="35" t="s">
        <v>155</v>
      </c>
      <c r="B247" s="104" t="s">
        <v>156</v>
      </c>
      <c r="C247" s="105"/>
      <c r="D247" s="105"/>
      <c r="E247" s="105"/>
      <c r="F247" s="105"/>
      <c r="G247" s="105"/>
      <c r="H247" s="106"/>
    </row>
    <row r="248" spans="1:8" s="26" customFormat="1" ht="15.75" customHeight="1" x14ac:dyDescent="0.35">
      <c r="A248" s="35" t="s">
        <v>155</v>
      </c>
      <c r="B248" s="104" t="s">
        <v>126</v>
      </c>
      <c r="C248" s="105"/>
      <c r="D248" s="105"/>
      <c r="E248" s="105"/>
      <c r="F248" s="105"/>
      <c r="G248" s="105"/>
      <c r="H248" s="106"/>
    </row>
    <row r="249" spans="1:8" s="26" customFormat="1" ht="15.75" hidden="1" customHeight="1" x14ac:dyDescent="0.35">
      <c r="A249" s="35" t="s">
        <v>155</v>
      </c>
      <c r="B249" s="104" t="s">
        <v>230</v>
      </c>
      <c r="C249" s="105"/>
      <c r="D249" s="105"/>
      <c r="E249" s="105"/>
      <c r="F249" s="105"/>
      <c r="G249" s="105"/>
      <c r="H249" s="106"/>
    </row>
    <row r="250" spans="1:8" s="26" customFormat="1" ht="33.75" customHeight="1" x14ac:dyDescent="0.35">
      <c r="A250" s="35" t="s">
        <v>155</v>
      </c>
      <c r="B250" s="187" t="s">
        <v>218</v>
      </c>
      <c r="C250" s="188"/>
      <c r="D250" s="188"/>
      <c r="E250" s="188"/>
      <c r="F250" s="188"/>
      <c r="G250" s="188"/>
      <c r="H250" s="189"/>
    </row>
    <row r="251" spans="1:8" s="26" customFormat="1" ht="30.9" customHeight="1" x14ac:dyDescent="0.35">
      <c r="A251" s="35" t="s">
        <v>155</v>
      </c>
      <c r="B251" s="187" t="s">
        <v>236</v>
      </c>
      <c r="C251" s="188"/>
      <c r="D251" s="188"/>
      <c r="E251" s="188"/>
      <c r="F251" s="188"/>
      <c r="G251" s="188"/>
      <c r="H251" s="189"/>
    </row>
    <row r="252" spans="1:8" s="26" customFormat="1" x14ac:dyDescent="0.35">
      <c r="A252" s="35" t="s">
        <v>155</v>
      </c>
      <c r="B252" s="187" t="s">
        <v>234</v>
      </c>
      <c r="C252" s="188"/>
      <c r="D252" s="188"/>
      <c r="E252" s="188"/>
      <c r="F252" s="188"/>
      <c r="G252" s="188"/>
      <c r="H252" s="189"/>
    </row>
    <row r="253" spans="1:8" x14ac:dyDescent="0.35">
      <c r="A253" s="184" t="s">
        <v>63</v>
      </c>
      <c r="B253" s="185"/>
      <c r="C253" s="185"/>
      <c r="D253" s="185"/>
      <c r="E253" s="185"/>
      <c r="F253" s="185"/>
      <c r="G253" s="185"/>
      <c r="H253" s="186"/>
    </row>
    <row r="254" spans="1:8" x14ac:dyDescent="0.35">
      <c r="A254" s="181" t="s">
        <v>64</v>
      </c>
      <c r="B254" s="182"/>
      <c r="C254" s="182"/>
      <c r="D254" s="182"/>
      <c r="E254" s="182"/>
      <c r="F254" s="182"/>
      <c r="G254" s="182"/>
      <c r="H254" s="183"/>
    </row>
    <row r="255" spans="1:8" ht="15.75" customHeight="1" x14ac:dyDescent="0.35">
      <c r="A255" s="199" t="s">
        <v>65</v>
      </c>
      <c r="B255" s="200"/>
      <c r="C255" s="200"/>
      <c r="D255" s="200"/>
      <c r="E255" s="200"/>
      <c r="F255" s="200"/>
      <c r="G255" s="200"/>
      <c r="H255" s="201"/>
    </row>
    <row r="256" spans="1:8" x14ac:dyDescent="0.35">
      <c r="A256" s="181" t="s">
        <v>66</v>
      </c>
      <c r="B256" s="182"/>
      <c r="C256" s="182"/>
      <c r="D256" s="182"/>
      <c r="E256" s="182"/>
      <c r="F256" s="182"/>
      <c r="G256" s="182"/>
      <c r="H256" s="183"/>
    </row>
    <row r="257" spans="1:8" x14ac:dyDescent="0.35">
      <c r="A257" s="181" t="s">
        <v>67</v>
      </c>
      <c r="B257" s="182"/>
      <c r="C257" s="182"/>
      <c r="D257" s="182"/>
      <c r="E257" s="182"/>
      <c r="F257" s="182"/>
      <c r="G257" s="182"/>
      <c r="H257" s="183"/>
    </row>
    <row r="258" spans="1:8" hidden="1" x14ac:dyDescent="0.35">
      <c r="A258" s="181" t="s">
        <v>127</v>
      </c>
      <c r="B258" s="182"/>
      <c r="C258" s="182"/>
      <c r="D258" s="182"/>
      <c r="E258" s="182"/>
      <c r="F258" s="182"/>
      <c r="G258" s="182"/>
      <c r="H258" s="183"/>
    </row>
    <row r="259" spans="1:8" ht="35.25" hidden="1" customHeight="1" x14ac:dyDescent="0.35">
      <c r="A259" s="107" t="s">
        <v>128</v>
      </c>
      <c r="B259" s="135"/>
      <c r="C259" s="135"/>
      <c r="D259" s="135"/>
      <c r="E259" s="135"/>
      <c r="F259" s="135"/>
      <c r="G259" s="135"/>
      <c r="H259" s="108"/>
    </row>
    <row r="260" spans="1:8" x14ac:dyDescent="0.35">
      <c r="A260" s="180" t="s">
        <v>79</v>
      </c>
      <c r="B260" s="180"/>
      <c r="C260" s="180" t="s">
        <v>240</v>
      </c>
      <c r="D260" s="180"/>
      <c r="E260" s="180" t="s">
        <v>104</v>
      </c>
      <c r="F260" s="180"/>
      <c r="G260" s="180" t="s">
        <v>239</v>
      </c>
      <c r="H260" s="180"/>
    </row>
    <row r="261" spans="1:8" ht="15.75" customHeight="1" x14ac:dyDescent="0.35">
      <c r="A261" s="171" t="s">
        <v>81</v>
      </c>
      <c r="B261" s="172"/>
      <c r="C261" s="172"/>
      <c r="D261" s="172"/>
      <c r="E261" s="172"/>
      <c r="F261" s="172"/>
      <c r="G261" s="172"/>
      <c r="H261" s="173"/>
    </row>
    <row r="262" spans="1:8" x14ac:dyDescent="0.35">
      <c r="A262" s="174"/>
      <c r="B262" s="175"/>
      <c r="C262" s="175"/>
      <c r="D262" s="175"/>
      <c r="E262" s="175"/>
      <c r="F262" s="175"/>
      <c r="G262" s="175"/>
      <c r="H262" s="176"/>
    </row>
    <row r="263" spans="1:8" x14ac:dyDescent="0.35">
      <c r="A263" s="174"/>
      <c r="B263" s="175"/>
      <c r="C263" s="175"/>
      <c r="D263" s="175"/>
      <c r="E263" s="175"/>
      <c r="F263" s="175"/>
      <c r="G263" s="175"/>
      <c r="H263" s="176"/>
    </row>
    <row r="264" spans="1:8" x14ac:dyDescent="0.35">
      <c r="A264" s="177"/>
      <c r="B264" s="178"/>
      <c r="C264" s="178"/>
      <c r="D264" s="178"/>
      <c r="E264" s="178"/>
      <c r="F264" s="178"/>
      <c r="G264" s="178"/>
      <c r="H264" s="179"/>
    </row>
    <row r="265" spans="1:8" x14ac:dyDescent="0.35">
      <c r="A265" s="29" t="s">
        <v>68</v>
      </c>
      <c r="B265" s="30"/>
      <c r="C265" s="30"/>
      <c r="D265" s="29" t="str">
        <f>E8</f>
        <v>Marathon Neopark Ashoka Wing A, B &amp; C</v>
      </c>
      <c r="F265" s="30"/>
      <c r="G265" s="30"/>
      <c r="H265" s="30"/>
    </row>
    <row r="266" spans="1:8" x14ac:dyDescent="0.35">
      <c r="A266" s="30"/>
      <c r="B266" s="30"/>
      <c r="C266" s="30"/>
      <c r="D266" s="30"/>
      <c r="E266" s="30"/>
      <c r="F266" s="30"/>
      <c r="G266" s="30"/>
      <c r="H266" s="30"/>
    </row>
    <row r="267" spans="1:8" x14ac:dyDescent="0.35">
      <c r="A267" s="30"/>
      <c r="B267" s="30"/>
      <c r="C267" s="30"/>
      <c r="D267" s="30"/>
      <c r="E267" s="30"/>
      <c r="F267" s="30"/>
      <c r="G267" s="30"/>
      <c r="H267" s="30"/>
    </row>
    <row r="268" spans="1:8" ht="15" customHeight="1" x14ac:dyDescent="0.35"/>
    <row r="308" spans="1:1" x14ac:dyDescent="0.35">
      <c r="A308" s="32" t="s">
        <v>69</v>
      </c>
    </row>
  </sheetData>
  <mergeCells count="442">
    <mergeCell ref="A258:H258"/>
    <mergeCell ref="A255:H255"/>
    <mergeCell ref="C234:F234"/>
    <mergeCell ref="A205:H205"/>
    <mergeCell ref="A206:B206"/>
    <mergeCell ref="A207:B207"/>
    <mergeCell ref="A208:B208"/>
    <mergeCell ref="A209:B209"/>
    <mergeCell ref="A210:B210"/>
    <mergeCell ref="A211:B211"/>
    <mergeCell ref="C206:F206"/>
    <mergeCell ref="C207:F207"/>
    <mergeCell ref="A233:B233"/>
    <mergeCell ref="A230:B230"/>
    <mergeCell ref="B250:H250"/>
    <mergeCell ref="B249:H249"/>
    <mergeCell ref="A256:H256"/>
    <mergeCell ref="B251:H251"/>
    <mergeCell ref="G232:H238"/>
    <mergeCell ref="G216:H222"/>
    <mergeCell ref="G206:H211"/>
    <mergeCell ref="A231:H231"/>
    <mergeCell ref="B252:H252"/>
    <mergeCell ref="C220:F220"/>
    <mergeCell ref="L183:M183"/>
    <mergeCell ref="L188:M188"/>
    <mergeCell ref="A189:B189"/>
    <mergeCell ref="L189:M189"/>
    <mergeCell ref="C183:F183"/>
    <mergeCell ref="C184:F184"/>
    <mergeCell ref="A184:B184"/>
    <mergeCell ref="A188:B188"/>
    <mergeCell ref="A183:B183"/>
    <mergeCell ref="L184:M184"/>
    <mergeCell ref="A185:B185"/>
    <mergeCell ref="L185:M185"/>
    <mergeCell ref="A186:B186"/>
    <mergeCell ref="L186:M186"/>
    <mergeCell ref="A187:B187"/>
    <mergeCell ref="L187:M187"/>
    <mergeCell ref="L178:M178"/>
    <mergeCell ref="L179:M179"/>
    <mergeCell ref="A180:H180"/>
    <mergeCell ref="A181:B181"/>
    <mergeCell ref="L181:M181"/>
    <mergeCell ref="G171:H179"/>
    <mergeCell ref="L182:M182"/>
    <mergeCell ref="A179:B179"/>
    <mergeCell ref="A178:B178"/>
    <mergeCell ref="L177:M177"/>
    <mergeCell ref="A175:B175"/>
    <mergeCell ref="L175:M175"/>
    <mergeCell ref="A176:B176"/>
    <mergeCell ref="L176:M176"/>
    <mergeCell ref="L167:M167"/>
    <mergeCell ref="A168:B168"/>
    <mergeCell ref="L168:M168"/>
    <mergeCell ref="A169:B169"/>
    <mergeCell ref="L169:M169"/>
    <mergeCell ref="A165:B165"/>
    <mergeCell ref="A166:B166"/>
    <mergeCell ref="L174:M174"/>
    <mergeCell ref="A170:H170"/>
    <mergeCell ref="L171:M171"/>
    <mergeCell ref="A172:B172"/>
    <mergeCell ref="L172:M172"/>
    <mergeCell ref="A173:B173"/>
    <mergeCell ref="L173:M173"/>
    <mergeCell ref="L153:M153"/>
    <mergeCell ref="L154:M154"/>
    <mergeCell ref="L155:M155"/>
    <mergeCell ref="L164:M164"/>
    <mergeCell ref="L161:M161"/>
    <mergeCell ref="L162:M162"/>
    <mergeCell ref="L163:M163"/>
    <mergeCell ref="L165:M165"/>
    <mergeCell ref="L166:M166"/>
    <mergeCell ref="L144:M144"/>
    <mergeCell ref="A145:H145"/>
    <mergeCell ref="A147:H147"/>
    <mergeCell ref="L148:M148"/>
    <mergeCell ref="L149:M149"/>
    <mergeCell ref="L150:M150"/>
    <mergeCell ref="A146:H146"/>
    <mergeCell ref="L151:M151"/>
    <mergeCell ref="L152:M152"/>
    <mergeCell ref="E39:H39"/>
    <mergeCell ref="A39:D39"/>
    <mergeCell ref="A125:B125"/>
    <mergeCell ref="A87:B87"/>
    <mergeCell ref="A88:B88"/>
    <mergeCell ref="A89:B89"/>
    <mergeCell ref="A79:B79"/>
    <mergeCell ref="C79:H79"/>
    <mergeCell ref="A74:B74"/>
    <mergeCell ref="F108:H108"/>
    <mergeCell ref="G120:H120"/>
    <mergeCell ref="A46:B46"/>
    <mergeCell ref="C46:E46"/>
    <mergeCell ref="G46:H46"/>
    <mergeCell ref="G48:H48"/>
    <mergeCell ref="A122:B122"/>
    <mergeCell ref="C122:D122"/>
    <mergeCell ref="E122:F122"/>
    <mergeCell ref="G122:H122"/>
    <mergeCell ref="D57:H57"/>
    <mergeCell ref="C49:H49"/>
    <mergeCell ref="C47:E47"/>
    <mergeCell ref="G119:H119"/>
    <mergeCell ref="C120:D120"/>
    <mergeCell ref="L141:M141"/>
    <mergeCell ref="L142:M142"/>
    <mergeCell ref="L143:M143"/>
    <mergeCell ref="A135:H135"/>
    <mergeCell ref="A127:B127"/>
    <mergeCell ref="C127:D127"/>
    <mergeCell ref="E127:F127"/>
    <mergeCell ref="G127:H127"/>
    <mergeCell ref="L140:M140"/>
    <mergeCell ref="L139:M139"/>
    <mergeCell ref="L138:M138"/>
    <mergeCell ref="L137:M137"/>
    <mergeCell ref="A129:B129"/>
    <mergeCell ref="E129:F129"/>
    <mergeCell ref="C129:D129"/>
    <mergeCell ref="B132:B133"/>
    <mergeCell ref="A132:A133"/>
    <mergeCell ref="A134:H134"/>
    <mergeCell ref="A130:H130"/>
    <mergeCell ref="G129:H129"/>
    <mergeCell ref="A131:H131"/>
    <mergeCell ref="C132:C133"/>
    <mergeCell ref="A136:H136"/>
    <mergeCell ref="E132:E133"/>
    <mergeCell ref="B248:H248"/>
    <mergeCell ref="A195:B195"/>
    <mergeCell ref="A196:B196"/>
    <mergeCell ref="A202:B202"/>
    <mergeCell ref="A203:B203"/>
    <mergeCell ref="D157:D158"/>
    <mergeCell ref="E157:E158"/>
    <mergeCell ref="G157:H158"/>
    <mergeCell ref="A167:B167"/>
    <mergeCell ref="A162:B162"/>
    <mergeCell ref="B246:H246"/>
    <mergeCell ref="A171:B171"/>
    <mergeCell ref="A182:B182"/>
    <mergeCell ref="A198:H198"/>
    <mergeCell ref="A197:B197"/>
    <mergeCell ref="A239:H239"/>
    <mergeCell ref="A160:H160"/>
    <mergeCell ref="A159:H159"/>
    <mergeCell ref="A177:B177"/>
    <mergeCell ref="B157:B158"/>
    <mergeCell ref="A191:H191"/>
    <mergeCell ref="B240:H240"/>
    <mergeCell ref="B241:H241"/>
    <mergeCell ref="A161:B161"/>
    <mergeCell ref="A261:H264"/>
    <mergeCell ref="A260:B260"/>
    <mergeCell ref="E260:F260"/>
    <mergeCell ref="C260:D260"/>
    <mergeCell ref="G260:H260"/>
    <mergeCell ref="A259:H259"/>
    <mergeCell ref="A257:H257"/>
    <mergeCell ref="A222:B222"/>
    <mergeCell ref="A227:B227"/>
    <mergeCell ref="A238:B238"/>
    <mergeCell ref="A236:B236"/>
    <mergeCell ref="A254:H254"/>
    <mergeCell ref="A253:H253"/>
    <mergeCell ref="A232:B232"/>
    <mergeCell ref="A237:B237"/>
    <mergeCell ref="A228:B228"/>
    <mergeCell ref="A229:B229"/>
    <mergeCell ref="B242:H242"/>
    <mergeCell ref="A234:B234"/>
    <mergeCell ref="A235:B235"/>
    <mergeCell ref="A223:H223"/>
    <mergeCell ref="A224:B224"/>
    <mergeCell ref="A225:B225"/>
    <mergeCell ref="A226:B226"/>
    <mergeCell ref="B243:H243"/>
    <mergeCell ref="B244:H244"/>
    <mergeCell ref="A221:B221"/>
    <mergeCell ref="A156:H156"/>
    <mergeCell ref="A157:A158"/>
    <mergeCell ref="A192:B192"/>
    <mergeCell ref="A193:B193"/>
    <mergeCell ref="A194:B194"/>
    <mergeCell ref="A163:B163"/>
    <mergeCell ref="A218:B218"/>
    <mergeCell ref="A215:H215"/>
    <mergeCell ref="A216:B216"/>
    <mergeCell ref="A217:B217"/>
    <mergeCell ref="A220:B220"/>
    <mergeCell ref="A174:B174"/>
    <mergeCell ref="A201:B201"/>
    <mergeCell ref="G224:H230"/>
    <mergeCell ref="G161:H169"/>
    <mergeCell ref="G192:H197"/>
    <mergeCell ref="G181:H189"/>
    <mergeCell ref="A204:B204"/>
    <mergeCell ref="A212:H212"/>
    <mergeCell ref="A214:H214"/>
    <mergeCell ref="A213:H213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5:B75"/>
    <mergeCell ref="A68:B68"/>
    <mergeCell ref="A71:B71"/>
    <mergeCell ref="A44:H44"/>
    <mergeCell ref="D54:H54"/>
    <mergeCell ref="A54:C54"/>
    <mergeCell ref="G47:H47"/>
    <mergeCell ref="A48:B49"/>
    <mergeCell ref="D56:H56"/>
    <mergeCell ref="A50:B50"/>
    <mergeCell ref="C50:E50"/>
    <mergeCell ref="A47:B47"/>
    <mergeCell ref="A51:H51"/>
    <mergeCell ref="A52:C52"/>
    <mergeCell ref="A53:C53"/>
    <mergeCell ref="D53:H53"/>
    <mergeCell ref="G50:H50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8:C58"/>
    <mergeCell ref="A59:C59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D58:H58"/>
    <mergeCell ref="D52:H52"/>
    <mergeCell ref="C48:E48"/>
    <mergeCell ref="A55:C57"/>
    <mergeCell ref="D55:H55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120:B120"/>
    <mergeCell ref="E120:F120"/>
    <mergeCell ref="A117:E117"/>
    <mergeCell ref="A124:H124"/>
    <mergeCell ref="F117:H117"/>
    <mergeCell ref="A38:D38"/>
    <mergeCell ref="E38:H38"/>
    <mergeCell ref="F30:H30"/>
    <mergeCell ref="F31:H31"/>
    <mergeCell ref="A37:H37"/>
    <mergeCell ref="A36:B36"/>
    <mergeCell ref="C36:H36"/>
    <mergeCell ref="A67:B67"/>
    <mergeCell ref="A65:B65"/>
    <mergeCell ref="C65:H65"/>
    <mergeCell ref="D59:H59"/>
    <mergeCell ref="A40:D40"/>
    <mergeCell ref="E40:H40"/>
    <mergeCell ref="E41:H41"/>
    <mergeCell ref="E42:H42"/>
    <mergeCell ref="E43:H43"/>
    <mergeCell ref="A41:D41"/>
    <mergeCell ref="A42:D42"/>
    <mergeCell ref="A43:D43"/>
    <mergeCell ref="A90:B90"/>
    <mergeCell ref="A91:B91"/>
    <mergeCell ref="A92:B92"/>
    <mergeCell ref="F112:H112"/>
    <mergeCell ref="F110:H110"/>
    <mergeCell ref="A113:E113"/>
    <mergeCell ref="F113:H113"/>
    <mergeCell ref="A114:E114"/>
    <mergeCell ref="F116:H116"/>
    <mergeCell ref="A76:B76"/>
    <mergeCell ref="C126:D126"/>
    <mergeCell ref="E126:F126"/>
    <mergeCell ref="G126:H126"/>
    <mergeCell ref="F114:H114"/>
    <mergeCell ref="A108:E108"/>
    <mergeCell ref="A81:B81"/>
    <mergeCell ref="C81:H81"/>
    <mergeCell ref="A82:B82"/>
    <mergeCell ref="E82:F82"/>
    <mergeCell ref="G82:H82"/>
    <mergeCell ref="A105:B105"/>
    <mergeCell ref="A106:B106"/>
    <mergeCell ref="A118:H118"/>
    <mergeCell ref="C121:D121"/>
    <mergeCell ref="E121:F121"/>
    <mergeCell ref="G121:H121"/>
    <mergeCell ref="A123:B123"/>
    <mergeCell ref="C123:D123"/>
    <mergeCell ref="A119:B119"/>
    <mergeCell ref="C119:D119"/>
    <mergeCell ref="A116:E116"/>
    <mergeCell ref="A83:B83"/>
    <mergeCell ref="E83:F92"/>
    <mergeCell ref="B247:H247"/>
    <mergeCell ref="A45:B45"/>
    <mergeCell ref="C45:H45"/>
    <mergeCell ref="B245:H245"/>
    <mergeCell ref="G83:H92"/>
    <mergeCell ref="A84:B84"/>
    <mergeCell ref="A85:B85"/>
    <mergeCell ref="A86:B86"/>
    <mergeCell ref="F109:H109"/>
    <mergeCell ref="A109:E109"/>
    <mergeCell ref="D132:D133"/>
    <mergeCell ref="A110:E110"/>
    <mergeCell ref="A112:E112"/>
    <mergeCell ref="A164:B164"/>
    <mergeCell ref="A121:B121"/>
    <mergeCell ref="A115:E115"/>
    <mergeCell ref="A107:E107"/>
    <mergeCell ref="F107:H107"/>
    <mergeCell ref="F111:H111"/>
    <mergeCell ref="A111:E111"/>
    <mergeCell ref="G199:H204"/>
    <mergeCell ref="F115:H115"/>
    <mergeCell ref="E123:F123"/>
    <mergeCell ref="G123:H123"/>
    <mergeCell ref="A219:B219"/>
    <mergeCell ref="C35:H35"/>
    <mergeCell ref="G137:H144"/>
    <mergeCell ref="G148:H155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26:B126"/>
    <mergeCell ref="E125:F125"/>
    <mergeCell ref="E119:F119"/>
    <mergeCell ref="A101:B101"/>
    <mergeCell ref="A102:B102"/>
    <mergeCell ref="A103:B103"/>
    <mergeCell ref="A104:B104"/>
    <mergeCell ref="A200:B200"/>
    <mergeCell ref="A199:B199"/>
    <mergeCell ref="A190:H190"/>
    <mergeCell ref="A128:B128"/>
    <mergeCell ref="C128:D128"/>
    <mergeCell ref="E128:F128"/>
    <mergeCell ref="G128:H128"/>
    <mergeCell ref="C125:D125"/>
    <mergeCell ref="G125:H125"/>
    <mergeCell ref="G132:H133"/>
    <mergeCell ref="C157:C158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64" max="16383" man="1"/>
    <brk id="3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2" t="s">
        <v>105</v>
      </c>
      <c r="C3" s="202"/>
      <c r="D3" s="202"/>
      <c r="E3" s="202"/>
      <c r="F3" s="202"/>
      <c r="G3" s="202"/>
      <c r="H3" s="202"/>
    </row>
    <row r="4" spans="1:9" x14ac:dyDescent="0.35">
      <c r="A4" s="2"/>
      <c r="B4" s="3" t="s">
        <v>106</v>
      </c>
      <c r="C4" s="3" t="s">
        <v>107</v>
      </c>
      <c r="D4" s="3" t="s">
        <v>71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5" t="s">
        <v>214</v>
      </c>
      <c r="C5" s="6"/>
      <c r="D5" s="55" t="s">
        <v>215</v>
      </c>
      <c r="E5" s="5">
        <v>285</v>
      </c>
      <c r="F5" s="7">
        <f>E5*1.55</f>
        <v>441.75</v>
      </c>
      <c r="G5" s="7">
        <f>H5/F5</f>
        <v>11316.355404640633</v>
      </c>
      <c r="H5" s="8">
        <v>4999000</v>
      </c>
    </row>
    <row r="6" spans="1:9" x14ac:dyDescent="0.35">
      <c r="A6" s="2"/>
      <c r="B6" s="5" t="s">
        <v>110</v>
      </c>
      <c r="C6" s="9"/>
      <c r="D6" s="55" t="s">
        <v>216</v>
      </c>
      <c r="E6" s="5">
        <v>243</v>
      </c>
      <c r="F6" s="7">
        <f>E6*1.55</f>
        <v>376.65000000000003</v>
      </c>
      <c r="G6" s="7">
        <f t="shared" ref="G6:G11" si="0">H6/F6</f>
        <v>11281.030134076727</v>
      </c>
      <c r="H6" s="8">
        <v>4249000</v>
      </c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ref="F7:F9" si="1">E7*1.6</f>
        <v>0</v>
      </c>
      <c r="G7" s="7" t="e">
        <f t="shared" si="0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1"/>
        <v>0</v>
      </c>
      <c r="G8" s="7" t="e">
        <f t="shared" si="0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1"/>
        <v>0</v>
      </c>
      <c r="G9" s="7" t="e">
        <f t="shared" si="0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5" t="s">
        <v>216</v>
      </c>
      <c r="E10" s="5">
        <v>243</v>
      </c>
      <c r="F10" s="7">
        <f>E10*1.55</f>
        <v>376.65000000000003</v>
      </c>
      <c r="G10" s="7">
        <f t="shared" si="0"/>
        <v>9823.4435151997859</v>
      </c>
      <c r="H10" s="8">
        <v>3700000</v>
      </c>
    </row>
    <row r="11" spans="1:9" ht="15" customHeight="1" x14ac:dyDescent="0.35">
      <c r="A11" s="2"/>
      <c r="B11" s="5" t="s">
        <v>111</v>
      </c>
      <c r="C11" s="6"/>
      <c r="D11" s="55" t="s">
        <v>216</v>
      </c>
      <c r="E11" s="5">
        <v>243</v>
      </c>
      <c r="F11" s="7">
        <f>E11*1.55</f>
        <v>376.65000000000003</v>
      </c>
      <c r="G11" s="7">
        <f t="shared" si="0"/>
        <v>10619.938935351121</v>
      </c>
      <c r="H11" s="8">
        <v>4000000</v>
      </c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2025-05-14T14:16:55Z</cp:lastPrinted>
  <dcterms:created xsi:type="dcterms:W3CDTF">2019-07-16T09:29:46Z</dcterms:created>
  <dcterms:modified xsi:type="dcterms:W3CDTF">2025-08-20T05:33:13Z</dcterms:modified>
</cp:coreProperties>
</file>