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Report!$A$1:$H$405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A248" i="1" l="1"/>
  <c r="A249" i="1" s="1"/>
  <c r="A250" i="1" s="1"/>
  <c r="A251" i="1" s="1"/>
  <c r="A242" i="1"/>
  <c r="A243" i="1" s="1"/>
  <c r="A244" i="1" s="1"/>
  <c r="A245" i="1" s="1"/>
  <c r="A236" i="1"/>
  <c r="A237" i="1" s="1"/>
  <c r="A238" i="1" s="1"/>
  <c r="A239" i="1" s="1"/>
  <c r="A230" i="1"/>
  <c r="A231" i="1" s="1"/>
  <c r="A232" i="1" s="1"/>
  <c r="A233" i="1" s="1"/>
  <c r="A224" i="1"/>
  <c r="A225" i="1" s="1"/>
  <c r="A226" i="1" s="1"/>
  <c r="A227" i="1" s="1"/>
  <c r="A218" i="1"/>
  <c r="A219" i="1" s="1"/>
  <c r="A220" i="1" s="1"/>
  <c r="A221" i="1" s="1"/>
  <c r="A199" i="1"/>
  <c r="A200" i="1" s="1"/>
  <c r="A201" i="1" s="1"/>
  <c r="A202" i="1" s="1"/>
  <c r="A193" i="1"/>
  <c r="A194" i="1" s="1"/>
  <c r="A195" i="1" s="1"/>
  <c r="A196" i="1" s="1"/>
  <c r="A175" i="1"/>
  <c r="A176" i="1" s="1"/>
  <c r="A177" i="1" s="1"/>
  <c r="A178" i="1" s="1"/>
  <c r="A169" i="1"/>
  <c r="A170" i="1" s="1"/>
  <c r="A171" i="1" s="1"/>
  <c r="A172" i="1" s="1"/>
  <c r="I47" i="1"/>
  <c r="J185" i="1"/>
  <c r="J191" i="1"/>
  <c r="J179" i="1"/>
  <c r="J182" i="1"/>
  <c r="J167" i="1"/>
  <c r="J173" i="1"/>
  <c r="J158" i="1"/>
  <c r="J159" i="1"/>
  <c r="J160" i="1"/>
  <c r="J161" i="1"/>
  <c r="J131" i="1"/>
  <c r="D181" i="1" l="1"/>
  <c r="I140" i="1"/>
  <c r="E248" i="1" l="1"/>
  <c r="D248" i="1"/>
  <c r="E247" i="1"/>
  <c r="D247" i="1"/>
  <c r="F247" i="1" s="1"/>
  <c r="H247" i="1" s="1"/>
  <c r="E245" i="1"/>
  <c r="D245" i="1"/>
  <c r="E244" i="1"/>
  <c r="D244" i="1"/>
  <c r="E243" i="1"/>
  <c r="D243" i="1"/>
  <c r="E242" i="1"/>
  <c r="D242" i="1"/>
  <c r="E241" i="1"/>
  <c r="D241" i="1"/>
  <c r="E239" i="1"/>
  <c r="D239" i="1"/>
  <c r="E238" i="1"/>
  <c r="D238" i="1"/>
  <c r="E237" i="1"/>
  <c r="D237" i="1"/>
  <c r="E236" i="1"/>
  <c r="D236" i="1"/>
  <c r="E235" i="1"/>
  <c r="D235" i="1"/>
  <c r="E233" i="1"/>
  <c r="D233" i="1"/>
  <c r="E232" i="1"/>
  <c r="D232" i="1"/>
  <c r="E231" i="1"/>
  <c r="D231" i="1"/>
  <c r="E227" i="1"/>
  <c r="D227" i="1"/>
  <c r="E226" i="1"/>
  <c r="D226" i="1"/>
  <c r="E225" i="1"/>
  <c r="D225" i="1"/>
  <c r="E221" i="1"/>
  <c r="D221" i="1"/>
  <c r="E220" i="1"/>
  <c r="D220" i="1"/>
  <c r="E219" i="1"/>
  <c r="D219" i="1"/>
  <c r="E218" i="1"/>
  <c r="D218" i="1"/>
  <c r="E217" i="1"/>
  <c r="D217" i="1"/>
  <c r="E211" i="1"/>
  <c r="D211" i="1"/>
  <c r="E209" i="1"/>
  <c r="D209" i="1"/>
  <c r="E202" i="1"/>
  <c r="D202" i="1"/>
  <c r="E201" i="1"/>
  <c r="D201" i="1"/>
  <c r="E200" i="1"/>
  <c r="D200" i="1"/>
  <c r="E199" i="1"/>
  <c r="D199" i="1"/>
  <c r="E198" i="1"/>
  <c r="D198" i="1"/>
  <c r="E196" i="1"/>
  <c r="D196" i="1"/>
  <c r="E195" i="1"/>
  <c r="D195" i="1"/>
  <c r="E194" i="1"/>
  <c r="D194" i="1"/>
  <c r="E193" i="1"/>
  <c r="D193" i="1"/>
  <c r="E192" i="1"/>
  <c r="D192" i="1"/>
  <c r="E190" i="1"/>
  <c r="D190" i="1"/>
  <c r="E189" i="1"/>
  <c r="D189" i="1"/>
  <c r="E188" i="1"/>
  <c r="D188" i="1"/>
  <c r="E187" i="1"/>
  <c r="D187" i="1"/>
  <c r="E186" i="1"/>
  <c r="D186" i="1"/>
  <c r="E184" i="1"/>
  <c r="D184" i="1"/>
  <c r="E181" i="1"/>
  <c r="E180" i="1"/>
  <c r="D180" i="1"/>
  <c r="E178" i="1"/>
  <c r="D178" i="1"/>
  <c r="E175" i="1"/>
  <c r="D175" i="1"/>
  <c r="E174" i="1"/>
  <c r="D174" i="1"/>
  <c r="E172" i="1"/>
  <c r="D172" i="1"/>
  <c r="E171" i="1"/>
  <c r="D171" i="1"/>
  <c r="E170" i="1"/>
  <c r="D170" i="1"/>
  <c r="E169" i="1"/>
  <c r="D169" i="1"/>
  <c r="E168" i="1"/>
  <c r="D168" i="1"/>
  <c r="E157" i="1"/>
  <c r="D157" i="1"/>
  <c r="E156" i="1"/>
  <c r="D156" i="1"/>
  <c r="E166" i="1"/>
  <c r="D166" i="1"/>
  <c r="E165" i="1"/>
  <c r="D165" i="1"/>
  <c r="E164" i="1"/>
  <c r="D164" i="1"/>
  <c r="E163" i="1"/>
  <c r="D163" i="1"/>
  <c r="E162" i="1"/>
  <c r="D162" i="1"/>
  <c r="E150" i="1"/>
  <c r="D150" i="1"/>
  <c r="E149" i="1"/>
  <c r="D149" i="1"/>
  <c r="E146" i="1"/>
  <c r="D146" i="1"/>
  <c r="E145" i="1"/>
  <c r="D145" i="1"/>
  <c r="E144" i="1"/>
  <c r="D144" i="1"/>
  <c r="E143" i="1"/>
  <c r="D143" i="1"/>
  <c r="E142" i="1"/>
  <c r="D142" i="1"/>
  <c r="E141" i="1"/>
  <c r="D141" i="1"/>
  <c r="E140" i="1"/>
  <c r="D140" i="1"/>
  <c r="J154" i="1"/>
  <c r="A212" i="1"/>
  <c r="A213" i="1" s="1"/>
  <c r="A214" i="1" s="1"/>
  <c r="A215" i="1" s="1"/>
  <c r="C131" i="1" l="1"/>
  <c r="F220" i="1"/>
  <c r="H220" i="1" s="1"/>
  <c r="F241" i="1"/>
  <c r="H241" i="1" s="1"/>
  <c r="C125" i="1"/>
  <c r="F227" i="1"/>
  <c r="H227" i="1" s="1"/>
  <c r="F237" i="1"/>
  <c r="H237" i="1" s="1"/>
  <c r="F244" i="1"/>
  <c r="H244" i="1" s="1"/>
  <c r="C126" i="1"/>
  <c r="F209" i="1"/>
  <c r="F218" i="1"/>
  <c r="H218" i="1" s="1"/>
  <c r="F225" i="1"/>
  <c r="H225" i="1" s="1"/>
  <c r="F232" i="1"/>
  <c r="H232" i="1" s="1"/>
  <c r="F235" i="1"/>
  <c r="H235" i="1" s="1"/>
  <c r="F239" i="1"/>
  <c r="H239" i="1" s="1"/>
  <c r="F245" i="1"/>
  <c r="H245" i="1" s="1"/>
  <c r="F211" i="1"/>
  <c r="F217" i="1"/>
  <c r="H217" i="1" s="1"/>
  <c r="F219" i="1"/>
  <c r="H219" i="1" s="1"/>
  <c r="F221" i="1"/>
  <c r="H221" i="1" s="1"/>
  <c r="F226" i="1"/>
  <c r="H226" i="1" s="1"/>
  <c r="F231" i="1"/>
  <c r="F233" i="1"/>
  <c r="H233" i="1" s="1"/>
  <c r="F236" i="1"/>
  <c r="H236" i="1" s="1"/>
  <c r="F238" i="1"/>
  <c r="H238" i="1" s="1"/>
  <c r="F242" i="1"/>
  <c r="H242" i="1" s="1"/>
  <c r="F243" i="1"/>
  <c r="H243" i="1" s="1"/>
  <c r="F248" i="1"/>
  <c r="H248" i="1" s="1"/>
  <c r="F202" i="1"/>
  <c r="H202" i="1" s="1"/>
  <c r="F201" i="1"/>
  <c r="H201" i="1" s="1"/>
  <c r="J201" i="1" s="1"/>
  <c r="F200" i="1"/>
  <c r="H200" i="1" s="1"/>
  <c r="F199" i="1"/>
  <c r="H199" i="1" s="1"/>
  <c r="F198" i="1"/>
  <c r="H198" i="1" s="1"/>
  <c r="F194" i="1"/>
  <c r="H194" i="1" s="1"/>
  <c r="J194" i="1" s="1"/>
  <c r="F193" i="1"/>
  <c r="H193" i="1" s="1"/>
  <c r="J193" i="1" s="1"/>
  <c r="F196" i="1"/>
  <c r="H196" i="1" s="1"/>
  <c r="F195" i="1"/>
  <c r="H195" i="1" s="1"/>
  <c r="F192" i="1"/>
  <c r="H192" i="1" s="1"/>
  <c r="J192" i="1" s="1"/>
  <c r="F188" i="1"/>
  <c r="H188" i="1" s="1"/>
  <c r="J188" i="1" s="1"/>
  <c r="F190" i="1"/>
  <c r="H190" i="1" s="1"/>
  <c r="J190" i="1" s="1"/>
  <c r="F189" i="1"/>
  <c r="H189" i="1" s="1"/>
  <c r="J189" i="1" s="1"/>
  <c r="F187" i="1"/>
  <c r="H187" i="1" s="1"/>
  <c r="J187" i="1" s="1"/>
  <c r="F186" i="1"/>
  <c r="H186" i="1" s="1"/>
  <c r="J186" i="1" s="1"/>
  <c r="A187" i="1"/>
  <c r="A188" i="1" s="1"/>
  <c r="A189" i="1" s="1"/>
  <c r="A190" i="1" s="1"/>
  <c r="F184" i="1"/>
  <c r="H184" i="1" s="1"/>
  <c r="J184" i="1" s="1"/>
  <c r="H183" i="1"/>
  <c r="J183" i="1" s="1"/>
  <c r="F181" i="1"/>
  <c r="H181" i="1" s="1"/>
  <c r="J181" i="1" s="1"/>
  <c r="F180" i="1"/>
  <c r="H180" i="1" s="1"/>
  <c r="J180" i="1" s="1"/>
  <c r="A181" i="1"/>
  <c r="A183" i="1" s="1"/>
  <c r="A184" i="1" s="1"/>
  <c r="F178" i="1"/>
  <c r="H178" i="1" s="1"/>
  <c r="J178" i="1" s="1"/>
  <c r="H177" i="1"/>
  <c r="J177" i="1" s="1"/>
  <c r="H176" i="1"/>
  <c r="J176" i="1" s="1"/>
  <c r="F175" i="1"/>
  <c r="H175" i="1" s="1"/>
  <c r="J175" i="1" s="1"/>
  <c r="F174" i="1"/>
  <c r="H174" i="1" s="1"/>
  <c r="J174" i="1" s="1"/>
  <c r="F157" i="1"/>
  <c r="H157" i="1" s="1"/>
  <c r="J157" i="1" s="1"/>
  <c r="F156" i="1"/>
  <c r="A157" i="1"/>
  <c r="A158" i="1" s="1"/>
  <c r="A159" i="1" s="1"/>
  <c r="A160" i="1" s="1"/>
  <c r="I145" i="1"/>
  <c r="I146" i="1"/>
  <c r="F149" i="1"/>
  <c r="F150" i="1"/>
  <c r="H150" i="1" s="1"/>
  <c r="F144" i="1"/>
  <c r="H144" i="1" s="1"/>
  <c r="F145" i="1"/>
  <c r="F146" i="1"/>
  <c r="H146" i="1" s="1"/>
  <c r="C127" i="1" l="1"/>
  <c r="H145" i="1"/>
  <c r="G120" i="1" s="1"/>
  <c r="E120" i="1"/>
  <c r="C120" i="1"/>
  <c r="H149" i="1"/>
  <c r="G121" i="1" s="1"/>
  <c r="E121" i="1"/>
  <c r="C121" i="1"/>
  <c r="E126" i="1"/>
  <c r="E130" i="1"/>
  <c r="C130" i="1"/>
  <c r="C132" i="1" s="1"/>
  <c r="H211" i="1"/>
  <c r="G131" i="1" s="1"/>
  <c r="E131" i="1"/>
  <c r="H156" i="1"/>
  <c r="H231" i="1"/>
  <c r="G126" i="1" s="1"/>
  <c r="H209" i="1"/>
  <c r="G130" i="1" s="1"/>
  <c r="B254" i="1"/>
  <c r="E132" i="1" l="1"/>
  <c r="G132" i="1"/>
  <c r="J156" i="1"/>
  <c r="F141" i="1"/>
  <c r="F142" i="1"/>
  <c r="H142" i="1" s="1"/>
  <c r="F143" i="1"/>
  <c r="H143" i="1" s="1"/>
  <c r="F140" i="1"/>
  <c r="E119" i="1" l="1"/>
  <c r="E122" i="1" s="1"/>
  <c r="C119" i="1"/>
  <c r="C122" i="1" s="1"/>
  <c r="C133" i="1" s="1"/>
  <c r="H141" i="1"/>
  <c r="H140" i="1"/>
  <c r="G119" i="1" s="1"/>
  <c r="G60" i="1"/>
  <c r="C60" i="1"/>
  <c r="G58" i="1"/>
  <c r="C58" i="1"/>
  <c r="G122" i="1" l="1"/>
  <c r="S33" i="1"/>
  <c r="F11" i="5" l="1"/>
  <c r="G11" i="5" s="1"/>
  <c r="F10" i="5"/>
  <c r="G10" i="5" s="1"/>
  <c r="F9" i="5"/>
  <c r="G9" i="5" s="1"/>
  <c r="F8" i="5"/>
  <c r="G8" i="5" s="1"/>
  <c r="F7" i="5"/>
  <c r="G7" i="5" s="1"/>
  <c r="F6" i="5"/>
  <c r="G6" i="5" s="1"/>
  <c r="F5" i="5"/>
  <c r="G5" i="5" s="1"/>
  <c r="G12" i="5" s="1"/>
  <c r="D277" i="1"/>
  <c r="B255" i="1"/>
  <c r="F172" i="1"/>
  <c r="H172" i="1" s="1"/>
  <c r="J172" i="1" s="1"/>
  <c r="F171" i="1"/>
  <c r="H171" i="1" s="1"/>
  <c r="J171" i="1" s="1"/>
  <c r="F170" i="1"/>
  <c r="H170" i="1" s="1"/>
  <c r="J170" i="1" s="1"/>
  <c r="F169" i="1"/>
  <c r="H169" i="1" s="1"/>
  <c r="J169" i="1" s="1"/>
  <c r="F168" i="1"/>
  <c r="H168" i="1" s="1"/>
  <c r="J168" i="1" s="1"/>
  <c r="F166" i="1"/>
  <c r="H166" i="1" s="1"/>
  <c r="J166" i="1" s="1"/>
  <c r="F165" i="1"/>
  <c r="H165" i="1" s="1"/>
  <c r="J165" i="1" s="1"/>
  <c r="F164" i="1"/>
  <c r="H164" i="1" s="1"/>
  <c r="J164" i="1" s="1"/>
  <c r="F163" i="1"/>
  <c r="H163" i="1" s="1"/>
  <c r="J163" i="1" s="1"/>
  <c r="F162" i="1"/>
  <c r="A163" i="1"/>
  <c r="A164" i="1" s="1"/>
  <c r="A165" i="1" s="1"/>
  <c r="A166" i="1" s="1"/>
  <c r="A141" i="1"/>
  <c r="A142" i="1" s="1"/>
  <c r="A143" i="1" s="1"/>
  <c r="A144" i="1" s="1"/>
  <c r="A145" i="1" s="1"/>
  <c r="A146" i="1" s="1"/>
  <c r="A149" i="1" s="1"/>
  <c r="A150" i="1" s="1"/>
  <c r="F116" i="1"/>
  <c r="C90" i="1"/>
  <c r="C76" i="1"/>
  <c r="D70" i="1"/>
  <c r="D64" i="1"/>
  <c r="C51" i="1"/>
  <c r="C52" i="1" s="1"/>
  <c r="E44" i="1"/>
  <c r="E45" i="1" s="1"/>
  <c r="E31" i="1"/>
  <c r="E28" i="1"/>
  <c r="E26" i="1"/>
  <c r="C16" i="1"/>
  <c r="I15" i="1"/>
  <c r="Z13" i="1"/>
  <c r="E8" i="1"/>
  <c r="E3" i="1"/>
  <c r="H77" i="1"/>
  <c r="H91" i="1"/>
  <c r="E125" i="1" l="1"/>
  <c r="E127" i="1" s="1"/>
  <c r="H162" i="1"/>
  <c r="E133" i="1"/>
  <c r="J76" i="1"/>
  <c r="J78" i="1" s="1"/>
  <c r="J79" i="1"/>
  <c r="J80" i="1"/>
  <c r="J81" i="1"/>
  <c r="C80" i="1" s="1"/>
  <c r="J95" i="1"/>
  <c r="D99" i="1"/>
  <c r="D101" i="1"/>
  <c r="J94" i="1"/>
  <c r="D100" i="1"/>
  <c r="J90" i="1"/>
  <c r="J92" i="1" s="1"/>
  <c r="D98" i="1"/>
  <c r="J93" i="1"/>
  <c r="D97" i="1"/>
  <c r="D103" i="1"/>
  <c r="D102" i="1"/>
  <c r="D96" i="1"/>
  <c r="D84" i="1"/>
  <c r="D86" i="1"/>
  <c r="D85" i="1"/>
  <c r="D89" i="1"/>
  <c r="D83" i="1"/>
  <c r="D88" i="1"/>
  <c r="D82" i="1"/>
  <c r="D87" i="1"/>
  <c r="B91" i="1"/>
  <c r="B77" i="1"/>
  <c r="J82" i="1" s="1"/>
  <c r="J162" i="1" l="1"/>
  <c r="G125" i="1"/>
  <c r="G127" i="1" s="1"/>
  <c r="G133" i="1" s="1"/>
  <c r="C94" i="1"/>
  <c r="D94" i="1" s="1"/>
  <c r="D80" i="1"/>
  <c r="J101" i="1"/>
  <c r="J98" i="1"/>
  <c r="J100" i="1"/>
  <c r="J99" i="1"/>
  <c r="J96" i="1"/>
  <c r="J97" i="1" s="1"/>
  <c r="J86" i="1"/>
  <c r="J84" i="1"/>
  <c r="J85" i="1"/>
  <c r="J83" i="1"/>
  <c r="J88" i="1" s="1"/>
  <c r="J89" i="1" s="1"/>
  <c r="C81" i="1" s="1"/>
  <c r="J87" i="1"/>
  <c r="J77" i="1" l="1"/>
  <c r="J102" i="1"/>
  <c r="J103" i="1" s="1"/>
  <c r="C95" i="1" s="1"/>
  <c r="E80" i="1"/>
  <c r="D81" i="1"/>
  <c r="I77" i="1" s="1"/>
  <c r="G80" i="1"/>
  <c r="D74" i="1" s="1"/>
  <c r="F75" i="1" l="1"/>
  <c r="D75" i="1"/>
  <c r="I78" i="1"/>
  <c r="I76" i="1" s="1"/>
  <c r="C78" i="1" s="1"/>
  <c r="D95" i="1" l="1"/>
  <c r="I91" i="1" s="1"/>
  <c r="I92" i="1" s="1"/>
  <c r="E94" i="1"/>
  <c r="G94" i="1"/>
  <c r="J91" i="1"/>
  <c r="I90" i="1" l="1"/>
  <c r="C92"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7" authorId="1">
      <text>
        <r>
          <rPr>
            <b/>
            <sz val="9"/>
            <color indexed="81"/>
            <rFont val="Tahoma"/>
            <family val="2"/>
          </rPr>
          <t>SACHIN:</t>
        </r>
        <r>
          <rPr>
            <sz val="9"/>
            <color indexed="81"/>
            <rFont val="Tahoma"/>
            <family val="2"/>
          </rPr>
          <t xml:space="preserve">
Floor with height</t>
        </r>
      </text>
    </comment>
    <comment ref="C59" authorId="1">
      <text>
        <r>
          <rPr>
            <b/>
            <sz val="9"/>
            <color indexed="81"/>
            <rFont val="Tahoma"/>
            <family val="2"/>
          </rPr>
          <t>SACHIN:</t>
        </r>
        <r>
          <rPr>
            <sz val="9"/>
            <color indexed="81"/>
            <rFont val="Tahoma"/>
            <family val="2"/>
          </rPr>
          <t xml:space="preserve">
Survey Nos.</t>
        </r>
      </text>
    </comment>
    <comment ref="C61" authorId="1">
      <text>
        <r>
          <rPr>
            <b/>
            <sz val="9"/>
            <color indexed="81"/>
            <rFont val="Tahoma"/>
            <family val="2"/>
          </rPr>
          <t>SACHIN:</t>
        </r>
        <r>
          <rPr>
            <sz val="9"/>
            <color indexed="81"/>
            <rFont val="Tahoma"/>
            <family val="2"/>
          </rPr>
          <t xml:space="preserve">
Height from AMSL</t>
        </r>
      </text>
    </comment>
    <comment ref="D64"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<sst xmlns="http://schemas.openxmlformats.org/spreadsheetml/2006/main" count="751" uniqueCount="372">
  <si>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</si>
  <si>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</si>
  <si>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</si>
  <si>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</si>
  <si>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</si>
  <si>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</si>
  <si>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</si>
  <si>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</si>
  <si>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</si>
  <si>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</si>
  <si>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</si>
  <si>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</si>
  <si>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</si>
  <si>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</si>
  <si>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</si>
  <si>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</si>
  <si>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</si>
  <si>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</si>
  <si>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</si>
  <si>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</si>
  <si>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</si>
  <si>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</si>
  <si>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</si>
  <si>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</si>
  <si>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</si>
  <si>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</si>
  <si>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</si>
  <si>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</si>
  <si>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</si>
  <si>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</si>
  <si>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</si>
  <si>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</si>
  <si>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</si>
  <si>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</si>
  <si>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</si>
  <si>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</si>
  <si>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</si>
  <si>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</si>
  <si>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</si>
  <si>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</si>
  <si>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</si>
  <si>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</si>
  <si>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</si>
  <si>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</si>
  <si>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</si>
  <si>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</si>
  <si>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</si>
  <si>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</si>
  <si>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</si>
  <si>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</si>
  <si>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</si>
  <si>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</si>
  <si>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</si>
  <si>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</si>
  <si>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</si>
  <si>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</si>
  <si>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</si>
  <si>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</si>
  <si>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</si>
  <si>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</si>
  <si>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</si>
  <si>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</si>
  <si>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</si>
  <si>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</si>
  <si>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</si>
  <si>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</si>
  <si>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</si>
  <si>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</si>
  <si>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</si>
  <si>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</si>
  <si>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</si>
  <si>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</si>
  <si>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</si>
  <si>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</si>
  <si>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</si>
  <si>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</si>
  <si>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</si>
  <si>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</si>
  <si>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</si>
  <si>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</si>
  <si>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</si>
  <si>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</si>
  <si>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</si>
  <si>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</si>
  <si>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</si>
  <si>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</si>
  <si>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</si>
  <si>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</si>
  <si>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</si>
  <si>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</si>
  <si>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</si>
  <si>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</si>
  <si>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</si>
  <si>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</si>
  <si>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</si>
  <si>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</si>
  <si>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</si>
  <si>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</si>
  <si>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</si>
  <si>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</si>
  <si>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</si>
  <si>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</si>
  <si>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</si>
  <si>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</si>
  <si>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</si>
  <si>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</si>
  <si>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</si>
  <si>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</si>
  <si>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</si>
  <si>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</si>
  <si>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</si>
  <si>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</si>
  <si>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</si>
  <si>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</si>
  <si>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</si>
  <si>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</si>
  <si>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</si>
  <si>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</si>
  <si>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</si>
  <si>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</si>
  <si>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</si>
  <si>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</si>
  <si>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</si>
  <si>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</si>
  <si>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</si>
  <si>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</si>
  <si>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</si>
  <si>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</si>
  <si>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</si>
  <si>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</si>
  <si>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</si>
  <si>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</si>
  <si>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</si>
  <si>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</si>
  <si>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</si>
  <si>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</si>
  <si>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</si>
  <si>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</si>
  <si>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</si>
  <si>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</si>
  <si>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</si>
  <si>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</si>
  <si>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</si>
  <si>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</si>
  <si>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</si>
  <si>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</si>
  <si>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</si>
  <si>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</si>
  <si>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</si>
  <si>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</si>
  <si>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</si>
  <si>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</si>
  <si>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</si>
  <si>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</si>
  <si>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</si>
  <si>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</si>
  <si>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</si>
  <si>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</si>
  <si>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</si>
  <si>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</si>
  <si>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</si>
  <si>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</si>
  <si>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</si>
  <si>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</si>
  <si>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</si>
  <si>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</si>
  <si>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</si>
  <si>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</si>
  <si>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</si>
  <si>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</si>
  <si>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</si>
  <si>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</si>
  <si>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</si>
  <si>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</si>
  <si>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</si>
  <si>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</si>
  <si>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</si>
  <si>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</si>
  <si>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</si>
  <si>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</si>
  <si>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</si>
  <si>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</si>
  <si>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</si>
  <si>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</si>
  <si>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</si>
  <si>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</si>
  <si>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</si>
  <si>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</si>
  <si>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</si>
  <si>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</si>
  <si>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</si>
  <si>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</si>
  <si>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</si>
  <si>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</si>
  <si>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</si>
  <si>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</si>
  <si>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</si>
  <si>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</si>
  <si>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</si>
  <si>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</si>
  <si>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</si>
  <si>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</si>
  <si>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</si>
  <si>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</si>
  <si>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</si>
  <si>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</si>
  <si>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</si>
  <si>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</si>
  <si>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</si>
  <si>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</si>
  <si>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</si>
  <si>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</si>
  <si>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</si>
  <si>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</si>
  <si>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</si>
  <si>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</si>
  <si>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</si>
  <si>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</si>
  <si>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</si>
  <si>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</si>
  <si>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</si>
  <si>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</si>
  <si>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</si>
  <si>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</si>
  <si>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</si>
  <si>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</si>
  <si>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</si>
  <si>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</si>
  <si>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</si>
  <si>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</si>
  <si>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</si>
  <si>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</si>
  <si>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</si>
  <si>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</si>
  <si>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</si>
  <si>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</si>
  <si>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</si>
  <si>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</si>
  <si>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</si>
  <si>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</si>
  <si>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</si>
  <si>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</si>
  <si>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</si>
  <si>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</si>
  <si>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</si>
  <si>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</si>
  <si>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</si>
  <si>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</si>
  <si>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</si>
  <si>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</si>
  <si>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</si>
  <si>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</si>
  <si>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</si>
  <si>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</si>
  <si>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</si>
  <si>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</si>
  <si>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</si>
  <si>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</si>
  <si>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</si>
  <si>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</si>
  <si>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</si>
  <si>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</si>
  <si>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</si>
  <si>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</si>
  <si>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</si>
  <si>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</si>
  <si>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</si>
  <si>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</si>
  <si>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</si>
  <si>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</si>
  <si>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</si>
  <si>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</si>
  <si>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</si>
  <si>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</si>
  <si>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</si>
  <si>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</si>
  <si>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</si>
  <si>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</si>
  <si>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</si>
  <si>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</si>
  <si>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</si>
  <si>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</si>
  <si>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</si>
  <si>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</si>
  <si>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</si>
  <si>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</si>
  <si>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</si>
  <si>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</si>
  <si>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</si>
  <si>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</si>
  <si>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</si>
  <si>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</si>
  <si>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</si>
  <si>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</si>
  <si>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</si>
  <si>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</si>
  <si>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</si>
  <si>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</si>
  <si>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Marshal Corporation
</t>
  </si>
  <si>
    <t>02 Wings</t>
  </si>
  <si>
    <t>P51800051531</t>
  </si>
  <si>
    <t>Marshal Srishti III</t>
  </si>
  <si>
    <t>Bhandup</t>
  </si>
  <si>
    <t>Internal Road</t>
  </si>
  <si>
    <t>Sadan Wadi</t>
  </si>
  <si>
    <t>Bhandup West</t>
  </si>
  <si>
    <t>2.1 KM from Bhandup Railway Station</t>
  </si>
  <si>
    <t>S/PVT/0162/20200921/AP/Com</t>
  </si>
  <si>
    <t>Wing B = G + 1st to 22nd Floor</t>
  </si>
  <si>
    <t>As per RERA - 31/12/2028</t>
  </si>
  <si>
    <t>Shop</t>
  </si>
  <si>
    <t>Wing A</t>
  </si>
  <si>
    <t>Sale</t>
  </si>
  <si>
    <t>Rehab</t>
  </si>
  <si>
    <t>1BHK</t>
  </si>
  <si>
    <t>8th Floor For Residential &amp; Society Office (Part Refuge Area)</t>
  </si>
  <si>
    <t>Society Office</t>
  </si>
  <si>
    <t>Refuge Area</t>
  </si>
  <si>
    <t>-</t>
  </si>
  <si>
    <t>2BHK</t>
  </si>
  <si>
    <t>15th Floor For Residential (Part Refuge Area)</t>
  </si>
  <si>
    <t>20th &amp; 21st Floor</t>
  </si>
  <si>
    <t>22nd Floor</t>
  </si>
  <si>
    <t>Wing A (Sale Building)</t>
  </si>
  <si>
    <t>Wing B</t>
  </si>
  <si>
    <t xml:space="preserve">1st Floor For Residential  </t>
  </si>
  <si>
    <t>PAP R/C</t>
  </si>
  <si>
    <t>2nd Floor For Residential, Welfare Center, Health Center, Aaganwadi &amp; Balwadi</t>
  </si>
  <si>
    <t>Welfare Center</t>
  </si>
  <si>
    <t>Health Center</t>
  </si>
  <si>
    <t xml:space="preserve">Aaganwadi </t>
  </si>
  <si>
    <t>Balwadi</t>
  </si>
  <si>
    <t>19th Floor For Residential</t>
  </si>
  <si>
    <t>22nd Floor For Residential (Part Terrace Area)</t>
  </si>
  <si>
    <t>Terrace Area</t>
  </si>
  <si>
    <t>1st Floor For Residential &amp; Fitness Center</t>
  </si>
  <si>
    <t>Commercial Area Details : Wing A &amp; B</t>
  </si>
  <si>
    <t>Residential Area Details : Sale Flats</t>
  </si>
  <si>
    <t>3rd to 7th, 9th to 14th &amp; 16th to 18th Floor For Residential</t>
  </si>
  <si>
    <t>Other Plot</t>
  </si>
  <si>
    <t>Japanese Garden</t>
  </si>
  <si>
    <t>Marshal Srishti Building</t>
  </si>
  <si>
    <t>19.1520081,72.9340536</t>
  </si>
  <si>
    <t>https://maps.app.goo.gl/t4UqyRy2zwdE5kQq7</t>
  </si>
  <si>
    <t>Residential Area Details : Rehab Flats &amp; PAP Flat</t>
  </si>
  <si>
    <t>We considered Gross carpet area = Net carpet</t>
  </si>
  <si>
    <t xml:space="preserve">Please check for Fire Noc.
</t>
  </si>
  <si>
    <t>2nd Floor For Residential</t>
  </si>
  <si>
    <t>200 (Pt), 200/1 to 47</t>
  </si>
  <si>
    <t>Approved Plans, CC.</t>
  </si>
  <si>
    <t>Marshal Srishti III (Wing A &amp; B)</t>
  </si>
  <si>
    <t>Slum</t>
  </si>
  <si>
    <t xml:space="preserve">Wing A &amp; B = Gr + 1st to 22nd Floor
</t>
  </si>
  <si>
    <r>
      <t xml:space="preserve">Shop No.
</t>
    </r>
    <r>
      <rPr>
        <b/>
        <sz val="11"/>
        <color theme="1"/>
        <rFont val="Times New Roman"/>
        <family val="1"/>
      </rPr>
      <t>(Approved Plan)</t>
    </r>
  </si>
  <si>
    <t>Ground Floor For Entrance Lonny, Commercial, Pump Room, Meter Room &amp; Parking</t>
  </si>
  <si>
    <r>
      <t xml:space="preserve">Flat No.
</t>
    </r>
    <r>
      <rPr>
        <b/>
        <sz val="11"/>
        <color theme="1"/>
        <rFont val="Times New Roman"/>
        <family val="1"/>
      </rPr>
      <t>(Approved Plan)</t>
    </r>
  </si>
  <si>
    <t>Fitness Center</t>
  </si>
  <si>
    <t>Below Double Height Entrance Lobby &amp; Parking</t>
  </si>
  <si>
    <t>8th Floor For Residential (Part Refuge Area &amp; Society Office)</t>
  </si>
  <si>
    <t>1.5BHK</t>
  </si>
  <si>
    <t xml:space="preserve">Wing A = Gr + 1st to 22nd Floor
</t>
  </si>
  <si>
    <t>Fitness Centre</t>
  </si>
  <si>
    <r>
      <t xml:space="preserve">Proposed Amenities :                                                                                                                                                                                                                         </t>
    </r>
    <r>
      <rPr>
        <b/>
        <sz val="12"/>
        <color theme="1"/>
        <rFont val="Times New Roman"/>
        <family val="1"/>
      </rPr>
      <t xml:space="preserve">                                               </t>
    </r>
  </si>
  <si>
    <t>14000 to 15000</t>
  </si>
  <si>
    <t>Rehab Flats = 79, Sale Flats = 119, PAP R/C Flats = 01
Rehab Shops = 04, Sale Shop = 05</t>
  </si>
  <si>
    <t>This CC is further extended for composite building for rehab wing B upto Gr. + 18th upper floors &amp; for sale from 19th to 22nd upper floor for RCC framework only further CC is extended for sale wing A upto Gr. + 12th upper floors  only as per approved plans vide ref no. S/PVT/0162/20200921/AP/Com dtd 17/08/2022.</t>
  </si>
  <si>
    <t>This CC for sale wing 'A' is extended from 13th to 19th upper floors excluding 20th to 22nd floors but including common service core along with OHWT &amp; LMR for RCC framework only of the composite bldg as per approved plans vide ref. no. S/PVT/0162/20200921/AP/Com dtd. 17/08/2022.</t>
  </si>
  <si>
    <t>We have updated latest CC from Rera (On 22/11/2024).</t>
  </si>
  <si>
    <t>Mr. Nandan 9870761035</t>
  </si>
  <si>
    <t>Construction work is in process at the time of Visit. Internal visit was not allowed.</t>
  </si>
  <si>
    <t>Shruti Tathare</t>
  </si>
  <si>
    <t>Nainesh Tambe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</si>
</sst>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vertical="center" wrapText="1"/>
      <protection locked="0"/>
    </xf>
    <xf numFmtId="0" fontId="7" fillId="0" borderId="0" xfId="1" applyFont="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3" xfId="1" applyNumberFormat="1" applyFont="1" applyBorder="1" applyAlignment="1" applyProtection="1">
      <alignment horizontal="center" vertical="center" wrapText="1"/>
      <protection locked="0"/>
    </xf>
    <xf numFmtId="1" fontId="5" fillId="0" borderId="34"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9" fillId="3" borderId="33" xfId="0" applyNumberFormat="1" applyFont="1" applyFill="1" applyBorder="1" applyAlignment="1" applyProtection="1">
      <alignment horizontal="center" vertical="top" wrapText="1"/>
      <protection locked="0"/>
    </xf>
    <xf numFmtId="0" fontId="9" fillId="3" borderId="33" xfId="0" applyFont="1" applyFill="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 fontId="7" fillId="3" borderId="1" xfId="0" applyNumberFormat="1" applyFont="1" applyFill="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1" fontId="7" fillId="3" borderId="32" xfId="0" applyNumberFormat="1" applyFont="1" applyFill="1" applyBorder="1" applyAlignment="1" applyProtection="1">
      <alignment horizontal="center" vertical="center" wrapText="1"/>
      <protection locked="0"/>
    </xf>
    <xf numFmtId="1" fontId="7" fillId="3" borderId="33" xfId="0" applyNumberFormat="1" applyFont="1" applyFill="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1" fontId="7" fillId="0" borderId="34"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9"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6" fillId="0" borderId="1" xfId="1" applyNumberFormat="1" applyFont="1" applyFill="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0"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180976</xdr:colOff>
      <xdr:row>15</xdr:row>
      <xdr:rowOff>190500</xdr:rowOff>
    </xdr:from>
    <xdr:to>
      <xdr:col>13</xdr:col>
      <xdr:colOff>607089</xdr:colOff>
      <xdr:row>20</xdr:row>
      <xdr:rowOff>41775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6496051" y="3581400"/>
          <a:ext cx="4769513" cy="1080000"/>
        </a:xfrm>
        <a:prstGeom prst="rect">
          <a:avLst/>
        </a:prstGeom>
      </xdr:spPr>
    </xdr:pic>
    <xdr:clientData/>
  </xdr:twoCellAnchor>
  <xdr:twoCellAnchor editAs="oneCell">
    <xdr:from>
      <xdr:col>9</xdr:col>
      <xdr:colOff>266701</xdr:colOff>
      <xdr:row>41</xdr:row>
      <xdr:rowOff>152400</xdr:rowOff>
    </xdr:from>
    <xdr:to>
      <xdr:col>14</xdr:col>
      <xdr:colOff>133350</xdr:colOff>
      <xdr:row>48</xdr:row>
      <xdr:rowOff>192225</xdr:rowOff>
    </xdr:to>
    <xdr:pic>
      <xdr:nvPicPr>
        <xdr:cNvPr id="3" name="Picture 2"/>
        <xdr:cNvPicPr>
          <a:picLocks noChangeAspect="1"/>
        </xdr:cNvPicPr>
      </xdr:nvPicPr>
      <xdr:blipFill>
        <a:blip xmlns:r="http://schemas.openxmlformats.org/officeDocument/2006/relationships" r:embed="rId2"/>
        <a:stretch>
          <a:fillRect/>
        </a:stretch>
      </xdr:blipFill>
      <xdr:spPr>
        <a:xfrm>
          <a:off x="7743826" y="9182100"/>
          <a:ext cx="3886199" cy="1440000"/>
        </a:xfrm>
        <a:prstGeom prst="rect">
          <a:avLst/>
        </a:prstGeom>
      </xdr:spPr>
    </xdr:pic>
    <xdr:clientData/>
  </xdr:twoCellAnchor>
  <xdr:twoCellAnchor editAs="oneCell">
    <xdr:from>
      <xdr:col>0</xdr:col>
      <xdr:colOff>733425</xdr:colOff>
      <xdr:row>387</xdr:row>
      <xdr:rowOff>104775</xdr:rowOff>
    </xdr:from>
    <xdr:to>
      <xdr:col>6</xdr:col>
      <xdr:colOff>485775</xdr:colOff>
      <xdr:row>404</xdr:row>
      <xdr:rowOff>6349</xdr:rowOff>
    </xdr:to>
    <xdr:pic>
      <xdr:nvPicPr>
        <xdr:cNvPr id="7" name="Picture 6"/>
        <xdr:cNvPicPr>
          <a:picLocks noChangeAspect="1"/>
        </xdr:cNvPicPr>
      </xdr:nvPicPr>
      <xdr:blipFill>
        <a:blip xmlns:r="http://schemas.openxmlformats.org/officeDocument/2006/relationships" r:embed="rId3"/>
        <a:stretch>
          <a:fillRect/>
        </a:stretch>
      </xdr:blipFill>
      <xdr:spPr>
        <a:xfrm>
          <a:off x="733425" y="75314175"/>
          <a:ext cx="4838700" cy="3248025"/>
        </a:xfrm>
        <a:prstGeom prst="rect">
          <a:avLst/>
        </a:prstGeom>
        <a:ln>
          <a:solidFill>
            <a:schemeClr val="tx1"/>
          </a:solidFill>
        </a:ln>
      </xdr:spPr>
    </xdr:pic>
    <xdr:clientData/>
  </xdr:twoCellAnchor>
  <xdr:twoCellAnchor>
    <xdr:from>
      <xdr:col>2</xdr:col>
      <xdr:colOff>457200</xdr:colOff>
      <xdr:row>394</xdr:row>
      <xdr:rowOff>133350</xdr:rowOff>
    </xdr:from>
    <xdr:to>
      <xdr:col>3</xdr:col>
      <xdr:colOff>438150</xdr:colOff>
      <xdr:row>398</xdr:row>
      <xdr:rowOff>66675</xdr:rowOff>
    </xdr:to>
    <xdr:sp macro="" textlink="">
      <xdr:nvSpPr>
        <xdr:cNvPr id="8" name="Rectangle 7"/>
        <xdr:cNvSpPr/>
      </xdr:nvSpPr>
      <xdr:spPr>
        <a:xfrm>
          <a:off x="2019300" y="78047850"/>
          <a:ext cx="828675" cy="7334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314325</xdr:colOff>
      <xdr:row>320</xdr:row>
      <xdr:rowOff>19050</xdr:rowOff>
    </xdr:from>
    <xdr:to>
      <xdr:col>6</xdr:col>
      <xdr:colOff>230063</xdr:colOff>
      <xdr:row>359</xdr:row>
      <xdr:rowOff>72520</xdr:rowOff>
    </xdr:to>
    <xdr:grpSp>
      <xdr:nvGrpSpPr>
        <xdr:cNvPr id="6" name="Group 5"/>
        <xdr:cNvGrpSpPr/>
      </xdr:nvGrpSpPr>
      <xdr:grpSpPr>
        <a:xfrm>
          <a:off x="1076325" y="65352267"/>
          <a:ext cx="3999064" cy="7805992"/>
          <a:chOff x="1076325" y="62178079"/>
          <a:chExt cx="4005885" cy="8892543"/>
        </a:xfrm>
      </xdr:grpSpPr>
      <xdr:pic>
        <xdr:nvPicPr>
          <xdr:cNvPr id="15" name="Picture 14"/>
          <xdr:cNvPicPr>
            <a:picLocks noChangeAspect="1"/>
          </xdr:cNvPicPr>
        </xdr:nvPicPr>
        <xdr:blipFill>
          <a:blip xmlns:r="http://schemas.openxmlformats.org/officeDocument/2006/relationships" r:embed="rId4"/>
          <a:stretch>
            <a:fillRect/>
          </a:stretch>
        </xdr:blipFill>
        <xdr:spPr>
          <a:xfrm>
            <a:off x="1080607" y="62178079"/>
            <a:ext cx="3995820" cy="4355298"/>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a:stretch>
            <a:fillRect/>
          </a:stretch>
        </xdr:blipFill>
        <xdr:spPr>
          <a:xfrm>
            <a:off x="1076325" y="66713643"/>
            <a:ext cx="4005885" cy="4356979"/>
          </a:xfrm>
          <a:prstGeom prst="rect">
            <a:avLst/>
          </a:prstGeom>
          <a:ln>
            <a:solidFill>
              <a:schemeClr val="tx1"/>
            </a:solidFill>
          </a:ln>
        </xdr:spPr>
      </xdr:pic>
    </xdr:grpSp>
    <xdr:clientData/>
  </xdr:twoCellAnchor>
  <xdr:twoCellAnchor editAs="oneCell">
    <xdr:from>
      <xdr:col>1</xdr:col>
      <xdr:colOff>57149</xdr:colOff>
      <xdr:row>363</xdr:row>
      <xdr:rowOff>76199</xdr:rowOff>
    </xdr:from>
    <xdr:to>
      <xdr:col>6</xdr:col>
      <xdr:colOff>421102</xdr:colOff>
      <xdr:row>386</xdr:row>
      <xdr:rowOff>155623</xdr:rowOff>
    </xdr:to>
    <xdr:pic>
      <xdr:nvPicPr>
        <xdr:cNvPr id="20" name="Picture 19"/>
        <xdr:cNvPicPr>
          <a:picLocks noChangeAspect="1"/>
        </xdr:cNvPicPr>
      </xdr:nvPicPr>
      <xdr:blipFill>
        <a:blip xmlns:r="http://schemas.openxmlformats.org/officeDocument/2006/relationships" r:embed="rId6"/>
        <a:stretch>
          <a:fillRect/>
        </a:stretch>
      </xdr:blipFill>
      <xdr:spPr>
        <a:xfrm>
          <a:off x="819149" y="71789924"/>
          <a:ext cx="4450178" cy="4680000"/>
        </a:xfrm>
        <a:prstGeom prst="rect">
          <a:avLst/>
        </a:prstGeom>
        <a:ln>
          <a:solidFill>
            <a:schemeClr val="tx1"/>
          </a:solidFill>
        </a:ln>
      </xdr:spPr>
    </xdr:pic>
    <xdr:clientData/>
  </xdr:twoCellAnchor>
  <xdr:twoCellAnchor>
    <xdr:from>
      <xdr:col>9</xdr:col>
      <xdr:colOff>0</xdr:colOff>
      <xdr:row>277</xdr:row>
      <xdr:rowOff>19049</xdr:rowOff>
    </xdr:from>
    <xdr:to>
      <xdr:col>10</xdr:col>
      <xdr:colOff>219075</xdr:colOff>
      <xdr:row>278</xdr:row>
      <xdr:rowOff>111124</xdr:rowOff>
    </xdr:to>
    <xdr:sp macro="" textlink="">
      <xdr:nvSpPr>
        <xdr:cNvPr id="21" name="TextBox 20"/>
        <xdr:cNvSpPr txBox="1"/>
      </xdr:nvSpPr>
      <xdr:spPr>
        <a:xfrm>
          <a:off x="7842250" y="54959249"/>
          <a:ext cx="1019175"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A</a:t>
          </a:r>
          <a:endParaRPr lang="en-IN" sz="1600" b="1">
            <a:solidFill>
              <a:srgbClr val="FF0000"/>
            </a:solidFill>
          </a:endParaRPr>
        </a:p>
      </xdr:txBody>
    </xdr:sp>
    <xdr:clientData/>
  </xdr:twoCellAnchor>
  <xdr:twoCellAnchor>
    <xdr:from>
      <xdr:col>14</xdr:col>
      <xdr:colOff>311150</xdr:colOff>
      <xdr:row>277</xdr:row>
      <xdr:rowOff>53975</xdr:rowOff>
    </xdr:from>
    <xdr:to>
      <xdr:col>15</xdr:col>
      <xdr:colOff>479425</xdr:colOff>
      <xdr:row>278</xdr:row>
      <xdr:rowOff>149225</xdr:rowOff>
    </xdr:to>
    <xdr:sp macro="" textlink="">
      <xdr:nvSpPr>
        <xdr:cNvPr id="22" name="TextBox 21"/>
        <xdr:cNvSpPr txBox="1"/>
      </xdr:nvSpPr>
      <xdr:spPr>
        <a:xfrm>
          <a:off x="12357100" y="54994175"/>
          <a:ext cx="101917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a:t>
          </a:r>
          <a:r>
            <a:rPr lang="en-IN" sz="1600" b="1" baseline="0">
              <a:solidFill>
                <a:srgbClr val="FF0000"/>
              </a:solidFill>
            </a:rPr>
            <a:t> B</a:t>
          </a:r>
          <a:endParaRPr lang="en-IN" sz="1600" b="1">
            <a:solidFill>
              <a:srgbClr val="FF0000"/>
            </a:solidFill>
          </a:endParaRPr>
        </a:p>
      </xdr:txBody>
    </xdr:sp>
    <xdr:clientData/>
  </xdr:twoCellAnchor>
  <xdr:twoCellAnchor editAs="oneCell">
    <xdr:from>
      <xdr:col>8</xdr:col>
      <xdr:colOff>609600</xdr:colOff>
      <xdr:row>49</xdr:row>
      <xdr:rowOff>196850</xdr:rowOff>
    </xdr:from>
    <xdr:to>
      <xdr:col>14</xdr:col>
      <xdr:colOff>586700</xdr:colOff>
      <xdr:row>63</xdr:row>
      <xdr:rowOff>156048</xdr:rowOff>
    </xdr:to>
    <xdr:pic>
      <xdr:nvPicPr>
        <xdr:cNvPr id="37" name="Picture 36"/>
        <xdr:cNvPicPr>
          <a:picLocks noChangeAspect="1"/>
        </xdr:cNvPicPr>
      </xdr:nvPicPr>
      <xdr:blipFill>
        <a:blip xmlns:r="http://schemas.openxmlformats.org/officeDocument/2006/relationships" r:embed="rId7"/>
        <a:stretch>
          <a:fillRect/>
        </a:stretch>
      </xdr:blipFill>
      <xdr:spPr>
        <a:xfrm>
          <a:off x="6924675" y="11055350"/>
          <a:ext cx="5158700" cy="2835748"/>
        </a:xfrm>
        <a:prstGeom prst="rect">
          <a:avLst/>
        </a:prstGeom>
        <a:ln>
          <a:solidFill>
            <a:schemeClr val="tx1"/>
          </a:solidFill>
        </a:ln>
      </xdr:spPr>
    </xdr:pic>
    <xdr:clientData/>
  </xdr:twoCellAnchor>
  <xdr:twoCellAnchor>
    <xdr:from>
      <xdr:col>0</xdr:col>
      <xdr:colOff>285750</xdr:colOff>
      <xdr:row>277</xdr:row>
      <xdr:rowOff>47624</xdr:rowOff>
    </xdr:from>
    <xdr:to>
      <xdr:col>7</xdr:col>
      <xdr:colOff>504825</xdr:colOff>
      <xdr:row>317</xdr:row>
      <xdr:rowOff>197850</xdr:rowOff>
    </xdr:to>
    <xdr:grpSp>
      <xdr:nvGrpSpPr>
        <xdr:cNvPr id="4" name="Group 3"/>
        <xdr:cNvGrpSpPr/>
      </xdr:nvGrpSpPr>
      <xdr:grpSpPr>
        <a:xfrm>
          <a:off x="285750" y="56841472"/>
          <a:ext cx="5801553" cy="8093248"/>
          <a:chOff x="285750" y="56930924"/>
          <a:chExt cx="5800725" cy="8141701"/>
        </a:xfrm>
      </xdr:grpSpPr>
      <xdr:pic>
        <xdr:nvPicPr>
          <xdr:cNvPr id="28" name="Picture 27" descr="https://vsjcllp.vsjadon.com/upload/insp-243262-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171825" y="63331725"/>
            <a:ext cx="1309317" cy="174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3262-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47900" y="60817124"/>
            <a:ext cx="1828800" cy="2431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3262-84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162425" y="60817124"/>
            <a:ext cx="1828800" cy="2431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62-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23850" y="60807599"/>
            <a:ext cx="1828800" cy="2431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3262-87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762125" y="63331725"/>
            <a:ext cx="1309317" cy="174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3262-87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228975" y="56930924"/>
            <a:ext cx="2857500" cy="37994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262-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5750" y="56930924"/>
            <a:ext cx="2857500" cy="37994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4UqyRy2zwdE5kQq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3"/>
  <sheetViews>
    <sheetView tabSelected="1" view="pageBreakPreview" topLeftCell="A246" zoomScale="115" zoomScaleNormal="100" zoomScaleSheetLayoutView="115" zoomScalePageLayoutView="85" workbookViewId="0">
      <selection activeCell="L272" sqref="L272"/>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0" t="s">
        <v>158</v>
      </c>
      <c r="B1" s="190"/>
      <c r="C1" s="190"/>
      <c r="D1" s="190"/>
      <c r="E1" s="190"/>
      <c r="F1" s="190"/>
      <c r="G1" s="190"/>
      <c r="H1" s="190"/>
    </row>
    <row r="2" spans="1:26" ht="16.5" customHeight="1" x14ac:dyDescent="0.25">
      <c r="A2" s="191" t="s">
        <v>0</v>
      </c>
      <c r="B2" s="191"/>
      <c r="C2" s="191"/>
      <c r="D2" s="191"/>
      <c r="E2" s="191"/>
      <c r="F2" s="191"/>
      <c r="G2" s="191"/>
      <c r="H2" s="191"/>
    </row>
    <row r="3" spans="1:26" x14ac:dyDescent="0.25">
      <c r="A3" s="151" t="s">
        <v>1</v>
      </c>
      <c r="B3" s="151"/>
      <c r="C3" s="151"/>
      <c r="D3" s="151"/>
      <c r="E3" s="151" t="str">
        <f ca="1">TEXT(TODAY(),"DD/MM/YYYY")</f>
        <v>19/08/2025</v>
      </c>
      <c r="F3" s="151"/>
      <c r="G3" s="151"/>
      <c r="H3" s="151"/>
      <c r="K3" s="51" t="s">
        <v>232</v>
      </c>
      <c r="L3" s="48" t="s">
        <v>230</v>
      </c>
      <c r="M3" s="48" t="s">
        <v>235</v>
      </c>
      <c r="N3" s="48" t="s">
        <v>233</v>
      </c>
      <c r="O3" s="48" t="s">
        <v>234</v>
      </c>
      <c r="P3" s="48" t="s">
        <v>236</v>
      </c>
    </row>
    <row r="4" spans="1:26" ht="15" customHeight="1" x14ac:dyDescent="0.25">
      <c r="A4" s="151" t="s">
        <v>229</v>
      </c>
      <c r="B4" s="151"/>
      <c r="C4" s="151"/>
      <c r="D4" s="151"/>
      <c r="E4" s="153" t="s">
        <v>230</v>
      </c>
      <c r="F4" s="153"/>
      <c r="G4" s="153"/>
      <c r="H4" s="153"/>
      <c r="K4" s="47" t="s">
        <v>231</v>
      </c>
      <c r="L4" s="48" t="s">
        <v>164</v>
      </c>
      <c r="M4" s="48" t="s">
        <v>240</v>
      </c>
      <c r="N4" s="48" t="s">
        <v>242</v>
      </c>
      <c r="O4" s="48" t="s">
        <v>244</v>
      </c>
      <c r="P4" s="48"/>
    </row>
    <row r="5" spans="1:26" ht="15" customHeight="1" x14ac:dyDescent="0.25">
      <c r="A5" s="151" t="s">
        <v>2</v>
      </c>
      <c r="B5" s="151"/>
      <c r="C5" s="151"/>
      <c r="D5" s="151"/>
      <c r="E5" s="153" t="s">
        <v>237</v>
      </c>
      <c r="F5" s="153"/>
      <c r="G5" s="153"/>
      <c r="H5" s="153"/>
      <c r="K5" s="47"/>
      <c r="L5" s="48" t="s">
        <v>237</v>
      </c>
      <c r="M5" s="48" t="s">
        <v>241</v>
      </c>
      <c r="N5" s="48" t="s">
        <v>243</v>
      </c>
      <c r="O5" s="48" t="s">
        <v>245</v>
      </c>
      <c r="P5" s="48"/>
    </row>
    <row r="6" spans="1:26" x14ac:dyDescent="0.25">
      <c r="A6" s="151" t="s">
        <v>3</v>
      </c>
      <c r="B6" s="151"/>
      <c r="C6" s="151"/>
      <c r="D6" s="151"/>
      <c r="E6" s="194">
        <v>45880</v>
      </c>
      <c r="F6" s="151"/>
      <c r="G6" s="151"/>
      <c r="H6" s="151"/>
      <c r="K6" s="47"/>
      <c r="L6" s="48" t="s">
        <v>238</v>
      </c>
      <c r="M6" s="48"/>
      <c r="N6" s="48"/>
      <c r="O6" s="48" t="s">
        <v>246</v>
      </c>
      <c r="P6" s="48"/>
    </row>
    <row r="7" spans="1:26" ht="16.5" customHeight="1" x14ac:dyDescent="0.25">
      <c r="A7" s="151" t="s">
        <v>4</v>
      </c>
      <c r="B7" s="151"/>
      <c r="C7" s="151"/>
      <c r="D7" s="151"/>
      <c r="E7" s="150" t="s">
        <v>298</v>
      </c>
      <c r="F7" s="151"/>
      <c r="G7" s="151"/>
      <c r="H7" s="151"/>
      <c r="K7" s="47"/>
      <c r="L7" s="48" t="s">
        <v>239</v>
      </c>
      <c r="M7" s="48"/>
      <c r="N7" s="48"/>
      <c r="O7" s="48" t="s">
        <v>246</v>
      </c>
      <c r="P7" s="48"/>
    </row>
    <row r="8" spans="1:26" ht="15" customHeight="1" x14ac:dyDescent="0.25">
      <c r="A8" s="151" t="s">
        <v>5</v>
      </c>
      <c r="B8" s="151"/>
      <c r="C8" s="151"/>
      <c r="D8" s="151"/>
      <c r="E8" s="151" t="str">
        <f>E7</f>
        <v xml:space="preserve">Marshal Corporation
</v>
      </c>
      <c r="F8" s="151"/>
      <c r="G8" s="151"/>
      <c r="H8" s="151"/>
      <c r="K8" s="47"/>
      <c r="L8" s="48"/>
      <c r="M8" s="48"/>
      <c r="N8" s="48"/>
      <c r="O8" s="48" t="s">
        <v>247</v>
      </c>
      <c r="P8" s="48"/>
    </row>
    <row r="9" spans="1:26" x14ac:dyDescent="0.25">
      <c r="A9" s="151" t="s">
        <v>6</v>
      </c>
      <c r="B9" s="151"/>
      <c r="C9" s="151"/>
      <c r="D9" s="151"/>
      <c r="E9" s="192" t="s">
        <v>301</v>
      </c>
      <c r="F9" s="193"/>
      <c r="G9" s="193"/>
      <c r="H9" s="193"/>
      <c r="K9" s="47"/>
      <c r="L9" s="48"/>
      <c r="M9" s="48"/>
      <c r="N9" s="48"/>
      <c r="O9" s="48" t="s">
        <v>248</v>
      </c>
      <c r="P9" s="48"/>
    </row>
    <row r="10" spans="1:26" x14ac:dyDescent="0.25">
      <c r="A10" s="151" t="s">
        <v>161</v>
      </c>
      <c r="B10" s="151"/>
      <c r="C10" s="151"/>
      <c r="D10" s="151"/>
      <c r="E10" s="151">
        <v>9967956449</v>
      </c>
      <c r="F10" s="151"/>
      <c r="G10" s="151"/>
      <c r="H10" s="151"/>
      <c r="I10" s="18" t="s">
        <v>301</v>
      </c>
      <c r="K10" s="47"/>
      <c r="L10" s="48"/>
      <c r="M10" s="48"/>
      <c r="N10" s="48"/>
      <c r="O10" s="48"/>
      <c r="P10" s="48"/>
    </row>
    <row r="11" spans="1:26" x14ac:dyDescent="0.25">
      <c r="A11" s="151" t="s">
        <v>162</v>
      </c>
      <c r="B11" s="151"/>
      <c r="C11" s="151"/>
      <c r="D11" s="151"/>
      <c r="E11" s="151" t="s">
        <v>368</v>
      </c>
      <c r="F11" s="151"/>
      <c r="G11" s="151"/>
      <c r="H11" s="151"/>
    </row>
    <row r="12" spans="1:26" x14ac:dyDescent="0.25">
      <c r="A12" s="151" t="s">
        <v>7</v>
      </c>
      <c r="B12" s="151"/>
      <c r="C12" s="151"/>
      <c r="D12" s="151"/>
      <c r="E12" s="151" t="s">
        <v>350</v>
      </c>
      <c r="F12" s="151"/>
      <c r="G12" s="151"/>
      <c r="H12" s="151"/>
    </row>
    <row r="13" spans="1:26" x14ac:dyDescent="0.25">
      <c r="A13" s="151" t="s">
        <v>165</v>
      </c>
      <c r="B13" s="151"/>
      <c r="C13" s="151"/>
      <c r="D13" s="151"/>
      <c r="E13" s="153" t="s">
        <v>28</v>
      </c>
      <c r="F13" s="153"/>
      <c r="G13" s="153"/>
      <c r="H13" s="153"/>
      <c r="S13" s="48" t="s">
        <v>174</v>
      </c>
      <c r="T13" s="48" t="s">
        <v>184</v>
      </c>
      <c r="U13" s="48" t="s">
        <v>166</v>
      </c>
      <c r="V13" s="48" t="s">
        <v>189</v>
      </c>
      <c r="W13" s="48" t="s">
        <v>207</v>
      </c>
      <c r="X13"/>
      <c r="Y13" t="s">
        <v>189</v>
      </c>
      <c r="Z13" t="e">
        <f ca="1">OFFSET($S$13,1,MATCH($G20,$S$13:$W$13,0)-1,15,1)</f>
        <v>#VALUE!</v>
      </c>
    </row>
    <row r="14" spans="1:26" ht="16.5" customHeight="1" x14ac:dyDescent="0.25">
      <c r="A14" s="127" t="s">
        <v>275</v>
      </c>
      <c r="B14" s="127"/>
      <c r="C14" s="127"/>
      <c r="D14" s="127"/>
      <c r="E14" s="152" t="s">
        <v>349</v>
      </c>
      <c r="F14" s="152"/>
      <c r="G14" s="152"/>
      <c r="H14" s="152"/>
      <c r="S14" s="48" t="s">
        <v>175</v>
      </c>
      <c r="T14" s="48" t="s">
        <v>182</v>
      </c>
      <c r="U14" s="48" t="s">
        <v>204</v>
      </c>
      <c r="V14" s="48" t="s">
        <v>190</v>
      </c>
      <c r="W14" s="48" t="s">
        <v>208</v>
      </c>
      <c r="X14"/>
      <c r="Y14"/>
      <c r="Z14"/>
    </row>
    <row r="15" spans="1:26" x14ac:dyDescent="0.25">
      <c r="A15" s="127" t="s">
        <v>8</v>
      </c>
      <c r="B15" s="127"/>
      <c r="C15" s="127"/>
      <c r="D15" s="127"/>
      <c r="E15" s="152" t="s">
        <v>300</v>
      </c>
      <c r="F15" s="153"/>
      <c r="G15" s="153"/>
      <c r="H15" s="153"/>
      <c r="I15" s="131" t="e">
        <f ca="1">OFFSET($D$5,1,MATCH($J13,$D$5:$H$5,0)-1,15,1)</f>
        <v>#N/A</v>
      </c>
      <c r="J15" s="132"/>
      <c r="K15" s="132"/>
      <c r="L15" s="132"/>
      <c r="M15" s="132"/>
      <c r="N15" s="132"/>
      <c r="O15" s="132"/>
      <c r="P15" s="132"/>
      <c r="S15" s="48" t="s">
        <v>176</v>
      </c>
      <c r="T15" s="48" t="s">
        <v>183</v>
      </c>
      <c r="U15" s="48" t="s">
        <v>205</v>
      </c>
      <c r="V15" s="48" t="s">
        <v>191</v>
      </c>
      <c r="W15" s="48" t="s">
        <v>221</v>
      </c>
      <c r="X15"/>
      <c r="Y15"/>
      <c r="Z15"/>
    </row>
    <row r="16" spans="1:26" ht="33.75" customHeight="1" x14ac:dyDescent="0.25">
      <c r="A16" s="139" t="s">
        <v>9</v>
      </c>
      <c r="B16" s="139"/>
      <c r="C16" s="139" t="str">
        <f>CONCATENATE((IF(OR(E9="",E9="NA"),"",E9)),", ",(IF(OR(A17="",A17="NA"),"",A17)),".",(IF(OR(C17="",C17="NA"),"",C17)),", near ",(IF(OR(C22="",C22="NA"),"",C22)),", ",(IF(OR(C19="",C19="NA"),"",C19)),", ",(IF(OR(C18="",C18="NA"),"",C18)),", ",(IF(OR(G19="",G19="NA"),"",G19)),", ",(IF(OR(C20="",C20="NA"),"",C20)),", ",(IF(OR(C21="",C21="NA"),"",C21)),", ",(IF(OR(G20="",G20="NA"),"",G20))," - ",(IF(OR(G21="",G21="NA"),"",G21)),".")</f>
        <v>Marshal Srishti III, CTS No.200 (Pt), 200/1 to 47, near Marshal Srishti Building, Internal Road, Sadan Wadi, Bhandup, Bhandup West, Kurla, Mumbai - 400078.</v>
      </c>
      <c r="D16" s="139"/>
      <c r="E16" s="139"/>
      <c r="F16" s="139"/>
      <c r="G16" s="139"/>
      <c r="H16" s="139"/>
      <c r="S16" s="48" t="s">
        <v>177</v>
      </c>
      <c r="T16" s="48" t="s">
        <v>185</v>
      </c>
      <c r="U16" s="48" t="s">
        <v>206</v>
      </c>
      <c r="V16" s="48" t="s">
        <v>192</v>
      </c>
      <c r="W16" s="48" t="s">
        <v>209</v>
      </c>
      <c r="X16"/>
      <c r="Y16"/>
      <c r="Z16"/>
    </row>
    <row r="17" spans="1:26" x14ac:dyDescent="0.25">
      <c r="A17" s="152" t="s">
        <v>170</v>
      </c>
      <c r="B17" s="152"/>
      <c r="C17" s="152" t="s">
        <v>348</v>
      </c>
      <c r="D17" s="152"/>
      <c r="E17" s="152"/>
      <c r="F17" s="152"/>
      <c r="G17" s="152"/>
      <c r="H17" s="152"/>
      <c r="S17" s="48" t="s">
        <v>178</v>
      </c>
      <c r="T17" s="48" t="s">
        <v>186</v>
      </c>
      <c r="U17" s="48" t="s">
        <v>166</v>
      </c>
      <c r="V17" s="48" t="s">
        <v>193</v>
      </c>
      <c r="W17" s="48" t="s">
        <v>210</v>
      </c>
      <c r="X17"/>
      <c r="Y17"/>
      <c r="Z17"/>
    </row>
    <row r="18" spans="1:26" ht="15.75" customHeight="1" x14ac:dyDescent="0.25">
      <c r="A18" s="150" t="s">
        <v>156</v>
      </c>
      <c r="B18" s="150"/>
      <c r="C18" s="150" t="s">
        <v>304</v>
      </c>
      <c r="D18" s="150"/>
      <c r="E18" s="150"/>
      <c r="F18" s="150"/>
      <c r="G18" s="150"/>
      <c r="H18" s="150"/>
      <c r="S18" s="48" t="s">
        <v>179</v>
      </c>
      <c r="T18" s="48" t="s">
        <v>184</v>
      </c>
      <c r="U18" s="48"/>
      <c r="V18" s="48" t="s">
        <v>194</v>
      </c>
      <c r="W18" s="48" t="s">
        <v>211</v>
      </c>
      <c r="X18"/>
      <c r="Y18"/>
      <c r="Z18"/>
    </row>
    <row r="19" spans="1:26" ht="15.75" customHeight="1" x14ac:dyDescent="0.25">
      <c r="A19" s="139" t="s">
        <v>10</v>
      </c>
      <c r="B19" s="139"/>
      <c r="C19" s="151" t="s">
        <v>303</v>
      </c>
      <c r="D19" s="151"/>
      <c r="E19" s="139" t="s">
        <v>69</v>
      </c>
      <c r="F19" s="139"/>
      <c r="G19" s="150" t="s">
        <v>302</v>
      </c>
      <c r="H19" s="150"/>
      <c r="S19" s="48" t="s">
        <v>180</v>
      </c>
      <c r="T19" s="48" t="s">
        <v>187</v>
      </c>
      <c r="U19" s="48"/>
      <c r="V19" s="48" t="s">
        <v>195</v>
      </c>
      <c r="W19" s="48" t="s">
        <v>212</v>
      </c>
      <c r="X19"/>
      <c r="Y19"/>
      <c r="Z19"/>
    </row>
    <row r="20" spans="1:26" x14ac:dyDescent="0.25">
      <c r="A20" s="127" t="s">
        <v>12</v>
      </c>
      <c r="B20" s="127"/>
      <c r="C20" s="152" t="s">
        <v>305</v>
      </c>
      <c r="D20" s="152"/>
      <c r="E20" s="152" t="s">
        <v>11</v>
      </c>
      <c r="F20" s="152"/>
      <c r="G20" s="195" t="s">
        <v>166</v>
      </c>
      <c r="H20" s="195"/>
      <c r="S20" s="48" t="s">
        <v>181</v>
      </c>
      <c r="T20" s="48" t="s">
        <v>188</v>
      </c>
      <c r="U20" s="48"/>
      <c r="V20" s="48" t="s">
        <v>196</v>
      </c>
      <c r="W20" s="48" t="s">
        <v>213</v>
      </c>
      <c r="X20"/>
      <c r="Y20"/>
      <c r="Z20"/>
    </row>
    <row r="21" spans="1:26" x14ac:dyDescent="0.25">
      <c r="A21" s="127" t="s">
        <v>70</v>
      </c>
      <c r="B21" s="127"/>
      <c r="C21" s="152" t="s">
        <v>206</v>
      </c>
      <c r="D21" s="152"/>
      <c r="E21" s="152" t="s">
        <v>13</v>
      </c>
      <c r="F21" s="152"/>
      <c r="G21" s="152">
        <v>400078</v>
      </c>
      <c r="H21" s="152"/>
      <c r="S21" s="48"/>
      <c r="T21" s="48"/>
      <c r="U21" s="48"/>
      <c r="V21" s="48" t="s">
        <v>197</v>
      </c>
      <c r="W21" s="48" t="s">
        <v>214</v>
      </c>
      <c r="X21"/>
      <c r="Y21"/>
      <c r="Z21"/>
    </row>
    <row r="22" spans="1:26" ht="32.25" customHeight="1" x14ac:dyDescent="0.25">
      <c r="A22" s="127" t="s">
        <v>115</v>
      </c>
      <c r="B22" s="127"/>
      <c r="C22" s="152" t="s">
        <v>341</v>
      </c>
      <c r="D22" s="152"/>
      <c r="E22" s="152" t="s">
        <v>14</v>
      </c>
      <c r="F22" s="152"/>
      <c r="G22" s="152" t="s">
        <v>306</v>
      </c>
      <c r="H22" s="152"/>
      <c r="S22" s="48"/>
      <c r="T22" s="48"/>
      <c r="U22" s="48"/>
      <c r="V22" s="48" t="s">
        <v>198</v>
      </c>
      <c r="W22" s="48" t="s">
        <v>215</v>
      </c>
      <c r="X22"/>
      <c r="Y22"/>
      <c r="Z22"/>
    </row>
    <row r="23" spans="1:26" ht="15" customHeight="1" x14ac:dyDescent="0.25">
      <c r="A23" s="139" t="s">
        <v>71</v>
      </c>
      <c r="B23" s="139"/>
      <c r="C23" s="139"/>
      <c r="D23" s="139"/>
      <c r="E23" s="151" t="s">
        <v>15</v>
      </c>
      <c r="F23" s="151"/>
      <c r="G23" s="151"/>
      <c r="H23" s="151"/>
      <c r="S23" s="48"/>
      <c r="T23" s="48"/>
      <c r="U23" s="48"/>
      <c r="V23" s="48" t="s">
        <v>199</v>
      </c>
      <c r="W23" s="48" t="s">
        <v>216</v>
      </c>
      <c r="X23"/>
      <c r="Y23"/>
      <c r="Z23"/>
    </row>
    <row r="24" spans="1:26" ht="18.75" customHeight="1" x14ac:dyDescent="0.25">
      <c r="A24" s="139"/>
      <c r="B24" s="139"/>
      <c r="C24" s="139"/>
      <c r="D24" s="139"/>
      <c r="E24" s="151"/>
      <c r="F24" s="151"/>
      <c r="G24" s="151"/>
      <c r="H24" s="151"/>
      <c r="S24" s="48"/>
      <c r="T24" s="48"/>
      <c r="U24" s="48"/>
      <c r="V24" s="48" t="s">
        <v>200</v>
      </c>
      <c r="W24" s="48" t="s">
        <v>217</v>
      </c>
      <c r="X24"/>
      <c r="Y24"/>
      <c r="Z24"/>
    </row>
    <row r="25" spans="1:26" ht="15" customHeight="1" x14ac:dyDescent="0.25">
      <c r="A25" s="139" t="s">
        <v>16</v>
      </c>
      <c r="B25" s="139"/>
      <c r="C25" s="139"/>
      <c r="D25" s="139"/>
      <c r="E25" s="150" t="s">
        <v>17</v>
      </c>
      <c r="F25" s="150"/>
      <c r="G25" s="150"/>
      <c r="H25" s="150"/>
      <c r="S25" s="48"/>
      <c r="T25" s="48"/>
      <c r="U25" s="48"/>
      <c r="V25" s="48" t="s">
        <v>201</v>
      </c>
      <c r="W25" s="48" t="s">
        <v>218</v>
      </c>
      <c r="X25"/>
      <c r="Y25"/>
      <c r="Z25"/>
    </row>
    <row r="26" spans="1:26" ht="15" customHeight="1" x14ac:dyDescent="0.25">
      <c r="A26" s="127" t="s">
        <v>18</v>
      </c>
      <c r="B26" s="127"/>
      <c r="C26" s="127"/>
      <c r="D26" s="127"/>
      <c r="E26" s="150" t="str">
        <f>IF(AND(G20="Mumbai"),"Upper Class","Middle Class")</f>
        <v>Upper Class</v>
      </c>
      <c r="F26" s="150"/>
      <c r="G26" s="150"/>
      <c r="H26" s="150"/>
      <c r="S26" s="48"/>
      <c r="T26" s="48"/>
      <c r="U26" s="48"/>
      <c r="V26" s="48" t="s">
        <v>202</v>
      </c>
      <c r="W26" s="48" t="s">
        <v>219</v>
      </c>
      <c r="X26"/>
      <c r="Y26"/>
      <c r="Z26"/>
    </row>
    <row r="27" spans="1:26" x14ac:dyDescent="0.25">
      <c r="A27" s="127" t="s">
        <v>19</v>
      </c>
      <c r="B27" s="127"/>
      <c r="C27" s="127"/>
      <c r="D27" s="127"/>
      <c r="E27" s="150" t="s">
        <v>20</v>
      </c>
      <c r="F27" s="150"/>
      <c r="G27" s="150"/>
      <c r="H27" s="150"/>
      <c r="S27" s="48"/>
      <c r="T27" s="48"/>
      <c r="U27" s="48"/>
      <c r="V27" s="48" t="s">
        <v>203</v>
      </c>
      <c r="W27" s="48" t="s">
        <v>220</v>
      </c>
      <c r="X27"/>
      <c r="Y27"/>
      <c r="Z27"/>
    </row>
    <row r="28" spans="1:26" ht="15.75" customHeight="1" x14ac:dyDescent="0.25">
      <c r="A28" s="127" t="s">
        <v>21</v>
      </c>
      <c r="B28" s="127"/>
      <c r="C28" s="127"/>
      <c r="D28" s="127"/>
      <c r="E28" s="150" t="str">
        <f>IF(AND(G20="Mumbai"),"Developed","Developing")</f>
        <v>Developed</v>
      </c>
      <c r="F28" s="150"/>
      <c r="G28" s="150"/>
      <c r="H28" s="150"/>
    </row>
    <row r="29" spans="1:26" x14ac:dyDescent="0.25">
      <c r="A29" s="127" t="s">
        <v>22</v>
      </c>
      <c r="B29" s="127"/>
      <c r="C29" s="127"/>
      <c r="D29" s="127"/>
      <c r="E29" s="150" t="s">
        <v>23</v>
      </c>
      <c r="F29" s="150"/>
      <c r="G29" s="150"/>
      <c r="H29" s="150"/>
    </row>
    <row r="30" spans="1:26" ht="15.75" customHeight="1" x14ac:dyDescent="0.25">
      <c r="A30" s="127" t="s">
        <v>76</v>
      </c>
      <c r="B30" s="127"/>
      <c r="C30" s="127"/>
      <c r="D30" s="127"/>
      <c r="E30" s="150" t="s">
        <v>77</v>
      </c>
      <c r="F30" s="150"/>
      <c r="G30" s="150"/>
      <c r="H30" s="150"/>
    </row>
    <row r="31" spans="1:26" ht="15" customHeight="1" x14ac:dyDescent="0.25">
      <c r="A31" s="127" t="s">
        <v>30</v>
      </c>
      <c r="B31" s="127"/>
      <c r="C31" s="127"/>
      <c r="D31" s="127"/>
      <c r="E31" s="150"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50"/>
      <c r="G31" s="150"/>
      <c r="H31" s="150"/>
    </row>
    <row r="32" spans="1:26" ht="15.75" customHeight="1" x14ac:dyDescent="0.25">
      <c r="A32" s="127" t="s">
        <v>88</v>
      </c>
      <c r="B32" s="127"/>
      <c r="C32" s="127"/>
      <c r="D32" s="127"/>
      <c r="E32" s="150" t="s">
        <v>31</v>
      </c>
      <c r="F32" s="150"/>
      <c r="G32" s="150"/>
      <c r="H32" s="150"/>
    </row>
    <row r="33" spans="1:19" s="19" customFormat="1" x14ac:dyDescent="0.25">
      <c r="A33" s="203" t="s">
        <v>89</v>
      </c>
      <c r="B33" s="203"/>
      <c r="C33" s="200" t="s">
        <v>167</v>
      </c>
      <c r="D33" s="201"/>
      <c r="E33" s="202"/>
      <c r="F33" s="200" t="s">
        <v>29</v>
      </c>
      <c r="G33" s="201"/>
      <c r="H33" s="202"/>
      <c r="S33" s="19" t="e">
        <f ca="1">OFFSET($S$13,1,MATCH($G20,$S$13:$W$13,0)-1,15,1)</f>
        <v>#VALUE!</v>
      </c>
    </row>
    <row r="34" spans="1:19" s="19" customFormat="1" x14ac:dyDescent="0.25">
      <c r="A34" s="196" t="s">
        <v>24</v>
      </c>
      <c r="B34" s="196" t="s">
        <v>28</v>
      </c>
      <c r="C34" s="197" t="s">
        <v>339</v>
      </c>
      <c r="D34" s="198"/>
      <c r="E34" s="199"/>
      <c r="F34" s="197" t="s">
        <v>341</v>
      </c>
      <c r="G34" s="198"/>
      <c r="H34" s="199"/>
    </row>
    <row r="35" spans="1:19" x14ac:dyDescent="0.25">
      <c r="A35" s="196" t="s">
        <v>25</v>
      </c>
      <c r="B35" s="196" t="s">
        <v>28</v>
      </c>
      <c r="C35" s="197" t="s">
        <v>339</v>
      </c>
      <c r="D35" s="198"/>
      <c r="E35" s="199"/>
      <c r="F35" s="197" t="s">
        <v>340</v>
      </c>
      <c r="G35" s="198"/>
      <c r="H35" s="199"/>
    </row>
    <row r="36" spans="1:19" s="19" customFormat="1" x14ac:dyDescent="0.25">
      <c r="A36" s="196" t="s">
        <v>27</v>
      </c>
      <c r="B36" s="196" t="s">
        <v>28</v>
      </c>
      <c r="C36" s="197" t="s">
        <v>339</v>
      </c>
      <c r="D36" s="198"/>
      <c r="E36" s="199"/>
      <c r="F36" s="197" t="s">
        <v>351</v>
      </c>
      <c r="G36" s="198"/>
      <c r="H36" s="199"/>
    </row>
    <row r="37" spans="1:19" x14ac:dyDescent="0.25">
      <c r="A37" s="196" t="s">
        <v>26</v>
      </c>
      <c r="B37" s="196" t="s">
        <v>28</v>
      </c>
      <c r="C37" s="197" t="s">
        <v>10</v>
      </c>
      <c r="D37" s="198"/>
      <c r="E37" s="199"/>
      <c r="F37" s="197" t="s">
        <v>10</v>
      </c>
      <c r="G37" s="198"/>
      <c r="H37" s="199"/>
    </row>
    <row r="38" spans="1:19" x14ac:dyDescent="0.25">
      <c r="A38" s="127" t="s">
        <v>276</v>
      </c>
      <c r="B38" s="127"/>
      <c r="C38" s="127"/>
      <c r="D38" s="127"/>
      <c r="E38" s="127"/>
      <c r="F38" s="127"/>
      <c r="G38" s="127"/>
      <c r="H38" s="127"/>
    </row>
    <row r="39" spans="1:19" ht="15.75" customHeight="1" x14ac:dyDescent="0.25">
      <c r="A39" s="127" t="s">
        <v>159</v>
      </c>
      <c r="B39" s="127"/>
      <c r="C39" s="183" t="s">
        <v>342</v>
      </c>
      <c r="D39" s="183"/>
      <c r="E39" s="183"/>
      <c r="F39" s="183"/>
      <c r="G39" s="183"/>
      <c r="H39" s="183"/>
    </row>
    <row r="40" spans="1:19" x14ac:dyDescent="0.25">
      <c r="A40" s="127" t="s">
        <v>155</v>
      </c>
      <c r="B40" s="127"/>
      <c r="C40" s="227" t="s">
        <v>343</v>
      </c>
      <c r="D40" s="150"/>
      <c r="E40" s="150"/>
      <c r="F40" s="150"/>
      <c r="G40" s="150"/>
      <c r="H40" s="150"/>
      <c r="I40" s="83" t="s">
        <v>342</v>
      </c>
    </row>
    <row r="41" spans="1:19" x14ac:dyDescent="0.25">
      <c r="A41" s="183" t="s">
        <v>32</v>
      </c>
      <c r="B41" s="183"/>
      <c r="C41" s="183"/>
      <c r="D41" s="183"/>
      <c r="E41" s="183"/>
      <c r="F41" s="183"/>
      <c r="G41" s="183"/>
      <c r="H41" s="183"/>
    </row>
    <row r="42" spans="1:19" x14ac:dyDescent="0.25">
      <c r="A42" s="127" t="s">
        <v>33</v>
      </c>
      <c r="B42" s="127"/>
      <c r="C42" s="127"/>
      <c r="D42" s="127"/>
      <c r="E42" s="204">
        <v>1262.72</v>
      </c>
      <c r="F42" s="204"/>
      <c r="G42" s="204"/>
      <c r="H42" s="204"/>
    </row>
    <row r="43" spans="1:19" x14ac:dyDescent="0.25">
      <c r="A43" s="127" t="s">
        <v>34</v>
      </c>
      <c r="B43" s="127"/>
      <c r="C43" s="127"/>
      <c r="D43" s="127"/>
      <c r="E43" s="141">
        <v>4</v>
      </c>
      <c r="F43" s="141"/>
      <c r="G43" s="141"/>
      <c r="H43" s="141"/>
    </row>
    <row r="44" spans="1:19" x14ac:dyDescent="0.25">
      <c r="A44" s="127" t="s">
        <v>35</v>
      </c>
      <c r="B44" s="127"/>
      <c r="C44" s="127"/>
      <c r="D44" s="127"/>
      <c r="E44" s="141">
        <f>E46/E42-E43</f>
        <v>0.71884503294475444</v>
      </c>
      <c r="F44" s="141"/>
      <c r="G44" s="141"/>
      <c r="H44" s="141"/>
    </row>
    <row r="45" spans="1:19" x14ac:dyDescent="0.25">
      <c r="A45" s="127" t="s">
        <v>36</v>
      </c>
      <c r="B45" s="127"/>
      <c r="C45" s="127"/>
      <c r="D45" s="127"/>
      <c r="E45" s="141">
        <f>E43+E44</f>
        <v>4.7188450329447544</v>
      </c>
      <c r="F45" s="141"/>
      <c r="G45" s="141"/>
      <c r="H45" s="141"/>
    </row>
    <row r="46" spans="1:19" x14ac:dyDescent="0.25">
      <c r="A46" s="127" t="s">
        <v>87</v>
      </c>
      <c r="B46" s="127"/>
      <c r="C46" s="127"/>
      <c r="D46" s="127"/>
      <c r="E46" s="207">
        <v>5958.58</v>
      </c>
      <c r="F46" s="207"/>
      <c r="G46" s="207"/>
      <c r="H46" s="207"/>
      <c r="I46" s="18">
        <v>5958.58</v>
      </c>
    </row>
    <row r="47" spans="1:19" x14ac:dyDescent="0.25">
      <c r="A47" s="151" t="s">
        <v>37</v>
      </c>
      <c r="B47" s="151"/>
      <c r="C47" s="151"/>
      <c r="D47" s="151"/>
      <c r="E47" s="153" t="s">
        <v>299</v>
      </c>
      <c r="F47" s="153"/>
      <c r="G47" s="153"/>
      <c r="H47" s="153"/>
      <c r="I47" s="18">
        <f>2574.33+4567.54</f>
        <v>7141.87</v>
      </c>
    </row>
    <row r="48" spans="1:19" x14ac:dyDescent="0.25">
      <c r="A48" s="183" t="s">
        <v>38</v>
      </c>
      <c r="B48" s="183"/>
      <c r="C48" s="183"/>
      <c r="D48" s="183"/>
      <c r="E48" s="183"/>
      <c r="F48" s="183"/>
      <c r="G48" s="183"/>
      <c r="H48" s="183"/>
    </row>
    <row r="49" spans="1:24" ht="33.75" customHeight="1" x14ac:dyDescent="0.25">
      <c r="A49" s="117" t="s">
        <v>144</v>
      </c>
      <c r="B49" s="119"/>
      <c r="C49" s="234" t="s">
        <v>250</v>
      </c>
      <c r="D49" s="235"/>
      <c r="E49" s="235"/>
      <c r="F49" s="235"/>
      <c r="G49" s="235"/>
      <c r="H49" s="236"/>
      <c r="R49" t="s">
        <v>249</v>
      </c>
      <c r="S49" t="s">
        <v>166</v>
      </c>
      <c r="T49" t="s">
        <v>174</v>
      </c>
      <c r="U49" t="s">
        <v>189</v>
      </c>
      <c r="V49" t="s">
        <v>184</v>
      </c>
    </row>
    <row r="50" spans="1:24" ht="15.75" customHeight="1" x14ac:dyDescent="0.25">
      <c r="A50" s="117" t="s">
        <v>39</v>
      </c>
      <c r="B50" s="119"/>
      <c r="C50" s="117" t="s">
        <v>307</v>
      </c>
      <c r="D50" s="118"/>
      <c r="E50" s="119"/>
      <c r="F50" s="15" t="s">
        <v>40</v>
      </c>
      <c r="G50" s="120">
        <v>44790</v>
      </c>
      <c r="H50" s="119"/>
      <c r="R50"/>
      <c r="S50" t="s">
        <v>250</v>
      </c>
      <c r="T50" t="s">
        <v>255</v>
      </c>
      <c r="U50" t="s">
        <v>266</v>
      </c>
      <c r="V50" t="s">
        <v>271</v>
      </c>
    </row>
    <row r="51" spans="1:24" x14ac:dyDescent="0.25">
      <c r="A51" s="117" t="s">
        <v>41</v>
      </c>
      <c r="B51" s="119"/>
      <c r="C51" s="117" t="str">
        <f>C50</f>
        <v>S/PVT/0162/20200921/AP/Com</v>
      </c>
      <c r="D51" s="118"/>
      <c r="E51" s="119"/>
      <c r="F51" s="15" t="s">
        <v>40</v>
      </c>
      <c r="G51" s="120">
        <f>G50</f>
        <v>44790</v>
      </c>
      <c r="H51" s="119"/>
      <c r="R51"/>
      <c r="S51" t="s">
        <v>251</v>
      </c>
      <c r="T51" t="s">
        <v>256</v>
      </c>
      <c r="U51" t="s">
        <v>264</v>
      </c>
      <c r="V51" t="s">
        <v>272</v>
      </c>
    </row>
    <row r="52" spans="1:24" s="20" customFormat="1" x14ac:dyDescent="0.25">
      <c r="A52" s="113" t="s">
        <v>148</v>
      </c>
      <c r="B52" s="114"/>
      <c r="C52" s="117" t="str">
        <f>C51</f>
        <v>S/PVT/0162/20200921/AP/Com</v>
      </c>
      <c r="D52" s="118"/>
      <c r="E52" s="119"/>
      <c r="F52" s="15" t="s">
        <v>40</v>
      </c>
      <c r="G52" s="120">
        <v>45295</v>
      </c>
      <c r="H52" s="119"/>
      <c r="R52"/>
      <c r="S52" t="s">
        <v>252</v>
      </c>
      <c r="T52" t="s">
        <v>257</v>
      </c>
      <c r="U52" t="s">
        <v>254</v>
      </c>
      <c r="V52" t="s">
        <v>273</v>
      </c>
    </row>
    <row r="53" spans="1:24" s="20" customFormat="1" ht="66" customHeight="1" x14ac:dyDescent="0.25">
      <c r="A53" s="115"/>
      <c r="B53" s="116"/>
      <c r="C53" s="117" t="s">
        <v>365</v>
      </c>
      <c r="D53" s="118"/>
      <c r="E53" s="118"/>
      <c r="F53" s="118"/>
      <c r="G53" s="118"/>
      <c r="H53" s="119"/>
      <c r="R53"/>
      <c r="S53" t="s">
        <v>253</v>
      </c>
      <c r="T53" t="s">
        <v>260</v>
      </c>
      <c r="U53" t="s">
        <v>267</v>
      </c>
    </row>
    <row r="54" spans="1:24" s="20" customFormat="1" x14ac:dyDescent="0.25">
      <c r="A54" s="113"/>
      <c r="B54" s="114"/>
      <c r="C54" s="117" t="s">
        <v>307</v>
      </c>
      <c r="D54" s="118"/>
      <c r="E54" s="119"/>
      <c r="F54" s="15" t="s">
        <v>40</v>
      </c>
      <c r="G54" s="120">
        <v>45426</v>
      </c>
      <c r="H54" s="119"/>
      <c r="R54"/>
      <c r="S54" t="s">
        <v>252</v>
      </c>
      <c r="T54" t="s">
        <v>257</v>
      </c>
      <c r="U54" t="s">
        <v>254</v>
      </c>
      <c r="V54" t="s">
        <v>273</v>
      </c>
    </row>
    <row r="55" spans="1:24" s="20" customFormat="1" ht="66" customHeight="1" x14ac:dyDescent="0.25">
      <c r="A55" s="115"/>
      <c r="B55" s="116"/>
      <c r="C55" s="117" t="s">
        <v>366</v>
      </c>
      <c r="D55" s="118"/>
      <c r="E55" s="118"/>
      <c r="F55" s="118"/>
      <c r="G55" s="118"/>
      <c r="H55" s="119"/>
      <c r="R55"/>
      <c r="S55" t="s">
        <v>253</v>
      </c>
      <c r="T55" t="s">
        <v>260</v>
      </c>
      <c r="U55" t="s">
        <v>267</v>
      </c>
    </row>
    <row r="56" spans="1:24" s="20" customFormat="1" hidden="1" x14ac:dyDescent="0.25">
      <c r="A56" s="156" t="s">
        <v>277</v>
      </c>
      <c r="B56" s="157"/>
      <c r="C56" s="117"/>
      <c r="D56" s="118"/>
      <c r="E56" s="119"/>
      <c r="F56" s="15" t="s">
        <v>40</v>
      </c>
      <c r="G56" s="117"/>
      <c r="H56" s="119"/>
      <c r="R56"/>
      <c r="S56" t="s">
        <v>252</v>
      </c>
      <c r="T56" t="s">
        <v>257</v>
      </c>
      <c r="U56" t="s">
        <v>254</v>
      </c>
      <c r="V56" t="s">
        <v>273</v>
      </c>
    </row>
    <row r="57" spans="1:24" s="20" customFormat="1" ht="32.25" hidden="1" customHeight="1" x14ac:dyDescent="0.25">
      <c r="A57" s="158"/>
      <c r="B57" s="159"/>
      <c r="C57" s="231"/>
      <c r="D57" s="232"/>
      <c r="E57" s="232"/>
      <c r="F57" s="232"/>
      <c r="G57" s="232"/>
      <c r="H57" s="233"/>
      <c r="R57"/>
      <c r="S57" t="s">
        <v>254</v>
      </c>
      <c r="T57" t="s">
        <v>258</v>
      </c>
      <c r="U57" t="s">
        <v>268</v>
      </c>
      <c r="V57" s="18"/>
      <c r="W57" s="18"/>
      <c r="X57" s="18"/>
    </row>
    <row r="58" spans="1:24" s="20" customFormat="1" ht="34.5" hidden="1" customHeight="1" x14ac:dyDescent="0.25">
      <c r="A58" s="156" t="s">
        <v>278</v>
      </c>
      <c r="B58" s="157"/>
      <c r="C58" s="117">
        <f>C57</f>
        <v>0</v>
      </c>
      <c r="D58" s="118"/>
      <c r="E58" s="119"/>
      <c r="F58" s="15" t="s">
        <v>40</v>
      </c>
      <c r="G58" s="117">
        <f>G57</f>
        <v>0</v>
      </c>
      <c r="H58" s="119"/>
      <c r="R58"/>
      <c r="S58" s="18"/>
      <c r="T58" t="s">
        <v>259</v>
      </c>
      <c r="U58" t="s">
        <v>269</v>
      </c>
      <c r="V58" s="18"/>
      <c r="W58" s="18"/>
      <c r="X58" s="18"/>
    </row>
    <row r="59" spans="1:24" s="20" customFormat="1" ht="41.25" hidden="1" customHeight="1" x14ac:dyDescent="0.25">
      <c r="A59" s="158"/>
      <c r="B59" s="159"/>
      <c r="C59" s="117"/>
      <c r="D59" s="118"/>
      <c r="E59" s="118"/>
      <c r="F59" s="118"/>
      <c r="G59" s="118"/>
      <c r="H59" s="119"/>
      <c r="R59"/>
      <c r="S59" s="18"/>
      <c r="T59" t="s">
        <v>261</v>
      </c>
      <c r="U59" t="s">
        <v>270</v>
      </c>
      <c r="V59" s="18"/>
      <c r="W59" s="18"/>
      <c r="X59" s="18"/>
    </row>
    <row r="60" spans="1:24" s="20" customFormat="1" ht="15.75" hidden="1" customHeight="1" x14ac:dyDescent="0.25">
      <c r="A60" s="156" t="s">
        <v>279</v>
      </c>
      <c r="B60" s="157"/>
      <c r="C60" s="117">
        <f>C59</f>
        <v>0</v>
      </c>
      <c r="D60" s="118"/>
      <c r="E60" s="119"/>
      <c r="F60" s="15" t="s">
        <v>40</v>
      </c>
      <c r="G60" s="117">
        <f>G59</f>
        <v>0</v>
      </c>
      <c r="H60" s="119"/>
      <c r="R60"/>
      <c r="S60" s="18"/>
      <c r="T60" t="s">
        <v>262</v>
      </c>
      <c r="U60" s="18" t="s">
        <v>293</v>
      </c>
      <c r="V60" s="18"/>
      <c r="W60" s="18"/>
      <c r="X60" s="18"/>
    </row>
    <row r="61" spans="1:24" s="20" customFormat="1" ht="33.75" hidden="1" customHeight="1" x14ac:dyDescent="0.25">
      <c r="A61" s="158"/>
      <c r="B61" s="159"/>
      <c r="C61" s="117"/>
      <c r="D61" s="118"/>
      <c r="E61" s="118"/>
      <c r="F61" s="118"/>
      <c r="G61" s="118"/>
      <c r="H61" s="119"/>
      <c r="R61"/>
      <c r="S61" s="18"/>
      <c r="T61" t="s">
        <v>263</v>
      </c>
      <c r="U61" s="18"/>
      <c r="V61" s="18"/>
      <c r="W61" s="18"/>
      <c r="X61" s="18"/>
    </row>
    <row r="62" spans="1:24" x14ac:dyDescent="0.25">
      <c r="A62" s="135" t="s">
        <v>42</v>
      </c>
      <c r="B62" s="136"/>
      <c r="C62" s="135" t="s">
        <v>101</v>
      </c>
      <c r="D62" s="137"/>
      <c r="E62" s="136"/>
      <c r="F62" s="40" t="s">
        <v>40</v>
      </c>
      <c r="G62" s="154" t="s">
        <v>28</v>
      </c>
      <c r="H62" s="155"/>
      <c r="R62"/>
      <c r="T62" t="s">
        <v>265</v>
      </c>
    </row>
    <row r="63" spans="1:24" x14ac:dyDescent="0.25">
      <c r="A63" s="149" t="s">
        <v>44</v>
      </c>
      <c r="B63" s="149"/>
      <c r="C63" s="149"/>
      <c r="D63" s="149"/>
      <c r="E63" s="149"/>
      <c r="F63" s="149"/>
      <c r="G63" s="149"/>
      <c r="H63" s="149"/>
      <c r="T63" t="s">
        <v>274</v>
      </c>
    </row>
    <row r="64" spans="1:24" x14ac:dyDescent="0.25">
      <c r="A64" s="139" t="s">
        <v>86</v>
      </c>
      <c r="B64" s="139"/>
      <c r="C64" s="139"/>
      <c r="D64" s="127">
        <f>E46</f>
        <v>5958.58</v>
      </c>
      <c r="E64" s="127"/>
      <c r="F64" s="127"/>
      <c r="G64" s="127"/>
      <c r="H64" s="127"/>
      <c r="R64"/>
    </row>
    <row r="65" spans="1:19" ht="32.25" customHeight="1" x14ac:dyDescent="0.25">
      <c r="A65" s="150" t="s">
        <v>45</v>
      </c>
      <c r="B65" s="151"/>
      <c r="C65" s="151"/>
      <c r="D65" s="152" t="s">
        <v>364</v>
      </c>
      <c r="E65" s="153"/>
      <c r="F65" s="153"/>
      <c r="G65" s="153"/>
      <c r="H65" s="153"/>
      <c r="I65" s="21"/>
      <c r="R65"/>
    </row>
    <row r="66" spans="1:19" x14ac:dyDescent="0.25">
      <c r="A66" s="208" t="s">
        <v>46</v>
      </c>
      <c r="B66" s="209"/>
      <c r="C66" s="222"/>
      <c r="D66" s="220" t="s">
        <v>352</v>
      </c>
      <c r="E66" s="221"/>
      <c r="F66" s="221"/>
      <c r="G66" s="221"/>
      <c r="H66" s="221"/>
      <c r="R66"/>
    </row>
    <row r="67" spans="1:19" ht="15.75" customHeight="1" x14ac:dyDescent="0.25">
      <c r="A67" s="208" t="s">
        <v>84</v>
      </c>
      <c r="B67" s="209"/>
      <c r="C67" s="209"/>
      <c r="D67" s="212" t="s">
        <v>360</v>
      </c>
      <c r="E67" s="213"/>
      <c r="F67" s="213"/>
      <c r="G67" s="213"/>
      <c r="H67" s="214"/>
      <c r="R67"/>
    </row>
    <row r="68" spans="1:19" ht="15.75" customHeight="1" x14ac:dyDescent="0.25">
      <c r="A68" s="210"/>
      <c r="B68" s="211"/>
      <c r="C68" s="211"/>
      <c r="D68" s="215" t="s">
        <v>308</v>
      </c>
      <c r="E68" s="216"/>
      <c r="F68" s="216"/>
      <c r="G68" s="216"/>
      <c r="H68" s="217"/>
      <c r="R68"/>
    </row>
    <row r="69" spans="1:19" ht="15.75" customHeight="1" x14ac:dyDescent="0.25">
      <c r="A69" s="127" t="s">
        <v>43</v>
      </c>
      <c r="B69" s="127"/>
      <c r="C69" s="127"/>
      <c r="D69" s="205" t="s">
        <v>309</v>
      </c>
      <c r="E69" s="205"/>
      <c r="F69" s="205"/>
      <c r="G69" s="205"/>
      <c r="H69" s="205"/>
      <c r="J69" s="22"/>
      <c r="K69" s="21"/>
      <c r="N69" s="21"/>
      <c r="S69"/>
    </row>
    <row r="70" spans="1:19" ht="15.75" customHeight="1" x14ac:dyDescent="0.25">
      <c r="A70" s="127" t="s">
        <v>82</v>
      </c>
      <c r="B70" s="127"/>
      <c r="C70" s="127"/>
      <c r="D70" s="206" t="str">
        <f>(IF(G62="NA","60 Years After Completion",IF(G62&lt;&gt;"NA",""&amp;60-ROUNDDOWN((E3-G62)/360,0)&amp;" Years"," ")))</f>
        <v>60 Years After Completion</v>
      </c>
      <c r="E70" s="206"/>
      <c r="F70" s="206"/>
      <c r="G70" s="206"/>
      <c r="H70" s="206"/>
      <c r="N70" s="21"/>
      <c r="S70"/>
    </row>
    <row r="71" spans="1:19" ht="15.75" customHeight="1" x14ac:dyDescent="0.25">
      <c r="A71" s="127" t="s">
        <v>83</v>
      </c>
      <c r="B71" s="127"/>
      <c r="C71" s="127"/>
      <c r="D71" s="139" t="s">
        <v>23</v>
      </c>
      <c r="E71" s="139"/>
      <c r="F71" s="139"/>
      <c r="G71" s="139"/>
      <c r="H71" s="139"/>
      <c r="J71" s="23"/>
      <c r="K71" s="23"/>
      <c r="S71"/>
    </row>
    <row r="72" spans="1:19" x14ac:dyDescent="0.25">
      <c r="A72" s="153" t="s">
        <v>362</v>
      </c>
      <c r="B72" s="153"/>
      <c r="C72" s="153"/>
      <c r="D72" s="152" t="s">
        <v>361</v>
      </c>
      <c r="E72" s="152"/>
      <c r="F72" s="152"/>
      <c r="G72" s="152"/>
      <c r="H72" s="152"/>
      <c r="S72"/>
    </row>
    <row r="73" spans="1:19" x14ac:dyDescent="0.25">
      <c r="A73" s="139" t="s">
        <v>141</v>
      </c>
      <c r="B73" s="139"/>
      <c r="C73" s="139"/>
      <c r="D73" s="139" t="s">
        <v>28</v>
      </c>
      <c r="E73" s="139"/>
      <c r="F73" s="139"/>
      <c r="G73" s="139"/>
      <c r="H73" s="139"/>
      <c r="I73" s="24"/>
      <c r="J73" s="24"/>
      <c r="K73" s="24"/>
      <c r="L73" s="24"/>
      <c r="M73" s="24"/>
      <c r="N73" s="24"/>
    </row>
    <row r="74" spans="1:19" ht="15.75" customHeight="1" x14ac:dyDescent="0.25">
      <c r="A74" s="140" t="s">
        <v>81</v>
      </c>
      <c r="B74" s="140"/>
      <c r="C74" s="140"/>
      <c r="D74" s="245" t="str">
        <f ca="1">(IF(G80&gt;95%,"Nothing",IF(G80&gt;0%,"Cement, Aggregate, Steel, etc",IF(G80=0%,"Work not yet Started"))))</f>
        <v>Cement, Aggregate, Steel, etc</v>
      </c>
      <c r="E74" s="245"/>
      <c r="F74" s="245"/>
      <c r="G74" s="245"/>
      <c r="H74" s="245"/>
      <c r="J74" s="23"/>
      <c r="S74"/>
    </row>
    <row r="75" spans="1:19" ht="33.75" customHeight="1" thickBot="1" x14ac:dyDescent="0.3">
      <c r="A75" s="244" t="s">
        <v>114</v>
      </c>
      <c r="B75" s="244"/>
      <c r="C75" s="244"/>
      <c r="D75" s="245" t="str">
        <f ca="1">(IF(D74="Nothing","Yes",IF(D74="Cement, Aggregate, Steel, etc","Under Construction",IF(D74="Work not yet Started","Work not yet Started"))))</f>
        <v>Under Construction</v>
      </c>
      <c r="E75" s="245"/>
      <c r="F75" s="245" t="str">
        <f ca="1">(IF(D74="Nothing","Yes",IF(D74="Cement, Aggregate, Steel, etc","Under Construction",IF(D74="Work not yet Started","Work not yet Started"))))</f>
        <v>Under Construction</v>
      </c>
      <c r="G75" s="245"/>
      <c r="H75" s="245"/>
      <c r="S75"/>
    </row>
    <row r="76" spans="1:19" ht="15.75" customHeight="1" x14ac:dyDescent="0.25">
      <c r="A76" s="160" t="s">
        <v>133</v>
      </c>
      <c r="B76" s="161"/>
      <c r="C76" s="121" t="str">
        <f>D67</f>
        <v xml:space="preserve">Wing A = Gr + 1st to 22nd Floor
</v>
      </c>
      <c r="D76" s="122"/>
      <c r="E76" s="122"/>
      <c r="F76" s="122"/>
      <c r="G76" s="122"/>
      <c r="H76" s="123"/>
      <c r="I76" s="42" t="str">
        <f ca="1">IF(D89=100%,"All work Completed. Possession granted to the Building.",IF(D88=100%,"All work Completed, Waiting for OC",I77&amp;""&amp;I78&amp;""&amp;J77&amp;""&amp;J76&amp;" "&amp;J78))</f>
        <v>Excavation, Plinth, RCC Slab, Brickwork, Internal Plaster Completed, External Plaster upto 15 Floor, Flooring upto 8 Floor, Painting upto 5 Floor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External Plaster upto 15 Floor, Flooring upto 8 Floor, Painting upto 5 Floor</v>
      </c>
      <c r="S76"/>
    </row>
    <row r="77" spans="1:19" x14ac:dyDescent="0.25">
      <c r="A77" s="78" t="s">
        <v>135</v>
      </c>
      <c r="B77" s="79">
        <f>IF(AND(ISNUMBER(SEARCH("1B",C76))),1,IF(AND(ISNUMBER(SEARCH("2B",C76))),2,IF(AND(ISNUMBER(SEARCH("3B",C76))),3,IF(AND(ISNUMBER(SEARCH("4B",C76))),4,IF(ISNUMBER(SEARCH("5B",C76)),5,0)))))</f>
        <v>0</v>
      </c>
      <c r="C77" s="79" t="s">
        <v>68</v>
      </c>
      <c r="D77" s="79">
        <v>1</v>
      </c>
      <c r="E77" s="79" t="s">
        <v>67</v>
      </c>
      <c r="F77" s="79">
        <v>0</v>
      </c>
      <c r="G77" s="79" t="s">
        <v>75</v>
      </c>
      <c r="H77" s="80">
        <f ca="1">--TRIM(RIGHT(SUBSTITUTE(LEFT(C76,_xlfn.AGGREGATE(16,6,FIND({0,1,2,3,4,5,6,7,8,9},C76,ROW(INDIRECT("1:"&amp;LEN(C76)))),1))," ",REPT(" ",LEN(C76))),LEN(C76)))</f>
        <v>22</v>
      </c>
      <c r="I77" s="44" t="str">
        <f ca="1">IF(D80=100%,"Excavation","")&amp;IF(D81=100%,", Plinth","")&amp;IF(D82=100%,", RCC Slab","")&amp;IF(D83=100%,", Brickwork","")&amp;IF(D84=100%,", Internal Plaster","")&amp;IF(D85=100%,", External Plaster","")&amp;IF(D86=100%,", Flooring","")&amp;IF(D87=100%,", Painting","")&amp;IF(D88=100%,", Building common Amenities","")</f>
        <v>Excavation, Plinth, RCC Slab, Brickwork, Internal Plaster</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48.75" customHeight="1" x14ac:dyDescent="0.25">
      <c r="A78" s="225" t="s">
        <v>85</v>
      </c>
      <c r="B78" s="226"/>
      <c r="C78" s="223" t="str">
        <f ca="1">I76</f>
        <v>Excavation, Plinth, RCC Slab, Brickwork, Internal Plaster Completed, External Plaster upto 15 Floor, Flooring upto 8 Floor, Painting upto 5 Floor Completed</v>
      </c>
      <c r="D78" s="223"/>
      <c r="E78" s="223"/>
      <c r="F78" s="223"/>
      <c r="G78" s="223"/>
      <c r="H78" s="224"/>
      <c r="I78" s="44" t="str">
        <f ca="1">IF(I77&lt;&gt;""," Completed","")</f>
        <v xml:space="preserve"> Completed</v>
      </c>
      <c r="J78" s="45" t="str">
        <f ca="1">IF(J76&lt;&gt;"","Completed","")</f>
        <v>Completed</v>
      </c>
      <c r="S78"/>
    </row>
    <row r="79" spans="1:19" ht="15.75" customHeight="1" x14ac:dyDescent="0.25">
      <c r="A79" s="124" t="s">
        <v>47</v>
      </c>
      <c r="B79" s="125"/>
      <c r="C79" s="70" t="s">
        <v>132</v>
      </c>
      <c r="D79" s="70" t="s">
        <v>78</v>
      </c>
      <c r="E79" s="125" t="s">
        <v>80</v>
      </c>
      <c r="F79" s="125"/>
      <c r="G79" s="125" t="s">
        <v>79</v>
      </c>
      <c r="H79" s="246"/>
      <c r="I79" s="13" t="s">
        <v>134</v>
      </c>
      <c r="J79" s="25">
        <f ca="1">H77*25%</f>
        <v>5.5</v>
      </c>
      <c r="S79"/>
    </row>
    <row r="80" spans="1:19" x14ac:dyDescent="0.25">
      <c r="A80" s="124" t="s">
        <v>121</v>
      </c>
      <c r="B80" s="125"/>
      <c r="C80" s="70">
        <f ca="1">J81</f>
        <v>22</v>
      </c>
      <c r="D80" s="16">
        <f ca="1">((100/H77)*C80)/100</f>
        <v>1.0000000000000002</v>
      </c>
      <c r="E80" s="237">
        <f ca="1">(((C81/H77*10)+(40/(D77+F77+H77)*C82)+(7.5/(H77)*C83)+(7.5/(H77)*C84)+(10/H77*C85)+(10/H77*C86)+(5/H77*C87)+(5/H77*C88)+(5/H77*C89))/100)</f>
        <v>0.76590909090909098</v>
      </c>
      <c r="F80" s="247"/>
      <c r="G80" s="237">
        <f ca="1">((((C80/H77)*20)+((C81/H77)*25)+(30/(H77+F77+D77)*C82)+(5/H77*C83)+(5/H77*C84)+(5/H77*C85)+(5/H77*C86)+(0/H77*C87)+(0/H77*C88)+(5/H77*C89))/100)</f>
        <v>0.90227272727272723</v>
      </c>
      <c r="H80" s="238"/>
      <c r="I80" s="13" t="s">
        <v>96</v>
      </c>
      <c r="J80" s="26">
        <f ca="1">H77*50%</f>
        <v>11</v>
      </c>
    </row>
    <row r="81" spans="1:19" x14ac:dyDescent="0.25">
      <c r="A81" s="124" t="s">
        <v>48</v>
      </c>
      <c r="B81" s="125"/>
      <c r="C81" s="70">
        <f ca="1">J89</f>
        <v>22</v>
      </c>
      <c r="D81" s="16">
        <f ca="1">((100/H77)*C81)/100</f>
        <v>1.0000000000000002</v>
      </c>
      <c r="E81" s="239"/>
      <c r="F81" s="248"/>
      <c r="G81" s="239"/>
      <c r="H81" s="240"/>
      <c r="I81" s="13" t="s">
        <v>97</v>
      </c>
      <c r="J81" s="26">
        <f ca="1">H77</f>
        <v>22</v>
      </c>
      <c r="S81"/>
    </row>
    <row r="82" spans="1:19" ht="15.75" customHeight="1" x14ac:dyDescent="0.25">
      <c r="A82" s="124" t="s">
        <v>122</v>
      </c>
      <c r="B82" s="125"/>
      <c r="C82" s="70">
        <v>23</v>
      </c>
      <c r="D82" s="16">
        <f ca="1">((100/(D77+F77+H77))*C82)/100</f>
        <v>1</v>
      </c>
      <c r="E82" s="239"/>
      <c r="F82" s="248"/>
      <c r="G82" s="239"/>
      <c r="H82" s="240"/>
      <c r="I82" s="13" t="s">
        <v>98</v>
      </c>
      <c r="J82" s="27">
        <f ca="1">(IF(B77&gt;1,(H77/(B77+2)),H77/4))</f>
        <v>5.5</v>
      </c>
      <c r="S82"/>
    </row>
    <row r="83" spans="1:19" ht="15.75" customHeight="1" x14ac:dyDescent="0.25">
      <c r="A83" s="124" t="s">
        <v>129</v>
      </c>
      <c r="B83" s="125" t="s">
        <v>123</v>
      </c>
      <c r="C83" s="70">
        <v>22</v>
      </c>
      <c r="D83" s="16">
        <f ca="1">((100/H77)*C83)/100</f>
        <v>1.0000000000000002</v>
      </c>
      <c r="E83" s="239"/>
      <c r="F83" s="248"/>
      <c r="G83" s="239"/>
      <c r="H83" s="240"/>
      <c r="I83" s="13" t="s">
        <v>99</v>
      </c>
      <c r="J83" s="27">
        <f ca="1">(IF(B77&gt;1,(H77/(B77+2)+J82),H77/4+J82))</f>
        <v>11</v>
      </c>
    </row>
    <row r="84" spans="1:19" ht="15.75" customHeight="1" x14ac:dyDescent="0.25">
      <c r="A84" s="124" t="s">
        <v>130</v>
      </c>
      <c r="B84" s="125" t="s">
        <v>123</v>
      </c>
      <c r="C84" s="70">
        <v>22</v>
      </c>
      <c r="D84" s="16">
        <f ca="1">((100/H77)*C84)/100</f>
        <v>1.0000000000000002</v>
      </c>
      <c r="E84" s="239"/>
      <c r="F84" s="248"/>
      <c r="G84" s="239"/>
      <c r="H84" s="240"/>
      <c r="I84" s="13" t="s">
        <v>139</v>
      </c>
      <c r="J84" s="27">
        <f>(IF(B77&gt;1,(H77/(B77+2)+J83),0))</f>
        <v>0</v>
      </c>
    </row>
    <row r="85" spans="1:19" ht="15" customHeight="1" x14ac:dyDescent="0.25">
      <c r="A85" s="124" t="s">
        <v>128</v>
      </c>
      <c r="B85" s="125" t="s">
        <v>125</v>
      </c>
      <c r="C85" s="70">
        <v>15</v>
      </c>
      <c r="D85" s="16">
        <f ca="1">((100/(H77))*C85)/100</f>
        <v>0.68181818181818188</v>
      </c>
      <c r="E85" s="239"/>
      <c r="F85" s="248"/>
      <c r="G85" s="239"/>
      <c r="H85" s="240"/>
      <c r="I85" s="13" t="s">
        <v>136</v>
      </c>
      <c r="J85" s="27">
        <f>(IF(B77&gt;2,(H77/(B77+2)+J84),0))</f>
        <v>0</v>
      </c>
    </row>
    <row r="86" spans="1:19" ht="15.75" customHeight="1" x14ac:dyDescent="0.25">
      <c r="A86" s="124" t="s">
        <v>124</v>
      </c>
      <c r="B86" s="125" t="s">
        <v>124</v>
      </c>
      <c r="C86" s="70">
        <v>8</v>
      </c>
      <c r="D86" s="16">
        <f ca="1">((100/H77)*C86)/100</f>
        <v>0.36363636363636365</v>
      </c>
      <c r="E86" s="239"/>
      <c r="F86" s="248"/>
      <c r="G86" s="239"/>
      <c r="H86" s="240"/>
      <c r="I86" s="13" t="s">
        <v>137</v>
      </c>
      <c r="J86" s="28">
        <f>(IF(B77&gt;3,(H77/(B77+2)+J85),0))</f>
        <v>0</v>
      </c>
    </row>
    <row r="87" spans="1:19" ht="15.75" customHeight="1" x14ac:dyDescent="0.25">
      <c r="A87" s="124" t="s">
        <v>131</v>
      </c>
      <c r="B87" s="125"/>
      <c r="C87" s="70">
        <v>5</v>
      </c>
      <c r="D87" s="16">
        <f ca="1">((100/H77)*C87)/100</f>
        <v>0.22727272727272729</v>
      </c>
      <c r="E87" s="239"/>
      <c r="F87" s="248"/>
      <c r="G87" s="239"/>
      <c r="H87" s="240"/>
      <c r="I87" s="13" t="s">
        <v>138</v>
      </c>
      <c r="J87" s="27">
        <f>(IF(B77&gt;4,(H77/(B77+2)+J86),0))</f>
        <v>0</v>
      </c>
    </row>
    <row r="88" spans="1:19" ht="15.75" customHeight="1" x14ac:dyDescent="0.25">
      <c r="A88" s="124" t="s">
        <v>126</v>
      </c>
      <c r="B88" s="125" t="s">
        <v>126</v>
      </c>
      <c r="C88" s="70">
        <v>0</v>
      </c>
      <c r="D88" s="16">
        <f ca="1">((100/(H77))*C88)/100</f>
        <v>0</v>
      </c>
      <c r="E88" s="239"/>
      <c r="F88" s="248"/>
      <c r="G88" s="239"/>
      <c r="H88" s="240"/>
      <c r="I88" s="13" t="s">
        <v>140</v>
      </c>
      <c r="J88" s="27">
        <f ca="1">(IF(B77=1,(H77/(B77+3)+J83),IF(B77=0,(H77/4+J83),IF(B77&gt;1,0))))</f>
        <v>16.5</v>
      </c>
    </row>
    <row r="89" spans="1:19" ht="16.5" thickBot="1" x14ac:dyDescent="0.3">
      <c r="A89" s="250" t="s">
        <v>127</v>
      </c>
      <c r="B89" s="251"/>
      <c r="C89" s="71">
        <v>0</v>
      </c>
      <c r="D89" s="17">
        <f ca="1">((100/(H77))*C89)/100</f>
        <v>0</v>
      </c>
      <c r="E89" s="241"/>
      <c r="F89" s="249"/>
      <c r="G89" s="241"/>
      <c r="H89" s="242"/>
      <c r="I89" s="14" t="s">
        <v>100</v>
      </c>
      <c r="J89" s="29">
        <f ca="1">(IF(B77&gt;1.5,(H77/(B77+2)+J83+MAX(0,J84-J83)+MAX(0,J85-J84)+MAX(0,J86-J85)+MAX(0,J87-J86)+MAX(0,J88-J87)),IF(B77=1,(H77/(B77+3)+J88),IF(B77=0,H77/4+J88))))</f>
        <v>22</v>
      </c>
    </row>
    <row r="90" spans="1:19" ht="15.75" customHeight="1" x14ac:dyDescent="0.25">
      <c r="A90" s="160" t="s">
        <v>133</v>
      </c>
      <c r="B90" s="161"/>
      <c r="C90" s="121" t="str">
        <f>D68</f>
        <v>Wing B = G + 1st to 22nd Floor</v>
      </c>
      <c r="D90" s="122"/>
      <c r="E90" s="122"/>
      <c r="F90" s="122"/>
      <c r="G90" s="122"/>
      <c r="H90" s="123"/>
      <c r="I90" s="42" t="str">
        <f ca="1">IF(D103=100%,"All work Completed. Possession granted to the Building.",IF(D102=100%,"All work Completed, Waiting for OC",I91&amp;""&amp;I92&amp;""&amp;J91&amp;""&amp;J90&amp;" "&amp;J92))</f>
        <v>Excavation, Plinth, RCC Slab, Brickwork, Internal Plaster, External Plaster Completed, Flooring upto 16 Floor, Painting upto 15 Floor, Finishing upto 5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Flooring upto 16 Floor, Painting upto 15 Floor, Finishing upto 5 Floor</v>
      </c>
    </row>
    <row r="91" spans="1:19" x14ac:dyDescent="0.25">
      <c r="A91" s="78" t="s">
        <v>135</v>
      </c>
      <c r="B91" s="79">
        <f>IF(AND(ISNUMBER(SEARCH("1B",C90))),1,IF(AND(ISNUMBER(SEARCH("2B",C90))),2,IF(AND(ISNUMBER(SEARCH("3B",C90))),3,IF(AND(ISNUMBER(SEARCH("4B",C90))),4,IF(ISNUMBER(SEARCH("5B",C90)),5,0)))))</f>
        <v>0</v>
      </c>
      <c r="C91" s="79" t="s">
        <v>68</v>
      </c>
      <c r="D91" s="79">
        <v>1</v>
      </c>
      <c r="E91" s="79" t="s">
        <v>67</v>
      </c>
      <c r="F91" s="79">
        <v>0</v>
      </c>
      <c r="G91" s="79" t="s">
        <v>75</v>
      </c>
      <c r="H91" s="80">
        <f ca="1">--TRIM(RIGHT(SUBSTITUTE(LEFT(C90,_xlfn.AGGREGATE(16,6,FIND({0,1,2,3,4,5,6,7,8,9},C90,ROW(INDIRECT("1:"&amp;LEN(C90)))),1))," ",REPT(" ",LEN(C90))),LEN(C90)))</f>
        <v>22</v>
      </c>
      <c r="I91" s="44"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 External Plaster</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48.95" customHeight="1" x14ac:dyDescent="0.25">
      <c r="A92" s="225" t="s">
        <v>85</v>
      </c>
      <c r="B92" s="226"/>
      <c r="C92" s="223" t="str">
        <f ca="1">(IF($G$62="NA",I90,"All work Completed. OC Received."))</f>
        <v>Excavation, Plinth, RCC Slab, Brickwork, Internal Plaster, External Plaster Completed, Flooring upto 16 Floor, Painting upto 15 Floor, Finishing upto 5 Floor Completed</v>
      </c>
      <c r="D92" s="223"/>
      <c r="E92" s="223"/>
      <c r="F92" s="223"/>
      <c r="G92" s="223"/>
      <c r="H92" s="224"/>
      <c r="I92" s="44" t="str">
        <f ca="1">IF(I91&lt;&gt;""," Completed","")</f>
        <v xml:space="preserve"> Completed</v>
      </c>
      <c r="J92" s="45" t="str">
        <f ca="1">IF(J90&lt;&gt;"","Completed","")</f>
        <v>Completed</v>
      </c>
    </row>
    <row r="93" spans="1:19" ht="15.75" customHeight="1" x14ac:dyDescent="0.25">
      <c r="A93" s="124" t="s">
        <v>47</v>
      </c>
      <c r="B93" s="125"/>
      <c r="C93" s="70" t="s">
        <v>132</v>
      </c>
      <c r="D93" s="70" t="s">
        <v>78</v>
      </c>
      <c r="E93" s="125" t="s">
        <v>80</v>
      </c>
      <c r="F93" s="125"/>
      <c r="G93" s="125" t="s">
        <v>79</v>
      </c>
      <c r="H93" s="246"/>
      <c r="I93" s="13" t="s">
        <v>134</v>
      </c>
      <c r="J93" s="25">
        <f ca="1">H91*25%</f>
        <v>5.5</v>
      </c>
    </row>
    <row r="94" spans="1:19" x14ac:dyDescent="0.25">
      <c r="A94" s="124" t="s">
        <v>121</v>
      </c>
      <c r="B94" s="125"/>
      <c r="C94" s="70">
        <f ca="1">J95</f>
        <v>22</v>
      </c>
      <c r="D94" s="16">
        <f ca="1">((100/H91)*C94)/100</f>
        <v>1.0000000000000002</v>
      </c>
      <c r="E94" s="237">
        <f ca="1">(((C95/H91*10)+(40/(D91+F91+H91)*C96)+(7.5/(H91)*C97)+(7.5/(H91)*C98)+(10/H91*C99)+(10/H91*C100)+(5/H91*C101)+(5/H91*C102)+(5/H91*C103))/100)</f>
        <v>0.86818181818181817</v>
      </c>
      <c r="F94" s="247"/>
      <c r="G94" s="237">
        <f ca="1">((((C94/H91)*20)+((C95/H91)*25)+(30/(H91+F91+D91)*C96)+(5/H91*C97)+(5/H91*C98)+(5/H91*C99)+(5/H91*C100)+(0/H91*C101)+(0/H91*C102)+(5/H91*C103))/100)</f>
        <v>0.9363636363636364</v>
      </c>
      <c r="H94" s="238"/>
      <c r="I94" s="13" t="s">
        <v>96</v>
      </c>
      <c r="J94" s="26">
        <f ca="1">H91*50%</f>
        <v>11</v>
      </c>
    </row>
    <row r="95" spans="1:19" x14ac:dyDescent="0.25">
      <c r="A95" s="124" t="s">
        <v>48</v>
      </c>
      <c r="B95" s="125"/>
      <c r="C95" s="81">
        <f ca="1">J103</f>
        <v>22</v>
      </c>
      <c r="D95" s="16">
        <f ca="1">((100/H91)*C95)/100</f>
        <v>1.0000000000000002</v>
      </c>
      <c r="E95" s="239"/>
      <c r="F95" s="248"/>
      <c r="G95" s="239"/>
      <c r="H95" s="240"/>
      <c r="I95" s="13" t="s">
        <v>97</v>
      </c>
      <c r="J95" s="26">
        <f ca="1">H91</f>
        <v>22</v>
      </c>
    </row>
    <row r="96" spans="1:19" ht="15.75" customHeight="1" x14ac:dyDescent="0.25">
      <c r="A96" s="124" t="s">
        <v>122</v>
      </c>
      <c r="B96" s="125"/>
      <c r="C96" s="70">
        <v>23</v>
      </c>
      <c r="D96" s="16">
        <f ca="1">((100/(D91+F91+H91))*C96)/100</f>
        <v>1</v>
      </c>
      <c r="E96" s="239"/>
      <c r="F96" s="248"/>
      <c r="G96" s="239"/>
      <c r="H96" s="240"/>
      <c r="I96" s="13" t="s">
        <v>98</v>
      </c>
      <c r="J96" s="27">
        <f ca="1">(IF(B91&gt;1,(H91/(B91+2)),H91/4))</f>
        <v>5.5</v>
      </c>
    </row>
    <row r="97" spans="1:22" ht="15.75" customHeight="1" x14ac:dyDescent="0.25">
      <c r="A97" s="124" t="s">
        <v>129</v>
      </c>
      <c r="B97" s="125" t="s">
        <v>123</v>
      </c>
      <c r="C97" s="70">
        <v>22</v>
      </c>
      <c r="D97" s="16">
        <f ca="1">((100/H91)*C97)/100</f>
        <v>1.0000000000000002</v>
      </c>
      <c r="E97" s="239"/>
      <c r="F97" s="248"/>
      <c r="G97" s="239"/>
      <c r="H97" s="240"/>
      <c r="I97" s="13" t="s">
        <v>99</v>
      </c>
      <c r="J97" s="27">
        <f ca="1">(IF(B91&gt;1,(H91/(B91+2)+J96),H91/4+J96))</f>
        <v>11</v>
      </c>
    </row>
    <row r="98" spans="1:22" ht="15.75" customHeight="1" x14ac:dyDescent="0.25">
      <c r="A98" s="124" t="s">
        <v>130</v>
      </c>
      <c r="B98" s="125" t="s">
        <v>123</v>
      </c>
      <c r="C98" s="70">
        <v>22</v>
      </c>
      <c r="D98" s="16">
        <f ca="1">((100/H91)*C98)/100</f>
        <v>1.0000000000000002</v>
      </c>
      <c r="E98" s="239"/>
      <c r="F98" s="248"/>
      <c r="G98" s="239"/>
      <c r="H98" s="240"/>
      <c r="I98" s="13" t="s">
        <v>139</v>
      </c>
      <c r="J98" s="27">
        <f>(IF(B91&gt;1,(H91/(B91+2)+J97),0))</f>
        <v>0</v>
      </c>
    </row>
    <row r="99" spans="1:22" ht="15" customHeight="1" x14ac:dyDescent="0.25">
      <c r="A99" s="124" t="s">
        <v>128</v>
      </c>
      <c r="B99" s="125" t="s">
        <v>125</v>
      </c>
      <c r="C99" s="70">
        <v>22</v>
      </c>
      <c r="D99" s="16">
        <f ca="1">((100/(H91))*C99)/100</f>
        <v>1.0000000000000002</v>
      </c>
      <c r="E99" s="239"/>
      <c r="F99" s="248"/>
      <c r="G99" s="239"/>
      <c r="H99" s="240"/>
      <c r="I99" s="13" t="s">
        <v>136</v>
      </c>
      <c r="J99" s="27">
        <f>(IF(B91&gt;2,(H91/(B91+2)+J98),0))</f>
        <v>0</v>
      </c>
    </row>
    <row r="100" spans="1:22" ht="15.75" customHeight="1" x14ac:dyDescent="0.25">
      <c r="A100" s="124" t="s">
        <v>124</v>
      </c>
      <c r="B100" s="125" t="s">
        <v>124</v>
      </c>
      <c r="C100" s="70">
        <v>16</v>
      </c>
      <c r="D100" s="16">
        <f ca="1">((100/H91)*C100)/100</f>
        <v>0.72727272727272729</v>
      </c>
      <c r="E100" s="239"/>
      <c r="F100" s="248"/>
      <c r="G100" s="239"/>
      <c r="H100" s="240"/>
      <c r="I100" s="13" t="s">
        <v>137</v>
      </c>
      <c r="J100" s="28">
        <f>(IF(B91&gt;3,(H91/(B91+2)+J99),0))</f>
        <v>0</v>
      </c>
    </row>
    <row r="101" spans="1:22" ht="15.75" customHeight="1" x14ac:dyDescent="0.25">
      <c r="A101" s="124" t="s">
        <v>131</v>
      </c>
      <c r="B101" s="125"/>
      <c r="C101" s="70">
        <v>15</v>
      </c>
      <c r="D101" s="16">
        <f ca="1">((100/H91)*C101)/100</f>
        <v>0.68181818181818188</v>
      </c>
      <c r="E101" s="239"/>
      <c r="F101" s="248"/>
      <c r="G101" s="239"/>
      <c r="H101" s="240"/>
      <c r="I101" s="13" t="s">
        <v>138</v>
      </c>
      <c r="J101" s="27">
        <f>(IF(B91&gt;4,(H91/(B91+2)+J100),0))</f>
        <v>0</v>
      </c>
    </row>
    <row r="102" spans="1:22" ht="15.75" customHeight="1" x14ac:dyDescent="0.25">
      <c r="A102" s="124" t="s">
        <v>126</v>
      </c>
      <c r="B102" s="125" t="s">
        <v>126</v>
      </c>
      <c r="C102" s="70">
        <v>5</v>
      </c>
      <c r="D102" s="16">
        <f ca="1">((100/(H91))*C102)/100</f>
        <v>0.22727272727272729</v>
      </c>
      <c r="E102" s="239"/>
      <c r="F102" s="248"/>
      <c r="G102" s="239"/>
      <c r="H102" s="240"/>
      <c r="I102" s="13" t="s">
        <v>140</v>
      </c>
      <c r="J102" s="27">
        <f ca="1">(IF(B91=1,(H91/(B91+3)+J97),IF(B91=0,(H91/4+J97),IF(B91&gt;1,0))))</f>
        <v>16.5</v>
      </c>
    </row>
    <row r="103" spans="1:22" ht="16.5" thickBot="1" x14ac:dyDescent="0.3">
      <c r="A103" s="250" t="s">
        <v>127</v>
      </c>
      <c r="B103" s="251"/>
      <c r="C103" s="71">
        <v>0</v>
      </c>
      <c r="D103" s="17">
        <f ca="1">((100/(H91))*C103)/100</f>
        <v>0</v>
      </c>
      <c r="E103" s="241"/>
      <c r="F103" s="249"/>
      <c r="G103" s="241"/>
      <c r="H103" s="242"/>
      <c r="I103" s="14" t="s">
        <v>100</v>
      </c>
      <c r="J103" s="29">
        <f ca="1">(IF(B91&gt;1.5,(H91/(B91+2)+J97+MAX(0,J98-J97)+MAX(0,J99-J98)+MAX(0,J100-J99)+MAX(0,J101-J100)+MAX(0,J102-J101)),IF(B91=1,(H91/(B91+3)+J102),IF(B91=0,H91/4+J102))))</f>
        <v>22</v>
      </c>
    </row>
    <row r="104" spans="1:22" x14ac:dyDescent="0.25">
      <c r="A104" s="243" t="s">
        <v>150</v>
      </c>
      <c r="B104" s="243"/>
      <c r="C104" s="243"/>
      <c r="D104" s="243"/>
      <c r="E104" s="243"/>
      <c r="F104" s="253" t="s">
        <v>154</v>
      </c>
      <c r="G104" s="253"/>
      <c r="H104" s="253"/>
      <c r="R104" t="s">
        <v>249</v>
      </c>
      <c r="S104" t="s">
        <v>166</v>
      </c>
      <c r="T104" t="s">
        <v>174</v>
      </c>
      <c r="U104" t="s">
        <v>189</v>
      </c>
      <c r="V104" t="s">
        <v>184</v>
      </c>
    </row>
    <row r="105" spans="1:22" x14ac:dyDescent="0.25">
      <c r="A105" s="127" t="s">
        <v>152</v>
      </c>
      <c r="B105" s="127"/>
      <c r="C105" s="127"/>
      <c r="D105" s="127"/>
      <c r="E105" s="127"/>
      <c r="F105" s="126">
        <v>13000</v>
      </c>
      <c r="G105" s="126"/>
      <c r="H105" s="126"/>
      <c r="I105" s="18" t="s">
        <v>363</v>
      </c>
      <c r="R105"/>
      <c r="S105">
        <v>800000</v>
      </c>
      <c r="T105">
        <v>150000</v>
      </c>
      <c r="U105">
        <v>100000</v>
      </c>
      <c r="V105">
        <v>100000</v>
      </c>
    </row>
    <row r="106" spans="1:22" x14ac:dyDescent="0.25">
      <c r="A106" s="127" t="s">
        <v>151</v>
      </c>
      <c r="B106" s="127"/>
      <c r="C106" s="127"/>
      <c r="D106" s="127"/>
      <c r="E106" s="127"/>
      <c r="F106" s="126">
        <v>20000</v>
      </c>
      <c r="G106" s="126"/>
      <c r="H106" s="126"/>
      <c r="R106"/>
      <c r="S106">
        <v>900000</v>
      </c>
      <c r="T106">
        <v>200000</v>
      </c>
      <c r="U106">
        <v>150000</v>
      </c>
      <c r="V106">
        <v>150000</v>
      </c>
    </row>
    <row r="107" spans="1:22" hidden="1" x14ac:dyDescent="0.25">
      <c r="A107" s="127" t="s">
        <v>153</v>
      </c>
      <c r="B107" s="127"/>
      <c r="C107" s="127"/>
      <c r="D107" s="127"/>
      <c r="E107" s="127"/>
      <c r="F107" s="126"/>
      <c r="G107" s="126"/>
      <c r="H107" s="126"/>
      <c r="R107"/>
      <c r="S107">
        <v>1000000</v>
      </c>
      <c r="T107">
        <v>250000</v>
      </c>
      <c r="U107">
        <v>200000</v>
      </c>
      <c r="V107">
        <v>200000</v>
      </c>
    </row>
    <row r="108" spans="1:22" s="30" customFormat="1" hidden="1" x14ac:dyDescent="0.25">
      <c r="A108" s="127" t="s">
        <v>169</v>
      </c>
      <c r="B108" s="127"/>
      <c r="C108" s="127"/>
      <c r="D108" s="127"/>
      <c r="E108" s="127"/>
      <c r="F108" s="126"/>
      <c r="G108" s="126"/>
      <c r="H108" s="126"/>
      <c r="R108"/>
      <c r="S108">
        <v>1100000</v>
      </c>
      <c r="T108">
        <v>300000</v>
      </c>
      <c r="U108">
        <v>250000</v>
      </c>
      <c r="V108" s="20">
        <v>250000</v>
      </c>
    </row>
    <row r="109" spans="1:22" s="30" customFormat="1" hidden="1" x14ac:dyDescent="0.25">
      <c r="A109" s="127" t="s">
        <v>90</v>
      </c>
      <c r="B109" s="127"/>
      <c r="C109" s="127"/>
      <c r="D109" s="127"/>
      <c r="E109" s="127"/>
      <c r="F109" s="126"/>
      <c r="G109" s="126"/>
      <c r="H109" s="126"/>
      <c r="R109"/>
      <c r="S109">
        <v>1200000</v>
      </c>
      <c r="T109">
        <v>350000</v>
      </c>
      <c r="U109">
        <v>300000</v>
      </c>
      <c r="V109">
        <v>300000</v>
      </c>
    </row>
    <row r="110" spans="1:22" s="30" customFormat="1" hidden="1" x14ac:dyDescent="0.25">
      <c r="A110" s="127" t="s">
        <v>91</v>
      </c>
      <c r="B110" s="127"/>
      <c r="C110" s="127"/>
      <c r="D110" s="127"/>
      <c r="E110" s="127"/>
      <c r="F110" s="126"/>
      <c r="G110" s="126"/>
      <c r="H110" s="126"/>
      <c r="R110"/>
      <c r="S110">
        <v>1300000</v>
      </c>
      <c r="T110">
        <v>400000</v>
      </c>
      <c r="U110">
        <v>350000</v>
      </c>
      <c r="V110" s="20">
        <v>400000</v>
      </c>
    </row>
    <row r="111" spans="1:22" s="30" customFormat="1" hidden="1" x14ac:dyDescent="0.25">
      <c r="A111" s="127" t="s">
        <v>92</v>
      </c>
      <c r="B111" s="127"/>
      <c r="C111" s="127"/>
      <c r="D111" s="127"/>
      <c r="E111" s="127"/>
      <c r="F111" s="126"/>
      <c r="G111" s="126"/>
      <c r="H111" s="126"/>
      <c r="R111"/>
      <c r="S111">
        <v>1400000</v>
      </c>
      <c r="T111">
        <v>500000</v>
      </c>
      <c r="U111">
        <v>400000</v>
      </c>
      <c r="V111"/>
    </row>
    <row r="112" spans="1:22" s="30" customFormat="1" hidden="1" x14ac:dyDescent="0.25">
      <c r="A112" s="127" t="s">
        <v>93</v>
      </c>
      <c r="B112" s="127"/>
      <c r="C112" s="127"/>
      <c r="D112" s="127"/>
      <c r="E112" s="127"/>
      <c r="F112" s="126"/>
      <c r="G112" s="126"/>
      <c r="H112" s="126"/>
      <c r="R112"/>
      <c r="S112">
        <v>1500000</v>
      </c>
      <c r="T112">
        <v>600000</v>
      </c>
      <c r="U112">
        <v>500000</v>
      </c>
      <c r="V112" s="20"/>
    </row>
    <row r="113" spans="1:22" s="30" customFormat="1" hidden="1" x14ac:dyDescent="0.25">
      <c r="A113" s="127" t="s">
        <v>94</v>
      </c>
      <c r="B113" s="127"/>
      <c r="C113" s="127"/>
      <c r="D113" s="127"/>
      <c r="E113" s="127"/>
      <c r="F113" s="126"/>
      <c r="G113" s="126"/>
      <c r="H113" s="126"/>
      <c r="R113"/>
      <c r="S113">
        <v>1600000</v>
      </c>
      <c r="T113">
        <v>700000</v>
      </c>
      <c r="U113">
        <v>600000</v>
      </c>
      <c r="V113"/>
    </row>
    <row r="114" spans="1:22" s="30" customFormat="1" hidden="1" x14ac:dyDescent="0.25">
      <c r="A114" s="127" t="s">
        <v>95</v>
      </c>
      <c r="B114" s="127"/>
      <c r="C114" s="127"/>
      <c r="D114" s="127"/>
      <c r="E114" s="127"/>
      <c r="F114" s="126"/>
      <c r="G114" s="126"/>
      <c r="H114" s="126"/>
      <c r="R114"/>
      <c r="S114">
        <v>1700000</v>
      </c>
      <c r="T114">
        <v>800000</v>
      </c>
      <c r="U114"/>
      <c r="V114" s="20"/>
    </row>
    <row r="115" spans="1:22" x14ac:dyDescent="0.25">
      <c r="A115" s="127" t="s">
        <v>49</v>
      </c>
      <c r="B115" s="127"/>
      <c r="C115" s="127"/>
      <c r="D115" s="127"/>
      <c r="E115" s="127"/>
      <c r="F115" s="129">
        <v>700000</v>
      </c>
      <c r="G115" s="129"/>
      <c r="H115" s="129"/>
      <c r="R115"/>
      <c r="S115">
        <v>1800000</v>
      </c>
      <c r="T115">
        <v>900000</v>
      </c>
      <c r="U115"/>
    </row>
    <row r="116" spans="1:22" s="31" customFormat="1" x14ac:dyDescent="0.25">
      <c r="A116" s="183" t="s">
        <v>50</v>
      </c>
      <c r="B116" s="183"/>
      <c r="C116" s="183"/>
      <c r="D116" s="183"/>
      <c r="E116" s="183"/>
      <c r="F116" s="126">
        <f>F105*0.8</f>
        <v>10400</v>
      </c>
      <c r="G116" s="126"/>
      <c r="H116" s="126"/>
      <c r="R116" s="18"/>
      <c r="S116" s="18">
        <v>700000</v>
      </c>
      <c r="T116">
        <v>1000000</v>
      </c>
      <c r="U116"/>
      <c r="V116" s="18"/>
    </row>
    <row r="117" spans="1:22" s="32" customFormat="1" ht="15.75" customHeight="1" x14ac:dyDescent="0.25">
      <c r="A117" s="128" t="s">
        <v>336</v>
      </c>
      <c r="B117" s="128"/>
      <c r="C117" s="128"/>
      <c r="D117" s="128"/>
      <c r="E117" s="128"/>
      <c r="F117" s="128"/>
      <c r="G117" s="128"/>
      <c r="H117" s="128"/>
      <c r="R117"/>
      <c r="S117" s="18"/>
      <c r="T117"/>
      <c r="U117"/>
      <c r="V117" s="18"/>
    </row>
    <row r="118" spans="1:22" s="32" customFormat="1" ht="15.75" customHeight="1" x14ac:dyDescent="0.25">
      <c r="A118" s="134" t="s">
        <v>51</v>
      </c>
      <c r="B118" s="134"/>
      <c r="C118" s="138" t="s">
        <v>73</v>
      </c>
      <c r="D118" s="138"/>
      <c r="E118" s="112" t="s">
        <v>52</v>
      </c>
      <c r="F118" s="112"/>
      <c r="G118" s="134" t="s">
        <v>53</v>
      </c>
      <c r="H118" s="134"/>
      <c r="R118"/>
      <c r="S118" s="18"/>
      <c r="T118"/>
      <c r="U118" s="18"/>
      <c r="V118" s="18"/>
    </row>
    <row r="119" spans="1:22" s="32" customFormat="1" x14ac:dyDescent="0.25">
      <c r="A119" s="142" t="s">
        <v>311</v>
      </c>
      <c r="B119" s="86" t="s">
        <v>312</v>
      </c>
      <c r="C119" s="143">
        <f>COUNT(F140:F144)</f>
        <v>5</v>
      </c>
      <c r="D119" s="228"/>
      <c r="E119" s="144">
        <f>SUM(F140:F144)</f>
        <v>975.00311999999997</v>
      </c>
      <c r="F119" s="162"/>
      <c r="G119" s="144">
        <f>SUM(H140:H144)</f>
        <v>1511.2548359999998</v>
      </c>
      <c r="H119" s="162"/>
      <c r="R119"/>
      <c r="S119" s="18"/>
      <c r="T119"/>
      <c r="U119" s="18"/>
      <c r="V119" s="18"/>
    </row>
    <row r="120" spans="1:22" s="32" customFormat="1" x14ac:dyDescent="0.25">
      <c r="A120" s="142"/>
      <c r="B120" s="86" t="s">
        <v>313</v>
      </c>
      <c r="C120" s="144">
        <f>COUNT(F145:F146)</f>
        <v>2</v>
      </c>
      <c r="D120" s="162"/>
      <c r="E120" s="144">
        <f>SUM(F145:F146)</f>
        <v>487.60919999999999</v>
      </c>
      <c r="F120" s="162"/>
      <c r="G120" s="144">
        <f>SUM(H145:H146)</f>
        <v>755.79426000000001</v>
      </c>
      <c r="H120" s="162"/>
      <c r="R120"/>
      <c r="S120" s="18"/>
      <c r="T120"/>
      <c r="U120" s="18"/>
      <c r="V120" s="18"/>
    </row>
    <row r="121" spans="1:22" s="32" customFormat="1" x14ac:dyDescent="0.25">
      <c r="A121" s="86" t="s">
        <v>324</v>
      </c>
      <c r="B121" s="86" t="s">
        <v>313</v>
      </c>
      <c r="C121" s="144">
        <f>COUNT(F149:F150)</f>
        <v>2</v>
      </c>
      <c r="D121" s="162"/>
      <c r="E121" s="144">
        <f>SUM(F149:F150)</f>
        <v>417.85847999999999</v>
      </c>
      <c r="F121" s="162"/>
      <c r="G121" s="144">
        <f>SUM(H149:H150)</f>
        <v>647.68064400000003</v>
      </c>
      <c r="H121" s="162"/>
      <c r="R121"/>
      <c r="S121" s="18"/>
      <c r="T121"/>
      <c r="U121" s="18"/>
      <c r="V121" s="18"/>
    </row>
    <row r="122" spans="1:22" s="32" customFormat="1" x14ac:dyDescent="0.25">
      <c r="A122" s="145" t="s">
        <v>143</v>
      </c>
      <c r="B122" s="145"/>
      <c r="C122" s="111">
        <f>SUM(C119:C121)</f>
        <v>9</v>
      </c>
      <c r="D122" s="112"/>
      <c r="E122" s="111">
        <f>SUM(E119:E121)</f>
        <v>1880.4708000000001</v>
      </c>
      <c r="F122" s="112"/>
      <c r="G122" s="111">
        <f>SUM(G119:G121)</f>
        <v>2914.7297399999998</v>
      </c>
      <c r="H122" s="112"/>
      <c r="R122"/>
      <c r="S122" s="18"/>
      <c r="T122"/>
      <c r="U122" s="18"/>
      <c r="V122" s="18"/>
    </row>
    <row r="123" spans="1:22" s="32" customFormat="1" x14ac:dyDescent="0.25">
      <c r="A123" s="128" t="s">
        <v>337</v>
      </c>
      <c r="B123" s="128"/>
      <c r="C123" s="128"/>
      <c r="D123" s="128"/>
      <c r="E123" s="128"/>
      <c r="F123" s="128"/>
      <c r="G123" s="128"/>
      <c r="H123" s="128"/>
      <c r="T123"/>
    </row>
    <row r="124" spans="1:22" s="32" customFormat="1" ht="15.75" customHeight="1" x14ac:dyDescent="0.25">
      <c r="A124" s="134" t="s">
        <v>51</v>
      </c>
      <c r="B124" s="134"/>
      <c r="C124" s="138" t="s">
        <v>73</v>
      </c>
      <c r="D124" s="138"/>
      <c r="E124" s="112" t="s">
        <v>52</v>
      </c>
      <c r="F124" s="112"/>
      <c r="G124" s="134" t="s">
        <v>53</v>
      </c>
      <c r="H124" s="134"/>
      <c r="T124"/>
    </row>
    <row r="125" spans="1:22" s="32" customFormat="1" x14ac:dyDescent="0.25">
      <c r="A125" s="142" t="s">
        <v>311</v>
      </c>
      <c r="B125" s="142"/>
      <c r="C125" s="144">
        <f>COUNT(D156:D157)+COUNT(D162:D166)+COUNT(D168:D172)*14+COUNT(D174:D175)+COUNT(D178)+COUNT(D180:D181)+COUNT(D184)+COUNT(D186:D190)+COUNT(D192:D196)*2+COUNT(D198:D202)</f>
        <v>103</v>
      </c>
      <c r="D125" s="144"/>
      <c r="E125" s="144">
        <f>SUM(F156:F157)+SUM(F162:F166)+SUM(F168:F172)*14+SUM(F174:F175)+SUM(F178)+SUM(F180:F181)+SUM(F184)+SUM(F186:F190)+SUM(F192:F196)*2+SUM(F198:F202)</f>
        <v>36115.297451999992</v>
      </c>
      <c r="F125" s="144"/>
      <c r="G125" s="144">
        <f>SUM(H156:H157)+SUM(H162:H166)+SUM(H168:H172)*14+SUM(H174:H175)+SUM(H178)+SUM(H180:H181)+SUM(H184)+SUM(H186:H190)+SUM(H192:H196)*2+SUM(H198:H202)</f>
        <v>54172.946177999998</v>
      </c>
      <c r="H125" s="144"/>
      <c r="T125"/>
    </row>
    <row r="126" spans="1:22" s="32" customFormat="1" x14ac:dyDescent="0.25">
      <c r="A126" s="142" t="s">
        <v>324</v>
      </c>
      <c r="B126" s="142"/>
      <c r="C126" s="143">
        <f>COUNT(D231)+COUNT(D235:D237)+COUNT(D241:D245)*2+COUNT(D247:D248)</f>
        <v>16</v>
      </c>
      <c r="D126" s="143"/>
      <c r="E126" s="144">
        <f>SUM(F231)+SUM(F235:F237)+SUM(F241:F245)*2+SUM(F247:F248)</f>
        <v>4936.4511300000004</v>
      </c>
      <c r="F126" s="144"/>
      <c r="G126" s="144">
        <f>SUM(H231)+SUM(H235:H237)+SUM(H241:H245)*2+SUM(H247:H248)</f>
        <v>7404.6766950000001</v>
      </c>
      <c r="H126" s="144"/>
      <c r="T126"/>
    </row>
    <row r="127" spans="1:22" s="32" customFormat="1" x14ac:dyDescent="0.25">
      <c r="A127" s="145" t="s">
        <v>143</v>
      </c>
      <c r="B127" s="145"/>
      <c r="C127" s="111">
        <f>SUM(C125:C126)</f>
        <v>119</v>
      </c>
      <c r="D127" s="112"/>
      <c r="E127" s="111">
        <f>SUM(E125:E126)</f>
        <v>41051.748581999993</v>
      </c>
      <c r="F127" s="112"/>
      <c r="G127" s="111">
        <f>SUM(G125:G126)</f>
        <v>61577.622873</v>
      </c>
      <c r="H127" s="112"/>
      <c r="T127"/>
    </row>
    <row r="128" spans="1:22" s="32" customFormat="1" x14ac:dyDescent="0.25">
      <c r="A128" s="128" t="s">
        <v>344</v>
      </c>
      <c r="B128" s="128"/>
      <c r="C128" s="128"/>
      <c r="D128" s="128"/>
      <c r="E128" s="128"/>
      <c r="F128" s="128"/>
      <c r="G128" s="128"/>
      <c r="H128" s="128"/>
      <c r="T128"/>
    </row>
    <row r="129" spans="1:20" s="32" customFormat="1" ht="15.75" customHeight="1" x14ac:dyDescent="0.25">
      <c r="A129" s="134" t="s">
        <v>51</v>
      </c>
      <c r="B129" s="134"/>
      <c r="C129" s="138" t="s">
        <v>73</v>
      </c>
      <c r="D129" s="138"/>
      <c r="E129" s="112" t="s">
        <v>52</v>
      </c>
      <c r="F129" s="112"/>
      <c r="G129" s="134" t="s">
        <v>53</v>
      </c>
      <c r="H129" s="134"/>
      <c r="T129"/>
    </row>
    <row r="130" spans="1:20" s="32" customFormat="1" x14ac:dyDescent="0.25">
      <c r="A130" s="254" t="s">
        <v>324</v>
      </c>
      <c r="B130" s="82" t="s">
        <v>326</v>
      </c>
      <c r="C130" s="218">
        <f>COUNT(F209)</f>
        <v>1</v>
      </c>
      <c r="D130" s="219"/>
      <c r="E130" s="144">
        <f>SUM(F209)</f>
        <v>304.79342399999996</v>
      </c>
      <c r="F130" s="162"/>
      <c r="G130" s="144">
        <f>SUM(H209)</f>
        <v>457.19013599999994</v>
      </c>
      <c r="H130" s="162"/>
      <c r="T130"/>
    </row>
    <row r="131" spans="1:20" s="32" customFormat="1" x14ac:dyDescent="0.25">
      <c r="A131" s="255"/>
      <c r="B131" s="82" t="s">
        <v>313</v>
      </c>
      <c r="C131" s="144">
        <f>COUNT(D211)+COUNT(D217:D221)*14+COUNT(D225:D227)+COUNT(D232:D233)+COUNT(D238:D239)</f>
        <v>78</v>
      </c>
      <c r="D131" s="144"/>
      <c r="E131" s="144">
        <f>SUM(F211)+SUM(F217:F221)*14+SUM(F225:F227)+SUM(F232:F233)+SUM(F238:F239)</f>
        <v>23451.903539999999</v>
      </c>
      <c r="F131" s="144"/>
      <c r="G131" s="144">
        <f>SUM(H211)+SUM(H217:H221)*14+SUM(H225:H227)+SUM(H232:H233)+SUM(H238:H239)</f>
        <v>35177.855310000006</v>
      </c>
      <c r="H131" s="144"/>
      <c r="J131" s="32">
        <f>88-4</f>
        <v>84</v>
      </c>
      <c r="T131"/>
    </row>
    <row r="132" spans="1:20" s="32" customFormat="1" ht="16.5" thickBot="1" x14ac:dyDescent="0.3">
      <c r="A132" s="252" t="s">
        <v>143</v>
      </c>
      <c r="B132" s="252"/>
      <c r="C132" s="163">
        <f>SUM(C130:C131)</f>
        <v>79</v>
      </c>
      <c r="D132" s="163"/>
      <c r="E132" s="163">
        <f>SUM(E130:E131)</f>
        <v>23756.696963999999</v>
      </c>
      <c r="F132" s="163"/>
      <c r="G132" s="163">
        <f>SUM(G130:G131)</f>
        <v>35635.045446000004</v>
      </c>
      <c r="H132" s="163"/>
      <c r="T132"/>
    </row>
    <row r="133" spans="1:20" s="32" customFormat="1" ht="16.5" thickBot="1" x14ac:dyDescent="0.3">
      <c r="A133" s="164" t="s">
        <v>160</v>
      </c>
      <c r="B133" s="165"/>
      <c r="C133" s="104">
        <f>C122+C127+C132</f>
        <v>207</v>
      </c>
      <c r="D133" s="105"/>
      <c r="E133" s="104">
        <f>E122+E127+E132</f>
        <v>66688.916345999998</v>
      </c>
      <c r="F133" s="105"/>
      <c r="G133" s="104">
        <f>G122+G127+G132</f>
        <v>100127.398059</v>
      </c>
      <c r="H133" s="105"/>
      <c r="T133"/>
    </row>
    <row r="134" spans="1:20" s="31" customFormat="1" x14ac:dyDescent="0.25">
      <c r="A134" s="253" t="s">
        <v>54</v>
      </c>
      <c r="B134" s="253"/>
      <c r="C134" s="253"/>
      <c r="D134" s="253"/>
      <c r="E134" s="253"/>
      <c r="F134" s="253"/>
      <c r="G134" s="253"/>
      <c r="H134" s="253"/>
      <c r="T134" s="32"/>
    </row>
    <row r="135" spans="1:20" x14ac:dyDescent="0.25">
      <c r="A135" s="133" t="s">
        <v>168</v>
      </c>
      <c r="B135" s="133"/>
      <c r="C135" s="133"/>
      <c r="D135" s="133"/>
      <c r="E135" s="133"/>
      <c r="F135" s="133"/>
      <c r="G135" s="133"/>
      <c r="H135" s="133"/>
      <c r="T135" s="32"/>
    </row>
    <row r="136" spans="1:20" ht="47.25" customHeight="1" x14ac:dyDescent="0.25">
      <c r="A136" s="185" t="s">
        <v>353</v>
      </c>
      <c r="B136" s="185" t="s">
        <v>171</v>
      </c>
      <c r="C136" s="185" t="s">
        <v>55</v>
      </c>
      <c r="D136" s="185" t="s">
        <v>228</v>
      </c>
      <c r="E136" s="106" t="s">
        <v>149</v>
      </c>
      <c r="F136" s="185" t="s">
        <v>56</v>
      </c>
      <c r="G136" s="106" t="s">
        <v>57</v>
      </c>
      <c r="H136" s="76" t="s">
        <v>142</v>
      </c>
      <c r="T136" s="32"/>
    </row>
    <row r="137" spans="1:20" s="34" customFormat="1" x14ac:dyDescent="0.25">
      <c r="A137" s="186"/>
      <c r="B137" s="186"/>
      <c r="C137" s="186"/>
      <c r="D137" s="186"/>
      <c r="E137" s="107"/>
      <c r="F137" s="186"/>
      <c r="G137" s="107"/>
      <c r="H137" s="77">
        <v>0.55000000000000004</v>
      </c>
      <c r="T137" s="32"/>
    </row>
    <row r="138" spans="1:20" s="66" customFormat="1" x14ac:dyDescent="0.25">
      <c r="A138" s="146" t="s">
        <v>311</v>
      </c>
      <c r="B138" s="147"/>
      <c r="C138" s="147"/>
      <c r="D138" s="147"/>
      <c r="E138" s="147"/>
      <c r="F138" s="147"/>
      <c r="G138" s="147"/>
      <c r="H138" s="148"/>
      <c r="T138" s="32"/>
    </row>
    <row r="139" spans="1:20" s="34" customFormat="1" x14ac:dyDescent="0.25">
      <c r="A139" s="108" t="s">
        <v>354</v>
      </c>
      <c r="B139" s="109"/>
      <c r="C139" s="109"/>
      <c r="D139" s="109"/>
      <c r="E139" s="109"/>
      <c r="F139" s="109"/>
      <c r="G139" s="109"/>
      <c r="H139" s="110"/>
      <c r="J139" s="33"/>
      <c r="T139" s="32"/>
    </row>
    <row r="140" spans="1:20" s="34" customFormat="1" ht="15.75" customHeight="1" x14ac:dyDescent="0.25">
      <c r="A140" s="64">
        <v>1</v>
      </c>
      <c r="B140" s="63" t="s">
        <v>312</v>
      </c>
      <c r="C140" s="39" t="s">
        <v>310</v>
      </c>
      <c r="D140" s="67">
        <f>(22.39)*(10.764)</f>
        <v>241.00595999999999</v>
      </c>
      <c r="E140" s="67">
        <f t="shared" ref="E140:E150" si="0">0*(10.764)</f>
        <v>0</v>
      </c>
      <c r="F140" s="56">
        <f>D140+(IF(E140&lt;201,E140,IF(E140&lt;301,E140/2,E140/3)))</f>
        <v>241.00595999999999</v>
      </c>
      <c r="G140" s="57">
        <v>0</v>
      </c>
      <c r="H140" s="56">
        <f>(F140+(IF(G140&lt;101,G140,IF(G140&lt;201,G140/2,IF(G140&lt;=301,G140/3,G140/4)))))*(($H$137)+1)</f>
        <v>373.55923799999999</v>
      </c>
      <c r="I140" s="33">
        <f>4.4*2.05+1.1*1.74+((2.5+2)/2)*5</f>
        <v>22.183999999999997</v>
      </c>
      <c r="L140" s="103"/>
      <c r="M140" s="103"/>
      <c r="N140" s="33"/>
      <c r="T140" s="32"/>
    </row>
    <row r="141" spans="1:20" s="34" customFormat="1" ht="15.75" customHeight="1" x14ac:dyDescent="0.25">
      <c r="A141" s="64">
        <f>A140+1</f>
        <v>2</v>
      </c>
      <c r="B141" s="63" t="s">
        <v>312</v>
      </c>
      <c r="C141" s="64" t="s">
        <v>310</v>
      </c>
      <c r="D141" s="67">
        <f>(20.06)*(10.764)</f>
        <v>215.92583999999997</v>
      </c>
      <c r="E141" s="67">
        <f t="shared" si="0"/>
        <v>0</v>
      </c>
      <c r="F141" s="56">
        <f t="shared" ref="F141:F150" si="1">D141+(IF(E141&lt;201,E141,IF(E141&lt;301,E141/2,E141/3)))</f>
        <v>215.92583999999997</v>
      </c>
      <c r="G141" s="49">
        <v>0</v>
      </c>
      <c r="H141" s="56">
        <f t="shared" ref="H141:H150" si="2">(F141+(IF(G141&lt;101,G141,IF(G141&lt;201,G141/2,IF(G141&lt;=301,G141/3,G141/4)))))*(($H$137)+1)</f>
        <v>334.68505199999993</v>
      </c>
      <c r="I141" s="33"/>
      <c r="L141" s="103"/>
      <c r="M141" s="103"/>
      <c r="N141" s="33"/>
      <c r="T141" s="31"/>
    </row>
    <row r="142" spans="1:20" s="34" customFormat="1" ht="15.75" customHeight="1" x14ac:dyDescent="0.25">
      <c r="A142" s="64">
        <f>A141+1</f>
        <v>3</v>
      </c>
      <c r="B142" s="63" t="s">
        <v>312</v>
      </c>
      <c r="C142" s="64" t="s">
        <v>310</v>
      </c>
      <c r="D142" s="67">
        <f>(16.62)*(10.764)</f>
        <v>178.89768000000001</v>
      </c>
      <c r="E142" s="67">
        <f t="shared" si="0"/>
        <v>0</v>
      </c>
      <c r="F142" s="56">
        <f t="shared" si="1"/>
        <v>178.89768000000001</v>
      </c>
      <c r="G142" s="49">
        <v>0</v>
      </c>
      <c r="H142" s="56">
        <f t="shared" si="2"/>
        <v>277.291404</v>
      </c>
      <c r="I142" s="33"/>
      <c r="L142" s="103"/>
      <c r="M142" s="103"/>
      <c r="N142" s="33"/>
      <c r="T142" s="18"/>
    </row>
    <row r="143" spans="1:20" s="34" customFormat="1" ht="15.75" customHeight="1" x14ac:dyDescent="0.25">
      <c r="A143" s="64">
        <f>A142+1</f>
        <v>4</v>
      </c>
      <c r="B143" s="63" t="s">
        <v>312</v>
      </c>
      <c r="C143" s="64" t="s">
        <v>310</v>
      </c>
      <c r="D143" s="67">
        <f>(15.97)*(10.764)</f>
        <v>171.90108000000001</v>
      </c>
      <c r="E143" s="67">
        <f t="shared" si="0"/>
        <v>0</v>
      </c>
      <c r="F143" s="56">
        <f t="shared" si="1"/>
        <v>171.90108000000001</v>
      </c>
      <c r="G143" s="49">
        <v>0</v>
      </c>
      <c r="H143" s="56">
        <f t="shared" si="2"/>
        <v>266.44667400000003</v>
      </c>
      <c r="I143" s="33"/>
      <c r="L143" s="103"/>
      <c r="M143" s="103"/>
      <c r="N143" s="33"/>
      <c r="T143" s="18"/>
    </row>
    <row r="144" spans="1:20" s="66" customFormat="1" ht="15.75" customHeight="1" x14ac:dyDescent="0.25">
      <c r="A144" s="64">
        <f t="shared" ref="A144:A150" si="3">A143+1</f>
        <v>5</v>
      </c>
      <c r="B144" s="63" t="s">
        <v>312</v>
      </c>
      <c r="C144" s="64" t="s">
        <v>310</v>
      </c>
      <c r="D144" s="67">
        <f>(15.54)*(10.764)</f>
        <v>167.27255999999997</v>
      </c>
      <c r="E144" s="67">
        <f t="shared" si="0"/>
        <v>0</v>
      </c>
      <c r="F144" s="64">
        <f t="shared" si="1"/>
        <v>167.27255999999997</v>
      </c>
      <c r="G144" s="64">
        <v>0</v>
      </c>
      <c r="H144" s="64">
        <f t="shared" si="2"/>
        <v>259.27246799999995</v>
      </c>
      <c r="I144" s="33"/>
      <c r="N144" s="33"/>
      <c r="T144" s="18"/>
    </row>
    <row r="145" spans="1:20" s="66" customFormat="1" ht="15.75" customHeight="1" x14ac:dyDescent="0.25">
      <c r="A145" s="64">
        <f t="shared" si="3"/>
        <v>6</v>
      </c>
      <c r="B145" s="63" t="s">
        <v>313</v>
      </c>
      <c r="C145" s="64" t="s">
        <v>310</v>
      </c>
      <c r="D145" s="67">
        <f>(30.08)*(10.764)</f>
        <v>323.78111999999999</v>
      </c>
      <c r="E145" s="67">
        <f t="shared" si="0"/>
        <v>0</v>
      </c>
      <c r="F145" s="64">
        <f t="shared" si="1"/>
        <v>323.78111999999999</v>
      </c>
      <c r="G145" s="64">
        <v>0</v>
      </c>
      <c r="H145" s="64">
        <f t="shared" si="2"/>
        <v>501.86073599999997</v>
      </c>
      <c r="I145" s="33">
        <f>5.12*4.8+0.4*0.5+1.22*1.17+1.37*2.83</f>
        <v>30.080500000000001</v>
      </c>
      <c r="N145" s="33"/>
      <c r="T145" s="18"/>
    </row>
    <row r="146" spans="1:20" s="66" customFormat="1" ht="15.75" customHeight="1" x14ac:dyDescent="0.25">
      <c r="A146" s="64">
        <f t="shared" si="3"/>
        <v>7</v>
      </c>
      <c r="B146" s="63" t="s">
        <v>313</v>
      </c>
      <c r="C146" s="64" t="s">
        <v>310</v>
      </c>
      <c r="D146" s="67">
        <f>(15.22)*(10.764)</f>
        <v>163.82808</v>
      </c>
      <c r="E146" s="67">
        <f t="shared" si="0"/>
        <v>0</v>
      </c>
      <c r="F146" s="64">
        <f t="shared" si="1"/>
        <v>163.82808</v>
      </c>
      <c r="G146" s="64">
        <v>0</v>
      </c>
      <c r="H146" s="64">
        <f t="shared" si="2"/>
        <v>253.93352400000001</v>
      </c>
      <c r="I146" s="33">
        <f>4.39*2.75+1.1*1.02+1.2*1.63</f>
        <v>15.150499999999999</v>
      </c>
      <c r="N146" s="33"/>
      <c r="T146" s="18"/>
    </row>
    <row r="147" spans="1:20" s="74" customFormat="1" x14ac:dyDescent="0.25">
      <c r="A147" s="146" t="s">
        <v>324</v>
      </c>
      <c r="B147" s="147"/>
      <c r="C147" s="147"/>
      <c r="D147" s="147"/>
      <c r="E147" s="147"/>
      <c r="F147" s="147"/>
      <c r="G147" s="147"/>
      <c r="H147" s="148"/>
      <c r="T147" s="32"/>
    </row>
    <row r="148" spans="1:20" s="74" customFormat="1" x14ac:dyDescent="0.25">
      <c r="A148" s="108" t="s">
        <v>354</v>
      </c>
      <c r="B148" s="109"/>
      <c r="C148" s="109"/>
      <c r="D148" s="109"/>
      <c r="E148" s="109"/>
      <c r="F148" s="109"/>
      <c r="G148" s="109"/>
      <c r="H148" s="110"/>
      <c r="J148" s="33"/>
      <c r="T148" s="32"/>
    </row>
    <row r="149" spans="1:20" s="66" customFormat="1" ht="15.75" customHeight="1" x14ac:dyDescent="0.25">
      <c r="A149" s="64">
        <f>A146+1</f>
        <v>8</v>
      </c>
      <c r="B149" s="63" t="s">
        <v>313</v>
      </c>
      <c r="C149" s="64" t="s">
        <v>310</v>
      </c>
      <c r="D149" s="67">
        <f>(21.07)*(10.764)</f>
        <v>226.79747999999998</v>
      </c>
      <c r="E149" s="67">
        <f t="shared" si="0"/>
        <v>0</v>
      </c>
      <c r="F149" s="64">
        <f t="shared" si="1"/>
        <v>226.79747999999998</v>
      </c>
      <c r="G149" s="64">
        <v>0</v>
      </c>
      <c r="H149" s="64">
        <f t="shared" si="2"/>
        <v>351.53609399999999</v>
      </c>
      <c r="I149" s="33"/>
      <c r="N149" s="33"/>
      <c r="T149" s="18"/>
    </row>
    <row r="150" spans="1:20" s="66" customFormat="1" ht="15.75" customHeight="1" x14ac:dyDescent="0.25">
      <c r="A150" s="64">
        <f t="shared" si="3"/>
        <v>9</v>
      </c>
      <c r="B150" s="63" t="s">
        <v>313</v>
      </c>
      <c r="C150" s="64" t="s">
        <v>310</v>
      </c>
      <c r="D150" s="67">
        <f>(17.75)*(10.764)</f>
        <v>191.06099999999998</v>
      </c>
      <c r="E150" s="67">
        <f t="shared" si="0"/>
        <v>0</v>
      </c>
      <c r="F150" s="64">
        <f t="shared" si="1"/>
        <v>191.06099999999998</v>
      </c>
      <c r="G150" s="64">
        <v>0</v>
      </c>
      <c r="H150" s="64">
        <f t="shared" si="2"/>
        <v>296.14454999999998</v>
      </c>
      <c r="I150" s="33"/>
      <c r="N150" s="33"/>
      <c r="T150" s="18"/>
    </row>
    <row r="151" spans="1:20" s="34" customFormat="1" x14ac:dyDescent="0.25">
      <c r="A151" s="100"/>
      <c r="B151" s="101"/>
      <c r="C151" s="101"/>
      <c r="D151" s="101"/>
      <c r="E151" s="101"/>
      <c r="F151" s="101"/>
      <c r="G151" s="101"/>
      <c r="H151" s="102"/>
      <c r="I151" s="33"/>
      <c r="N151" s="33"/>
    </row>
    <row r="152" spans="1:20" ht="47.25" customHeight="1" x14ac:dyDescent="0.25">
      <c r="A152" s="229" t="s">
        <v>355</v>
      </c>
      <c r="B152" s="185" t="s">
        <v>172</v>
      </c>
      <c r="C152" s="185" t="s">
        <v>55</v>
      </c>
      <c r="D152" s="185" t="s">
        <v>228</v>
      </c>
      <c r="E152" s="185" t="s">
        <v>227</v>
      </c>
      <c r="F152" s="185" t="s">
        <v>56</v>
      </c>
      <c r="G152" s="106" t="s">
        <v>57</v>
      </c>
      <c r="H152" s="76" t="s">
        <v>142</v>
      </c>
      <c r="I152" s="33"/>
      <c r="T152" s="34"/>
    </row>
    <row r="153" spans="1:20" s="34" customFormat="1" x14ac:dyDescent="0.25">
      <c r="A153" s="230"/>
      <c r="B153" s="186"/>
      <c r="C153" s="186"/>
      <c r="D153" s="186"/>
      <c r="E153" s="186"/>
      <c r="F153" s="186"/>
      <c r="G153" s="107"/>
      <c r="H153" s="77">
        <v>0.5</v>
      </c>
      <c r="I153" s="33"/>
    </row>
    <row r="154" spans="1:20" s="66" customFormat="1" x14ac:dyDescent="0.25">
      <c r="A154" s="146" t="s">
        <v>323</v>
      </c>
      <c r="B154" s="147"/>
      <c r="C154" s="147"/>
      <c r="D154" s="147"/>
      <c r="E154" s="147"/>
      <c r="F154" s="147"/>
      <c r="G154" s="147"/>
      <c r="H154" s="148"/>
      <c r="I154" s="33"/>
      <c r="J154" s="67">
        <f>10.764</f>
        <v>10.763999999999999</v>
      </c>
    </row>
    <row r="155" spans="1:20" s="34" customFormat="1" ht="15.75" customHeight="1" x14ac:dyDescent="0.25">
      <c r="A155" s="130" t="s">
        <v>335</v>
      </c>
      <c r="B155" s="130"/>
      <c r="C155" s="130"/>
      <c r="D155" s="130"/>
      <c r="E155" s="130"/>
      <c r="F155" s="130"/>
      <c r="G155" s="130"/>
      <c r="H155" s="130"/>
      <c r="J155" s="33">
        <v>13000</v>
      </c>
    </row>
    <row r="156" spans="1:20" s="34" customFormat="1" ht="15.75" customHeight="1" x14ac:dyDescent="0.25">
      <c r="A156" s="87">
        <v>1</v>
      </c>
      <c r="B156" s="87"/>
      <c r="C156" s="64" t="s">
        <v>314</v>
      </c>
      <c r="D156" s="67">
        <f>((3.95*2.75+2.95*1.9+3.5*2.83+0.95*1.4+0.95*0.65+1.05*1.75+1.95*1.25))*(10.764)</f>
        <v>350.85257999999999</v>
      </c>
      <c r="E156" s="67">
        <f>0*(10.764)</f>
        <v>0</v>
      </c>
      <c r="F156" s="64">
        <f>D156+E156</f>
        <v>350.85257999999999</v>
      </c>
      <c r="G156" s="64">
        <v>0</v>
      </c>
      <c r="H156" s="64">
        <f>F156*(($H$153)+1)+(IF(G156&lt;101,G156,IF(G156&lt;201,G156/2,IF(G156&lt;=301,G156/3,G156/4))))</f>
        <v>526.27886999999998</v>
      </c>
      <c r="I156" s="33"/>
      <c r="J156" s="34">
        <f>J$155*H156</f>
        <v>6841625.3099999996</v>
      </c>
      <c r="L156" s="103"/>
      <c r="M156" s="103"/>
      <c r="N156" s="33"/>
    </row>
    <row r="157" spans="1:20" s="34" customFormat="1" ht="15.75" customHeight="1" x14ac:dyDescent="0.25">
      <c r="A157" s="87">
        <f>A156+1</f>
        <v>2</v>
      </c>
      <c r="B157" s="87"/>
      <c r="C157" s="64" t="s">
        <v>314</v>
      </c>
      <c r="D157" s="67">
        <f>((2.75*3.95+1.9*2.4+2.83*3.5+0.65*0.95+1.4*0.95+1.25*1.95+1.75*1.05))*(10.764)</f>
        <v>339.60419999999993</v>
      </c>
      <c r="E157" s="67">
        <f>0*(10.764)</f>
        <v>0</v>
      </c>
      <c r="F157" s="64">
        <f>D157+E157</f>
        <v>339.60419999999993</v>
      </c>
      <c r="G157" s="64">
        <v>0</v>
      </c>
      <c r="H157" s="64">
        <f>F157*(($H$153)+1)+(IF(G157&lt;101,G157,IF(G157&lt;201,G157/2,IF(G157&lt;=301,G157/3,G157/4))))</f>
        <v>509.40629999999987</v>
      </c>
      <c r="I157" s="33"/>
      <c r="J157" s="74">
        <f t="shared" ref="J157:J193" si="4">J$155*H157</f>
        <v>6622281.8999999985</v>
      </c>
      <c r="L157" s="103"/>
      <c r="M157" s="103"/>
      <c r="N157" s="33"/>
    </row>
    <row r="158" spans="1:20" s="69" customFormat="1" ht="15.75" customHeight="1" x14ac:dyDescent="0.25">
      <c r="A158" s="87">
        <f>A157+1</f>
        <v>3</v>
      </c>
      <c r="B158" s="87"/>
      <c r="C158" s="100" t="s">
        <v>356</v>
      </c>
      <c r="D158" s="101"/>
      <c r="E158" s="101"/>
      <c r="F158" s="101"/>
      <c r="G158" s="102"/>
      <c r="H158" s="68" t="s">
        <v>318</v>
      </c>
      <c r="I158" s="33"/>
      <c r="J158" s="74" t="e">
        <f t="shared" si="4"/>
        <v>#VALUE!</v>
      </c>
      <c r="L158" s="103"/>
      <c r="M158" s="103"/>
      <c r="N158" s="33"/>
    </row>
    <row r="159" spans="1:20" s="69" customFormat="1" ht="15.75" customHeight="1" x14ac:dyDescent="0.25">
      <c r="A159" s="87">
        <f>A158+1</f>
        <v>4</v>
      </c>
      <c r="B159" s="87"/>
      <c r="C159" s="88" t="s">
        <v>357</v>
      </c>
      <c r="D159" s="89"/>
      <c r="E159" s="89"/>
      <c r="F159" s="89"/>
      <c r="G159" s="90"/>
      <c r="H159" s="68" t="s">
        <v>318</v>
      </c>
      <c r="I159" s="33"/>
      <c r="J159" s="74" t="e">
        <f t="shared" si="4"/>
        <v>#VALUE!</v>
      </c>
      <c r="L159" s="103"/>
      <c r="M159" s="103"/>
      <c r="N159" s="33"/>
    </row>
    <row r="160" spans="1:20" s="69" customFormat="1" ht="15.75" customHeight="1" x14ac:dyDescent="0.25">
      <c r="A160" s="87">
        <f>A159+1</f>
        <v>5</v>
      </c>
      <c r="B160" s="87"/>
      <c r="C160" s="94"/>
      <c r="D160" s="95"/>
      <c r="E160" s="95"/>
      <c r="F160" s="95"/>
      <c r="G160" s="96"/>
      <c r="H160" s="68" t="s">
        <v>318</v>
      </c>
      <c r="I160" s="33"/>
      <c r="J160" s="74" t="e">
        <f t="shared" si="4"/>
        <v>#VALUE!</v>
      </c>
      <c r="L160" s="103"/>
      <c r="M160" s="103"/>
      <c r="N160" s="33"/>
    </row>
    <row r="161" spans="1:14" s="34" customFormat="1" x14ac:dyDescent="0.25">
      <c r="A161" s="184" t="s">
        <v>347</v>
      </c>
      <c r="B161" s="184"/>
      <c r="C161" s="184"/>
      <c r="D161" s="184"/>
      <c r="E161" s="184"/>
      <c r="F161" s="184"/>
      <c r="G161" s="184"/>
      <c r="H161" s="184"/>
      <c r="I161" s="33"/>
      <c r="J161" s="74">
        <f t="shared" si="4"/>
        <v>0</v>
      </c>
      <c r="L161" s="103"/>
      <c r="M161" s="103"/>
    </row>
    <row r="162" spans="1:14" s="34" customFormat="1" x14ac:dyDescent="0.25">
      <c r="A162" s="87">
        <v>1</v>
      </c>
      <c r="B162" s="87"/>
      <c r="C162" s="85" t="s">
        <v>314</v>
      </c>
      <c r="D162" s="67">
        <f>((3.95*2.75+2.95*1.9+3.5*2.83+0.95*1.4+0.95*0.65+1.05*1.75+1.95*1.25))*(10.764)</f>
        <v>350.85257999999999</v>
      </c>
      <c r="E162" s="67">
        <f>0*(10.764)</f>
        <v>0</v>
      </c>
      <c r="F162" s="85">
        <f>D162+E162</f>
        <v>350.85257999999999</v>
      </c>
      <c r="G162" s="85">
        <v>0</v>
      </c>
      <c r="H162" s="85">
        <f>F162*(($H$153)+1)+(IF(G162&lt;101,G162,IF(G162&lt;201,G162/2,IF(G162&lt;=301,G162/3,G162/4))))</f>
        <v>526.27886999999998</v>
      </c>
      <c r="I162" s="33"/>
      <c r="J162" s="74">
        <f t="shared" si="4"/>
        <v>6841625.3099999996</v>
      </c>
      <c r="N162" s="33"/>
    </row>
    <row r="163" spans="1:14" s="34" customFormat="1" x14ac:dyDescent="0.25">
      <c r="A163" s="87">
        <f>A162+1</f>
        <v>2</v>
      </c>
      <c r="B163" s="87"/>
      <c r="C163" s="85" t="s">
        <v>314</v>
      </c>
      <c r="D163" s="67">
        <f>((2.75*3.95+1.9*2.4+2.83*3.5+0.65*0.95+1.4*0.95+1.25*1.95+1.75*1.05))*(10.764)</f>
        <v>339.60419999999993</v>
      </c>
      <c r="E163" s="67">
        <f>0*(10.764)</f>
        <v>0</v>
      </c>
      <c r="F163" s="85">
        <f>D163+E163</f>
        <v>339.60419999999993</v>
      </c>
      <c r="G163" s="85">
        <v>0</v>
      </c>
      <c r="H163" s="85">
        <f>F163*(($H$153)+1)+(IF(G163&lt;101,G163,IF(G163&lt;201,G163/2,IF(G163&lt;=301,G163/3,G163/4))))</f>
        <v>509.40629999999987</v>
      </c>
      <c r="I163" s="33"/>
      <c r="J163" s="74">
        <f t="shared" si="4"/>
        <v>6622281.8999999985</v>
      </c>
      <c r="N163" s="33"/>
    </row>
    <row r="164" spans="1:14" s="34" customFormat="1" x14ac:dyDescent="0.25">
      <c r="A164" s="87">
        <f>A163+1</f>
        <v>3</v>
      </c>
      <c r="B164" s="87"/>
      <c r="C164" s="85" t="s">
        <v>314</v>
      </c>
      <c r="D164" s="67">
        <f>((2.75*3.95+1.82*2.4+2.85*3.5+0.85*0.95+1.4*0.95+1.25*1.95+1.15*1.95+1.55*0.6))*(10.764)</f>
        <v>354.70609199999996</v>
      </c>
      <c r="E164" s="67">
        <f>0*(10.764)</f>
        <v>0</v>
      </c>
      <c r="F164" s="85">
        <f>D164+E164</f>
        <v>354.70609199999996</v>
      </c>
      <c r="G164" s="85">
        <v>0</v>
      </c>
      <c r="H164" s="85">
        <f>F164*(($H$153)+1)+(IF(G164&lt;101,G164,IF(G164&lt;201,G164/2,IF(G164&lt;=301,G164/3,G164/4))))</f>
        <v>532.05913799999996</v>
      </c>
      <c r="I164" s="33"/>
      <c r="J164" s="74">
        <f t="shared" si="4"/>
        <v>6916768.7939999998</v>
      </c>
      <c r="N164" s="33"/>
    </row>
    <row r="165" spans="1:14" s="34" customFormat="1" x14ac:dyDescent="0.25">
      <c r="A165" s="87">
        <f>A164+1</f>
        <v>4</v>
      </c>
      <c r="B165" s="87"/>
      <c r="C165" s="85" t="s">
        <v>314</v>
      </c>
      <c r="D165" s="67">
        <f>((3.95*2.75+2.95*1.9+3.5*2.83+0.95*1.4+0.95*0.65+1.05*1.75+1.95*1.25))*(10.764)</f>
        <v>350.85257999999999</v>
      </c>
      <c r="E165" s="67">
        <f>0*(10.764)</f>
        <v>0</v>
      </c>
      <c r="F165" s="85">
        <f>D165+E165</f>
        <v>350.85257999999999</v>
      </c>
      <c r="G165" s="85">
        <v>0</v>
      </c>
      <c r="H165" s="85">
        <f>F165*(($H$153)+1)+(IF(G165&lt;101,G165,IF(G165&lt;201,G165/2,IF(G165&lt;=301,G165/3,G165/4))))</f>
        <v>526.27886999999998</v>
      </c>
      <c r="I165" s="33"/>
      <c r="J165" s="74">
        <f t="shared" si="4"/>
        <v>6841625.3099999996</v>
      </c>
      <c r="N165" s="33"/>
    </row>
    <row r="166" spans="1:14" s="34" customFormat="1" x14ac:dyDescent="0.25">
      <c r="A166" s="87">
        <f>A165+1</f>
        <v>5</v>
      </c>
      <c r="B166" s="87"/>
      <c r="C166" s="85" t="s">
        <v>314</v>
      </c>
      <c r="D166" s="67">
        <f>((3.95*2.75+2.95*1.9+3.5*2.83+0.95*1.4+0.95*0.65+1.05*1.75+1.95*1.25))*(10.764)</f>
        <v>350.85257999999999</v>
      </c>
      <c r="E166" s="67">
        <f>0*(10.764)</f>
        <v>0</v>
      </c>
      <c r="F166" s="85">
        <f>D166+E166</f>
        <v>350.85257999999999</v>
      </c>
      <c r="G166" s="85">
        <v>0</v>
      </c>
      <c r="H166" s="85">
        <f>F166*(($H$153)+1)+(IF(G166&lt;101,G166,IF(G166&lt;201,G166/2,IF(G166&lt;=301,G166/3,G166/4))))</f>
        <v>526.27886999999998</v>
      </c>
      <c r="I166" s="33"/>
      <c r="J166" s="74">
        <f>J$155*H166</f>
        <v>6841625.3099999996</v>
      </c>
      <c r="N166" s="33"/>
    </row>
    <row r="167" spans="1:14" s="34" customFormat="1" ht="15.75" customHeight="1" x14ac:dyDescent="0.25">
      <c r="A167" s="130" t="s">
        <v>338</v>
      </c>
      <c r="B167" s="130"/>
      <c r="C167" s="130"/>
      <c r="D167" s="130"/>
      <c r="E167" s="130"/>
      <c r="F167" s="130"/>
      <c r="G167" s="130"/>
      <c r="H167" s="130"/>
      <c r="I167" s="33"/>
      <c r="J167" s="74">
        <f t="shared" si="4"/>
        <v>0</v>
      </c>
    </row>
    <row r="168" spans="1:14" s="34" customFormat="1" ht="15.75" customHeight="1" x14ac:dyDescent="0.25">
      <c r="A168" s="87">
        <v>1</v>
      </c>
      <c r="B168" s="87"/>
      <c r="C168" s="85" t="s">
        <v>314</v>
      </c>
      <c r="D168" s="67">
        <f>((3.95*2.75+2.95*1.9+3.5*2.83+0.95*1.4+0.95*0.65+1.05*1.75+1.95*1.25))*(10.764)</f>
        <v>350.85257999999999</v>
      </c>
      <c r="E168" s="67">
        <f>0*(10.764)</f>
        <v>0</v>
      </c>
      <c r="F168" s="85">
        <f>D168+E168</f>
        <v>350.85257999999999</v>
      </c>
      <c r="G168" s="85">
        <v>0</v>
      </c>
      <c r="H168" s="85">
        <f>F168*(($H$153)+1)+(IF(G168&lt;101,G168,IF(G168&lt;201,G168/2,IF(G168&lt;=301,G168/3,G168/4))))</f>
        <v>526.27886999999998</v>
      </c>
      <c r="I168" s="33"/>
      <c r="J168" s="74">
        <f t="shared" si="4"/>
        <v>6841625.3099999996</v>
      </c>
    </row>
    <row r="169" spans="1:14" s="34" customFormat="1" ht="15.75" customHeight="1" x14ac:dyDescent="0.25">
      <c r="A169" s="87">
        <f>A168+1</f>
        <v>2</v>
      </c>
      <c r="B169" s="87"/>
      <c r="C169" s="85" t="s">
        <v>314</v>
      </c>
      <c r="D169" s="67">
        <f>((2.75*3.95+1.9*2.4+2.83*3.5+0.65*0.95+1.4*0.95+1.25*1.95+1.75*1.05))*(10.764)</f>
        <v>339.60419999999993</v>
      </c>
      <c r="E169" s="67">
        <f>0*(10.764)</f>
        <v>0</v>
      </c>
      <c r="F169" s="85">
        <f>D169+E169</f>
        <v>339.60419999999993</v>
      </c>
      <c r="G169" s="85">
        <v>0</v>
      </c>
      <c r="H169" s="85">
        <f>F169*(($H$153)+1)+(IF(G169&lt;101,G169,IF(G169&lt;201,G169/2,IF(G169&lt;=301,G169/3,G169/4))))</f>
        <v>509.40629999999987</v>
      </c>
      <c r="I169" s="33"/>
      <c r="J169" s="74">
        <f t="shared" si="4"/>
        <v>6622281.8999999985</v>
      </c>
    </row>
    <row r="170" spans="1:14" s="34" customFormat="1" ht="15.75" customHeight="1" x14ac:dyDescent="0.25">
      <c r="A170" s="87">
        <f>A169+1</f>
        <v>3</v>
      </c>
      <c r="B170" s="87"/>
      <c r="C170" s="85" t="s">
        <v>314</v>
      </c>
      <c r="D170" s="67">
        <f>((2.75*3.95+1.9*2.4+2.85*3.5+0.65*0.95+1.4*0.95+1.25*1.95+1.15*1.95+1.55*0.6))*(10.764)</f>
        <v>354.72761999999994</v>
      </c>
      <c r="E170" s="67">
        <f>0*(10.764)</f>
        <v>0</v>
      </c>
      <c r="F170" s="85">
        <f>D170+E170</f>
        <v>354.72761999999994</v>
      </c>
      <c r="G170" s="85">
        <v>0</v>
      </c>
      <c r="H170" s="85">
        <f>F170*(($H$153)+1)+(IF(G170&lt;101,G170,IF(G170&lt;201,G170/2,IF(G170&lt;=301,G170/3,G170/4))))</f>
        <v>532.09142999999995</v>
      </c>
      <c r="I170" s="33"/>
      <c r="J170" s="74">
        <f t="shared" si="4"/>
        <v>6917188.5899999989</v>
      </c>
    </row>
    <row r="171" spans="1:14" s="34" customFormat="1" ht="15.75" customHeight="1" x14ac:dyDescent="0.25">
      <c r="A171" s="87">
        <f>A170+1</f>
        <v>4</v>
      </c>
      <c r="B171" s="87"/>
      <c r="C171" s="64" t="s">
        <v>314</v>
      </c>
      <c r="D171" s="67">
        <f>((3.95*2.75+2.95*1.9+3.5*2.83+0.95*1.4+0.95*0.65+1.05*1.75+1.95*1.25))*(10.764)</f>
        <v>350.85257999999999</v>
      </c>
      <c r="E171" s="67">
        <f>0*(10.764)</f>
        <v>0</v>
      </c>
      <c r="F171" s="49">
        <f>D171+E171</f>
        <v>350.85257999999999</v>
      </c>
      <c r="G171" s="49">
        <v>0</v>
      </c>
      <c r="H171" s="49">
        <f>F171*(($H$153)+1)+(IF(G171&lt;101,G171,IF(G171&lt;201,G171/2,IF(G171&lt;=301,G171/3,G171/4))))</f>
        <v>526.27886999999998</v>
      </c>
      <c r="I171" s="33"/>
      <c r="J171" s="74">
        <f t="shared" si="4"/>
        <v>6841625.3099999996</v>
      </c>
    </row>
    <row r="172" spans="1:14" s="34" customFormat="1" ht="15.75" customHeight="1" x14ac:dyDescent="0.25">
      <c r="A172" s="87">
        <f>A171+1</f>
        <v>5</v>
      </c>
      <c r="B172" s="87"/>
      <c r="C172" s="64" t="s">
        <v>314</v>
      </c>
      <c r="D172" s="67">
        <f>((3.95*2.75+2.95*1.9+3.5*2.83+0.95*1.4+0.95*0.65+1.05*1.75+1.95*1.25))*(10.764)</f>
        <v>350.85257999999999</v>
      </c>
      <c r="E172" s="67">
        <f>0*(10.764)</f>
        <v>0</v>
      </c>
      <c r="F172" s="49">
        <f>D172+E172</f>
        <v>350.85257999999999</v>
      </c>
      <c r="G172" s="49">
        <v>0</v>
      </c>
      <c r="H172" s="49">
        <f>F172*(($H$153)+1)+(IF(G172&lt;101,G172,IF(G172&lt;201,G172/2,IF(G172&lt;=301,G172/3,G172/4))))</f>
        <v>526.27886999999998</v>
      </c>
      <c r="I172" s="33"/>
      <c r="J172" s="74">
        <f t="shared" si="4"/>
        <v>6841625.3099999996</v>
      </c>
    </row>
    <row r="173" spans="1:14" s="66" customFormat="1" ht="15.75" customHeight="1" x14ac:dyDescent="0.25">
      <c r="A173" s="130" t="s">
        <v>315</v>
      </c>
      <c r="B173" s="130"/>
      <c r="C173" s="130"/>
      <c r="D173" s="130"/>
      <c r="E173" s="130"/>
      <c r="F173" s="130"/>
      <c r="G173" s="130"/>
      <c r="H173" s="130"/>
      <c r="I173" s="33"/>
      <c r="J173" s="74">
        <f t="shared" si="4"/>
        <v>0</v>
      </c>
    </row>
    <row r="174" spans="1:14" s="66" customFormat="1" ht="15.75" customHeight="1" x14ac:dyDescent="0.25">
      <c r="A174" s="87">
        <v>1</v>
      </c>
      <c r="B174" s="87"/>
      <c r="C174" s="64" t="s">
        <v>314</v>
      </c>
      <c r="D174" s="67">
        <f>((3.95*2.75+2.95*1.9+3.5*2.83+0.95*1.4+0.95*0.65+1.05*1.75+1.95*1.25))*(10.764)</f>
        <v>350.85257999999999</v>
      </c>
      <c r="E174" s="67">
        <f>0*(10.764)</f>
        <v>0</v>
      </c>
      <c r="F174" s="64">
        <f>D174+E174</f>
        <v>350.85257999999999</v>
      </c>
      <c r="G174" s="64">
        <v>0</v>
      </c>
      <c r="H174" s="64">
        <f>F174*(($H$153)+1)+(IF(G174&lt;101,G174,IF(G174&lt;201,G174/2,IF(G174&lt;=301,G174/3,G174/4))))</f>
        <v>526.27886999999998</v>
      </c>
      <c r="I174" s="33"/>
      <c r="J174" s="74">
        <f t="shared" si="4"/>
        <v>6841625.3099999996</v>
      </c>
    </row>
    <row r="175" spans="1:14" s="66" customFormat="1" ht="15.75" customHeight="1" x14ac:dyDescent="0.25">
      <c r="A175" s="87">
        <f>A174+1</f>
        <v>2</v>
      </c>
      <c r="B175" s="87"/>
      <c r="C175" s="64" t="s">
        <v>314</v>
      </c>
      <c r="D175" s="67">
        <f>((2.75*3.95+1.9*2.4+2.83*3.5+0.65*0.95+1.4*0.95+1.25*1.95+1.75*1.05))*(10.764)</f>
        <v>339.60419999999993</v>
      </c>
      <c r="E175" s="67">
        <f>0*(10.764)</f>
        <v>0</v>
      </c>
      <c r="F175" s="64">
        <f>D175+E175</f>
        <v>339.60419999999993</v>
      </c>
      <c r="G175" s="64">
        <v>0</v>
      </c>
      <c r="H175" s="64">
        <f>F175*(($H$153)+1)+(IF(G175&lt;101,G175,IF(G175&lt;201,G175/2,IF(G175&lt;=301,G175/3,G175/4))))</f>
        <v>509.40629999999987</v>
      </c>
      <c r="I175" s="33"/>
      <c r="J175" s="74">
        <f>J$155*H175</f>
        <v>6622281.8999999985</v>
      </c>
    </row>
    <row r="176" spans="1:14" s="66" customFormat="1" ht="15.75" customHeight="1" x14ac:dyDescent="0.25">
      <c r="A176" s="87">
        <f>A175+1</f>
        <v>3</v>
      </c>
      <c r="B176" s="87"/>
      <c r="C176" s="100" t="s">
        <v>316</v>
      </c>
      <c r="D176" s="101"/>
      <c r="E176" s="101"/>
      <c r="F176" s="101"/>
      <c r="G176" s="102"/>
      <c r="H176" s="64">
        <f>F176*(($H$153)+1)+(IF(G176&lt;101,G176,IF(G176&lt;201,G176/2,IF(G176&lt;=301,G176/3,G176/4))))</f>
        <v>0</v>
      </c>
      <c r="I176" s="33"/>
      <c r="J176" s="74">
        <f t="shared" si="4"/>
        <v>0</v>
      </c>
    </row>
    <row r="177" spans="1:10" s="66" customFormat="1" ht="15.75" customHeight="1" x14ac:dyDescent="0.25">
      <c r="A177" s="87">
        <f>A176+1</f>
        <v>4</v>
      </c>
      <c r="B177" s="87"/>
      <c r="C177" s="100" t="s">
        <v>317</v>
      </c>
      <c r="D177" s="101"/>
      <c r="E177" s="101"/>
      <c r="F177" s="101"/>
      <c r="G177" s="102"/>
      <c r="H177" s="64">
        <f>F177*(($H$153)+1)+(IF(G177&lt;101,G177,IF(G177&lt;201,G177/2,IF(G177&lt;=301,G177/3,G177/4))))</f>
        <v>0</v>
      </c>
      <c r="I177" s="33"/>
      <c r="J177" s="74">
        <f t="shared" si="4"/>
        <v>0</v>
      </c>
    </row>
    <row r="178" spans="1:10" s="66" customFormat="1" ht="15.75" customHeight="1" x14ac:dyDescent="0.25">
      <c r="A178" s="87">
        <f>A177+1</f>
        <v>5</v>
      </c>
      <c r="B178" s="87"/>
      <c r="C178" s="64" t="s">
        <v>314</v>
      </c>
      <c r="D178" s="67">
        <f>((3.95*2.75+2.95*1.9+3.5*2.83+0.95*1.4+0.95*0.65+1.05*1.75+1.95*1.25))*(10.764)</f>
        <v>350.85257999999999</v>
      </c>
      <c r="E178" s="67">
        <f>0*(10.764)</f>
        <v>0</v>
      </c>
      <c r="F178" s="64">
        <f>D178+E178</f>
        <v>350.85257999999999</v>
      </c>
      <c r="G178" s="64">
        <v>0</v>
      </c>
      <c r="H178" s="64">
        <f>F178*(($H$153)+1)+(IF(G178&lt;101,G178,IF(G178&lt;201,G178/2,IF(G178&lt;=301,G178/3,G178/4))))</f>
        <v>526.27886999999998</v>
      </c>
      <c r="I178" s="33"/>
      <c r="J178" s="74">
        <f t="shared" si="4"/>
        <v>6841625.3099999996</v>
      </c>
    </row>
    <row r="179" spans="1:10" s="66" customFormat="1" ht="15.75" customHeight="1" x14ac:dyDescent="0.25">
      <c r="A179" s="130" t="s">
        <v>320</v>
      </c>
      <c r="B179" s="130"/>
      <c r="C179" s="130"/>
      <c r="D179" s="130"/>
      <c r="E179" s="130"/>
      <c r="F179" s="130"/>
      <c r="G179" s="130"/>
      <c r="H179" s="130"/>
      <c r="I179" s="33"/>
      <c r="J179" s="74">
        <f t="shared" si="4"/>
        <v>0</v>
      </c>
    </row>
    <row r="180" spans="1:10" s="66" customFormat="1" ht="15.75" customHeight="1" x14ac:dyDescent="0.25">
      <c r="A180" s="87">
        <v>1</v>
      </c>
      <c r="B180" s="87"/>
      <c r="C180" s="64" t="s">
        <v>314</v>
      </c>
      <c r="D180" s="67">
        <f>((3.95*2.75+2.95*1.9+3.5*2.83+0.95*1.4+0.95*0.65+1.05*1.75+1.95*1.25))*(10.764)</f>
        <v>350.85257999999999</v>
      </c>
      <c r="E180" s="67">
        <f>0*(10.764)</f>
        <v>0</v>
      </c>
      <c r="F180" s="64">
        <f>D180+E180</f>
        <v>350.85257999999999</v>
      </c>
      <c r="G180" s="64">
        <v>0</v>
      </c>
      <c r="H180" s="64">
        <f>F180*(($H$153)+1)+(IF(G180&lt;101,G180,IF(G180&lt;201,G180/2,IF(G180&lt;=301,G180/3,G180/4))))</f>
        <v>526.27886999999998</v>
      </c>
      <c r="I180" s="33"/>
      <c r="J180" s="74">
        <f t="shared" si="4"/>
        <v>6841625.3099999996</v>
      </c>
    </row>
    <row r="181" spans="1:10" s="66" customFormat="1" ht="15.75" customHeight="1" x14ac:dyDescent="0.25">
      <c r="A181" s="87">
        <f>A180+1</f>
        <v>2</v>
      </c>
      <c r="B181" s="87"/>
      <c r="C181" s="64" t="s">
        <v>319</v>
      </c>
      <c r="D181" s="67">
        <f>((2.75*3.95+1.9*2.4+2.83*3.5+0.65*0.95+1.4*0.95+1.25*1.95+1.75*1.05+2.75*3.95+1.25*1.95))*(10.764)</f>
        <v>482.76539999999989</v>
      </c>
      <c r="E181" s="67">
        <f>0*(10.764)</f>
        <v>0</v>
      </c>
      <c r="F181" s="64">
        <f>D181+E181</f>
        <v>482.76539999999989</v>
      </c>
      <c r="G181" s="64">
        <v>0</v>
      </c>
      <c r="H181" s="64">
        <f>F181*(($H$153)+1)+(IF(G181&lt;101,G181,IF(G181&lt;201,G181/2,IF(G181&lt;=301,G181/3,G181/4))))</f>
        <v>724.14809999999989</v>
      </c>
      <c r="I181" s="33"/>
      <c r="J181" s="74">
        <f t="shared" si="4"/>
        <v>9413925.2999999989</v>
      </c>
    </row>
    <row r="182" spans="1:10" s="66" customFormat="1" ht="15.75" customHeight="1" x14ac:dyDescent="0.25">
      <c r="A182" s="100" t="s">
        <v>318</v>
      </c>
      <c r="B182" s="102"/>
      <c r="C182" s="88" t="s">
        <v>317</v>
      </c>
      <c r="D182" s="89"/>
      <c r="E182" s="89"/>
      <c r="F182" s="89"/>
      <c r="G182" s="90"/>
      <c r="H182" s="64"/>
      <c r="I182" s="33"/>
      <c r="J182" s="74">
        <f t="shared" si="4"/>
        <v>0</v>
      </c>
    </row>
    <row r="183" spans="1:10" s="66" customFormat="1" ht="15.75" customHeight="1" x14ac:dyDescent="0.25">
      <c r="A183" s="87">
        <f>A181+1</f>
        <v>3</v>
      </c>
      <c r="B183" s="87"/>
      <c r="C183" s="94"/>
      <c r="D183" s="95"/>
      <c r="E183" s="95"/>
      <c r="F183" s="95"/>
      <c r="G183" s="96"/>
      <c r="H183" s="64">
        <f>F183*(($H$153)+1)+(IF(G183&lt;101,G183,IF(G183&lt;201,G183/2,IF(G183&lt;=301,G183/3,G183/4))))</f>
        <v>0</v>
      </c>
      <c r="I183" s="33"/>
      <c r="J183" s="74">
        <f t="shared" si="4"/>
        <v>0</v>
      </c>
    </row>
    <row r="184" spans="1:10" s="66" customFormat="1" ht="15.75" customHeight="1" x14ac:dyDescent="0.25">
      <c r="A184" s="87">
        <f>A183+1</f>
        <v>4</v>
      </c>
      <c r="B184" s="87"/>
      <c r="C184" s="64" t="s">
        <v>314</v>
      </c>
      <c r="D184" s="67">
        <f>((3.95*2.75+2.95*1.9+3.5*2.83+0.95*1.4+0.95*0.65+1.05*1.75+1.95*1.25))*(10.764)</f>
        <v>350.85257999999999</v>
      </c>
      <c r="E184" s="67">
        <f>0*(10.764)</f>
        <v>0</v>
      </c>
      <c r="F184" s="64">
        <f>D184+E184</f>
        <v>350.85257999999999</v>
      </c>
      <c r="G184" s="64">
        <v>0</v>
      </c>
      <c r="H184" s="64">
        <f>F184*(($H$153)+1)+(IF(G184&lt;101,G184,IF(G184&lt;201,G184/2,IF(G184&lt;=301,G184/3,G184/4))))</f>
        <v>526.27886999999998</v>
      </c>
      <c r="I184" s="33"/>
      <c r="J184" s="74">
        <f>J$155*H184</f>
        <v>6841625.3099999996</v>
      </c>
    </row>
    <row r="185" spans="1:10" s="66" customFormat="1" ht="15.75" customHeight="1" x14ac:dyDescent="0.25">
      <c r="A185" s="130" t="s">
        <v>332</v>
      </c>
      <c r="B185" s="130"/>
      <c r="C185" s="130"/>
      <c r="D185" s="130"/>
      <c r="E185" s="130"/>
      <c r="F185" s="130"/>
      <c r="G185" s="130"/>
      <c r="H185" s="130"/>
      <c r="I185" s="33"/>
      <c r="J185" s="74">
        <f t="shared" si="4"/>
        <v>0</v>
      </c>
    </row>
    <row r="186" spans="1:10" s="66" customFormat="1" ht="15.75" customHeight="1" x14ac:dyDescent="0.25">
      <c r="A186" s="87">
        <v>1</v>
      </c>
      <c r="B186" s="87"/>
      <c r="C186" s="64" t="s">
        <v>314</v>
      </c>
      <c r="D186" s="67">
        <f>((3.95*2.75+2.95*1.9+3.5*2.83+0.95*1.4+0.95*0.65+1.05*1.75+1.95*1.25))*(10.764)</f>
        <v>350.85257999999999</v>
      </c>
      <c r="E186" s="67">
        <f>0*(10.764)</f>
        <v>0</v>
      </c>
      <c r="F186" s="64">
        <f>D186+E186</f>
        <v>350.85257999999999</v>
      </c>
      <c r="G186" s="64">
        <v>0</v>
      </c>
      <c r="H186" s="64">
        <f>F186*(($H$153)+1)+(IF(G186&lt;101,G186,IF(G186&lt;201,G186/2,IF(G186&lt;=301,G186/3,G186/4))))</f>
        <v>526.27886999999998</v>
      </c>
      <c r="I186" s="33"/>
      <c r="J186" s="74">
        <f t="shared" si="4"/>
        <v>6841625.3099999996</v>
      </c>
    </row>
    <row r="187" spans="1:10" s="66" customFormat="1" ht="15.75" customHeight="1" x14ac:dyDescent="0.25">
      <c r="A187" s="87">
        <f>A186+1</f>
        <v>2</v>
      </c>
      <c r="B187" s="87"/>
      <c r="C187" s="64" t="s">
        <v>314</v>
      </c>
      <c r="D187" s="67">
        <f>((2.75*3.95+1.9*2.4+2.83*3.5+0.65*0.95+1.4*0.95+1.25*1.95+1.75*1.05))*(10.764)</f>
        <v>339.60419999999993</v>
      </c>
      <c r="E187" s="67">
        <f>0*(10.764)</f>
        <v>0</v>
      </c>
      <c r="F187" s="64">
        <f>D187+E187</f>
        <v>339.60419999999993</v>
      </c>
      <c r="G187" s="64">
        <v>0</v>
      </c>
      <c r="H187" s="64">
        <f>F187*(($H$153)+1)+(IF(G187&lt;101,G187,IF(G187&lt;201,G187/2,IF(G187&lt;=301,G187/3,G187/4))))</f>
        <v>509.40629999999987</v>
      </c>
      <c r="I187" s="33"/>
      <c r="J187" s="74">
        <f t="shared" si="4"/>
        <v>6622281.8999999985</v>
      </c>
    </row>
    <row r="188" spans="1:10" s="66" customFormat="1" ht="15.75" customHeight="1" x14ac:dyDescent="0.25">
      <c r="A188" s="87">
        <f>A187+1</f>
        <v>3</v>
      </c>
      <c r="B188" s="87"/>
      <c r="C188" s="64" t="s">
        <v>314</v>
      </c>
      <c r="D188" s="67">
        <f>((2.75*3.95+1.9*2.4+2.85*3.5+0.85*0.95+1.4*0.95+1.25*1.95+1.15*1.95+1.55*0.6))*(10.764)</f>
        <v>356.77278000000001</v>
      </c>
      <c r="E188" s="67">
        <f>0*(10.764)</f>
        <v>0</v>
      </c>
      <c r="F188" s="64">
        <f>D188+E188</f>
        <v>356.77278000000001</v>
      </c>
      <c r="G188" s="64">
        <v>0</v>
      </c>
      <c r="H188" s="64">
        <f>F188*(($H$153)+1)+(IF(G188&lt;101,G188,IF(G188&lt;201,G188/2,IF(G188&lt;=301,G188/3,G188/4))))</f>
        <v>535.15917000000002</v>
      </c>
      <c r="I188" s="33"/>
      <c r="J188" s="74">
        <f t="shared" si="4"/>
        <v>6957069.21</v>
      </c>
    </row>
    <row r="189" spans="1:10" s="66" customFormat="1" ht="15.75" customHeight="1" x14ac:dyDescent="0.25">
      <c r="A189" s="87">
        <f>A188+1</f>
        <v>4</v>
      </c>
      <c r="B189" s="87"/>
      <c r="C189" s="64" t="s">
        <v>314</v>
      </c>
      <c r="D189" s="67">
        <f>((3.95*2.75+2.95*1.9+3.5*2.83+0.95*1.4+0.95*0.65+1.05*1.75+1.95*1.25))*(10.764)</f>
        <v>350.85257999999999</v>
      </c>
      <c r="E189" s="67">
        <f>0*(10.764)</f>
        <v>0</v>
      </c>
      <c r="F189" s="64">
        <f>D189+E189</f>
        <v>350.85257999999999</v>
      </c>
      <c r="G189" s="64">
        <v>0</v>
      </c>
      <c r="H189" s="64">
        <f>F189*(($H$153)+1)+(IF(G189&lt;101,G189,IF(G189&lt;201,G189/2,IF(G189&lt;=301,G189/3,G189/4))))</f>
        <v>526.27886999999998</v>
      </c>
      <c r="I189" s="33"/>
      <c r="J189" s="74">
        <f t="shared" si="4"/>
        <v>6841625.3099999996</v>
      </c>
    </row>
    <row r="190" spans="1:10" s="66" customFormat="1" ht="15.75" customHeight="1" x14ac:dyDescent="0.25">
      <c r="A190" s="87">
        <f>A189+1</f>
        <v>5</v>
      </c>
      <c r="B190" s="87"/>
      <c r="C190" s="64" t="s">
        <v>314</v>
      </c>
      <c r="D190" s="67">
        <f>((3.95*2.75+2.95*1.9+3.5*2.83+0.95*1.4+0.95*0.65+1.05*1.75+1.95*1.25))*(10.764)</f>
        <v>350.85257999999999</v>
      </c>
      <c r="E190" s="67">
        <f>0*(10.764)</f>
        <v>0</v>
      </c>
      <c r="F190" s="64">
        <f>D190+E190</f>
        <v>350.85257999999999</v>
      </c>
      <c r="G190" s="64">
        <v>0</v>
      </c>
      <c r="H190" s="64">
        <f>F190*(($H$153)+1)+(IF(G190&lt;101,G190,IF(G190&lt;201,G190/2,IF(G190&lt;=301,G190/3,G190/4))))</f>
        <v>526.27886999999998</v>
      </c>
      <c r="I190" s="33"/>
      <c r="J190" s="74">
        <f t="shared" si="4"/>
        <v>6841625.3099999996</v>
      </c>
    </row>
    <row r="191" spans="1:10" s="66" customFormat="1" ht="15.75" customHeight="1" x14ac:dyDescent="0.25">
      <c r="A191" s="108" t="s">
        <v>321</v>
      </c>
      <c r="B191" s="109"/>
      <c r="C191" s="109"/>
      <c r="D191" s="109"/>
      <c r="E191" s="109"/>
      <c r="F191" s="109"/>
      <c r="G191" s="109"/>
      <c r="H191" s="110"/>
      <c r="I191" s="33"/>
      <c r="J191" s="74">
        <f t="shared" si="4"/>
        <v>0</v>
      </c>
    </row>
    <row r="192" spans="1:10" s="66" customFormat="1" ht="15.75" customHeight="1" x14ac:dyDescent="0.25">
      <c r="A192" s="87">
        <v>1</v>
      </c>
      <c r="B192" s="87"/>
      <c r="C192" s="64" t="s">
        <v>314</v>
      </c>
      <c r="D192" s="67">
        <f>((3.95*2.75+2.95*1.9+3.5*2.83+0.95*1.4+0.95*0.65+1.05*1.75+1.95*1.25))*(10.764)</f>
        <v>350.85257999999999</v>
      </c>
      <c r="E192" s="67">
        <f>0*(10.764)</f>
        <v>0</v>
      </c>
      <c r="F192" s="64">
        <f>D192+E192</f>
        <v>350.85257999999999</v>
      </c>
      <c r="G192" s="64">
        <v>0</v>
      </c>
      <c r="H192" s="64">
        <f>F192*(($H$153)+1)+(IF(G192&lt;101,G192,IF(G192&lt;201,G192/2,IF(G192&lt;=301,G192/3,G192/4))))</f>
        <v>526.27886999999998</v>
      </c>
      <c r="I192" s="33"/>
      <c r="J192" s="74">
        <f t="shared" si="4"/>
        <v>6841625.3099999996</v>
      </c>
    </row>
    <row r="193" spans="1:10" s="66" customFormat="1" ht="15.75" customHeight="1" x14ac:dyDescent="0.25">
      <c r="A193" s="87">
        <f>A192+1</f>
        <v>2</v>
      </c>
      <c r="B193" s="87"/>
      <c r="C193" s="64" t="s">
        <v>314</v>
      </c>
      <c r="D193" s="67">
        <f>((2.75*3.95+1.9*2.4+2.83*3.5+0.65*0.95+1.4*0.95+1.25*1.95+1.75*1.05))*(10.764)</f>
        <v>339.60419999999993</v>
      </c>
      <c r="E193" s="67">
        <f>0*(10.764)</f>
        <v>0</v>
      </c>
      <c r="F193" s="64">
        <f>D193+E193</f>
        <v>339.60419999999993</v>
      </c>
      <c r="G193" s="64">
        <v>0</v>
      </c>
      <c r="H193" s="64">
        <f>F193*(($H$153)+1)+(IF(G193&lt;101,G193,IF(G193&lt;201,G193/2,IF(G193&lt;=301,G193/3,G193/4))))</f>
        <v>509.40629999999987</v>
      </c>
      <c r="I193" s="33"/>
      <c r="J193" s="74">
        <f t="shared" si="4"/>
        <v>6622281.8999999985</v>
      </c>
    </row>
    <row r="194" spans="1:10" s="66" customFormat="1" ht="15.75" customHeight="1" x14ac:dyDescent="0.25">
      <c r="A194" s="87">
        <f>A193+1</f>
        <v>3</v>
      </c>
      <c r="B194" s="87"/>
      <c r="C194" s="64" t="s">
        <v>314</v>
      </c>
      <c r="D194" s="67">
        <f>((2.75*3.95+1.9*2.4+2.85*3.5+0.85*0.95+1.4*0.95+1.25*1.95+1.15*1.95+1.55*0.6))*(10.764)</f>
        <v>356.77278000000001</v>
      </c>
      <c r="E194" s="67">
        <f>0*(10.764)</f>
        <v>0</v>
      </c>
      <c r="F194" s="64">
        <f>D194+E194</f>
        <v>356.77278000000001</v>
      </c>
      <c r="G194" s="64">
        <v>0</v>
      </c>
      <c r="H194" s="64">
        <f>F194*(($H$153)+1)+(IF(G194&lt;101,G194,IF(G194&lt;201,G194/2,IF(G194&lt;=301,G194/3,G194/4))))</f>
        <v>535.15917000000002</v>
      </c>
      <c r="I194" s="33"/>
      <c r="J194" s="74">
        <f>J$155*H194</f>
        <v>6957069.21</v>
      </c>
    </row>
    <row r="195" spans="1:10" s="66" customFormat="1" ht="15.75" customHeight="1" x14ac:dyDescent="0.25">
      <c r="A195" s="87">
        <f>A194+1</f>
        <v>4</v>
      </c>
      <c r="B195" s="87"/>
      <c r="C195" s="64" t="s">
        <v>314</v>
      </c>
      <c r="D195" s="67">
        <f>((3.95*2.75+2.95*1.9+3.5*2.83+0.95*1.4+0.95*0.65+1.05*1.75+1.95*1.25))*(10.764)</f>
        <v>350.85257999999999</v>
      </c>
      <c r="E195" s="67">
        <f>0*(10.764)</f>
        <v>0</v>
      </c>
      <c r="F195" s="64">
        <f>D195+E195</f>
        <v>350.85257999999999</v>
      </c>
      <c r="G195" s="64">
        <v>0</v>
      </c>
      <c r="H195" s="64">
        <f>F195*(($H$153)+1)+(IF(G195&lt;101,G195,IF(G195&lt;201,G195/2,IF(G195&lt;=301,G195/3,G195/4))))</f>
        <v>526.27886999999998</v>
      </c>
      <c r="I195" s="33"/>
    </row>
    <row r="196" spans="1:10" s="66" customFormat="1" ht="15.75" customHeight="1" x14ac:dyDescent="0.25">
      <c r="A196" s="87">
        <f>A195+1</f>
        <v>5</v>
      </c>
      <c r="B196" s="87"/>
      <c r="C196" s="64" t="s">
        <v>314</v>
      </c>
      <c r="D196" s="67">
        <f>((3.95*2.75+2.95*1.9+3.5*2.83+0.95*1.4+0.95*0.65+1.05*1.75+1.95*1.25))*(10.764)</f>
        <v>350.85257999999999</v>
      </c>
      <c r="E196" s="67">
        <f>0*(10.764)</f>
        <v>0</v>
      </c>
      <c r="F196" s="64">
        <f>D196+E196</f>
        <v>350.85257999999999</v>
      </c>
      <c r="G196" s="64">
        <v>0</v>
      </c>
      <c r="H196" s="64">
        <f>F196*(($H$153)+1)+(IF(G196&lt;101,G196,IF(G196&lt;201,G196/2,IF(G196&lt;=301,G196/3,G196/4))))</f>
        <v>526.27886999999998</v>
      </c>
      <c r="I196" s="33"/>
    </row>
    <row r="197" spans="1:10" s="66" customFormat="1" ht="15.75" customHeight="1" x14ac:dyDescent="0.25">
      <c r="A197" s="130" t="s">
        <v>322</v>
      </c>
      <c r="B197" s="130"/>
      <c r="C197" s="130"/>
      <c r="D197" s="130"/>
      <c r="E197" s="130"/>
      <c r="F197" s="130"/>
      <c r="G197" s="130"/>
      <c r="H197" s="130"/>
      <c r="I197" s="33"/>
    </row>
    <row r="198" spans="1:10" s="66" customFormat="1" ht="15.75" customHeight="1" x14ac:dyDescent="0.25">
      <c r="A198" s="87">
        <v>1</v>
      </c>
      <c r="B198" s="87"/>
      <c r="C198" s="64" t="s">
        <v>314</v>
      </c>
      <c r="D198" s="67">
        <f>((3.95*2.75+2.95*1.9+3.5*2.83+0.95*1.4+0.95*0.65+1.05*1.75+1.95*1.25))*(10.764)</f>
        <v>350.85257999999999</v>
      </c>
      <c r="E198" s="67">
        <f>0*(10.764)</f>
        <v>0</v>
      </c>
      <c r="F198" s="64">
        <f>D198+E198</f>
        <v>350.85257999999999</v>
      </c>
      <c r="G198" s="64">
        <v>0</v>
      </c>
      <c r="H198" s="64">
        <f>F198*(($H$153)+1)+(IF(G198&lt;101,G198,IF(G198&lt;201,G198/2,IF(G198&lt;=301,G198/3,G198/4))))</f>
        <v>526.27886999999998</v>
      </c>
      <c r="I198" s="33"/>
    </row>
    <row r="199" spans="1:10" s="66" customFormat="1" ht="15.75" customHeight="1" x14ac:dyDescent="0.25">
      <c r="A199" s="87">
        <f>A198+1</f>
        <v>2</v>
      </c>
      <c r="B199" s="87"/>
      <c r="C199" s="64" t="s">
        <v>314</v>
      </c>
      <c r="D199" s="67">
        <f>((2.75*3.95+1.9*2.4+2.83*3.5+0.65*0.95+1.4*0.95+1.25*1.95+1.75*1.05))*(10.764)</f>
        <v>339.60419999999993</v>
      </c>
      <c r="E199" s="67">
        <f>0*(10.764)</f>
        <v>0</v>
      </c>
      <c r="F199" s="64">
        <f>D199+E199</f>
        <v>339.60419999999993</v>
      </c>
      <c r="G199" s="64">
        <v>0</v>
      </c>
      <c r="H199" s="64">
        <f>F199*(($H$153)+1)+(IF(G199&lt;101,G199,IF(G199&lt;201,G199/2,IF(G199&lt;=301,G199/3,G199/4))))</f>
        <v>509.40629999999987</v>
      </c>
      <c r="I199" s="33"/>
    </row>
    <row r="200" spans="1:10" s="66" customFormat="1" ht="15.75" customHeight="1" x14ac:dyDescent="0.25">
      <c r="A200" s="87">
        <f>A199+1</f>
        <v>3</v>
      </c>
      <c r="B200" s="87"/>
      <c r="C200" s="64" t="s">
        <v>314</v>
      </c>
      <c r="D200" s="67">
        <f>((2.75*3.95+1.9*2.4+2.85*3.5+0.85*0.95+1.4*0.95+1.25*1.95+1.15*1.95+1.55*0.6))*(10.764)</f>
        <v>356.77278000000001</v>
      </c>
      <c r="E200" s="67">
        <f>0*(10.764)</f>
        <v>0</v>
      </c>
      <c r="F200" s="64">
        <f>D200+E200</f>
        <v>356.77278000000001</v>
      </c>
      <c r="G200" s="64">
        <v>0</v>
      </c>
      <c r="H200" s="64">
        <f>F200*(($H$153)+1)+(IF(G200&lt;101,G200,IF(G200&lt;201,G200/2,IF(G200&lt;=301,G200/3,G200/4))))</f>
        <v>535.15917000000002</v>
      </c>
      <c r="I200" s="33"/>
    </row>
    <row r="201" spans="1:10" s="66" customFormat="1" ht="15.75" customHeight="1" x14ac:dyDescent="0.25">
      <c r="A201" s="87">
        <f>A200+1</f>
        <v>4</v>
      </c>
      <c r="B201" s="87"/>
      <c r="C201" s="64" t="s">
        <v>314</v>
      </c>
      <c r="D201" s="67">
        <f>((3.95*2.75+2.95*1.9+3.5*2.83+0.95*1.4+0.95*0.65+1.05*1.75+1.95*1.25))*(10.764)</f>
        <v>350.85257999999999</v>
      </c>
      <c r="E201" s="67">
        <f>0*(10.764)</f>
        <v>0</v>
      </c>
      <c r="F201" s="64">
        <f>D201+E201</f>
        <v>350.85257999999999</v>
      </c>
      <c r="G201" s="64">
        <v>0</v>
      </c>
      <c r="H201" s="64">
        <f>F201*(($H$153)+1)+(IF(G201&lt;101,G201,IF(G201&lt;201,G201/2,IF(G201&lt;=301,G201/3,G201/4))))</f>
        <v>526.27886999999998</v>
      </c>
      <c r="I201" s="33"/>
      <c r="J201" s="66">
        <f>8500000/H201</f>
        <v>16151.132953523291</v>
      </c>
    </row>
    <row r="202" spans="1:10" s="66" customFormat="1" ht="15.75" customHeight="1" x14ac:dyDescent="0.25">
      <c r="A202" s="87">
        <f>A201+1</f>
        <v>5</v>
      </c>
      <c r="B202" s="87"/>
      <c r="C202" s="64" t="s">
        <v>314</v>
      </c>
      <c r="D202" s="67">
        <f>((3.95*2.75+2.95*1.9+3.5*2.83+0.95*1.4+0.95*0.65+1.05*1.75+1.95*1.25))*(10.764)</f>
        <v>350.85257999999999</v>
      </c>
      <c r="E202" s="67">
        <f>0*(10.764)</f>
        <v>0</v>
      </c>
      <c r="F202" s="64">
        <f>D202+E202</f>
        <v>350.85257999999999</v>
      </c>
      <c r="G202" s="64">
        <v>0</v>
      </c>
      <c r="H202" s="64">
        <f>F202*(($H$153)+1)+(IF(G202&lt;101,G202,IF(G202&lt;201,G202/2,IF(G202&lt;=301,G202/3,G202/4))))</f>
        <v>526.27886999999998</v>
      </c>
      <c r="I202" s="33"/>
    </row>
    <row r="203" spans="1:10" s="66" customFormat="1" ht="15.75" customHeight="1" x14ac:dyDescent="0.25">
      <c r="A203" s="108" t="s">
        <v>324</v>
      </c>
      <c r="B203" s="109"/>
      <c r="C203" s="109"/>
      <c r="D203" s="109"/>
      <c r="E203" s="109"/>
      <c r="F203" s="109"/>
      <c r="G203" s="109"/>
      <c r="H203" s="110"/>
      <c r="I203" s="33"/>
    </row>
    <row r="204" spans="1:10" s="66" customFormat="1" ht="15.75" customHeight="1" x14ac:dyDescent="0.25">
      <c r="A204" s="130" t="s">
        <v>325</v>
      </c>
      <c r="B204" s="130"/>
      <c r="C204" s="130"/>
      <c r="D204" s="130"/>
      <c r="E204" s="130"/>
      <c r="F204" s="130"/>
      <c r="G204" s="130"/>
      <c r="H204" s="130"/>
      <c r="I204" s="33"/>
    </row>
    <row r="205" spans="1:10" s="66" customFormat="1" ht="15.75" customHeight="1" x14ac:dyDescent="0.25">
      <c r="A205" s="65" t="s">
        <v>318</v>
      </c>
      <c r="B205" s="166" t="s">
        <v>318</v>
      </c>
      <c r="C205" s="256" t="s">
        <v>357</v>
      </c>
      <c r="D205" s="257"/>
      <c r="E205" s="257"/>
      <c r="F205" s="257"/>
      <c r="G205" s="258"/>
      <c r="H205" s="64" t="s">
        <v>318</v>
      </c>
      <c r="I205" s="33"/>
    </row>
    <row r="206" spans="1:10" s="66" customFormat="1" ht="15.75" customHeight="1" x14ac:dyDescent="0.25">
      <c r="A206" s="65" t="s">
        <v>318</v>
      </c>
      <c r="B206" s="167"/>
      <c r="C206" s="259"/>
      <c r="D206" s="260"/>
      <c r="E206" s="260"/>
      <c r="F206" s="260"/>
      <c r="G206" s="261"/>
      <c r="H206" s="64" t="s">
        <v>318</v>
      </c>
      <c r="I206" s="33"/>
    </row>
    <row r="207" spans="1:10" s="66" customFormat="1" ht="15.75" customHeight="1" x14ac:dyDescent="0.25">
      <c r="A207" s="65" t="s">
        <v>318</v>
      </c>
      <c r="B207" s="167"/>
      <c r="C207" s="259"/>
      <c r="D207" s="260"/>
      <c r="E207" s="260"/>
      <c r="F207" s="260"/>
      <c r="G207" s="261"/>
      <c r="H207" s="64" t="s">
        <v>318</v>
      </c>
      <c r="I207" s="33"/>
    </row>
    <row r="208" spans="1:10" s="66" customFormat="1" ht="15.75" customHeight="1" x14ac:dyDescent="0.25">
      <c r="A208" s="65" t="s">
        <v>318</v>
      </c>
      <c r="B208" s="168"/>
      <c r="C208" s="262"/>
      <c r="D208" s="263"/>
      <c r="E208" s="263"/>
      <c r="F208" s="263"/>
      <c r="G208" s="264"/>
      <c r="H208" s="64" t="s">
        <v>318</v>
      </c>
      <c r="I208" s="33"/>
    </row>
    <row r="209" spans="1:9" s="66" customFormat="1" ht="15.75" customHeight="1" x14ac:dyDescent="0.25">
      <c r="A209" s="64">
        <v>1</v>
      </c>
      <c r="B209" s="64" t="s">
        <v>326</v>
      </c>
      <c r="C209" s="64" t="s">
        <v>314</v>
      </c>
      <c r="D209" s="67">
        <f>((4.25*2.75+2.95*1.55+2.95*2.88+1.15*1.15+1.05*1.2+0.85*1.15))*(10.764)</f>
        <v>304.79342399999996</v>
      </c>
      <c r="E209" s="67">
        <f>0*(10.764)</f>
        <v>0</v>
      </c>
      <c r="F209" s="64">
        <f>D209+E209</f>
        <v>304.79342399999996</v>
      </c>
      <c r="G209" s="64">
        <v>0</v>
      </c>
      <c r="H209" s="64">
        <f>F209*(($H$153)+1)+(IF(G209&lt;101,G209,IF(G209&lt;201,G209/2,IF(G209&lt;=301,G209/3,G209/4))))</f>
        <v>457.19013599999994</v>
      </c>
      <c r="I209" s="33"/>
    </row>
    <row r="210" spans="1:9" s="66" customFormat="1" ht="15.75" customHeight="1" x14ac:dyDescent="0.25">
      <c r="A210" s="130" t="s">
        <v>327</v>
      </c>
      <c r="B210" s="130"/>
      <c r="C210" s="130"/>
      <c r="D210" s="130"/>
      <c r="E210" s="130"/>
      <c r="F210" s="130"/>
      <c r="G210" s="130"/>
      <c r="H210" s="130"/>
      <c r="I210" s="33"/>
    </row>
    <row r="211" spans="1:9" s="66" customFormat="1" ht="15.75" customHeight="1" x14ac:dyDescent="0.25">
      <c r="A211" s="64">
        <v>1</v>
      </c>
      <c r="B211" s="64" t="s">
        <v>313</v>
      </c>
      <c r="C211" s="64" t="s">
        <v>314</v>
      </c>
      <c r="D211" s="67">
        <f>((4.25*2.75+2.95*1.55+2.95*2.75+1.15*0.85+1.15*1.15+1.2*1.05))*(10.764)</f>
        <v>300.66543000000001</v>
      </c>
      <c r="E211" s="67">
        <f>0*(10.764)</f>
        <v>0</v>
      </c>
      <c r="F211" s="64">
        <f>D211+E211</f>
        <v>300.66543000000001</v>
      </c>
      <c r="G211" s="64">
        <v>0</v>
      </c>
      <c r="H211" s="64">
        <f>F211*(($H$153)+1)+(IF(G211&lt;101,G211,IF(G211&lt;201,G211/2,IF(G211&lt;=301,G211/3,G211/4))))</f>
        <v>450.99814500000002</v>
      </c>
      <c r="I211" s="33"/>
    </row>
    <row r="212" spans="1:9" s="66" customFormat="1" ht="15.75" customHeight="1" x14ac:dyDescent="0.25">
      <c r="A212" s="62">
        <f>A211+1</f>
        <v>2</v>
      </c>
      <c r="B212" s="64" t="s">
        <v>318</v>
      </c>
      <c r="C212" s="100" t="s">
        <v>328</v>
      </c>
      <c r="D212" s="101"/>
      <c r="E212" s="101"/>
      <c r="F212" s="101"/>
      <c r="G212" s="102"/>
      <c r="H212" s="64" t="s">
        <v>318</v>
      </c>
      <c r="I212" s="33"/>
    </row>
    <row r="213" spans="1:9" s="66" customFormat="1" ht="15.75" customHeight="1" x14ac:dyDescent="0.25">
      <c r="A213" s="62">
        <f>A212+1</f>
        <v>3</v>
      </c>
      <c r="B213" s="64" t="s">
        <v>318</v>
      </c>
      <c r="C213" s="100" t="s">
        <v>329</v>
      </c>
      <c r="D213" s="101"/>
      <c r="E213" s="101"/>
      <c r="F213" s="101"/>
      <c r="G213" s="102"/>
      <c r="H213" s="64" t="s">
        <v>318</v>
      </c>
      <c r="I213" s="33"/>
    </row>
    <row r="214" spans="1:9" s="66" customFormat="1" ht="15.75" customHeight="1" x14ac:dyDescent="0.25">
      <c r="A214" s="62">
        <f>A213+1</f>
        <v>4</v>
      </c>
      <c r="B214" s="64" t="s">
        <v>318</v>
      </c>
      <c r="C214" s="100" t="s">
        <v>330</v>
      </c>
      <c r="D214" s="101"/>
      <c r="E214" s="101"/>
      <c r="F214" s="101"/>
      <c r="G214" s="102"/>
      <c r="H214" s="64" t="s">
        <v>318</v>
      </c>
      <c r="I214" s="33"/>
    </row>
    <row r="215" spans="1:9" s="66" customFormat="1" ht="15.75" customHeight="1" x14ac:dyDescent="0.25">
      <c r="A215" s="62">
        <f>A214+1</f>
        <v>5</v>
      </c>
      <c r="B215" s="64" t="s">
        <v>318</v>
      </c>
      <c r="C215" s="100" t="s">
        <v>331</v>
      </c>
      <c r="D215" s="101"/>
      <c r="E215" s="101"/>
      <c r="F215" s="101"/>
      <c r="G215" s="102"/>
      <c r="H215" s="64" t="s">
        <v>318</v>
      </c>
      <c r="I215" s="33"/>
    </row>
    <row r="216" spans="1:9" s="66" customFormat="1" ht="15.75" customHeight="1" x14ac:dyDescent="0.25">
      <c r="A216" s="108" t="s">
        <v>338</v>
      </c>
      <c r="B216" s="109"/>
      <c r="C216" s="109"/>
      <c r="D216" s="109"/>
      <c r="E216" s="109"/>
      <c r="F216" s="109"/>
      <c r="G216" s="109"/>
      <c r="H216" s="110"/>
      <c r="I216" s="33"/>
    </row>
    <row r="217" spans="1:9" s="66" customFormat="1" ht="15.75" customHeight="1" x14ac:dyDescent="0.25">
      <c r="A217" s="73">
        <v>1</v>
      </c>
      <c r="B217" s="64" t="s">
        <v>313</v>
      </c>
      <c r="C217" s="64" t="s">
        <v>314</v>
      </c>
      <c r="D217" s="67">
        <f>((4.25*2.75+2.95*1.55+2.95*2.75+1.15*0.85+1.15*1.15+1.2*1.05))*(10.764)</f>
        <v>300.66543000000001</v>
      </c>
      <c r="E217" s="67">
        <f>0*(10.764)</f>
        <v>0</v>
      </c>
      <c r="F217" s="64">
        <f>D217+E217</f>
        <v>300.66543000000001</v>
      </c>
      <c r="G217" s="64">
        <v>0</v>
      </c>
      <c r="H217" s="64">
        <f>F217*(($H$153)+1)+(IF(G217&lt;101,G217,IF(G217&lt;201,G217/2,IF(G217&lt;=301,G217/3,G217/4))))</f>
        <v>450.99814500000002</v>
      </c>
      <c r="I217" s="33"/>
    </row>
    <row r="218" spans="1:9" s="66" customFormat="1" ht="15.75" customHeight="1" x14ac:dyDescent="0.25">
      <c r="A218" s="75">
        <f>A217+1</f>
        <v>2</v>
      </c>
      <c r="B218" s="64" t="s">
        <v>313</v>
      </c>
      <c r="C218" s="64" t="s">
        <v>314</v>
      </c>
      <c r="D218" s="67">
        <f>((2.75*4.25+1.55*2.95+2.75*2.95+1.2*1.05+1.15*1.15+1.15*0.85))*(10.764)</f>
        <v>300.66543000000001</v>
      </c>
      <c r="E218" s="67">
        <f>0*(10.764)</f>
        <v>0</v>
      </c>
      <c r="F218" s="64">
        <f>D218+E218</f>
        <v>300.66543000000001</v>
      </c>
      <c r="G218" s="64">
        <v>0</v>
      </c>
      <c r="H218" s="64">
        <f>F218*(($H$153)+1)+(IF(G218&lt;101,G218,IF(G218&lt;201,G218/2,IF(G218&lt;=301,G218/3,G218/4))))</f>
        <v>450.99814500000002</v>
      </c>
      <c r="I218" s="33"/>
    </row>
    <row r="219" spans="1:9" s="66" customFormat="1" ht="15.75" customHeight="1" x14ac:dyDescent="0.25">
      <c r="A219" s="75">
        <f>A218+1</f>
        <v>3</v>
      </c>
      <c r="B219" s="64" t="s">
        <v>313</v>
      </c>
      <c r="C219" s="64" t="s">
        <v>314</v>
      </c>
      <c r="D219" s="67">
        <f>((2.75*4.25+1.55*2.95+2.75*2.95+1.05*1.2+1.15*1.15+1.15*0.85))*(10.764)</f>
        <v>300.66543000000001</v>
      </c>
      <c r="E219" s="67">
        <f>0*(10.764)</f>
        <v>0</v>
      </c>
      <c r="F219" s="64">
        <f>D219+E219</f>
        <v>300.66543000000001</v>
      </c>
      <c r="G219" s="64">
        <v>0</v>
      </c>
      <c r="H219" s="64">
        <f>F219*(($H$153)+1)+(IF(G219&lt;101,G219,IF(G219&lt;201,G219/2,IF(G219&lt;=301,G219/3,G219/4))))</f>
        <v>450.99814500000002</v>
      </c>
      <c r="I219" s="33"/>
    </row>
    <row r="220" spans="1:9" s="66" customFormat="1" ht="15.75" customHeight="1" x14ac:dyDescent="0.25">
      <c r="A220" s="75">
        <f>A219+1</f>
        <v>4</v>
      </c>
      <c r="B220" s="64" t="s">
        <v>313</v>
      </c>
      <c r="C220" s="64" t="s">
        <v>314</v>
      </c>
      <c r="D220" s="67">
        <f>((2.75*4.25+1.55*2.95+2.75*2.95+1.2*1.05+1.15*1.15+1.15*0.85))*(10.764)</f>
        <v>300.66543000000001</v>
      </c>
      <c r="E220" s="67">
        <f>0*(10.764)</f>
        <v>0</v>
      </c>
      <c r="F220" s="64">
        <f>D220+E220</f>
        <v>300.66543000000001</v>
      </c>
      <c r="G220" s="64">
        <v>0</v>
      </c>
      <c r="H220" s="64">
        <f>F220*(($H$153)+1)+(IF(G220&lt;101,G220,IF(G220&lt;201,G220/2,IF(G220&lt;=301,G220/3,G220/4))))</f>
        <v>450.99814500000002</v>
      </c>
      <c r="I220" s="33"/>
    </row>
    <row r="221" spans="1:9" s="66" customFormat="1" ht="15.75" customHeight="1" x14ac:dyDescent="0.25">
      <c r="A221" s="75">
        <f>A220+1</f>
        <v>5</v>
      </c>
      <c r="B221" s="64" t="s">
        <v>313</v>
      </c>
      <c r="C221" s="64" t="s">
        <v>314</v>
      </c>
      <c r="D221" s="67">
        <f>((4.25*2.75+2.95*1.55+2.95*2.75+1.15*0.85+1.15*1.15+1.05*1.2))*(10.764)</f>
        <v>300.66543000000001</v>
      </c>
      <c r="E221" s="67">
        <f>0*(10.764)</f>
        <v>0</v>
      </c>
      <c r="F221" s="64">
        <f>D221+E221</f>
        <v>300.66543000000001</v>
      </c>
      <c r="G221" s="64">
        <v>0</v>
      </c>
      <c r="H221" s="64">
        <f>F221*(($H$153)+1)+(IF(G221&lt;101,G221,IF(G221&lt;201,G221/2,IF(G221&lt;=301,G221/3,G221/4))))</f>
        <v>450.99814500000002</v>
      </c>
      <c r="I221" s="33"/>
    </row>
    <row r="222" spans="1:9" s="66" customFormat="1" ht="15.75" customHeight="1" x14ac:dyDescent="0.25">
      <c r="A222" s="130" t="s">
        <v>358</v>
      </c>
      <c r="B222" s="130"/>
      <c r="C222" s="130"/>
      <c r="D222" s="130"/>
      <c r="E222" s="130"/>
      <c r="F222" s="130"/>
      <c r="G222" s="130"/>
      <c r="H222" s="130"/>
      <c r="I222" s="33"/>
    </row>
    <row r="223" spans="1:9" s="66" customFormat="1" ht="15.75" customHeight="1" x14ac:dyDescent="0.25">
      <c r="A223" s="73">
        <v>1</v>
      </c>
      <c r="B223" s="64" t="s">
        <v>318</v>
      </c>
      <c r="C223" s="100" t="s">
        <v>317</v>
      </c>
      <c r="D223" s="101"/>
      <c r="E223" s="101"/>
      <c r="F223" s="101"/>
      <c r="G223" s="102"/>
      <c r="H223" s="64" t="s">
        <v>318</v>
      </c>
      <c r="I223" s="33"/>
    </row>
    <row r="224" spans="1:9" s="66" customFormat="1" ht="15.75" customHeight="1" x14ac:dyDescent="0.25">
      <c r="A224" s="75">
        <f>A223+1</f>
        <v>2</v>
      </c>
      <c r="B224" s="64" t="s">
        <v>318</v>
      </c>
      <c r="C224" s="100" t="s">
        <v>316</v>
      </c>
      <c r="D224" s="101"/>
      <c r="E224" s="101"/>
      <c r="F224" s="101"/>
      <c r="G224" s="102"/>
      <c r="H224" s="64" t="s">
        <v>318</v>
      </c>
      <c r="I224" s="33"/>
    </row>
    <row r="225" spans="1:9" s="66" customFormat="1" ht="15.75" customHeight="1" x14ac:dyDescent="0.25">
      <c r="A225" s="75">
        <f>A224+1</f>
        <v>3</v>
      </c>
      <c r="B225" s="64" t="s">
        <v>313</v>
      </c>
      <c r="C225" s="64" t="s">
        <v>314</v>
      </c>
      <c r="D225" s="67">
        <f>((2.75*4.25+1.55*2.95+2.75*2.95+1.05*1.2+1.15*1.15+1.15*0.85))*(10.764)</f>
        <v>300.66543000000001</v>
      </c>
      <c r="E225" s="67">
        <f>0*(10.764)</f>
        <v>0</v>
      </c>
      <c r="F225" s="64">
        <f t="shared" ref="F225:F226" si="5">D225+E225</f>
        <v>300.66543000000001</v>
      </c>
      <c r="G225" s="64">
        <v>0</v>
      </c>
      <c r="H225" s="64">
        <f>F225*(($H$153)+1)+(IF(G225&lt;101,G225,IF(G225&lt;201,G225/2,IF(G225&lt;=301,G225/3,G225/4))))</f>
        <v>450.99814500000002</v>
      </c>
      <c r="I225" s="33"/>
    </row>
    <row r="226" spans="1:9" s="66" customFormat="1" ht="15.75" customHeight="1" x14ac:dyDescent="0.25">
      <c r="A226" s="75">
        <f>A225+1</f>
        <v>4</v>
      </c>
      <c r="B226" s="64" t="s">
        <v>313</v>
      </c>
      <c r="C226" s="64" t="s">
        <v>314</v>
      </c>
      <c r="D226" s="67">
        <f>((2.75*4.25+1.55*2.95+2.75*2.95+1.2*1.05+1.15*1.15+1.15*0.85))*(10.764)</f>
        <v>300.66543000000001</v>
      </c>
      <c r="E226" s="67">
        <f>0*(10.764)</f>
        <v>0</v>
      </c>
      <c r="F226" s="64">
        <f t="shared" si="5"/>
        <v>300.66543000000001</v>
      </c>
      <c r="G226" s="64">
        <v>0</v>
      </c>
      <c r="H226" s="64">
        <f>F226*(($H$153)+1)+(IF(G226&lt;101,G226,IF(G226&lt;201,G226/2,IF(G226&lt;=301,G226/3,G226/4))))</f>
        <v>450.99814500000002</v>
      </c>
      <c r="I226" s="33"/>
    </row>
    <row r="227" spans="1:9" s="66" customFormat="1" ht="15.75" customHeight="1" x14ac:dyDescent="0.25">
      <c r="A227" s="75">
        <f>A226+1</f>
        <v>5</v>
      </c>
      <c r="B227" s="64" t="s">
        <v>313</v>
      </c>
      <c r="C227" s="64" t="s">
        <v>314</v>
      </c>
      <c r="D227" s="67">
        <f>((4.25*2.75+2.95*1.55+2.95*2.75+1.15*0.85+1.15*1.15+1.05*1.2))*(10.764)</f>
        <v>300.66543000000001</v>
      </c>
      <c r="E227" s="67">
        <f>0*(10.764)</f>
        <v>0</v>
      </c>
      <c r="F227" s="64">
        <f>D227+E227</f>
        <v>300.66543000000001</v>
      </c>
      <c r="G227" s="64">
        <v>0</v>
      </c>
      <c r="H227" s="64">
        <f>F227*(($H$153)+1)+(IF(G227&lt;101,G227,IF(G227&lt;201,G227/2,IF(G227&lt;=301,G227/3,G227/4))))</f>
        <v>450.99814500000002</v>
      </c>
      <c r="I227" s="33"/>
    </row>
    <row r="228" spans="1:9" s="66" customFormat="1" ht="15.75" customHeight="1" x14ac:dyDescent="0.25">
      <c r="A228" s="130" t="s">
        <v>320</v>
      </c>
      <c r="B228" s="130"/>
      <c r="C228" s="130"/>
      <c r="D228" s="130"/>
      <c r="E228" s="130"/>
      <c r="F228" s="130"/>
      <c r="G228" s="130"/>
      <c r="H228" s="130"/>
      <c r="I228" s="33"/>
    </row>
    <row r="229" spans="1:9" s="66" customFormat="1" ht="15.75" customHeight="1" x14ac:dyDescent="0.25">
      <c r="A229" s="73">
        <v>1</v>
      </c>
      <c r="B229" s="64" t="s">
        <v>318</v>
      </c>
      <c r="C229" s="88" t="s">
        <v>317</v>
      </c>
      <c r="D229" s="89"/>
      <c r="E229" s="89"/>
      <c r="F229" s="89"/>
      <c r="G229" s="90"/>
      <c r="H229" s="64" t="s">
        <v>318</v>
      </c>
      <c r="I229" s="33"/>
    </row>
    <row r="230" spans="1:9" s="66" customFormat="1" ht="15.75" customHeight="1" x14ac:dyDescent="0.25">
      <c r="A230" s="75">
        <f>A229+1</f>
        <v>2</v>
      </c>
      <c r="B230" s="64" t="s">
        <v>318</v>
      </c>
      <c r="C230" s="94"/>
      <c r="D230" s="95"/>
      <c r="E230" s="95"/>
      <c r="F230" s="95"/>
      <c r="G230" s="96"/>
      <c r="H230" s="64" t="s">
        <v>318</v>
      </c>
      <c r="I230" s="33"/>
    </row>
    <row r="231" spans="1:9" s="66" customFormat="1" ht="15.75" customHeight="1" x14ac:dyDescent="0.25">
      <c r="A231" s="75">
        <f>A230+1</f>
        <v>3</v>
      </c>
      <c r="B231" s="64" t="s">
        <v>312</v>
      </c>
      <c r="C231" s="64" t="s">
        <v>359</v>
      </c>
      <c r="D231" s="67">
        <f>((2.75*4.25+1.55*2.95+2.75*2.95+2.75*4.25+1.05*1.2+1.15*1.15+1.15*0.85))*(10.764)</f>
        <v>426.46967999999993</v>
      </c>
      <c r="E231" s="67">
        <f>0*(10.764)</f>
        <v>0</v>
      </c>
      <c r="F231" s="64">
        <f>D231+E231</f>
        <v>426.46967999999993</v>
      </c>
      <c r="G231" s="64">
        <v>0</v>
      </c>
      <c r="H231" s="64">
        <f>F231*(($H$153)+1)+(IF(G231&lt;101,G231,IF(G231&lt;201,G231/2,IF(G231&lt;=301,G231/3,G231/4))))</f>
        <v>639.70451999999989</v>
      </c>
      <c r="I231" s="33"/>
    </row>
    <row r="232" spans="1:9" s="66" customFormat="1" ht="15.75" customHeight="1" x14ac:dyDescent="0.25">
      <c r="A232" s="75">
        <f>A231+1</f>
        <v>4</v>
      </c>
      <c r="B232" s="64" t="s">
        <v>313</v>
      </c>
      <c r="C232" s="64" t="s">
        <v>314</v>
      </c>
      <c r="D232" s="67">
        <f>((2.75*4.25+1.55*2.95+2.75*2.95+1.2*1.05+1.15*1.15+1.15*0.85))*(10.764)</f>
        <v>300.66543000000001</v>
      </c>
      <c r="E232" s="67">
        <f>0*(10.764)</f>
        <v>0</v>
      </c>
      <c r="F232" s="64">
        <f>D232+E232</f>
        <v>300.66543000000001</v>
      </c>
      <c r="G232" s="64">
        <v>0</v>
      </c>
      <c r="H232" s="64">
        <f>F232*(($H$153)+1)+(IF(G232&lt;101,G232,IF(G232&lt;201,G232/2,IF(G232&lt;=301,G232/3,G232/4))))</f>
        <v>450.99814500000002</v>
      </c>
      <c r="I232" s="33"/>
    </row>
    <row r="233" spans="1:9" s="66" customFormat="1" ht="15.75" customHeight="1" x14ac:dyDescent="0.25">
      <c r="A233" s="75">
        <f>A232+1</f>
        <v>5</v>
      </c>
      <c r="B233" s="64" t="s">
        <v>313</v>
      </c>
      <c r="C233" s="64" t="s">
        <v>314</v>
      </c>
      <c r="D233" s="67">
        <f>((4.25*2.75+2.95*1.55+2.95*2.75+1.15*0.85+1.15*1.15+1.05*1.2))*(10.764)</f>
        <v>300.66543000000001</v>
      </c>
      <c r="E233" s="67">
        <f>0*(10.764)</f>
        <v>0</v>
      </c>
      <c r="F233" s="64">
        <f>D233+E233</f>
        <v>300.66543000000001</v>
      </c>
      <c r="G233" s="64">
        <v>0</v>
      </c>
      <c r="H233" s="64">
        <f>F233*(($H$153)+1)+(IF(G233&lt;101,G233,IF(G233&lt;201,G233/2,IF(G233&lt;=301,G233/3,G233/4))))</f>
        <v>450.99814500000002</v>
      </c>
      <c r="I233" s="33"/>
    </row>
    <row r="234" spans="1:9" s="66" customFormat="1" ht="15.75" customHeight="1" x14ac:dyDescent="0.25">
      <c r="A234" s="130" t="s">
        <v>332</v>
      </c>
      <c r="B234" s="130"/>
      <c r="C234" s="130"/>
      <c r="D234" s="130"/>
      <c r="E234" s="130"/>
      <c r="F234" s="130"/>
      <c r="G234" s="130"/>
      <c r="H234" s="130"/>
      <c r="I234" s="33"/>
    </row>
    <row r="235" spans="1:9" s="66" customFormat="1" ht="15.75" customHeight="1" x14ac:dyDescent="0.25">
      <c r="A235" s="73">
        <v>1</v>
      </c>
      <c r="B235" s="64" t="s">
        <v>312</v>
      </c>
      <c r="C235" s="64" t="s">
        <v>314</v>
      </c>
      <c r="D235" s="67">
        <f>((4.25*2.75+2.95*1.55+2.95*2.75+1.15*0.85+1.15*1.15+1.2*1.05))*(10.764)</f>
        <v>300.66543000000001</v>
      </c>
      <c r="E235" s="67">
        <f>0*(10.764)</f>
        <v>0</v>
      </c>
      <c r="F235" s="64">
        <f>D235+E235</f>
        <v>300.66543000000001</v>
      </c>
      <c r="G235" s="64">
        <v>0</v>
      </c>
      <c r="H235" s="64">
        <f>F235*(($H$153)+1)+(IF(G235&lt;101,G235,IF(G235&lt;201,G235/2,IF(G235&lt;=301,G235/3,G235/4))))</f>
        <v>450.99814500000002</v>
      </c>
      <c r="I235" s="33"/>
    </row>
    <row r="236" spans="1:9" s="66" customFormat="1" ht="15.75" customHeight="1" x14ac:dyDescent="0.25">
      <c r="A236" s="75">
        <f>A235+1</f>
        <v>2</v>
      </c>
      <c r="B236" s="64" t="s">
        <v>312</v>
      </c>
      <c r="C236" s="64" t="s">
        <v>314</v>
      </c>
      <c r="D236" s="67">
        <f>((2.75*4.25+1.55*2.95+2.75*2.95+1.2*1.05+1.15*1.15+1.15*0.85))*(10.764)</f>
        <v>300.66543000000001</v>
      </c>
      <c r="E236" s="67">
        <f>0*(10.764)</f>
        <v>0</v>
      </c>
      <c r="F236" s="64">
        <f>D236+E236</f>
        <v>300.66543000000001</v>
      </c>
      <c r="G236" s="64">
        <v>0</v>
      </c>
      <c r="H236" s="64">
        <f>F236*(($H$153)+1)+(IF(G236&lt;101,G236,IF(G236&lt;201,G236/2,IF(G236&lt;=301,G236/3,G236/4))))</f>
        <v>450.99814500000002</v>
      </c>
      <c r="I236" s="33"/>
    </row>
    <row r="237" spans="1:9" s="66" customFormat="1" ht="15.75" customHeight="1" x14ac:dyDescent="0.25">
      <c r="A237" s="75">
        <f>A236+1</f>
        <v>3</v>
      </c>
      <c r="B237" s="64" t="s">
        <v>312</v>
      </c>
      <c r="C237" s="64" t="s">
        <v>314</v>
      </c>
      <c r="D237" s="67">
        <f>((2.75*4.25+1.55*2.95+2.75*2.95+1.05*1.2+1.15*1.15+1.15*0.85))*(10.764)</f>
        <v>300.66543000000001</v>
      </c>
      <c r="E237" s="67">
        <f>0*(10.764)</f>
        <v>0</v>
      </c>
      <c r="F237" s="64">
        <f>D237+E237</f>
        <v>300.66543000000001</v>
      </c>
      <c r="G237" s="64">
        <v>0</v>
      </c>
      <c r="H237" s="64">
        <f>F237*(($H$153)+1)+(IF(G237&lt;101,G237,IF(G237&lt;201,G237/2,IF(G237&lt;=301,G237/3,G237/4))))</f>
        <v>450.99814500000002</v>
      </c>
      <c r="I237" s="33"/>
    </row>
    <row r="238" spans="1:9" s="66" customFormat="1" ht="15.75" customHeight="1" x14ac:dyDescent="0.25">
      <c r="A238" s="75">
        <f>A237+1</f>
        <v>4</v>
      </c>
      <c r="B238" s="64" t="s">
        <v>313</v>
      </c>
      <c r="C238" s="64" t="s">
        <v>314</v>
      </c>
      <c r="D238" s="67">
        <f>((2.75*4.25+1.55*2.95+2.75*2.95+1.2*1.05+1.15*1.15+1.15*0.85))*(10.764)</f>
        <v>300.66543000000001</v>
      </c>
      <c r="E238" s="67">
        <f>0*(10.764)</f>
        <v>0</v>
      </c>
      <c r="F238" s="64">
        <f>D238+E238</f>
        <v>300.66543000000001</v>
      </c>
      <c r="G238" s="64">
        <v>0</v>
      </c>
      <c r="H238" s="64">
        <f>F238*(($H$153)+1)+(IF(G238&lt;101,G238,IF(G238&lt;201,G238/2,IF(G238&lt;=301,G238/3,G238/4))))</f>
        <v>450.99814500000002</v>
      </c>
      <c r="I238" s="33"/>
    </row>
    <row r="239" spans="1:9" s="66" customFormat="1" ht="15.75" customHeight="1" x14ac:dyDescent="0.25">
      <c r="A239" s="75">
        <f>A238+1</f>
        <v>5</v>
      </c>
      <c r="B239" s="64" t="s">
        <v>313</v>
      </c>
      <c r="C239" s="64" t="s">
        <v>314</v>
      </c>
      <c r="D239" s="67">
        <f>((4.25*2.75+2.95*1.55+2.95*2.75+1.15*0.85+1.15*1.15+1.05*1.2))*(10.764)</f>
        <v>300.66543000000001</v>
      </c>
      <c r="E239" s="67">
        <f>0*(10.764)</f>
        <v>0</v>
      </c>
      <c r="F239" s="64">
        <f>D239+E239</f>
        <v>300.66543000000001</v>
      </c>
      <c r="G239" s="64">
        <v>0</v>
      </c>
      <c r="H239" s="64">
        <f>F239*(($H$153)+1)+(IF(G239&lt;101,G239,IF(G239&lt;201,G239/2,IF(G239&lt;=301,G239/3,G239/4))))</f>
        <v>450.99814500000002</v>
      </c>
      <c r="I239" s="33"/>
    </row>
    <row r="240" spans="1:9" s="66" customFormat="1" ht="15.75" customHeight="1" x14ac:dyDescent="0.25">
      <c r="A240" s="108" t="s">
        <v>321</v>
      </c>
      <c r="B240" s="109"/>
      <c r="C240" s="109"/>
      <c r="D240" s="109"/>
      <c r="E240" s="109"/>
      <c r="F240" s="109"/>
      <c r="G240" s="109"/>
      <c r="H240" s="110"/>
      <c r="I240" s="33"/>
    </row>
    <row r="241" spans="1:20" s="66" customFormat="1" ht="15.75" customHeight="1" x14ac:dyDescent="0.25">
      <c r="A241" s="73">
        <v>1</v>
      </c>
      <c r="B241" s="64" t="s">
        <v>312</v>
      </c>
      <c r="C241" s="64" t="s">
        <v>314</v>
      </c>
      <c r="D241" s="67">
        <f>((4.25*2.75+2.95*1.55+2.95*2.75+1.15*0.85+1.15*1.15+1.2*1.05))*(10.764)</f>
        <v>300.66543000000001</v>
      </c>
      <c r="E241" s="67">
        <f>0*(10.764)</f>
        <v>0</v>
      </c>
      <c r="F241" s="64">
        <f>D241+E241</f>
        <v>300.66543000000001</v>
      </c>
      <c r="G241" s="64">
        <v>0</v>
      </c>
      <c r="H241" s="64">
        <f>F241*(($H$153)+1)+(IF(G241&lt;101,G241,IF(G241&lt;201,G241/2,IF(G241&lt;=301,G241/3,G241/4))))</f>
        <v>450.99814500000002</v>
      </c>
      <c r="I241" s="33"/>
    </row>
    <row r="242" spans="1:20" s="66" customFormat="1" ht="15.75" customHeight="1" x14ac:dyDescent="0.25">
      <c r="A242" s="75">
        <f>A241+1</f>
        <v>2</v>
      </c>
      <c r="B242" s="64" t="s">
        <v>312</v>
      </c>
      <c r="C242" s="64" t="s">
        <v>314</v>
      </c>
      <c r="D242" s="67">
        <f>((2.75*4.25+1.55*2.95+2.75*2.95+1.2*1.05+1.15*1.15+1.15*0.85))*(10.764)</f>
        <v>300.66543000000001</v>
      </c>
      <c r="E242" s="67">
        <f>0*(10.764)</f>
        <v>0</v>
      </c>
      <c r="F242" s="64">
        <f>D242+E242</f>
        <v>300.66543000000001</v>
      </c>
      <c r="G242" s="64">
        <v>0</v>
      </c>
      <c r="H242" s="64">
        <f>F242*(($H$153)+1)+(IF(G242&lt;101,G242,IF(G242&lt;201,G242/2,IF(G242&lt;=301,G242/3,G242/4))))</f>
        <v>450.99814500000002</v>
      </c>
      <c r="I242" s="33"/>
    </row>
    <row r="243" spans="1:20" s="66" customFormat="1" ht="15.75" customHeight="1" x14ac:dyDescent="0.25">
      <c r="A243" s="75">
        <f>A242+1</f>
        <v>3</v>
      </c>
      <c r="B243" s="64" t="s">
        <v>312</v>
      </c>
      <c r="C243" s="64" t="s">
        <v>314</v>
      </c>
      <c r="D243" s="67">
        <f>((2.75*4.25+1.55*2.95+2.75*2.95+1.05*1.2+1.15*1.15+1.15*0.85))*(10.764)</f>
        <v>300.66543000000001</v>
      </c>
      <c r="E243" s="67">
        <f>0*(10.764)</f>
        <v>0</v>
      </c>
      <c r="F243" s="64">
        <f>D243+E243</f>
        <v>300.66543000000001</v>
      </c>
      <c r="G243" s="64">
        <v>0</v>
      </c>
      <c r="H243" s="64">
        <f>F243*(($H$153)+1)+(IF(G243&lt;101,G243,IF(G243&lt;201,G243/2,IF(G243&lt;=301,G243/3,G243/4))))</f>
        <v>450.99814500000002</v>
      </c>
      <c r="I243" s="33"/>
    </row>
    <row r="244" spans="1:20" s="66" customFormat="1" ht="15.75" customHeight="1" x14ac:dyDescent="0.25">
      <c r="A244" s="75">
        <f>A243+1</f>
        <v>4</v>
      </c>
      <c r="B244" s="64" t="s">
        <v>312</v>
      </c>
      <c r="C244" s="64" t="s">
        <v>314</v>
      </c>
      <c r="D244" s="67">
        <f>((2.75*4.25+1.55*2.95+2.75*2.95+1.2*1.05+1.15*1.15+1.15*0.85))*(10.764)</f>
        <v>300.66543000000001</v>
      </c>
      <c r="E244" s="67">
        <f>0*(10.764)</f>
        <v>0</v>
      </c>
      <c r="F244" s="64">
        <f>D244+E244</f>
        <v>300.66543000000001</v>
      </c>
      <c r="G244" s="64">
        <v>0</v>
      </c>
      <c r="H244" s="64">
        <f>F244*(($H$153)+1)+(IF(G244&lt;101,G244,IF(G244&lt;201,G244/2,IF(G244&lt;=301,G244/3,G244/4))))</f>
        <v>450.99814500000002</v>
      </c>
      <c r="I244" s="33"/>
    </row>
    <row r="245" spans="1:20" s="66" customFormat="1" ht="15.75" customHeight="1" x14ac:dyDescent="0.25">
      <c r="A245" s="75">
        <f>A244+1</f>
        <v>5</v>
      </c>
      <c r="B245" s="64" t="s">
        <v>312</v>
      </c>
      <c r="C245" s="64" t="s">
        <v>314</v>
      </c>
      <c r="D245" s="67">
        <f>((4.25*2.75+2.95*1.55+2.95*2.75+1.15*0.85+1.15*1.15+1.05*1.2))*(10.764)</f>
        <v>300.66543000000001</v>
      </c>
      <c r="E245" s="67">
        <f>0*(10.764)</f>
        <v>0</v>
      </c>
      <c r="F245" s="64">
        <f>D245+E245</f>
        <v>300.66543000000001</v>
      </c>
      <c r="G245" s="64">
        <v>0</v>
      </c>
      <c r="H245" s="64">
        <f>F245*(($H$153)+1)+(IF(G245&lt;101,G245,IF(G245&lt;201,G245/2,IF(G245&lt;=301,G245/3,G245/4))))</f>
        <v>450.99814500000002</v>
      </c>
      <c r="I245" s="33"/>
    </row>
    <row r="246" spans="1:20" s="66" customFormat="1" ht="15.75" customHeight="1" x14ac:dyDescent="0.25">
      <c r="A246" s="130" t="s">
        <v>333</v>
      </c>
      <c r="B246" s="130"/>
      <c r="C246" s="130"/>
      <c r="D246" s="130"/>
      <c r="E246" s="130"/>
      <c r="F246" s="130"/>
      <c r="G246" s="130"/>
      <c r="H246" s="130"/>
      <c r="I246" s="33"/>
    </row>
    <row r="247" spans="1:20" s="66" customFormat="1" ht="15.75" customHeight="1" x14ac:dyDescent="0.25">
      <c r="A247" s="73">
        <v>1</v>
      </c>
      <c r="B247" s="64" t="s">
        <v>312</v>
      </c>
      <c r="C247" s="64" t="s">
        <v>314</v>
      </c>
      <c r="D247" s="67">
        <f>((4.25*2.75+2.95*1.55+2.95*2.75+1.15*0.85+1.15*1.15+1.2*1.05))*(10.764)</f>
        <v>300.66543000000001</v>
      </c>
      <c r="E247" s="67">
        <f>0*(10.764)</f>
        <v>0</v>
      </c>
      <c r="F247" s="64">
        <f>D247+E247</f>
        <v>300.66543000000001</v>
      </c>
      <c r="G247" s="64">
        <v>0</v>
      </c>
      <c r="H247" s="64">
        <f>F247*(($H$153)+1)+(IF(G247&lt;101,G247,IF(G247&lt;201,G247/2,IF(G247&lt;=301,G247/3,G247/4))))</f>
        <v>450.99814500000002</v>
      </c>
      <c r="I247" s="33"/>
    </row>
    <row r="248" spans="1:20" s="66" customFormat="1" ht="15.75" customHeight="1" x14ac:dyDescent="0.25">
      <c r="A248" s="75">
        <f>A247+1</f>
        <v>2</v>
      </c>
      <c r="B248" s="64" t="s">
        <v>312</v>
      </c>
      <c r="C248" s="64" t="s">
        <v>314</v>
      </c>
      <c r="D248" s="67">
        <f>((2.75*4.25+1.55*2.95+2.75*2.95+1.2*1.05+1.15*1.15+1.15*0.85))*(10.764)</f>
        <v>300.66543000000001</v>
      </c>
      <c r="E248" s="67">
        <f>0*(10.764)</f>
        <v>0</v>
      </c>
      <c r="F248" s="64">
        <f>D248+E248</f>
        <v>300.66543000000001</v>
      </c>
      <c r="G248" s="64">
        <v>0</v>
      </c>
      <c r="H248" s="64">
        <f>F248*(($H$153)+1)+(IF(G248&lt;101,G248,IF(G248&lt;201,G248/2,IF(G248&lt;=301,G248/3,G248/4))))</f>
        <v>450.99814500000002</v>
      </c>
      <c r="I248" s="33"/>
    </row>
    <row r="249" spans="1:20" s="66" customFormat="1" ht="15.75" customHeight="1" x14ac:dyDescent="0.25">
      <c r="A249" s="75">
        <f>A248+1</f>
        <v>3</v>
      </c>
      <c r="B249" s="97" t="s">
        <v>318</v>
      </c>
      <c r="C249" s="88" t="s">
        <v>334</v>
      </c>
      <c r="D249" s="89"/>
      <c r="E249" s="89"/>
      <c r="F249" s="89"/>
      <c r="G249" s="90"/>
      <c r="H249" s="64" t="s">
        <v>318</v>
      </c>
      <c r="I249" s="33"/>
    </row>
    <row r="250" spans="1:20" s="66" customFormat="1" ht="15.75" customHeight="1" x14ac:dyDescent="0.25">
      <c r="A250" s="75">
        <f>A249+1</f>
        <v>4</v>
      </c>
      <c r="B250" s="98"/>
      <c r="C250" s="91"/>
      <c r="D250" s="92"/>
      <c r="E250" s="92"/>
      <c r="F250" s="92"/>
      <c r="G250" s="93"/>
      <c r="H250" s="64" t="s">
        <v>318</v>
      </c>
      <c r="I250" s="33"/>
    </row>
    <row r="251" spans="1:20" s="66" customFormat="1" ht="15.75" customHeight="1" x14ac:dyDescent="0.25">
      <c r="A251" s="75">
        <f>A250+1</f>
        <v>5</v>
      </c>
      <c r="B251" s="99"/>
      <c r="C251" s="94"/>
      <c r="D251" s="95"/>
      <c r="E251" s="95"/>
      <c r="F251" s="95"/>
      <c r="G251" s="96"/>
      <c r="H251" s="64" t="s">
        <v>318</v>
      </c>
      <c r="I251" s="33"/>
    </row>
    <row r="252" spans="1:20" s="32" customFormat="1" x14ac:dyDescent="0.25">
      <c r="A252" s="182" t="s">
        <v>65</v>
      </c>
      <c r="B252" s="182"/>
      <c r="C252" s="182"/>
      <c r="D252" s="182"/>
      <c r="E252" s="182"/>
      <c r="F252" s="182"/>
      <c r="G252" s="182"/>
      <c r="H252" s="182"/>
      <c r="T252" s="34"/>
    </row>
    <row r="253" spans="1:20" s="32" customFormat="1" x14ac:dyDescent="0.25">
      <c r="A253" s="41" t="s">
        <v>146</v>
      </c>
      <c r="B253" s="187" t="s">
        <v>369</v>
      </c>
      <c r="C253" s="188"/>
      <c r="D253" s="188"/>
      <c r="E253" s="188"/>
      <c r="F253" s="188"/>
      <c r="G253" s="188"/>
      <c r="H253" s="189"/>
      <c r="T253" s="34"/>
    </row>
    <row r="254" spans="1:20" s="32" customFormat="1" x14ac:dyDescent="0.25">
      <c r="A254" s="41" t="s">
        <v>146</v>
      </c>
      <c r="B254" s="175" t="str">
        <f>(IF(H152="Saleable area Loading :","We have considered Saleable area of Flats as per our Calculation.","We considered Saleable area of Flat as per Builder area Sheet."))</f>
        <v>We have considered Saleable area of Flats as per our Calculation.</v>
      </c>
      <c r="C254" s="176"/>
      <c r="D254" s="176"/>
      <c r="E254" s="176"/>
      <c r="F254" s="176"/>
      <c r="G254" s="176"/>
      <c r="H254" s="177"/>
      <c r="T254" s="34"/>
    </row>
    <row r="255" spans="1:20" s="32" customFormat="1" x14ac:dyDescent="0.25">
      <c r="A255" s="41" t="s">
        <v>146</v>
      </c>
      <c r="B255" s="175" t="str">
        <f>(IF(H136="Saleable area Loading :","We have considered Saleable area of Commercial as per our Calculation.","We considered Saleable area of Commercial as per Builder area Sheet."))</f>
        <v>We have considered Saleable area of Commercial as per our Calculation.</v>
      </c>
      <c r="C255" s="176"/>
      <c r="D255" s="176"/>
      <c r="E255" s="176"/>
      <c r="F255" s="176"/>
      <c r="G255" s="176"/>
      <c r="H255" s="177"/>
      <c r="T255" s="34"/>
    </row>
    <row r="256" spans="1:20" s="32" customFormat="1" x14ac:dyDescent="0.25">
      <c r="A256" s="41" t="s">
        <v>146</v>
      </c>
      <c r="B256" s="172" t="s">
        <v>116</v>
      </c>
      <c r="C256" s="173"/>
      <c r="D256" s="173"/>
      <c r="E256" s="173"/>
      <c r="F256" s="173"/>
      <c r="G256" s="173"/>
      <c r="H256" s="174"/>
      <c r="T256" s="34"/>
    </row>
    <row r="257" spans="1:20" s="32" customFormat="1" ht="15.75" customHeight="1" x14ac:dyDescent="0.25">
      <c r="A257" s="41" t="s">
        <v>146</v>
      </c>
      <c r="B257" s="172" t="s">
        <v>345</v>
      </c>
      <c r="C257" s="173"/>
      <c r="D257" s="173"/>
      <c r="E257" s="173"/>
      <c r="F257" s="173"/>
      <c r="G257" s="173"/>
      <c r="H257" s="174"/>
      <c r="T257" s="34"/>
    </row>
    <row r="258" spans="1:20" s="32" customFormat="1" x14ac:dyDescent="0.25">
      <c r="A258" s="41" t="s">
        <v>146</v>
      </c>
      <c r="B258" s="172" t="s">
        <v>145</v>
      </c>
      <c r="C258" s="173"/>
      <c r="D258" s="173"/>
      <c r="E258" s="173"/>
      <c r="F258" s="173"/>
      <c r="G258" s="173"/>
      <c r="H258" s="174"/>
    </row>
    <row r="259" spans="1:20" s="32" customFormat="1" x14ac:dyDescent="0.25">
      <c r="A259" s="41" t="s">
        <v>146</v>
      </c>
      <c r="B259" s="172" t="s">
        <v>117</v>
      </c>
      <c r="C259" s="173"/>
      <c r="D259" s="173"/>
      <c r="E259" s="173"/>
      <c r="F259" s="173"/>
      <c r="G259" s="173"/>
      <c r="H259" s="174"/>
    </row>
    <row r="260" spans="1:20" s="32" customFormat="1" ht="34.5" customHeight="1" x14ac:dyDescent="0.25">
      <c r="A260" s="41" t="s">
        <v>146</v>
      </c>
      <c r="B260" s="172" t="s">
        <v>147</v>
      </c>
      <c r="C260" s="173"/>
      <c r="D260" s="173"/>
      <c r="E260" s="173"/>
      <c r="F260" s="173"/>
      <c r="G260" s="173"/>
      <c r="H260" s="174"/>
    </row>
    <row r="261" spans="1:20" s="32" customFormat="1" x14ac:dyDescent="0.25">
      <c r="A261" s="72" t="s">
        <v>146</v>
      </c>
      <c r="B261" s="172" t="s">
        <v>118</v>
      </c>
      <c r="C261" s="173"/>
      <c r="D261" s="173"/>
      <c r="E261" s="173"/>
      <c r="F261" s="173"/>
      <c r="G261" s="173"/>
      <c r="H261" s="174"/>
    </row>
    <row r="262" spans="1:20" s="32" customFormat="1" ht="32.25" hidden="1" customHeight="1" x14ac:dyDescent="0.25">
      <c r="A262" s="46" t="s">
        <v>146</v>
      </c>
      <c r="B262" s="179" t="s">
        <v>173</v>
      </c>
      <c r="C262" s="180"/>
      <c r="D262" s="180"/>
      <c r="E262" s="180"/>
      <c r="F262" s="180"/>
      <c r="G262" s="180"/>
      <c r="H262" s="181"/>
    </row>
    <row r="263" spans="1:20" s="32" customFormat="1" hidden="1" x14ac:dyDescent="0.25">
      <c r="A263" s="50" t="s">
        <v>146</v>
      </c>
      <c r="B263" s="179" t="s">
        <v>346</v>
      </c>
      <c r="C263" s="180"/>
      <c r="D263" s="180"/>
      <c r="E263" s="180"/>
      <c r="F263" s="180"/>
      <c r="G263" s="180"/>
      <c r="H263" s="181"/>
    </row>
    <row r="264" spans="1:20" s="32" customFormat="1" x14ac:dyDescent="0.25">
      <c r="A264" s="84" t="s">
        <v>146</v>
      </c>
      <c r="B264" s="172" t="s">
        <v>367</v>
      </c>
      <c r="C264" s="173"/>
      <c r="D264" s="173"/>
      <c r="E264" s="173"/>
      <c r="F264" s="173"/>
      <c r="G264" s="173"/>
      <c r="H264" s="174"/>
    </row>
    <row r="265" spans="1:20" x14ac:dyDescent="0.25">
      <c r="A265" s="149" t="s">
        <v>58</v>
      </c>
      <c r="B265" s="149"/>
      <c r="C265" s="149"/>
      <c r="D265" s="149"/>
      <c r="E265" s="149"/>
      <c r="F265" s="149"/>
      <c r="G265" s="149"/>
      <c r="H265" s="149"/>
      <c r="T265" s="32"/>
    </row>
    <row r="266" spans="1:20" x14ac:dyDescent="0.25">
      <c r="A266" s="127" t="s">
        <v>59</v>
      </c>
      <c r="B266" s="127"/>
      <c r="C266" s="127"/>
      <c r="D266" s="127"/>
      <c r="E266" s="127"/>
      <c r="F266" s="127"/>
      <c r="G266" s="127"/>
      <c r="H266" s="127"/>
      <c r="T266" s="32"/>
    </row>
    <row r="267" spans="1:20" ht="15.75" customHeight="1" x14ac:dyDescent="0.25">
      <c r="A267" s="178" t="s">
        <v>60</v>
      </c>
      <c r="B267" s="178"/>
      <c r="C267" s="178"/>
      <c r="D267" s="178"/>
      <c r="E267" s="178"/>
      <c r="F267" s="178"/>
      <c r="G267" s="178"/>
      <c r="H267" s="178"/>
      <c r="T267" s="32"/>
    </row>
    <row r="268" spans="1:20" x14ac:dyDescent="0.25">
      <c r="A268" s="127" t="s">
        <v>61</v>
      </c>
      <c r="B268" s="127"/>
      <c r="C268" s="127"/>
      <c r="D268" s="127"/>
      <c r="E268" s="127"/>
      <c r="F268" s="127"/>
      <c r="G268" s="127"/>
      <c r="H268" s="127"/>
      <c r="T268" s="32"/>
    </row>
    <row r="269" spans="1:20" x14ac:dyDescent="0.25">
      <c r="A269" s="127" t="s">
        <v>62</v>
      </c>
      <c r="B269" s="127"/>
      <c r="C269" s="127"/>
      <c r="D269" s="127"/>
      <c r="E269" s="127"/>
      <c r="F269" s="127"/>
      <c r="G269" s="127"/>
      <c r="H269" s="127"/>
      <c r="T269" s="32"/>
    </row>
    <row r="270" spans="1:20" x14ac:dyDescent="0.25">
      <c r="A270" s="127" t="s">
        <v>119</v>
      </c>
      <c r="B270" s="127"/>
      <c r="C270" s="127"/>
      <c r="D270" s="127"/>
      <c r="E270" s="127"/>
      <c r="F270" s="127"/>
      <c r="G270" s="127"/>
      <c r="H270" s="127"/>
      <c r="T270" s="32"/>
    </row>
    <row r="271" spans="1:20" ht="33.950000000000003" customHeight="1" x14ac:dyDescent="0.25">
      <c r="A271" s="139" t="s">
        <v>120</v>
      </c>
      <c r="B271" s="139"/>
      <c r="C271" s="139"/>
      <c r="D271" s="139"/>
      <c r="E271" s="139"/>
      <c r="F271" s="139"/>
      <c r="G271" s="139"/>
      <c r="H271" s="139"/>
    </row>
    <row r="272" spans="1:20" x14ac:dyDescent="0.25">
      <c r="A272" s="170" t="s">
        <v>72</v>
      </c>
      <c r="B272" s="170"/>
      <c r="C272" s="170" t="s">
        <v>371</v>
      </c>
      <c r="D272" s="170"/>
      <c r="E272" s="170" t="s">
        <v>102</v>
      </c>
      <c r="F272" s="170"/>
      <c r="G272" s="171" t="s">
        <v>370</v>
      </c>
      <c r="H272" s="171"/>
    </row>
    <row r="273" spans="1:8" x14ac:dyDescent="0.25">
      <c r="A273" s="169" t="s">
        <v>74</v>
      </c>
      <c r="B273" s="169"/>
      <c r="C273" s="169"/>
      <c r="D273" s="169"/>
      <c r="E273" s="169"/>
      <c r="F273" s="169"/>
      <c r="G273" s="169"/>
      <c r="H273" s="169"/>
    </row>
    <row r="274" spans="1:8" x14ac:dyDescent="0.25">
      <c r="A274" s="169"/>
      <c r="B274" s="169"/>
      <c r="C274" s="169"/>
      <c r="D274" s="169"/>
      <c r="E274" s="169"/>
      <c r="F274" s="169"/>
      <c r="G274" s="169"/>
      <c r="H274" s="169"/>
    </row>
    <row r="275" spans="1:8" x14ac:dyDescent="0.25">
      <c r="A275" s="169"/>
      <c r="B275" s="169"/>
      <c r="C275" s="169"/>
      <c r="D275" s="169"/>
      <c r="E275" s="169"/>
      <c r="F275" s="169"/>
      <c r="G275" s="169"/>
      <c r="H275" s="169"/>
    </row>
    <row r="276" spans="1:8" x14ac:dyDescent="0.25">
      <c r="A276" s="169"/>
      <c r="B276" s="169"/>
      <c r="C276" s="169"/>
      <c r="D276" s="169"/>
      <c r="E276" s="169"/>
      <c r="F276" s="169"/>
      <c r="G276" s="169"/>
      <c r="H276" s="169"/>
    </row>
    <row r="277" spans="1:8" x14ac:dyDescent="0.25">
      <c r="A277" s="35" t="s">
        <v>63</v>
      </c>
      <c r="B277" s="36"/>
      <c r="C277" s="36"/>
      <c r="D277" s="35" t="str">
        <f>E9</f>
        <v>Marshal Srishti III</v>
      </c>
      <c r="F277" s="36"/>
      <c r="G277" s="36"/>
      <c r="H277" s="36"/>
    </row>
    <row r="278" spans="1:8" x14ac:dyDescent="0.25">
      <c r="A278" s="36"/>
      <c r="B278" s="36"/>
      <c r="C278" s="36"/>
      <c r="D278" s="36"/>
      <c r="E278" s="36"/>
      <c r="F278" s="36"/>
      <c r="G278" s="36"/>
      <c r="H278" s="36"/>
    </row>
    <row r="279" spans="1:8" x14ac:dyDescent="0.25">
      <c r="A279" s="36"/>
      <c r="B279" s="36"/>
      <c r="C279" s="36"/>
      <c r="D279" s="36"/>
      <c r="E279" s="36"/>
      <c r="F279" s="36"/>
      <c r="G279" s="36"/>
      <c r="H279" s="36"/>
    </row>
    <row r="280" spans="1:8" ht="15" customHeight="1" x14ac:dyDescent="0.25"/>
    <row r="320" spans="1:1" x14ac:dyDescent="0.25">
      <c r="A320" s="38" t="s">
        <v>157</v>
      </c>
    </row>
    <row r="363" spans="1:1" x14ac:dyDescent="0.25">
      <c r="A363" s="38" t="s">
        <v>64</v>
      </c>
    </row>
  </sheetData>
  <mergeCells count="408">
    <mergeCell ref="B263:H263"/>
    <mergeCell ref="A109:E109"/>
    <mergeCell ref="B260:H260"/>
    <mergeCell ref="A165:B165"/>
    <mergeCell ref="B261:H261"/>
    <mergeCell ref="A147:H147"/>
    <mergeCell ref="B258:H258"/>
    <mergeCell ref="A181:B181"/>
    <mergeCell ref="A173:H173"/>
    <mergeCell ref="A174:B174"/>
    <mergeCell ref="A175:B175"/>
    <mergeCell ref="A176:B176"/>
    <mergeCell ref="A183:B183"/>
    <mergeCell ref="A184:B184"/>
    <mergeCell ref="A182:B182"/>
    <mergeCell ref="A185:H185"/>
    <mergeCell ref="A186:B186"/>
    <mergeCell ref="G127:H127"/>
    <mergeCell ref="A123:H123"/>
    <mergeCell ref="A124:B124"/>
    <mergeCell ref="C124:D124"/>
    <mergeCell ref="A154:H154"/>
    <mergeCell ref="A134:H134"/>
    <mergeCell ref="A210:H210"/>
    <mergeCell ref="C205:G208"/>
    <mergeCell ref="C212:G212"/>
    <mergeCell ref="C213:G213"/>
    <mergeCell ref="C214:G214"/>
    <mergeCell ref="C215:G215"/>
    <mergeCell ref="A187:B187"/>
    <mergeCell ref="A188:B188"/>
    <mergeCell ref="A177:B177"/>
    <mergeCell ref="A191:H191"/>
    <mergeCell ref="A162:B162"/>
    <mergeCell ref="D152:D153"/>
    <mergeCell ref="E152:E153"/>
    <mergeCell ref="A171:B171"/>
    <mergeCell ref="A168:B168"/>
    <mergeCell ref="A179:H179"/>
    <mergeCell ref="A202:B202"/>
    <mergeCell ref="A203:H203"/>
    <mergeCell ref="A204:H204"/>
    <mergeCell ref="A166:B166"/>
    <mergeCell ref="A163:B163"/>
    <mergeCell ref="A158:B158"/>
    <mergeCell ref="G132:H132"/>
    <mergeCell ref="C122:D122"/>
    <mergeCell ref="G122:H122"/>
    <mergeCell ref="A122:B122"/>
    <mergeCell ref="E122:F122"/>
    <mergeCell ref="C131:D131"/>
    <mergeCell ref="E131:F131"/>
    <mergeCell ref="G131:H131"/>
    <mergeCell ref="F104:H104"/>
    <mergeCell ref="F109:H109"/>
    <mergeCell ref="A130:A131"/>
    <mergeCell ref="C120:D120"/>
    <mergeCell ref="E120:F120"/>
    <mergeCell ref="G120:H120"/>
    <mergeCell ref="A110:E110"/>
    <mergeCell ref="F110:H110"/>
    <mergeCell ref="A112:E112"/>
    <mergeCell ref="A111:E111"/>
    <mergeCell ref="C125:D125"/>
    <mergeCell ref="E125:F125"/>
    <mergeCell ref="E129:F129"/>
    <mergeCell ref="A129:B129"/>
    <mergeCell ref="G125:H125"/>
    <mergeCell ref="C57:H57"/>
    <mergeCell ref="A79:B79"/>
    <mergeCell ref="A49:B49"/>
    <mergeCell ref="C49:H49"/>
    <mergeCell ref="G94:H103"/>
    <mergeCell ref="A95:B95"/>
    <mergeCell ref="A92:B92"/>
    <mergeCell ref="A107:E107"/>
    <mergeCell ref="A104:E104"/>
    <mergeCell ref="A82:B82"/>
    <mergeCell ref="E93:F93"/>
    <mergeCell ref="A75:C75"/>
    <mergeCell ref="D75:H75"/>
    <mergeCell ref="A73:C73"/>
    <mergeCell ref="D74:H74"/>
    <mergeCell ref="A80:B80"/>
    <mergeCell ref="G79:H79"/>
    <mergeCell ref="E80:F89"/>
    <mergeCell ref="G80:H89"/>
    <mergeCell ref="A88:B88"/>
    <mergeCell ref="A89:B89"/>
    <mergeCell ref="G93:H93"/>
    <mergeCell ref="F107:H107"/>
    <mergeCell ref="E94:F103"/>
    <mergeCell ref="A40:B40"/>
    <mergeCell ref="C40:H40"/>
    <mergeCell ref="F136:F137"/>
    <mergeCell ref="C119:D119"/>
    <mergeCell ref="E119:F119"/>
    <mergeCell ref="B136:B137"/>
    <mergeCell ref="A136:A137"/>
    <mergeCell ref="C152:C153"/>
    <mergeCell ref="G152:G153"/>
    <mergeCell ref="A152:A153"/>
    <mergeCell ref="F152:F153"/>
    <mergeCell ref="D136:D137"/>
    <mergeCell ref="E133:F133"/>
    <mergeCell ref="A76:B76"/>
    <mergeCell ref="C76:H76"/>
    <mergeCell ref="A84:B84"/>
    <mergeCell ref="A71:C71"/>
    <mergeCell ref="D71:H71"/>
    <mergeCell ref="C78:H78"/>
    <mergeCell ref="A81:B81"/>
    <mergeCell ref="A83:B83"/>
    <mergeCell ref="E79:F79"/>
    <mergeCell ref="A72:C72"/>
    <mergeCell ref="D72:H72"/>
    <mergeCell ref="A39:B39"/>
    <mergeCell ref="C39:H39"/>
    <mergeCell ref="A46:D46"/>
    <mergeCell ref="L143:M143"/>
    <mergeCell ref="L142:M142"/>
    <mergeCell ref="L141:M141"/>
    <mergeCell ref="L140:M140"/>
    <mergeCell ref="A87:B87"/>
    <mergeCell ref="C130:D130"/>
    <mergeCell ref="E130:F130"/>
    <mergeCell ref="G130:H130"/>
    <mergeCell ref="A105:E105"/>
    <mergeCell ref="A139:H139"/>
    <mergeCell ref="E136:E137"/>
    <mergeCell ref="A94:B94"/>
    <mergeCell ref="A47:D47"/>
    <mergeCell ref="A48:H48"/>
    <mergeCell ref="D66:H66"/>
    <mergeCell ref="A66:C66"/>
    <mergeCell ref="A86:B86"/>
    <mergeCell ref="C92:H92"/>
    <mergeCell ref="A45:D45"/>
    <mergeCell ref="A96:B96"/>
    <mergeCell ref="A78:B78"/>
    <mergeCell ref="A38:H38"/>
    <mergeCell ref="A37:B37"/>
    <mergeCell ref="C37:E37"/>
    <mergeCell ref="A42:D42"/>
    <mergeCell ref="E42:H42"/>
    <mergeCell ref="A41:H41"/>
    <mergeCell ref="A69:C69"/>
    <mergeCell ref="A70:C70"/>
    <mergeCell ref="D69:H69"/>
    <mergeCell ref="D70:H70"/>
    <mergeCell ref="A44:D44"/>
    <mergeCell ref="E44:H44"/>
    <mergeCell ref="E45:H45"/>
    <mergeCell ref="E46:H46"/>
    <mergeCell ref="E47:H47"/>
    <mergeCell ref="C59:H59"/>
    <mergeCell ref="C61:H61"/>
    <mergeCell ref="C55:H55"/>
    <mergeCell ref="F37:H37"/>
    <mergeCell ref="A67:C68"/>
    <mergeCell ref="D67:H67"/>
    <mergeCell ref="D68:H68"/>
    <mergeCell ref="C51:E51"/>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20:B20"/>
    <mergeCell ref="C20:D20"/>
    <mergeCell ref="E20:F20"/>
    <mergeCell ref="G20:H20"/>
    <mergeCell ref="A21:B21"/>
    <mergeCell ref="C21:D21"/>
    <mergeCell ref="E21:F21"/>
    <mergeCell ref="G21:H21"/>
    <mergeCell ref="A22:B22"/>
    <mergeCell ref="C22:D22"/>
    <mergeCell ref="E22:F22"/>
    <mergeCell ref="G22:H22"/>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B253:H253"/>
    <mergeCell ref="B254:H254"/>
    <mergeCell ref="B256:H256"/>
    <mergeCell ref="B257:H257"/>
    <mergeCell ref="A119:A120"/>
    <mergeCell ref="C121:D121"/>
    <mergeCell ref="E121:F121"/>
    <mergeCell ref="G121:H1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240:H240"/>
    <mergeCell ref="A228:H228"/>
    <mergeCell ref="A234:H234"/>
    <mergeCell ref="A216:H216"/>
    <mergeCell ref="A222:H222"/>
    <mergeCell ref="B205:B208"/>
    <mergeCell ref="A273:H276"/>
    <mergeCell ref="A272:B272"/>
    <mergeCell ref="E272:F272"/>
    <mergeCell ref="C272:D272"/>
    <mergeCell ref="G272:H272"/>
    <mergeCell ref="B259:H259"/>
    <mergeCell ref="B255:H255"/>
    <mergeCell ref="A270:H270"/>
    <mergeCell ref="A267:H267"/>
    <mergeCell ref="B262:H262"/>
    <mergeCell ref="A252:H252"/>
    <mergeCell ref="B264:H264"/>
    <mergeCell ref="A246:H246"/>
    <mergeCell ref="A268:H268"/>
    <mergeCell ref="A271:H271"/>
    <mergeCell ref="A269:H269"/>
    <mergeCell ref="A265:H265"/>
    <mergeCell ref="A266:H266"/>
    <mergeCell ref="C118:D118"/>
    <mergeCell ref="C132:D132"/>
    <mergeCell ref="A155:H155"/>
    <mergeCell ref="A133:B133"/>
    <mergeCell ref="C133:D133"/>
    <mergeCell ref="A101:B101"/>
    <mergeCell ref="A102:B102"/>
    <mergeCell ref="C224:G224"/>
    <mergeCell ref="C229:G230"/>
    <mergeCell ref="A116:E116"/>
    <mergeCell ref="F116:H116"/>
    <mergeCell ref="A161:H161"/>
    <mergeCell ref="A170:B170"/>
    <mergeCell ref="A128:H128"/>
    <mergeCell ref="G129:H129"/>
    <mergeCell ref="A172:B172"/>
    <mergeCell ref="C136:C137"/>
    <mergeCell ref="B152:B153"/>
    <mergeCell ref="A156:B156"/>
    <mergeCell ref="A151:H151"/>
    <mergeCell ref="A103:B103"/>
    <mergeCell ref="A132:B132"/>
    <mergeCell ref="E132:F132"/>
    <mergeCell ref="A114:E114"/>
    <mergeCell ref="A50:B50"/>
    <mergeCell ref="C50:E50"/>
    <mergeCell ref="A138:H138"/>
    <mergeCell ref="G54:H54"/>
    <mergeCell ref="A51:B51"/>
    <mergeCell ref="A63:H63"/>
    <mergeCell ref="A64:C64"/>
    <mergeCell ref="A65:C65"/>
    <mergeCell ref="D65:H65"/>
    <mergeCell ref="G62:H62"/>
    <mergeCell ref="A56:B57"/>
    <mergeCell ref="C56:E56"/>
    <mergeCell ref="G56:H56"/>
    <mergeCell ref="A58:B59"/>
    <mergeCell ref="C58:E58"/>
    <mergeCell ref="G58:H58"/>
    <mergeCell ref="A60:B61"/>
    <mergeCell ref="C60:E60"/>
    <mergeCell ref="G60:H60"/>
    <mergeCell ref="G51:H51"/>
    <mergeCell ref="A54:B55"/>
    <mergeCell ref="A125:B125"/>
    <mergeCell ref="C54:E54"/>
    <mergeCell ref="A90:B90"/>
    <mergeCell ref="I15:P15"/>
    <mergeCell ref="F114:H114"/>
    <mergeCell ref="F112:H112"/>
    <mergeCell ref="A169:B169"/>
    <mergeCell ref="A135:H135"/>
    <mergeCell ref="G118:H118"/>
    <mergeCell ref="A113:E113"/>
    <mergeCell ref="A62:B62"/>
    <mergeCell ref="C62:E62"/>
    <mergeCell ref="D64:H64"/>
    <mergeCell ref="F113:H113"/>
    <mergeCell ref="E118:F118"/>
    <mergeCell ref="A118:B118"/>
    <mergeCell ref="C129:D129"/>
    <mergeCell ref="D73:H73"/>
    <mergeCell ref="A74:C74"/>
    <mergeCell ref="E43:H43"/>
    <mergeCell ref="A43:D43"/>
    <mergeCell ref="A126:B126"/>
    <mergeCell ref="C126:D126"/>
    <mergeCell ref="E126:F126"/>
    <mergeCell ref="G126:H126"/>
    <mergeCell ref="A127:B127"/>
    <mergeCell ref="G124:H124"/>
    <mergeCell ref="C182:G183"/>
    <mergeCell ref="A159:B159"/>
    <mergeCell ref="L159:M159"/>
    <mergeCell ref="A160:B160"/>
    <mergeCell ref="L160:M160"/>
    <mergeCell ref="C159:G160"/>
    <mergeCell ref="A197:H197"/>
    <mergeCell ref="A198:B198"/>
    <mergeCell ref="A189:B189"/>
    <mergeCell ref="A190:B190"/>
    <mergeCell ref="A167:H167"/>
    <mergeCell ref="L161:M161"/>
    <mergeCell ref="C127:D127"/>
    <mergeCell ref="E127:F127"/>
    <mergeCell ref="A52:B53"/>
    <mergeCell ref="C52:E52"/>
    <mergeCell ref="G52:H52"/>
    <mergeCell ref="C53:H53"/>
    <mergeCell ref="E124:F124"/>
    <mergeCell ref="C90:H90"/>
    <mergeCell ref="A85:B85"/>
    <mergeCell ref="A93:B93"/>
    <mergeCell ref="A97:B97"/>
    <mergeCell ref="F106:H106"/>
    <mergeCell ref="A106:E106"/>
    <mergeCell ref="A108:E108"/>
    <mergeCell ref="F108:H108"/>
    <mergeCell ref="A117:H117"/>
    <mergeCell ref="A115:E115"/>
    <mergeCell ref="F115:H115"/>
    <mergeCell ref="A98:B98"/>
    <mergeCell ref="A99:B99"/>
    <mergeCell ref="A100:B100"/>
    <mergeCell ref="F105:H105"/>
    <mergeCell ref="G119:H119"/>
    <mergeCell ref="F111:H111"/>
    <mergeCell ref="A164:B164"/>
    <mergeCell ref="C249:G251"/>
    <mergeCell ref="B249:B251"/>
    <mergeCell ref="A200:B200"/>
    <mergeCell ref="A201:B201"/>
    <mergeCell ref="C223:G223"/>
    <mergeCell ref="L156:M156"/>
    <mergeCell ref="A157:B157"/>
    <mergeCell ref="G133:H133"/>
    <mergeCell ref="L157:M157"/>
    <mergeCell ref="G136:G137"/>
    <mergeCell ref="A148:H148"/>
    <mergeCell ref="L158:M158"/>
    <mergeCell ref="C158:G158"/>
    <mergeCell ref="A199:B199"/>
    <mergeCell ref="A192:B192"/>
    <mergeCell ref="A193:B193"/>
    <mergeCell ref="A194:B194"/>
    <mergeCell ref="A195:B195"/>
    <mergeCell ref="A196:B196"/>
    <mergeCell ref="A180:B180"/>
    <mergeCell ref="A178:B178"/>
    <mergeCell ref="C176:G176"/>
    <mergeCell ref="C177:G17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6:E137">
      <formula1>"Attached Loft area,Attached Otla area,Attached Mezzanine area"</formula1>
    </dataValidation>
    <dataValidation type="list" allowBlank="1" showInputMessage="1" showErrorMessage="1" sqref="G272:H272">
      <formula1>"Kunal Kadam,Pranita Mhatre,Shruti Fule,Pooja Kawale,Neha Dhokale,Shruti Tathare,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F115:H115">
      <formula1>OFFSET($S$104,1,MATCH($G20,$S$104:$W$104,0)-1,15,1)</formula1>
    </dataValidation>
    <dataValidation type="list" allowBlank="1" showInputMessage="1" showErrorMessage="1" sqref="B136:B137">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"Fungible area,Balcony Area,Chajja Area,Cornice Area,AP Area,WS Area"</formula1>
    </dataValidation>
    <dataValidation type="list" allowBlank="1" showInputMessage="1" showErrorMessage="1" sqref="H137 H15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H77</formula2>
    </dataValidation>
    <dataValidation type="list" allowBlank="1" showInputMessage="1" showErrorMessage="1" sqref="H136 H152">
      <formula1>"Saleable area Loading :,Builder Saleable Area"</formula1>
    </dataValidation>
    <dataValidation type="list" allowBlank="1" showInputMessage="1" showErrorMessage="1" sqref="D136:D137 D152:D15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5" max="16383" man="1"/>
    <brk id="122" max="7" man="1"/>
    <brk id="276" max="16383" man="1"/>
    <brk id="319" max="16383" man="1"/>
    <brk id="36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5" t="s">
        <v>103</v>
      </c>
      <c r="C3" s="265"/>
      <c r="D3" s="265"/>
      <c r="E3" s="265"/>
      <c r="F3" s="265"/>
      <c r="G3" s="265"/>
      <c r="H3" s="265"/>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174</v>
      </c>
      <c r="E4" s="48" t="s">
        <v>184</v>
      </c>
      <c r="F4" s="48" t="s">
        <v>166</v>
      </c>
      <c r="G4" s="48" t="s">
        <v>189</v>
      </c>
      <c r="H4" s="48" t="s">
        <v>207</v>
      </c>
      <c r="J4" t="s">
        <v>189</v>
      </c>
      <c r="K4" t="s">
        <v>205</v>
      </c>
    </row>
    <row r="5" spans="2:11" x14ac:dyDescent="0.25">
      <c r="B5" s="47"/>
      <c r="C5" s="47"/>
      <c r="D5" s="48" t="s">
        <v>175</v>
      </c>
      <c r="E5" s="48" t="s">
        <v>182</v>
      </c>
      <c r="F5" s="48" t="s">
        <v>204</v>
      </c>
      <c r="G5" s="48" t="s">
        <v>190</v>
      </c>
      <c r="H5" s="48" t="s">
        <v>208</v>
      </c>
    </row>
    <row r="6" spans="2:11" x14ac:dyDescent="0.25">
      <c r="B6" s="47"/>
      <c r="C6" s="47"/>
      <c r="D6" s="48" t="s">
        <v>176</v>
      </c>
      <c r="E6" s="48" t="s">
        <v>183</v>
      </c>
      <c r="F6" s="48" t="s">
        <v>205</v>
      </c>
      <c r="G6" s="48" t="s">
        <v>191</v>
      </c>
      <c r="H6" s="48" t="s">
        <v>221</v>
      </c>
    </row>
    <row r="7" spans="2:11" x14ac:dyDescent="0.25">
      <c r="B7" s="47"/>
      <c r="C7" s="47"/>
      <c r="D7" s="48" t="s">
        <v>177</v>
      </c>
      <c r="E7" s="48" t="s">
        <v>185</v>
      </c>
      <c r="F7" s="48" t="s">
        <v>206</v>
      </c>
      <c r="G7" s="48" t="s">
        <v>192</v>
      </c>
      <c r="H7" s="48" t="s">
        <v>209</v>
      </c>
    </row>
    <row r="8" spans="2:11" x14ac:dyDescent="0.25">
      <c r="B8" s="47"/>
      <c r="C8" s="47"/>
      <c r="D8" s="48" t="s">
        <v>178</v>
      </c>
      <c r="E8" s="48" t="s">
        <v>186</v>
      </c>
      <c r="F8" s="48"/>
      <c r="G8" s="48" t="s">
        <v>193</v>
      </c>
      <c r="H8" s="48" t="s">
        <v>210</v>
      </c>
    </row>
    <row r="9" spans="2:11" x14ac:dyDescent="0.25">
      <c r="B9" s="47"/>
      <c r="C9" s="47"/>
      <c r="D9" s="48" t="s">
        <v>179</v>
      </c>
      <c r="E9" s="48" t="s">
        <v>184</v>
      </c>
      <c r="F9" s="48"/>
      <c r="G9" s="48" t="s">
        <v>194</v>
      </c>
      <c r="H9" s="48" t="s">
        <v>211</v>
      </c>
    </row>
    <row r="10" spans="2:11" x14ac:dyDescent="0.25">
      <c r="B10" s="47"/>
      <c r="C10" s="47"/>
      <c r="D10" s="48" t="s">
        <v>180</v>
      </c>
      <c r="E10" s="48" t="s">
        <v>187</v>
      </c>
      <c r="F10" s="48"/>
      <c r="G10" s="48" t="s">
        <v>195</v>
      </c>
      <c r="H10" s="48" t="s">
        <v>212</v>
      </c>
    </row>
    <row r="11" spans="2:11" x14ac:dyDescent="0.25">
      <c r="B11" s="47"/>
      <c r="C11" s="47"/>
      <c r="D11" s="48" t="s">
        <v>181</v>
      </c>
      <c r="E11" s="48" t="s">
        <v>188</v>
      </c>
      <c r="F11" s="48"/>
      <c r="G11" s="48" t="s">
        <v>196</v>
      </c>
      <c r="H11" s="48" t="s">
        <v>213</v>
      </c>
    </row>
    <row r="12" spans="2:11" x14ac:dyDescent="0.25">
      <c r="B12" s="47"/>
      <c r="C12" s="47"/>
      <c r="D12" s="48"/>
      <c r="E12" s="48"/>
      <c r="F12" s="48"/>
      <c r="G12" s="48" t="s">
        <v>197</v>
      </c>
      <c r="H12" s="48" t="s">
        <v>214</v>
      </c>
    </row>
    <row r="13" spans="2:11" x14ac:dyDescent="0.25">
      <c r="B13" s="47"/>
      <c r="C13" s="47"/>
      <c r="D13" s="48"/>
      <c r="E13" s="48"/>
      <c r="F13" s="48"/>
      <c r="G13" s="48" t="s">
        <v>198</v>
      </c>
      <c r="H13" s="48" t="s">
        <v>215</v>
      </c>
    </row>
    <row r="14" spans="2:11" x14ac:dyDescent="0.25">
      <c r="B14" s="47"/>
      <c r="C14" s="47"/>
      <c r="D14" s="48"/>
      <c r="E14" s="48"/>
      <c r="F14" s="48"/>
      <c r="G14" s="48" t="s">
        <v>199</v>
      </c>
      <c r="H14" s="48" t="s">
        <v>216</v>
      </c>
    </row>
    <row r="15" spans="2:11" x14ac:dyDescent="0.25">
      <c r="B15" s="47"/>
      <c r="C15" s="47"/>
      <c r="D15" s="48"/>
      <c r="E15" s="48"/>
      <c r="F15" s="48"/>
      <c r="G15" s="48" t="s">
        <v>200</v>
      </c>
      <c r="H15" s="48" t="s">
        <v>217</v>
      </c>
    </row>
    <row r="16" spans="2:11" x14ac:dyDescent="0.25">
      <c r="B16" s="47"/>
      <c r="C16" s="47"/>
      <c r="D16" s="48"/>
      <c r="E16" s="48"/>
      <c r="F16" s="48"/>
      <c r="G16" s="48" t="s">
        <v>201</v>
      </c>
      <c r="H16" s="48" t="s">
        <v>218</v>
      </c>
    </row>
    <row r="17" spans="2:8" x14ac:dyDescent="0.25">
      <c r="B17" s="47"/>
      <c r="C17" s="47"/>
      <c r="D17" s="48"/>
      <c r="E17" s="48"/>
      <c r="F17" s="48"/>
      <c r="G17" s="48" t="s">
        <v>202</v>
      </c>
      <c r="H17" s="48" t="s">
        <v>219</v>
      </c>
    </row>
    <row r="18" spans="2:8" x14ac:dyDescent="0.25">
      <c r="B18" s="47"/>
      <c r="C18" s="47"/>
      <c r="D18" s="48"/>
      <c r="E18" s="48"/>
      <c r="F18" s="48"/>
      <c r="G18" s="48" t="s">
        <v>203</v>
      </c>
      <c r="H18" s="48" t="s">
        <v>220</v>
      </c>
    </row>
    <row r="24" spans="2:8" x14ac:dyDescent="0.25">
      <c r="C24" t="s">
        <v>163</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163</v>
      </c>
    </row>
    <row r="33" spans="3:11" x14ac:dyDescent="0.25">
      <c r="J33">
        <v>1</v>
      </c>
      <c r="K33">
        <v>2</v>
      </c>
    </row>
    <row r="34" spans="3:11" x14ac:dyDescent="0.25">
      <c r="C34" s="51" t="s">
        <v>232</v>
      </c>
      <c r="D34" s="48" t="s">
        <v>230</v>
      </c>
      <c r="E34" s="48" t="s">
        <v>235</v>
      </c>
      <c r="F34" s="48" t="s">
        <v>233</v>
      </c>
      <c r="G34" s="48" t="s">
        <v>234</v>
      </c>
      <c r="H34" s="48" t="s">
        <v>236</v>
      </c>
      <c r="J34" t="s">
        <v>189</v>
      </c>
      <c r="K34" t="s">
        <v>205</v>
      </c>
    </row>
    <row r="35" spans="3:11" x14ac:dyDescent="0.25">
      <c r="C35" s="47" t="s">
        <v>231</v>
      </c>
      <c r="D35" s="48" t="s">
        <v>164</v>
      </c>
      <c r="E35" s="48" t="s">
        <v>240</v>
      </c>
      <c r="F35" s="48" t="s">
        <v>242</v>
      </c>
      <c r="G35" s="48" t="s">
        <v>244</v>
      </c>
      <c r="H35" s="48"/>
    </row>
    <row r="36" spans="3:11" x14ac:dyDescent="0.25">
      <c r="C36" s="47"/>
      <c r="D36" s="48" t="s">
        <v>237</v>
      </c>
      <c r="E36" s="48" t="s">
        <v>241</v>
      </c>
      <c r="F36" s="48" t="s">
        <v>243</v>
      </c>
      <c r="G36" s="48" t="s">
        <v>245</v>
      </c>
      <c r="H36" s="48"/>
    </row>
    <row r="37" spans="3:11" x14ac:dyDescent="0.25">
      <c r="C37" s="47"/>
      <c r="D37" s="48" t="s">
        <v>238</v>
      </c>
      <c r="E37" s="48"/>
      <c r="F37" s="48"/>
      <c r="G37" s="48" t="s">
        <v>246</v>
      </c>
      <c r="H37" s="48"/>
    </row>
    <row r="38" spans="3:11" x14ac:dyDescent="0.25">
      <c r="C38" s="47"/>
      <c r="D38" s="48" t="s">
        <v>239</v>
      </c>
      <c r="E38" s="48"/>
      <c r="F38" s="48"/>
      <c r="G38" s="48" t="s">
        <v>246</v>
      </c>
      <c r="H38" s="48"/>
    </row>
    <row r="39" spans="3:11" x14ac:dyDescent="0.25">
      <c r="C39" s="47"/>
      <c r="D39" s="48"/>
      <c r="E39" s="48"/>
      <c r="F39" s="48"/>
      <c r="G39" s="48" t="s">
        <v>247</v>
      </c>
      <c r="H39" s="48"/>
    </row>
    <row r="40" spans="3:11" x14ac:dyDescent="0.25">
      <c r="C40" s="47"/>
      <c r="D40" s="48"/>
      <c r="E40" s="48"/>
      <c r="F40" s="48"/>
      <c r="G40" s="48" t="s">
        <v>248</v>
      </c>
      <c r="H40" s="48"/>
    </row>
    <row r="41" spans="3:11" x14ac:dyDescent="0.25">
      <c r="C41" s="47"/>
      <c r="D41" s="48"/>
      <c r="E41" s="48"/>
      <c r="F41" s="48"/>
      <c r="G41" s="48"/>
      <c r="H41" s="48"/>
    </row>
    <row r="43" spans="3:11" x14ac:dyDescent="0.25">
      <c r="C43" t="s">
        <v>249</v>
      </c>
    </row>
    <row r="44" spans="3:11" x14ac:dyDescent="0.25">
      <c r="C44" t="s">
        <v>166</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2">
        <v>1</v>
      </c>
      <c r="C2" s="55" t="s">
        <v>280</v>
      </c>
    </row>
    <row r="3" spans="2:3" x14ac:dyDescent="0.25">
      <c r="B3" s="52">
        <v>2</v>
      </c>
      <c r="C3" s="53" t="s">
        <v>281</v>
      </c>
    </row>
    <row r="4" spans="2:3" x14ac:dyDescent="0.25">
      <c r="B4" s="52">
        <v>3</v>
      </c>
      <c r="C4" s="54" t="s">
        <v>282</v>
      </c>
    </row>
    <row r="5" spans="2:3" ht="30" x14ac:dyDescent="0.25">
      <c r="B5" s="52">
        <v>4</v>
      </c>
      <c r="C5" s="53" t="s">
        <v>283</v>
      </c>
    </row>
    <row r="6" spans="2:3" x14ac:dyDescent="0.25">
      <c r="B6" s="52">
        <v>5</v>
      </c>
      <c r="C6" s="54" t="s">
        <v>284</v>
      </c>
    </row>
    <row r="7" spans="2:3" ht="30" x14ac:dyDescent="0.25">
      <c r="B7" s="52">
        <v>6</v>
      </c>
      <c r="C7" s="53" t="s">
        <v>285</v>
      </c>
    </row>
    <row r="8" spans="2:3" ht="90" x14ac:dyDescent="0.25">
      <c r="B8" s="52">
        <v>7</v>
      </c>
      <c r="C8" s="53" t="s">
        <v>286</v>
      </c>
    </row>
    <row r="9" spans="2:3" x14ac:dyDescent="0.25">
      <c r="B9" s="52">
        <v>8</v>
      </c>
      <c r="C9" s="54" t="s">
        <v>287</v>
      </c>
    </row>
    <row r="10" spans="2:3" x14ac:dyDescent="0.25">
      <c r="B10" s="52">
        <v>9</v>
      </c>
      <c r="C10" s="54" t="s">
        <v>288</v>
      </c>
    </row>
    <row r="11" spans="2:3" x14ac:dyDescent="0.25">
      <c r="B11" s="52">
        <v>10</v>
      </c>
      <c r="C11" s="54" t="s">
        <v>289</v>
      </c>
    </row>
    <row r="12" spans="2:3" x14ac:dyDescent="0.25">
      <c r="B12" s="52">
        <v>11</v>
      </c>
      <c r="C12" s="54" t="s">
        <v>290</v>
      </c>
    </row>
    <row r="13" spans="2:3" x14ac:dyDescent="0.25">
      <c r="B13" s="52">
        <v>12</v>
      </c>
      <c r="C13" s="54" t="s">
        <v>291</v>
      </c>
    </row>
    <row r="14" spans="2:3" x14ac:dyDescent="0.25">
      <c r="B14" s="52">
        <v>13</v>
      </c>
      <c r="C14" s="54" t="s">
        <v>292</v>
      </c>
    </row>
    <row r="15" spans="2:3" x14ac:dyDescent="0.25">
      <c r="B15" s="52">
        <v>14</v>
      </c>
      <c r="C15" s="54" t="s">
        <v>282</v>
      </c>
    </row>
    <row r="16" spans="2:3" x14ac:dyDescent="0.25">
      <c r="B16" s="52">
        <v>15</v>
      </c>
      <c r="C16" s="54" t="s">
        <v>294</v>
      </c>
    </row>
    <row r="17" spans="2:3" ht="31.5" customHeight="1" x14ac:dyDescent="0.25">
      <c r="B17" s="58">
        <v>16</v>
      </c>
      <c r="C17" s="60" t="s">
        <v>295</v>
      </c>
    </row>
    <row r="18" spans="2:3" x14ac:dyDescent="0.25">
      <c r="B18" s="59">
        <v>17</v>
      </c>
      <c r="C18" s="60" t="s">
        <v>296</v>
      </c>
    </row>
    <row r="19" spans="2:3" x14ac:dyDescent="0.25">
      <c r="B19" s="58">
        <v>18</v>
      </c>
      <c r="C19" s="52" t="s">
        <v>297</v>
      </c>
    </row>
    <row r="20" spans="2:3" x14ac:dyDescent="0.25">
      <c r="B20" s="59">
        <v>19</v>
      </c>
      <c r="C20" s="52"/>
    </row>
    <row r="21" spans="2:3" x14ac:dyDescent="0.25">
      <c r="B21" s="61">
        <v>20</v>
      </c>
      <c r="C21" s="52"/>
    </row>
    <row r="22" spans="2:3" x14ac:dyDescent="0.25">
      <c r="B22" s="52"/>
      <c r="C22" s="52"/>
    </row>
    <row r="23" spans="2:3" x14ac:dyDescent="0.25">
      <c r="B23" s="52"/>
      <c r="C23" s="52"/>
    </row>
    <row r="24" spans="2:3" x14ac:dyDescent="0.25">
      <c r="B24" s="52"/>
      <c r="C24" s="52"/>
    </row>
    <row r="25" spans="2:3" x14ac:dyDescent="0.25">
      <c r="B25" s="52"/>
      <c r="C25" s="52"/>
    </row>
    <row r="26" spans="2:3" x14ac:dyDescent="0.25">
      <c r="B26" s="52"/>
      <c r="C26" s="52"/>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2025-08-19T10:47:36Z</cp:lastPrinted>
  <dcterms:created xsi:type="dcterms:W3CDTF">2019-07-16T09:29:46Z</dcterms:created>
  <dcterms:modified xsi:type="dcterms:W3CDTF">2025-08-19T10:48:25Z</dcterms:modified>
</cp:coreProperties>
</file>