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635" windowHeight="7020" tabRatio="725"/>
  </bookViews>
  <sheets>
    <sheet name="Report" sheetId="1" r:id="rId1"/>
    <sheet name="valuation" sheetId="5" r:id="rId2"/>
    <sheet name="Research" sheetId="4" r:id="rId3"/>
    <sheet name="Remarks" sheetId="6" r:id="rId4"/>
    <sheet name="Area" sheetId="7" r:id="rId5"/>
  </sheets>
  <definedNames>
    <definedName name="_xlnm.Print_Area" localSheetId="0">Report!$A$1:$H$797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Sachin</author>
    <author>SACHIN</author>
  </authors>
  <commentList>
    <comment ref="E12" authorId="0">
      <text>
        <r>
          <rPr>
            <b/>
            <sz val="9"/>
            <rFont val="Tahoma"/>
            <charset val="134"/>
          </rPr>
          <t>Sachin:</t>
        </r>
        <r>
          <rPr>
            <sz val="9"/>
            <rFont val="Tahoma"/>
            <charset val="134"/>
          </rPr>
          <t xml:space="preserve">
Building No. 
Tower No.
Wing 
Bunglow No., etc</t>
        </r>
      </text>
    </comment>
    <comment ref="E13" authorId="0">
      <text>
        <r>
          <rPr>
            <b/>
            <sz val="9"/>
            <rFont val="Tahoma"/>
            <charset val="134"/>
          </rPr>
          <t>Sachin:</t>
        </r>
        <r>
          <rPr>
            <sz val="9"/>
            <rFont val="Tahoma"/>
            <charset val="134"/>
          </rPr>
          <t xml:space="preserve">
If exisiting Building is provided write it or else
NA</t>
        </r>
      </text>
    </comment>
    <comment ref="C58" authorId="1">
      <text>
        <r>
          <rPr>
            <b/>
            <sz val="9"/>
            <rFont val="Tahoma"/>
            <charset val="134"/>
          </rPr>
          <t>SACHIN:</t>
        </r>
        <r>
          <rPr>
            <sz val="9"/>
            <rFont val="Tahoma"/>
            <charset val="134"/>
          </rPr>
          <t xml:space="preserve">
Floor with height</t>
        </r>
      </text>
    </comment>
    <comment ref="C60" authorId="1">
      <text>
        <r>
          <rPr>
            <b/>
            <sz val="9"/>
            <rFont val="Tahoma"/>
            <charset val="134"/>
          </rPr>
          <t>SACHIN:</t>
        </r>
        <r>
          <rPr>
            <sz val="9"/>
            <rFont val="Tahoma"/>
            <charset val="134"/>
          </rPr>
          <t xml:space="preserve">
Survey Nos.</t>
        </r>
      </text>
    </comment>
    <comment ref="C62" authorId="1">
      <text>
        <r>
          <rPr>
            <b/>
            <sz val="9"/>
            <rFont val="Tahoma"/>
            <charset val="134"/>
          </rPr>
          <t>SACHIN:</t>
        </r>
        <r>
          <rPr>
            <sz val="9"/>
            <rFont val="Tahoma"/>
            <charset val="134"/>
          </rPr>
          <t xml:space="preserve">
Height from AMSL</t>
        </r>
      </text>
    </comment>
    <comment ref="D65" authorId="0">
      <text>
        <r>
          <rPr>
            <b/>
            <sz val="9"/>
            <rFont val="Tahoma"/>
            <charset val="134"/>
          </rPr>
          <t>Sachin:</t>
        </r>
        <r>
          <rPr>
            <sz val="9"/>
            <rFont val="Tahoma"/>
            <charset val="134"/>
          </rPr>
          <t xml:space="preserve">
If multiple building in project or complex just mention builtup of required building</t>
        </r>
      </text>
    </comment>
    <comment ref="F170" authorId="1">
      <text>
        <r>
          <rPr>
            <b/>
            <sz val="9"/>
            <rFont val="Tahoma"/>
            <charset val="134"/>
          </rPr>
          <t>SACHIN:</t>
        </r>
        <r>
          <rPr>
            <sz val="9"/>
            <rFont val="Tahoma"/>
            <charset val="134"/>
          </rPr>
          <t xml:space="preserve">
Other charges should be given on basis of location amenties builder type n should not exceed above 12 lakhs or 8% of flat value</t>
        </r>
      </text>
    </comment>
    <comment ref="H271" authorId="1">
      <text>
        <r>
          <rPr>
            <b/>
            <sz val="9"/>
            <rFont val="Tahoma"/>
            <charset val="134"/>
          </rPr>
          <t>SACHIN:</t>
        </r>
        <r>
          <rPr>
            <sz val="9"/>
            <rFont val="Tahoma"/>
            <charset val="134"/>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text>
        <r>
          <rPr>
            <b/>
            <sz val="9"/>
            <rFont val="Tahoma"/>
            <charset val="134"/>
          </rPr>
          <t>SACHIN:</t>
        </r>
        <r>
          <rPr>
            <sz val="9"/>
            <rFont val="Tahoma"/>
            <charset val="134"/>
          </rPr>
          <t xml:space="preserve">
If banker changes the rate</t>
        </r>
      </text>
    </comment>
    <comment ref="C10" authorId="0">
      <text>
        <r>
          <rPr>
            <b/>
            <sz val="9"/>
            <rFont val="Tahoma"/>
            <charset val="134"/>
          </rPr>
          <t>SACHIN:</t>
        </r>
        <r>
          <rPr>
            <sz val="9"/>
            <rFont val="Tahoma"/>
            <charset val="134"/>
          </rPr>
          <t xml:space="preserve">
If we change the rate</t>
        </r>
      </text>
    </comment>
  </commentList>
</comments>
</file>

<file path=xl/sharedStrings.xml><?xml version="1.0" encoding="utf-8"?>
<sst xmlns="http://schemas.openxmlformats.org/spreadsheetml/2006/main" count="1145" uniqueCount="412">
  <si>
    <t>Office No. 1031, Wing J, Akshar Business Park, Plot No. 03 Sector 25, Near APMC Market, Vashi, Navi Mumbai, Maharashtra 400703 TEL: 022-46090378/79/80                                                                       
E mail : vsjcapf@gmail.com. Web site : www.vsjadon.com</t>
  </si>
  <si>
    <t xml:space="preserve">Valuation Report </t>
  </si>
  <si>
    <t>Date:</t>
  </si>
  <si>
    <t>Bank</t>
  </si>
  <si>
    <t>Axis Bank</t>
  </si>
  <si>
    <t>PNB Housing Finance Limited</t>
  </si>
  <si>
    <t>Cent Bank</t>
  </si>
  <si>
    <t>Indiabulls Housing Finance Ltd</t>
  </si>
  <si>
    <t>ABFHL</t>
  </si>
  <si>
    <t>Bank Name:</t>
  </si>
  <si>
    <t>Branch</t>
  </si>
  <si>
    <t>Axis Goregaon</t>
  </si>
  <si>
    <t>PNB Thane</t>
  </si>
  <si>
    <t>Cent Kalyan</t>
  </si>
  <si>
    <t>IBHF Kalyan</t>
  </si>
  <si>
    <t>CPC Name:</t>
  </si>
  <si>
    <t>Axis Thane</t>
  </si>
  <si>
    <t>PNB Borivali</t>
  </si>
  <si>
    <t>Cent Belapur</t>
  </si>
  <si>
    <t>IBHF Badlapur</t>
  </si>
  <si>
    <t>Date Of Property Visit</t>
  </si>
  <si>
    <t>09/08/2025.</t>
  </si>
  <si>
    <t>Axis Sanpada</t>
  </si>
  <si>
    <t>IBHF Vashi</t>
  </si>
  <si>
    <t>Name of the builder group</t>
  </si>
  <si>
    <t>Mahindra Lifespace Developers limited</t>
  </si>
  <si>
    <t>Axis Badlapur</t>
  </si>
  <si>
    <t>Name of the builder company</t>
  </si>
  <si>
    <t>IBHF Thane</t>
  </si>
  <si>
    <t>Name of the Project</t>
  </si>
  <si>
    <t>Mahindra Vista Phase 1 &amp; 2</t>
  </si>
  <si>
    <t>IBHF Andheri</t>
  </si>
  <si>
    <t>Provided Contact Details (Name &amp; Contact No.)</t>
  </si>
  <si>
    <t>2224901441/2224975081</t>
  </si>
  <si>
    <t>Site Person - Contact Details (Name &amp; Contact No.)</t>
  </si>
  <si>
    <t>Mr. Atul 9029015131</t>
  </si>
  <si>
    <t>Name / No of the Building</t>
  </si>
  <si>
    <t>Tower A to F &amp; Retail Wing</t>
  </si>
  <si>
    <t>Name / No of the Existing Building</t>
  </si>
  <si>
    <t>NA</t>
  </si>
  <si>
    <t xml:space="preserve">Thane </t>
  </si>
  <si>
    <t>Palghar</t>
  </si>
  <si>
    <t>Mumbai</t>
  </si>
  <si>
    <t>Raigad</t>
  </si>
  <si>
    <t>Pune</t>
  </si>
  <si>
    <t>Documents Provided</t>
  </si>
  <si>
    <t>Approved Plans, CC</t>
  </si>
  <si>
    <t>Thane</t>
  </si>
  <si>
    <t>Mokhada</t>
  </si>
  <si>
    <t>Andheri</t>
  </si>
  <si>
    <t>Alibag</t>
  </si>
  <si>
    <t>Pune City</t>
  </si>
  <si>
    <t>RERA No.</t>
  </si>
  <si>
    <t>Mahindra Vista Phase 1 
(P51800054671)</t>
  </si>
  <si>
    <t>Tower A, B &amp; C</t>
  </si>
  <si>
    <t>Shahpur</t>
  </si>
  <si>
    <t>Talasari</t>
  </si>
  <si>
    <t>Borivali</t>
  </si>
  <si>
    <t>Panvel</t>
  </si>
  <si>
    <t>Haveli</t>
  </si>
  <si>
    <t>Mahindra Vista Phase 2
(P51800079147)</t>
  </si>
  <si>
    <t>Tower D, E, F &amp; Retail Wing</t>
  </si>
  <si>
    <t xml:space="preserve">Old RERA Site Phase 2 </t>
  </si>
  <si>
    <t>Kalyan</t>
  </si>
  <si>
    <t>Vasai</t>
  </si>
  <si>
    <t>Kurla</t>
  </si>
  <si>
    <t>Uran</t>
  </si>
  <si>
    <t>Khed</t>
  </si>
  <si>
    <t xml:space="preserve">Project location details       </t>
  </si>
  <si>
    <t>Bhiwandi</t>
  </si>
  <si>
    <t>Vikramgad</t>
  </si>
  <si>
    <t>Karjat</t>
  </si>
  <si>
    <t>Baramati</t>
  </si>
  <si>
    <t>CTS No</t>
  </si>
  <si>
    <t>174.A/3</t>
  </si>
  <si>
    <t>Ulhasnagar</t>
  </si>
  <si>
    <t>Khalapur</t>
  </si>
  <si>
    <t>Junnar</t>
  </si>
  <si>
    <t>Locality</t>
  </si>
  <si>
    <t>Singh Agri Estate</t>
  </si>
  <si>
    <t>Ambernath</t>
  </si>
  <si>
    <t>Dahanu</t>
  </si>
  <si>
    <t>Pen</t>
  </si>
  <si>
    <t>Shirur</t>
  </si>
  <si>
    <t>Road</t>
  </si>
  <si>
    <t>Akurli Road</t>
  </si>
  <si>
    <t>Locality/Village</t>
  </si>
  <si>
    <t>Akurli</t>
  </si>
  <si>
    <t>Murbad</t>
  </si>
  <si>
    <t>Wada</t>
  </si>
  <si>
    <t>Sudhagad</t>
  </si>
  <si>
    <t>Indapur</t>
  </si>
  <si>
    <t>City</t>
  </si>
  <si>
    <t>Kandivali (East)</t>
  </si>
  <si>
    <t>District</t>
  </si>
  <si>
    <t>Mahad</t>
  </si>
  <si>
    <t>Daund</t>
  </si>
  <si>
    <t>Taluka</t>
  </si>
  <si>
    <t>Pin Code</t>
  </si>
  <si>
    <t>Roha</t>
  </si>
  <si>
    <t>Mawal</t>
  </si>
  <si>
    <t>Nearby Landmark</t>
  </si>
  <si>
    <t>Birchwood, Raheja Willows</t>
  </si>
  <si>
    <t xml:space="preserve">Distance from city centre: </t>
  </si>
  <si>
    <t>4.4 KM from Malad Railway Station</t>
  </si>
  <si>
    <t>Mangaon</t>
  </si>
  <si>
    <t>Ambegaon</t>
  </si>
  <si>
    <t>Accessibility to the Project from the City: (Proximity to civic amenities like school, hospital, market, etc.)</t>
  </si>
  <si>
    <t>all available at  1 to 2 km.</t>
  </si>
  <si>
    <t>Poladpur</t>
  </si>
  <si>
    <t>Purandhar</t>
  </si>
  <si>
    <t>Mahasala</t>
  </si>
  <si>
    <t>Bhor</t>
  </si>
  <si>
    <t>Does property have Electricity / Water / Drainage Connection</t>
  </si>
  <si>
    <t>Yes</t>
  </si>
  <si>
    <t>Shriwardhan</t>
  </si>
  <si>
    <t>Mulshi</t>
  </si>
  <si>
    <t>Class of locality</t>
  </si>
  <si>
    <t>Murud</t>
  </si>
  <si>
    <t>Velhe</t>
  </si>
  <si>
    <t>Nature of land with topographical condtion</t>
  </si>
  <si>
    <t>Plane</t>
  </si>
  <si>
    <t xml:space="preserve">Nature of the locality </t>
  </si>
  <si>
    <t>Quality of infrastructure in vicinity</t>
  </si>
  <si>
    <t>Good</t>
  </si>
  <si>
    <t>Type of Structure</t>
  </si>
  <si>
    <t>RCC Frame Structure</t>
  </si>
  <si>
    <t xml:space="preserve">Approved usage of the Property:                                                                                                                                             </t>
  </si>
  <si>
    <t>Restrictive Covenants in regard to Land Use</t>
  </si>
  <si>
    <t>No</t>
  </si>
  <si>
    <t>Boundries</t>
  </si>
  <si>
    <t>As per Layout</t>
  </si>
  <si>
    <t>At site</t>
  </si>
  <si>
    <t>East</t>
  </si>
  <si>
    <t>Other Plot</t>
  </si>
  <si>
    <t>Lokhandwala Road</t>
  </si>
  <si>
    <t>West</t>
  </si>
  <si>
    <t>36.60 M.Wide D.P.Road</t>
  </si>
  <si>
    <t>Internal Road</t>
  </si>
  <si>
    <t>North</t>
  </si>
  <si>
    <t>South</t>
  </si>
  <si>
    <t>18.30 M.Wide Akurli Road</t>
  </si>
  <si>
    <t>Does the boundaries at site match, as mentioned in the Documentation: NA</t>
  </si>
  <si>
    <t>Latitude, Longitude</t>
  </si>
  <si>
    <t>19.2020453,72.8751215</t>
  </si>
  <si>
    <t>Location Link</t>
  </si>
  <si>
    <t>https://maps.app.goo.gl/jwRSNy8a4uZibM9k6</t>
  </si>
  <si>
    <t>Area Statement Details :</t>
  </si>
  <si>
    <t>Total land area of the project in Sq. Mt.</t>
  </si>
  <si>
    <t>Permissible FSI</t>
  </si>
  <si>
    <t>Permissible TDR/Paid FSI</t>
  </si>
  <si>
    <t>Total FSI availaible for the project</t>
  </si>
  <si>
    <t>Total Approved Builtup area of the project (Sq.Mt)</t>
  </si>
  <si>
    <t>Total number of Buildings</t>
  </si>
  <si>
    <t>07 Wings</t>
  </si>
  <si>
    <t xml:space="preserve">Approval Detail : Plan approval </t>
  </si>
  <si>
    <t>Authorites</t>
  </si>
  <si>
    <t>Name of Municipal Corporation/Authority</t>
  </si>
  <si>
    <t>Municipal Corporation of Greater Mumbai (MCGM)</t>
  </si>
  <si>
    <t>Slum Rehabilitation Authority (SRA)</t>
  </si>
  <si>
    <t>Navi Mumbai Municipal Corporation (NMMC)</t>
  </si>
  <si>
    <t>Panvel Municipal Corporation</t>
  </si>
  <si>
    <t>Vasai-Virar City Municipal Corporation. (VVCMC)</t>
  </si>
  <si>
    <t xml:space="preserve">Layout Approval No     </t>
  </si>
  <si>
    <t>P-14015/2022/(174A/3)/R/S Ward/AKURLI-R/S/337/3/Amend</t>
  </si>
  <si>
    <t>Dated</t>
  </si>
  <si>
    <t>27/12/2024.</t>
  </si>
  <si>
    <t>Thane Muncipal Cooperation (TMC)</t>
  </si>
  <si>
    <t>City and Industrial Development Corporation (CIDCO)</t>
  </si>
  <si>
    <t>Collector Of Palghar</t>
  </si>
  <si>
    <t>Approved Floor plan No.</t>
  </si>
  <si>
    <t>Mumbai Metropolitan Region Development Authority (MMRDA)</t>
  </si>
  <si>
    <t>Ambernath Municipal Council (AMC)</t>
  </si>
  <si>
    <t>Navi Mumbai Airport Influence Notified Area (NAINA)</t>
  </si>
  <si>
    <t xml:space="preserve">Commencement-CC No
Valid Up to: </t>
  </si>
  <si>
    <t>P-14015/2022/(174A/3)/R/S Ward/AKURLI-R/S/CC/1/New</t>
  </si>
  <si>
    <t>19/01/2024.</t>
  </si>
  <si>
    <t>Maharashtra Housing and Area Development Authority(MHADA)</t>
  </si>
  <si>
    <t>Kalyan Dombivli Municipal Corporation (KMDC)</t>
  </si>
  <si>
    <t>Maharashtra State Road Development Corporation Limited (MSRDC)</t>
  </si>
  <si>
    <t>Town Planner, Palghar</t>
  </si>
  <si>
    <t>This C.C. is granted for work up to Plinth at Ground level only, for Wing A,B &amp; C as per approved IOD plans dtd. 27.12.2023.</t>
  </si>
  <si>
    <t>Valid Upto 
Date</t>
  </si>
  <si>
    <t>18/01/2026.</t>
  </si>
  <si>
    <t>Kulgoan Badlapur Municipal Council</t>
  </si>
  <si>
    <t>Pen Municipal Council</t>
  </si>
  <si>
    <t>P-14015/2022/(174A/3)/R/S
Ward/AKURLI-R/S/CC/1/Amend</t>
  </si>
  <si>
    <t>22/01/2025.</t>
  </si>
  <si>
    <t>Town Planning Thane</t>
  </si>
  <si>
    <t>Raigad Zilha Parishad</t>
  </si>
  <si>
    <t>This C.C. is re-endorsed for work upto Plinth level only for Wings A, B, C, D, E, F and retail Wing up to Lower ground level as per approved Amended plans dated 27.12.2024.(C.C.Valid upto 18.01.2026).</t>
  </si>
  <si>
    <t>21/01/2026.</t>
  </si>
  <si>
    <t>Ulhasnagar Municipal Corporation</t>
  </si>
  <si>
    <t>Roha Municipal Council</t>
  </si>
  <si>
    <t xml:space="preserve">Fire Noc No
Valid Up to: </t>
  </si>
  <si>
    <t>Nagar Rachana Ani Mulya Nirdharan Vibhag Thane</t>
  </si>
  <si>
    <t>Collector Of Raigad</t>
  </si>
  <si>
    <t>Bhiwandi Nizampur City Municipal Corporation</t>
  </si>
  <si>
    <t xml:space="preserve">Environmental Clearance Certificate (EC) No
Valid Up for: </t>
  </si>
  <si>
    <t>Maharashtra Industrial Development Corporation (MIDC)</t>
  </si>
  <si>
    <t>Mira-Bhayandar Municipal Corporation</t>
  </si>
  <si>
    <t xml:space="preserve">Airport Noc No
Valid Up to: </t>
  </si>
  <si>
    <t xml:space="preserve">O. Certificate No.: </t>
  </si>
  <si>
    <t>NA
Approved upto : NA</t>
  </si>
  <si>
    <t>Building wise Construction details</t>
  </si>
  <si>
    <t>Approved area of building (Sq.Mt)</t>
  </si>
  <si>
    <t>Approved no of units</t>
  </si>
  <si>
    <t>Sale Flat = 1067, I to R Flat = 132 
Shop = 62</t>
  </si>
  <si>
    <t>Approved no of Floors</t>
  </si>
  <si>
    <r>
      <rPr>
        <b/>
        <sz val="12"/>
        <rFont val="Times New Roman"/>
        <charset val="134"/>
      </rPr>
      <t>Phase 1 (Tower A &amp; B)</t>
    </r>
    <r>
      <rPr>
        <sz val="12"/>
        <rFont val="Times New Roman"/>
        <charset val="134"/>
      </rPr>
      <t xml:space="preserve"> = 1B + Gr + P1 to P6 + 6th (Res.) + 1st to 33rd Floor
</t>
    </r>
    <r>
      <rPr>
        <b/>
        <sz val="12"/>
        <rFont val="Times New Roman"/>
        <charset val="134"/>
      </rPr>
      <t>Phase 1</t>
    </r>
    <r>
      <rPr>
        <sz val="12"/>
        <rFont val="Times New Roman"/>
        <charset val="134"/>
      </rPr>
      <t xml:space="preserve"> (</t>
    </r>
    <r>
      <rPr>
        <b/>
        <sz val="12"/>
        <rFont val="Times New Roman"/>
        <charset val="134"/>
      </rPr>
      <t>Tower C)</t>
    </r>
    <r>
      <rPr>
        <sz val="12"/>
        <rFont val="Times New Roman"/>
        <charset val="134"/>
      </rPr>
      <t xml:space="preserve"> = 1B + Gr + P1 to P6 + 6th (Res.) + 1st to 34th Floor
</t>
    </r>
    <r>
      <rPr>
        <b/>
        <sz val="12"/>
        <rFont val="Times New Roman"/>
        <charset val="134"/>
      </rPr>
      <t>Phase 2</t>
    </r>
    <r>
      <rPr>
        <sz val="12"/>
        <rFont val="Times New Roman"/>
        <charset val="134"/>
      </rPr>
      <t xml:space="preserve"> (</t>
    </r>
    <r>
      <rPr>
        <b/>
        <sz val="12"/>
        <rFont val="Times New Roman"/>
        <charset val="134"/>
      </rPr>
      <t>Tower D)</t>
    </r>
    <r>
      <rPr>
        <sz val="12"/>
        <rFont val="Times New Roman"/>
        <charset val="134"/>
      </rPr>
      <t xml:space="preserve"> = 1B + Gr + P1 to P6 + 6th (Res.) + 1st to 34th Floor
</t>
    </r>
    <r>
      <rPr>
        <b/>
        <sz val="12"/>
        <rFont val="Times New Roman"/>
        <charset val="134"/>
      </rPr>
      <t xml:space="preserve">Phase 2 </t>
    </r>
    <r>
      <rPr>
        <sz val="12"/>
        <rFont val="Times New Roman"/>
        <charset val="134"/>
      </rPr>
      <t>(</t>
    </r>
    <r>
      <rPr>
        <b/>
        <sz val="12"/>
        <rFont val="Times New Roman"/>
        <charset val="134"/>
      </rPr>
      <t xml:space="preserve">Tower E &amp; F) </t>
    </r>
    <r>
      <rPr>
        <sz val="12"/>
        <rFont val="Times New Roman"/>
        <charset val="134"/>
      </rPr>
      <t>= 1B + Gr + P1 to P6 + 6th (Res.) + 1st to 33rd Floor</t>
    </r>
    <r>
      <rPr>
        <b/>
        <sz val="12"/>
        <rFont val="Times New Roman"/>
        <charset val="134"/>
      </rPr>
      <t xml:space="preserve">
Phase 2 (Retail Wing) = </t>
    </r>
    <r>
      <rPr>
        <sz val="12"/>
        <rFont val="Times New Roman"/>
        <charset val="134"/>
      </rPr>
      <t>LG + UG  + 1st to 2nd Floor</t>
    </r>
  </si>
  <si>
    <t>Proposed no of Floors</t>
  </si>
  <si>
    <r>
      <rPr>
        <b/>
        <sz val="12"/>
        <rFont val="Times New Roman"/>
        <charset val="134"/>
      </rPr>
      <t xml:space="preserve">Phase 1 (Tower A &amp; B) = </t>
    </r>
    <r>
      <rPr>
        <sz val="12"/>
        <rFont val="Times New Roman"/>
        <charset val="134"/>
      </rPr>
      <t>1B + Gr + P1 to P6 + 6th (Res.) + 1st to 33rd Floor</t>
    </r>
  </si>
  <si>
    <r>
      <rPr>
        <b/>
        <sz val="12"/>
        <rFont val="Times New Roman"/>
        <charset val="134"/>
      </rPr>
      <t xml:space="preserve">Phase 1 (Tower C) </t>
    </r>
    <r>
      <rPr>
        <sz val="12"/>
        <rFont val="Times New Roman"/>
        <charset val="134"/>
      </rPr>
      <t>= 1B + Gr + P1 to P6 + 6th (Res.) + 1st to 34th Floor</t>
    </r>
  </si>
  <si>
    <r>
      <rPr>
        <b/>
        <sz val="12"/>
        <rFont val="Times New Roman"/>
        <charset val="134"/>
      </rPr>
      <t xml:space="preserve">Phase 2 (Tower D) </t>
    </r>
    <r>
      <rPr>
        <sz val="12"/>
        <rFont val="Times New Roman"/>
        <charset val="134"/>
      </rPr>
      <t>= 1B + Gr + P1 to P6 + 6th (Res.) + 1st to 34th Floor</t>
    </r>
  </si>
  <si>
    <r>
      <rPr>
        <b/>
        <sz val="12"/>
        <rFont val="Times New Roman"/>
        <charset val="134"/>
      </rPr>
      <t>Phase 2 (Tower E)</t>
    </r>
    <r>
      <rPr>
        <sz val="12"/>
        <rFont val="Times New Roman"/>
        <charset val="134"/>
      </rPr>
      <t xml:space="preserve"> = 1B + Gr + P1 to P6 + 6th (Res.) + 1st to 33rd Floor</t>
    </r>
  </si>
  <si>
    <r>
      <rPr>
        <b/>
        <sz val="12"/>
        <rFont val="Times New Roman"/>
        <charset val="134"/>
      </rPr>
      <t>Phase 2 (Tower F)</t>
    </r>
    <r>
      <rPr>
        <sz val="12"/>
        <rFont val="Times New Roman"/>
        <charset val="134"/>
      </rPr>
      <t xml:space="preserve"> =  1B + Gr + P1 to P6 + 6th (Res.) + 1st to 33rd Floor</t>
    </r>
  </si>
  <si>
    <r>
      <rPr>
        <b/>
        <sz val="12"/>
        <rFont val="Times New Roman"/>
        <charset val="134"/>
      </rPr>
      <t xml:space="preserve">Phase 2 (Retail Wing) = </t>
    </r>
    <r>
      <rPr>
        <sz val="12"/>
        <rFont val="Times New Roman"/>
        <charset val="134"/>
      </rPr>
      <t>LG + UG + 1st to 2nd Floo</t>
    </r>
    <r>
      <rPr>
        <b/>
        <sz val="12"/>
        <rFont val="Times New Roman"/>
        <charset val="134"/>
      </rPr>
      <t>r</t>
    </r>
  </si>
  <si>
    <t>Expected Completion</t>
  </si>
  <si>
    <t>As per RERA - Phase 1 = 31/12/2029
                        Phase 2 =31/12/2030</t>
  </si>
  <si>
    <t>Projected life of the structure</t>
  </si>
  <si>
    <t xml:space="preserve">Quality of construction: </t>
  </si>
  <si>
    <r>
      <rPr>
        <sz val="12"/>
        <rFont val="Times New Roman"/>
        <charset val="134"/>
      </rPr>
      <t xml:space="preserve">Proposed Amenities :                                                                                                                                                                                                                         </t>
    </r>
    <r>
      <rPr>
        <b/>
        <sz val="12"/>
        <rFont val="Times New Roman"/>
        <charset val="134"/>
      </rPr>
      <t xml:space="preserve">                                               </t>
    </r>
  </si>
  <si>
    <t>Swimming Pool, Kids Play Area, Reflexology Track, Gymnasium, Multipurpose hall, Reflexology track, Walking path</t>
  </si>
  <si>
    <t xml:space="preserve">Violations Observed if any : </t>
  </si>
  <si>
    <t xml:space="preserve">Material laying at Site: </t>
  </si>
  <si>
    <t xml:space="preserve">Wheather the construction is as per approved Building plan : </t>
  </si>
  <si>
    <t>Construction details:</t>
  </si>
  <si>
    <t>Basement</t>
  </si>
  <si>
    <t>Ground</t>
  </si>
  <si>
    <t>Podium</t>
  </si>
  <si>
    <t>Floors</t>
  </si>
  <si>
    <t xml:space="preserve">Stage of construction: </t>
  </si>
  <si>
    <t>Type of Work</t>
  </si>
  <si>
    <t>Slab/Floor</t>
  </si>
  <si>
    <t>Complition %</t>
  </si>
  <si>
    <t>Progress %</t>
  </si>
  <si>
    <t>Disbursement %</t>
  </si>
  <si>
    <t>Piling Work in process</t>
  </si>
  <si>
    <t>Excavation</t>
  </si>
  <si>
    <t>Excavation in process</t>
  </si>
  <si>
    <t>Plinth</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</si>
  <si>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</si>
  <si>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</si>
  <si>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</si>
  <si>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</si>
  <si>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</si>
  <si>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</si>
  <si>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</si>
  <si>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</si>
  <si>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</si>
  <si>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</si>
  <si>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</si>
  <si>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</si>
  <si>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</si>
  <si>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</si>
  <si>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</si>
  <si>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</si>
  <si>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</si>
  <si>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</si>
  <si>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</si>
  <si>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 xml:space="preserve">Recommended Rates of the Property : </t>
  </si>
  <si>
    <t>On Saleable Area</t>
  </si>
  <si>
    <t>Online</t>
  </si>
  <si>
    <t>Visitor</t>
  </si>
  <si>
    <t>MIS</t>
  </si>
  <si>
    <t>Recommended rate of the Flat Per Sq. Ft.</t>
  </si>
  <si>
    <t>Recommended rate of the Shop Per Sq. Ft.</t>
  </si>
  <si>
    <t>32000 to 47000</t>
  </si>
  <si>
    <t>shailesh cost sheet case UG17</t>
  </si>
  <si>
    <t>Recommended rate of the Office Per Sq. Ft.</t>
  </si>
  <si>
    <t>Floor Rise Rate from    Floor</t>
  </si>
  <si>
    <t>Common Area Maintenance (24 months)</t>
  </si>
  <si>
    <t>Development Charges</t>
  </si>
  <si>
    <t>Club Charges</t>
  </si>
  <si>
    <t>Gas Connection Charges</t>
  </si>
  <si>
    <t>Water, Electricity, Drainages, Sewerage Connection</t>
  </si>
  <si>
    <t>Society Formation Charges</t>
  </si>
  <si>
    <t>Advance Maintenance Charges</t>
  </si>
  <si>
    <t xml:space="preserve">Recommended rate of Parking </t>
  </si>
  <si>
    <t xml:space="preserve"> Rate 19000 Bhargav Verbal CAse A2205</t>
  </si>
  <si>
    <t>Distressed valuation of the Property</t>
  </si>
  <si>
    <t>47000 to 48000</t>
  </si>
  <si>
    <t>shailesh cost sheet case UG8 &amp; 16</t>
  </si>
  <si>
    <t>Commercial Area Details : (Shop)</t>
  </si>
  <si>
    <t>Building &amp; Wing</t>
  </si>
  <si>
    <t>No. of Units</t>
  </si>
  <si>
    <t>Total Carpet Area</t>
  </si>
  <si>
    <t>Total Saleable Area</t>
  </si>
  <si>
    <t>Phase 2</t>
  </si>
  <si>
    <t>Retail Wing</t>
  </si>
  <si>
    <t>Total</t>
  </si>
  <si>
    <t>Residential Area Details : (Sale Flat)</t>
  </si>
  <si>
    <t xml:space="preserve"> Phase 1</t>
  </si>
  <si>
    <t>Tower A</t>
  </si>
  <si>
    <t>Tower B</t>
  </si>
  <si>
    <t>Tower C</t>
  </si>
  <si>
    <t xml:space="preserve"> Phase 2</t>
  </si>
  <si>
    <t>Tower D</t>
  </si>
  <si>
    <t>Tower E</t>
  </si>
  <si>
    <t>Tower F</t>
  </si>
  <si>
    <t>Residential Area Details :(I to R Flat)</t>
  </si>
  <si>
    <t>Grand Total</t>
  </si>
  <si>
    <t>Building Details Floor Wise</t>
  </si>
  <si>
    <t xml:space="preserve">Details of Residential &amp; Commercials in Building   </t>
  </si>
  <si>
    <r>
      <rPr>
        <b/>
        <sz val="12"/>
        <rFont val="Times New Roman"/>
        <charset val="134"/>
      </rPr>
      <t xml:space="preserve">Shop No.
</t>
    </r>
    <r>
      <rPr>
        <b/>
        <sz val="11"/>
        <rFont val="Times New Roman"/>
        <charset val="134"/>
      </rPr>
      <t>(Approved Plan)</t>
    </r>
  </si>
  <si>
    <t>Shop No. (Sale Plan)</t>
  </si>
  <si>
    <t>Description</t>
  </si>
  <si>
    <t>Carpet area</t>
  </si>
  <si>
    <t>Attached Loft area</t>
  </si>
  <si>
    <t>Gross Carpet area</t>
  </si>
  <si>
    <t>Attached Terrace area</t>
  </si>
  <si>
    <t>Saleable area Loading :</t>
  </si>
  <si>
    <t>Mahindra Vista Phase 2</t>
  </si>
  <si>
    <t>Lower Ground Floor For Commercial &amp; Parking</t>
  </si>
  <si>
    <t>Shop</t>
  </si>
  <si>
    <t>Anchor Shop</t>
  </si>
  <si>
    <t>Upper Ground Floor For Commercial &amp; Parking</t>
  </si>
  <si>
    <t>1st Floor @ Double Height Area</t>
  </si>
  <si>
    <t>2nd Floor For Commercial &amp; Parking</t>
  </si>
  <si>
    <r>
      <rPr>
        <b/>
        <sz val="12"/>
        <rFont val="Times New Roman"/>
        <charset val="134"/>
      </rPr>
      <t xml:space="preserve">Flat No.
</t>
    </r>
    <r>
      <rPr>
        <b/>
        <sz val="11"/>
        <rFont val="Times New Roman"/>
        <charset val="134"/>
      </rPr>
      <t>(Approved Plan)</t>
    </r>
  </si>
  <si>
    <t>Flat No. (Sale Plan)</t>
  </si>
  <si>
    <t>Deck Area</t>
  </si>
  <si>
    <t>Mahindra Vista Phase 1</t>
  </si>
  <si>
    <t>Lower Ground Floor for Parking</t>
  </si>
  <si>
    <t>Ground Floor for Parking</t>
  </si>
  <si>
    <t>1st Podium Floor for Parking</t>
  </si>
  <si>
    <t>2nd Part Podium Floor for Residential &amp; Parking</t>
  </si>
  <si>
    <t>Parking Area</t>
  </si>
  <si>
    <t>2BHK</t>
  </si>
  <si>
    <t>3rd Part Podium Floor for Residential &amp; Parking</t>
  </si>
  <si>
    <t>3BHK</t>
  </si>
  <si>
    <t>4th Part Podium Floor for Residential &amp; Parking</t>
  </si>
  <si>
    <t>5th Part Podium Floor for Residential &amp; Parking</t>
  </si>
  <si>
    <t>6th Podium Floor for Part Residential &amp; Amenities</t>
  </si>
  <si>
    <t>Void Area</t>
  </si>
  <si>
    <t>6th Floor for Residential &amp; Yoga Area (Part Refuge Area)</t>
  </si>
  <si>
    <t>Refuge Area</t>
  </si>
  <si>
    <t>Yoga Area</t>
  </si>
  <si>
    <t>1st to 6th, 8th to 13th, 15th to 20th, 22nd to 27th, 29th to 33rd Floor for Residential</t>
  </si>
  <si>
    <t>7th, 14th, 21st &amp; 28th Floor (Part Refuge Area)</t>
  </si>
  <si>
    <t>Ground Floor for Panel Room, Transformer Room, Meter Room, Fire Command Room &amp; Parking</t>
  </si>
  <si>
    <t>1st Part Podium Floor for Residential &amp; Parking</t>
  </si>
  <si>
    <t>1BHK</t>
  </si>
  <si>
    <t>6th Floor for Residential &amp; Yoga Area</t>
  </si>
  <si>
    <t>1st, 8th, 15th, 22nd &amp; 29th Floor for Residential (Part Refuge Area)</t>
  </si>
  <si>
    <t>2nd to 7th, 9th to 14th, 16th to 21st, 23rd to 28th, 30th to 33rd Floor</t>
  </si>
  <si>
    <t>As per latest approved floor plans, project consists of 6 towers &amp; 1 retail wing. But Only Tower A, B &amp; C are registered on Rera. So we have done APF for only Tower A, B &amp; C.</t>
  </si>
  <si>
    <t>6th Floor for Residential</t>
  </si>
  <si>
    <t>-</t>
  </si>
  <si>
    <t>4BHK</t>
  </si>
  <si>
    <t>2nd to 7th, 9th to 14th, 16th to 21st, 23rd to 28th, 30th to 34th Floor</t>
  </si>
  <si>
    <t xml:space="preserve">Remarks:  </t>
  </si>
  <si>
    <t>*</t>
  </si>
  <si>
    <t>Phase 1 = Excavation work is in process. (Internal photographs was not allowed)
Phase 2 = Work not yet Started.</t>
  </si>
  <si>
    <t>We considered Carpet area as per Approved Plan.</t>
  </si>
  <si>
    <t>We considered Gross carpet area = Net carpet + Deck Area.</t>
  </si>
  <si>
    <t>We have considered proposed No. of Floor for Stage Calculation.</t>
  </si>
  <si>
    <t>We have considered rate by verifying it from market inquire.</t>
  </si>
  <si>
    <t>Recommended rate should be considered as all inclusive rate if other charges are not mentioned. (Excluding GST &amp; other government Taxes)</t>
  </si>
  <si>
    <t>Car parking is subjected to authentic documentation.</t>
  </si>
  <si>
    <t>In latest layout &amp; approved floor plan, layout &amp; approved floor plan no. is not given. So we consider it from IOD approved letter.</t>
  </si>
  <si>
    <t xml:space="preserve">As per the approved floor plan, out of 1199 flats, there are 132 flats that are "I to R" flats. Please check from your end.
</t>
  </si>
  <si>
    <t>We have updated latest approved CC from RERA site on 15/02/2025</t>
  </si>
  <si>
    <t>We have added Mahindra Vista Phase 2 on 15/02/2025</t>
  </si>
  <si>
    <t>We have updated latest approved plans for Phase 1 from MCGM site on 15/02/2025</t>
  </si>
  <si>
    <t xml:space="preserve">Please check for Environment Clearance Certificate.
</t>
  </si>
  <si>
    <t>Recommended Rates of the Property have been revised on 14/10/2024, 24/07/2025 &amp; 31/08/2025.</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</si>
  <si>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</si>
  <si>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</si>
  <si>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</si>
  <si>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</si>
  <si>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</si>
  <si>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</si>
  <si>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</si>
  <si>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Inspected By :</t>
  </si>
  <si>
    <t>Rahul Salve</t>
  </si>
  <si>
    <t>Report By :</t>
  </si>
  <si>
    <t>Shruti Tathare</t>
  </si>
  <si>
    <t>Authorized Signatory
Name &amp; Seal of the agency</t>
  </si>
  <si>
    <t xml:space="preserve">PHOTOGRAPHS OF PROPERTY : 
</t>
  </si>
  <si>
    <t>Layout :</t>
  </si>
  <si>
    <t>Google Map :</t>
  </si>
  <si>
    <t>Market Research Data</t>
  </si>
  <si>
    <t>Source</t>
  </si>
  <si>
    <t>Distance from proposed property</t>
  </si>
  <si>
    <t>Flat</t>
  </si>
  <si>
    <t>Net Carpet</t>
  </si>
  <si>
    <t>Saleable Area</t>
  </si>
  <si>
    <t>Rate on Saleable</t>
  </si>
  <si>
    <t>Market Value</t>
  </si>
  <si>
    <t>Magic Brick</t>
  </si>
  <si>
    <t>99 Acres</t>
  </si>
  <si>
    <t>Average</t>
  </si>
  <si>
    <t xml:space="preserve">Valuation Adopted </t>
  </si>
  <si>
    <t>Approved Plans, CC, Sale Plans, Builder Saleable Area, Cost Sheet, Airport Noc, Railway Noc, OC</t>
  </si>
  <si>
    <t>Approved Plans, CC, Sale Plans</t>
  </si>
  <si>
    <t>Approved Plans, CC, Sale Plans, Builder Saleable Area</t>
  </si>
  <si>
    <t>Approved Plans, CC, Sale Plans, Builder Saleable Area, Cost Sheet,</t>
  </si>
  <si>
    <t>Approved Plans, CC, Builder Saleable Area,</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</si>
  <si>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</si>
  <si>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</si>
  <si>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</si>
  <si>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</si>
  <si>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</si>
  <si>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</si>
  <si>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</si>
  <si>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rPr>
        <sz val="11"/>
        <color rgb="FF000000"/>
        <rFont val="Calibri"/>
        <charset val="134"/>
      </rPr>
      <t xml:space="preserve">Recommended Rates / Other charges of the Property have been revised on </t>
    </r>
    <r>
      <rPr>
        <b/>
        <sz val="11"/>
        <color rgb="FF000000"/>
        <rFont val="Calibri"/>
        <charset val="134"/>
      </rPr>
      <t>23/10/2023</t>
    </r>
    <r>
      <rPr>
        <sz val="11"/>
        <color rgb="FF000000"/>
        <rFont val="Calibri"/>
        <charset val="134"/>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</si>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</sst>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0_-;\-* #,##0_-;_-* &quot;-&quot;_-;_-@_-"/>
    <numFmt numFmtId="42" formatCode="_-&quot;£&quot;* #,##0_-;\-&quot;£&quot;* #,##0_-;_-&quot;£&quot;* &quot;-&quot;_-;_-@_-"/>
    <numFmt numFmtId="44" formatCode="_-&quot;£&quot;* #,##0.00_-;\-&quot;£&quot;* #,##0.00_-;_-&quot;£&quot;* &quot;-&quot;??_-;_-@_-"/>
    <numFmt numFmtId="176" formatCode="_ * #,##0.00_ ;_ * \-#,##0.00_ ;_ * &quot;-&quot;??_ ;_ @_ "/>
    <numFmt numFmtId="177" formatCode="_(* #,##0.00_);_(* \(#,##0.00\);_(* &quot;-&quot;??_);_(@_)"/>
    <numFmt numFmtId="178" formatCode="_(* #,##0_);_(* \(#,##0\);_(* &quot;-&quot;??_);_(@_)"/>
    <numFmt numFmtId="179" formatCode="0.0"/>
    <numFmt numFmtId="180" formatCode="_ * #,##0_ ;_ * \-#,##0_ ;_ * &quot;-&quot;??_ ;_ @_ "/>
  </numFmts>
  <fonts count="46">
    <font>
      <sz val="11"/>
      <color rgb="FF000000"/>
      <name val="Calibri"/>
      <charset val="134"/>
    </font>
    <font>
      <sz val="11"/>
      <color indexed="8"/>
      <name val="Calibri"/>
      <charset val="134"/>
    </font>
    <font>
      <sz val="11"/>
      <color theme="1"/>
      <name val="Calibri"/>
      <charset val="134"/>
      <scheme val="minor"/>
    </font>
    <font>
      <b/>
      <sz val="11"/>
      <color theme="1"/>
      <name val="Calibri"/>
      <charset val="134"/>
      <scheme val="minor"/>
    </font>
    <font>
      <sz val="11"/>
      <color rgb="FFFF0000"/>
      <name val="Calibri"/>
      <charset val="134"/>
      <scheme val="minor"/>
    </font>
    <font>
      <sz val="11"/>
      <color rgb="FFFF0000"/>
      <name val="Calibri"/>
      <charset val="134"/>
    </font>
    <font>
      <sz val="12"/>
      <color rgb="FFFF0000"/>
      <name val="Times New Roman"/>
      <charset val="134"/>
    </font>
    <font>
      <sz val="12"/>
      <name val="Times New Roman"/>
      <charset val="134"/>
    </font>
    <font>
      <sz val="11"/>
      <color theme="1"/>
      <name val="Times New Roman"/>
      <charset val="134"/>
    </font>
    <font>
      <sz val="12"/>
      <color indexed="8"/>
      <name val="Times New Roman"/>
      <charset val="134"/>
    </font>
    <font>
      <sz val="12"/>
      <color theme="1"/>
      <name val="Times New Roman"/>
      <charset val="134"/>
    </font>
    <font>
      <b/>
      <sz val="11.5"/>
      <name val="Times New Roman"/>
      <charset val="134"/>
    </font>
    <font>
      <b/>
      <sz val="12"/>
      <name val="Times New Roman"/>
      <charset val="134"/>
    </font>
    <font>
      <b/>
      <sz val="12"/>
      <color indexed="8"/>
      <name val="Times New Roman"/>
      <charset val="134"/>
    </font>
    <font>
      <u/>
      <sz val="11"/>
      <color theme="10"/>
      <name val="Calibri"/>
      <charset val="134"/>
    </font>
    <font>
      <b/>
      <sz val="12"/>
      <color theme="1"/>
      <name val="Times New Roman"/>
      <charset val="134"/>
    </font>
    <font>
      <sz val="10"/>
      <color theme="1"/>
      <name val="Times New Roman"/>
      <charset val="134"/>
    </font>
    <font>
      <sz val="11"/>
      <name val="Calibri"/>
      <charset val="134"/>
    </font>
    <font>
      <sz val="11"/>
      <color theme="0"/>
      <name val="Calibri"/>
      <charset val="134"/>
    </font>
    <font>
      <sz val="11"/>
      <color rgb="FF000000"/>
      <name val="Times New Roman"/>
      <charset val="134"/>
    </font>
    <font>
      <sz val="11"/>
      <color rgb="FFFF0000"/>
      <name val="Times New Roman"/>
      <charset val="134"/>
    </font>
    <font>
      <b/>
      <sz val="11"/>
      <name val="Times New Roman"/>
      <charset val="134"/>
    </font>
    <font>
      <sz val="11"/>
      <name val="Times New Roman"/>
      <charset val="134"/>
    </font>
    <font>
      <sz val="11"/>
      <color theme="1"/>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0"/>
      <name val="Arial"/>
      <charset val="134"/>
    </font>
    <font>
      <b/>
      <sz val="11"/>
      <color rgb="FF000000"/>
      <name val="Calibri"/>
      <charset val="134"/>
    </font>
    <font>
      <b/>
      <sz val="9"/>
      <name val="Tahoma"/>
      <charset val="134"/>
    </font>
    <font>
      <sz val="9"/>
      <name val="Tahoma"/>
      <charset val="134"/>
    </font>
  </fonts>
  <fills count="37">
    <fill>
      <patternFill patternType="none"/>
    </fill>
    <fill>
      <patternFill patternType="gray125"/>
    </fill>
    <fill>
      <patternFill patternType="solid">
        <fgColor rgb="FFFFFF00"/>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right style="thin">
        <color auto="1"/>
      </right>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xf numFmtId="176" fontId="0" fillId="0" borderId="0" applyFont="0" applyFill="0" applyBorder="0" applyAlignment="0" applyProtection="0"/>
    <xf numFmtId="44" fontId="23" fillId="0" borderId="0" applyFont="0" applyFill="0" applyBorder="0" applyAlignment="0" applyProtection="0">
      <alignment vertical="center"/>
    </xf>
    <xf numFmtId="9" fontId="0" fillId="0" borderId="0" applyFont="0" applyFill="0" applyBorder="0" applyAlignment="0" applyProtection="0"/>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14" fillId="0" borderId="0" applyNumberFormat="0" applyFill="0" applyBorder="0" applyAlignment="0" applyProtection="0"/>
    <xf numFmtId="0" fontId="24" fillId="0" borderId="0" applyNumberFormat="0" applyFill="0" applyBorder="0" applyAlignment="0" applyProtection="0">
      <alignment vertical="center"/>
    </xf>
    <xf numFmtId="0" fontId="23" fillId="6" borderId="37"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38" applyNumberFormat="0" applyFill="0" applyAlignment="0" applyProtection="0">
      <alignment vertical="center"/>
    </xf>
    <xf numFmtId="0" fontId="29" fillId="0" borderId="38" applyNumberFormat="0" applyFill="0" applyAlignment="0" applyProtection="0">
      <alignment vertical="center"/>
    </xf>
    <xf numFmtId="0" fontId="30" fillId="0" borderId="39" applyNumberFormat="0" applyFill="0" applyAlignment="0" applyProtection="0">
      <alignment vertical="center"/>
    </xf>
    <xf numFmtId="0" fontId="30" fillId="0" borderId="0" applyNumberFormat="0" applyFill="0" applyBorder="0" applyAlignment="0" applyProtection="0">
      <alignment vertical="center"/>
    </xf>
    <xf numFmtId="0" fontId="31" fillId="7" borderId="40" applyNumberFormat="0" applyAlignment="0" applyProtection="0">
      <alignment vertical="center"/>
    </xf>
    <xf numFmtId="0" fontId="32" fillId="8" borderId="41" applyNumberFormat="0" applyAlignment="0" applyProtection="0">
      <alignment vertical="center"/>
    </xf>
    <xf numFmtId="0" fontId="33" fillId="8" borderId="40" applyNumberFormat="0" applyAlignment="0" applyProtection="0">
      <alignment vertical="center"/>
    </xf>
    <xf numFmtId="0" fontId="34" fillId="9" borderId="42" applyNumberFormat="0" applyAlignment="0" applyProtection="0">
      <alignment vertical="center"/>
    </xf>
    <xf numFmtId="0" fontId="35" fillId="0" borderId="43" applyNumberFormat="0" applyFill="0" applyAlignment="0" applyProtection="0">
      <alignment vertical="center"/>
    </xf>
    <xf numFmtId="0" fontId="36" fillId="0" borderId="44" applyNumberFormat="0" applyFill="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41" fillId="34" borderId="0" applyNumberFormat="0" applyBorder="0" applyAlignment="0" applyProtection="0">
      <alignment vertical="center"/>
    </xf>
    <xf numFmtId="0" fontId="41" fillId="35" borderId="0" applyNumberFormat="0" applyBorder="0" applyAlignment="0" applyProtection="0">
      <alignment vertical="center"/>
    </xf>
    <xf numFmtId="0" fontId="40" fillId="36" borderId="0" applyNumberFormat="0" applyBorder="0" applyAlignment="0" applyProtection="0">
      <alignment vertical="center"/>
    </xf>
    <xf numFmtId="177" fontId="1" fillId="0" borderId="0" applyFont="0" applyFill="0" applyBorder="0" applyAlignment="0" applyProtection="0"/>
    <xf numFmtId="0" fontId="1" fillId="0" borderId="0"/>
    <xf numFmtId="0" fontId="1" fillId="0" borderId="0"/>
    <xf numFmtId="0" fontId="2" fillId="0" borderId="0"/>
    <xf numFmtId="0" fontId="2" fillId="0" borderId="0"/>
    <xf numFmtId="0" fontId="42" fillId="0" borderId="0"/>
    <xf numFmtId="0" fontId="2" fillId="0" borderId="0"/>
  </cellStyleXfs>
  <cellXfs count="266">
    <xf numFmtId="0" fontId="0" fillId="0" borderId="0" xfId="0"/>
    <xf numFmtId="0" fontId="0" fillId="0" borderId="1" xfId="0" applyBorder="1"/>
    <xf numFmtId="0" fontId="0" fillId="0" borderId="1" xfId="0" applyBorder="1" applyAlignment="1">
      <alignment horizontal="left" vertical="top" wrapText="1"/>
    </xf>
    <xf numFmtId="0" fontId="0" fillId="0" borderId="1" xfId="0" applyBorder="1" applyAlignment="1">
      <alignment wrapText="1"/>
    </xf>
    <xf numFmtId="0" fontId="0" fillId="0" borderId="1" xfId="0" applyBorder="1" applyAlignment="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1" fillId="0" borderId="0" xfId="51"/>
    <xf numFmtId="0" fontId="2" fillId="0" borderId="0" xfId="55"/>
    <xf numFmtId="0" fontId="3" fillId="0" borderId="1" xfId="55" applyFont="1" applyBorder="1" applyAlignment="1">
      <alignment horizontal="left"/>
    </xf>
    <xf numFmtId="0" fontId="3" fillId="0" borderId="1" xfId="55" applyFont="1" applyBorder="1" applyAlignment="1">
      <alignment horizontal="center" vertical="top" wrapText="1"/>
    </xf>
    <xf numFmtId="0" fontId="2" fillId="0" borderId="1" xfId="55" applyBorder="1" applyAlignment="1">
      <alignment horizontal="center" vertical="center"/>
    </xf>
    <xf numFmtId="0" fontId="2" fillId="0" borderId="1" xfId="55" applyBorder="1" applyAlignment="1">
      <alignment horizontal="left" vertical="center"/>
    </xf>
    <xf numFmtId="1" fontId="2" fillId="0" borderId="1" xfId="55" applyNumberFormat="1" applyBorder="1" applyAlignment="1">
      <alignment horizontal="center" vertical="center"/>
    </xf>
    <xf numFmtId="178" fontId="2" fillId="0" borderId="1" xfId="49" applyNumberFormat="1" applyFont="1" applyBorder="1" applyAlignment="1">
      <alignment horizontal="right" vertical="center"/>
    </xf>
    <xf numFmtId="0" fontId="2" fillId="0" borderId="1" xfId="55" applyBorder="1" applyAlignment="1">
      <alignment horizontal="left" vertical="center" wrapText="1"/>
    </xf>
    <xf numFmtId="0" fontId="3" fillId="0" borderId="1" xfId="55" applyFont="1" applyBorder="1" applyAlignment="1">
      <alignment horizontal="center" vertical="center"/>
    </xf>
    <xf numFmtId="1" fontId="4" fillId="0" borderId="1" xfId="55" applyNumberFormat="1" applyFont="1" applyBorder="1" applyAlignment="1">
      <alignment horizontal="center" vertical="center"/>
    </xf>
    <xf numFmtId="0" fontId="1" fillId="0" borderId="1" xfId="51" applyBorder="1" applyAlignment="1">
      <alignment horizontal="center" vertical="center"/>
    </xf>
    <xf numFmtId="0" fontId="5" fillId="0" borderId="0" xfId="51" applyFont="1"/>
    <xf numFmtId="0" fontId="6" fillId="0" borderId="0" xfId="53" applyFont="1"/>
    <xf numFmtId="0" fontId="7" fillId="0" borderId="0" xfId="53" applyFont="1"/>
    <xf numFmtId="0" fontId="8" fillId="0" borderId="0" xfId="53" applyFont="1"/>
    <xf numFmtId="0" fontId="9" fillId="0" borderId="0" xfId="50" applyFont="1"/>
    <xf numFmtId="0" fontId="10" fillId="0" borderId="0" xfId="0" applyFont="1" applyAlignment="1">
      <alignment horizontal="center" vertical="center"/>
    </xf>
    <xf numFmtId="0" fontId="10" fillId="0" borderId="0" xfId="53" applyFont="1" applyAlignment="1">
      <alignment horizontal="center" vertical="center"/>
    </xf>
    <xf numFmtId="0" fontId="10" fillId="0" borderId="0" xfId="53" applyFont="1" applyProtection="1">
      <protection locked="0"/>
    </xf>
    <xf numFmtId="0" fontId="10" fillId="0" borderId="0" xfId="53" applyFont="1"/>
    <xf numFmtId="0" fontId="11" fillId="0" borderId="1" xfId="53" applyFont="1" applyBorder="1" applyAlignment="1" applyProtection="1">
      <alignment horizontal="center" vertical="top" wrapText="1"/>
      <protection locked="0"/>
    </xf>
    <xf numFmtId="0" fontId="12" fillId="0" borderId="1" xfId="53" applyFont="1" applyBorder="1" applyAlignment="1" applyProtection="1">
      <alignment horizontal="center" vertical="top"/>
      <protection locked="0"/>
    </xf>
    <xf numFmtId="0" fontId="7" fillId="0" borderId="1" xfId="53" applyFont="1" applyBorder="1" applyAlignment="1" applyProtection="1">
      <alignment horizontal="left" vertical="top"/>
      <protection locked="0"/>
    </xf>
    <xf numFmtId="58" fontId="7" fillId="0" borderId="1" xfId="53" applyNumberFormat="1" applyFont="1" applyBorder="1" applyAlignment="1" applyProtection="1">
      <alignment horizontal="left" vertical="top"/>
      <protection locked="0"/>
    </xf>
    <xf numFmtId="0" fontId="12" fillId="0" borderId="1" xfId="53" applyFont="1" applyBorder="1" applyAlignment="1" applyProtection="1">
      <alignment horizontal="left" vertical="top"/>
      <protection locked="0"/>
    </xf>
    <xf numFmtId="0" fontId="7" fillId="0" borderId="1" xfId="53" applyFont="1" applyBorder="1" applyAlignment="1" applyProtection="1">
      <alignment horizontal="left" vertical="top" wrapText="1"/>
      <protection locked="0"/>
    </xf>
    <xf numFmtId="0" fontId="7" fillId="0" borderId="2" xfId="53" applyFont="1" applyBorder="1" applyAlignment="1" applyProtection="1">
      <alignment horizontal="left" vertical="top"/>
      <protection locked="0"/>
    </xf>
    <xf numFmtId="0" fontId="7" fillId="0" borderId="3" xfId="53" applyFont="1" applyBorder="1" applyAlignment="1" applyProtection="1">
      <alignment horizontal="left" vertical="top"/>
      <protection locked="0"/>
    </xf>
    <xf numFmtId="0" fontId="7" fillId="0" borderId="4" xfId="53" applyFont="1" applyBorder="1" applyAlignment="1" applyProtection="1">
      <alignment horizontal="left" vertical="top"/>
      <protection locked="0"/>
    </xf>
    <xf numFmtId="0" fontId="7" fillId="0" borderId="5" xfId="53" applyFont="1" applyBorder="1" applyAlignment="1" applyProtection="1">
      <alignment horizontal="center" vertical="center" wrapText="1"/>
      <protection locked="0"/>
    </xf>
    <xf numFmtId="0" fontId="7" fillId="0" borderId="6" xfId="53" applyFont="1" applyBorder="1" applyAlignment="1" applyProtection="1">
      <alignment horizontal="center" vertical="center" wrapText="1"/>
      <protection locked="0"/>
    </xf>
    <xf numFmtId="0" fontId="7" fillId="0" borderId="7" xfId="53" applyFont="1" applyBorder="1" applyAlignment="1" applyProtection="1">
      <alignment horizontal="left" vertical="top"/>
      <protection locked="0"/>
    </xf>
    <xf numFmtId="0" fontId="7" fillId="0" borderId="8" xfId="53" applyFont="1" applyBorder="1" applyAlignment="1" applyProtection="1">
      <alignment horizontal="left" vertical="top"/>
      <protection locked="0"/>
    </xf>
    <xf numFmtId="0" fontId="7" fillId="0" borderId="9" xfId="53" applyFont="1" applyBorder="1" applyAlignment="1" applyProtection="1">
      <alignment horizontal="left" vertical="top"/>
      <protection locked="0"/>
    </xf>
    <xf numFmtId="0" fontId="7" fillId="0" borderId="1" xfId="53" applyFont="1" applyBorder="1" applyAlignment="1" applyProtection="1">
      <alignment horizontal="left"/>
      <protection locked="0"/>
    </xf>
    <xf numFmtId="0" fontId="9" fillId="0" borderId="1" xfId="53" applyFont="1" applyBorder="1" applyAlignment="1" applyProtection="1">
      <alignment horizontal="left" vertical="top" wrapText="1"/>
      <protection locked="0"/>
    </xf>
    <xf numFmtId="0" fontId="9" fillId="0" borderId="1" xfId="53" applyFont="1" applyBorder="1" applyAlignment="1" applyProtection="1">
      <alignment horizontal="left" vertical="top"/>
      <protection locked="0"/>
    </xf>
    <xf numFmtId="0" fontId="12" fillId="0" borderId="1" xfId="53" applyFont="1" applyBorder="1" applyAlignment="1" applyProtection="1">
      <alignment horizontal="center"/>
      <protection locked="0"/>
    </xf>
    <xf numFmtId="0" fontId="12" fillId="0" borderId="5" xfId="53" applyFont="1" applyBorder="1" applyAlignment="1" applyProtection="1">
      <alignment horizontal="center" vertical="top"/>
      <protection locked="0"/>
    </xf>
    <xf numFmtId="0" fontId="12" fillId="0" borderId="10" xfId="53" applyFont="1" applyBorder="1" applyAlignment="1" applyProtection="1">
      <alignment horizontal="center" vertical="top"/>
      <protection locked="0"/>
    </xf>
    <xf numFmtId="0" fontId="12" fillId="0" borderId="6" xfId="53" applyFont="1" applyBorder="1" applyAlignment="1" applyProtection="1">
      <alignment horizontal="center" vertical="top"/>
      <protection locked="0"/>
    </xf>
    <xf numFmtId="0" fontId="7" fillId="0" borderId="1" xfId="53" applyFont="1" applyBorder="1" applyAlignment="1" applyProtection="1">
      <alignment horizontal="center"/>
      <protection locked="0"/>
    </xf>
    <xf numFmtId="0" fontId="7" fillId="0" borderId="5" xfId="53" applyFont="1" applyBorder="1" applyAlignment="1" applyProtection="1">
      <alignment horizontal="center" vertical="top"/>
      <protection locked="0"/>
    </xf>
    <xf numFmtId="0" fontId="7" fillId="0" borderId="10" xfId="53" applyFont="1" applyBorder="1" applyAlignment="1" applyProtection="1">
      <alignment horizontal="center" vertical="top"/>
      <protection locked="0"/>
    </xf>
    <xf numFmtId="0" fontId="7" fillId="0" borderId="6" xfId="53" applyFont="1" applyBorder="1" applyAlignment="1" applyProtection="1">
      <alignment horizontal="center" vertical="top"/>
      <protection locked="0"/>
    </xf>
    <xf numFmtId="0" fontId="13" fillId="0" borderId="1" xfId="53" applyFont="1" applyBorder="1" applyAlignment="1" applyProtection="1">
      <alignment horizontal="left" vertical="top"/>
      <protection locked="0"/>
    </xf>
    <xf numFmtId="0" fontId="14" fillId="0" borderId="1" xfId="6" applyFill="1" applyBorder="1" applyAlignment="1" applyProtection="1">
      <alignment horizontal="left" vertical="top" wrapText="1"/>
      <protection locked="0"/>
    </xf>
    <xf numFmtId="2" fontId="9" fillId="0" borderId="1" xfId="53" applyNumberFormat="1" applyFont="1" applyBorder="1" applyAlignment="1" applyProtection="1">
      <alignment horizontal="left" vertical="top" wrapText="1"/>
      <protection locked="0"/>
    </xf>
    <xf numFmtId="179" fontId="9" fillId="0" borderId="1" xfId="53" applyNumberFormat="1" applyFont="1" applyBorder="1" applyAlignment="1" applyProtection="1">
      <alignment horizontal="left" vertical="top"/>
      <protection locked="0"/>
    </xf>
    <xf numFmtId="2" fontId="7" fillId="0" borderId="1" xfId="53" applyNumberFormat="1" applyFont="1" applyBorder="1" applyAlignment="1" applyProtection="1">
      <alignment horizontal="left" vertical="top"/>
      <protection locked="0"/>
    </xf>
    <xf numFmtId="0" fontId="9" fillId="0" borderId="5" xfId="53" applyFont="1" applyBorder="1" applyAlignment="1" applyProtection="1">
      <alignment horizontal="left" vertical="top" wrapText="1"/>
      <protection locked="0"/>
    </xf>
    <xf numFmtId="0" fontId="9" fillId="0" borderId="6" xfId="53" applyFont="1" applyBorder="1" applyAlignment="1" applyProtection="1">
      <alignment horizontal="left" vertical="top" wrapText="1"/>
      <protection locked="0"/>
    </xf>
    <xf numFmtId="0" fontId="12" fillId="0" borderId="5" xfId="53" applyFont="1" applyBorder="1" applyAlignment="1" applyProtection="1">
      <alignment horizontal="left" vertical="top"/>
      <protection locked="0"/>
    </xf>
    <xf numFmtId="0" fontId="12" fillId="0" borderId="10" xfId="53" applyFont="1" applyBorder="1" applyAlignment="1" applyProtection="1">
      <alignment horizontal="left" vertical="top"/>
      <protection locked="0"/>
    </xf>
    <xf numFmtId="0" fontId="12" fillId="0" borderId="6" xfId="53" applyFont="1" applyBorder="1" applyAlignment="1" applyProtection="1">
      <alignment horizontal="left" vertical="top"/>
      <protection locked="0"/>
    </xf>
    <xf numFmtId="0" fontId="9" fillId="0" borderId="10" xfId="53" applyFont="1" applyBorder="1" applyAlignment="1" applyProtection="1">
      <alignment horizontal="left" vertical="top" wrapText="1"/>
      <protection locked="0"/>
    </xf>
    <xf numFmtId="0" fontId="9" fillId="0" borderId="1" xfId="53" applyFont="1" applyBorder="1" applyAlignment="1" applyProtection="1">
      <alignment vertical="top" wrapText="1"/>
      <protection locked="0"/>
    </xf>
    <xf numFmtId="58" fontId="9" fillId="0" borderId="5" xfId="53" applyNumberFormat="1" applyFont="1" applyBorder="1" applyAlignment="1" applyProtection="1">
      <alignment horizontal="left" vertical="top" wrapText="1"/>
      <protection locked="0"/>
    </xf>
    <xf numFmtId="58" fontId="9" fillId="0" borderId="6" xfId="53" applyNumberFormat="1" applyFont="1" applyBorder="1" applyAlignment="1" applyProtection="1">
      <alignment horizontal="left" vertical="top" wrapText="1"/>
      <protection locked="0"/>
    </xf>
    <xf numFmtId="0" fontId="9" fillId="0" borderId="2" xfId="53" applyFont="1" applyBorder="1" applyAlignment="1" applyProtection="1">
      <alignment horizontal="left" vertical="top" wrapText="1"/>
      <protection locked="0"/>
    </xf>
    <xf numFmtId="0" fontId="9" fillId="0" borderId="4" xfId="53" applyFont="1" applyBorder="1" applyAlignment="1" applyProtection="1">
      <alignment horizontal="left" vertical="top" wrapText="1"/>
      <protection locked="0"/>
    </xf>
    <xf numFmtId="0" fontId="9" fillId="0" borderId="7" xfId="53" applyFont="1" applyBorder="1" applyAlignment="1" applyProtection="1">
      <alignment horizontal="left" vertical="top" wrapText="1"/>
      <protection locked="0"/>
    </xf>
    <xf numFmtId="0" fontId="9" fillId="0" borderId="9" xfId="53" applyFont="1" applyBorder="1" applyAlignment="1" applyProtection="1">
      <alignment horizontal="left" vertical="top" wrapText="1"/>
      <protection locked="0"/>
    </xf>
    <xf numFmtId="0" fontId="6" fillId="0" borderId="2" xfId="53" applyFont="1" applyBorder="1" applyAlignment="1" applyProtection="1">
      <alignment horizontal="left" vertical="top" wrapText="1"/>
      <protection locked="0"/>
    </xf>
    <xf numFmtId="0" fontId="6" fillId="0" borderId="4" xfId="53" applyFont="1" applyBorder="1" applyAlignment="1" applyProtection="1">
      <alignment horizontal="left" vertical="top" wrapText="1"/>
      <protection locked="0"/>
    </xf>
    <xf numFmtId="0" fontId="6" fillId="0" borderId="7" xfId="53" applyFont="1" applyBorder="1" applyAlignment="1" applyProtection="1">
      <alignment horizontal="left" vertical="top" wrapText="1"/>
      <protection locked="0"/>
    </xf>
    <xf numFmtId="0" fontId="6" fillId="0" borderId="9" xfId="53" applyFont="1" applyBorder="1" applyAlignment="1" applyProtection="1">
      <alignment horizontal="left" vertical="top" wrapText="1"/>
      <protection locked="0"/>
    </xf>
    <xf numFmtId="0" fontId="9" fillId="0" borderId="5" xfId="53" applyFont="1" applyBorder="1" applyAlignment="1" applyProtection="1">
      <alignment vertical="top" wrapText="1"/>
      <protection locked="0"/>
    </xf>
    <xf numFmtId="0" fontId="9" fillId="0" borderId="10" xfId="53" applyFont="1" applyBorder="1" applyAlignment="1" applyProtection="1">
      <alignment vertical="top" wrapText="1"/>
      <protection locked="0"/>
    </xf>
    <xf numFmtId="0" fontId="9" fillId="0" borderId="6" xfId="53" applyFont="1" applyBorder="1" applyAlignment="1" applyProtection="1">
      <alignment vertical="top" wrapText="1"/>
      <protection locked="0"/>
    </xf>
    <xf numFmtId="0" fontId="13" fillId="0" borderId="5" xfId="53" applyFont="1" applyBorder="1" applyAlignment="1" applyProtection="1">
      <alignment horizontal="left" vertical="top" wrapText="1"/>
      <protection locked="0"/>
    </xf>
    <xf numFmtId="0" fontId="13" fillId="0" borderId="6" xfId="53" applyFont="1" applyBorder="1" applyAlignment="1" applyProtection="1">
      <alignment horizontal="left" vertical="top" wrapText="1"/>
      <protection locked="0"/>
    </xf>
    <xf numFmtId="0" fontId="13" fillId="0" borderId="10" xfId="53" applyFont="1" applyBorder="1" applyAlignment="1" applyProtection="1">
      <alignment horizontal="left" vertical="top" wrapText="1"/>
      <protection locked="0"/>
    </xf>
    <xf numFmtId="0" fontId="13" fillId="0" borderId="1" xfId="53" applyFont="1" applyBorder="1" applyAlignment="1" applyProtection="1">
      <alignment vertical="top"/>
      <protection locked="0"/>
    </xf>
    <xf numFmtId="0" fontId="13" fillId="0" borderId="5" xfId="53" applyFont="1" applyBorder="1" applyAlignment="1" applyProtection="1">
      <alignment horizontal="left" vertical="top"/>
      <protection locked="0"/>
    </xf>
    <xf numFmtId="0" fontId="13" fillId="0" borderId="6" xfId="53" applyFont="1" applyBorder="1" applyAlignment="1" applyProtection="1">
      <alignment horizontal="left" vertical="top"/>
      <protection locked="0"/>
    </xf>
    <xf numFmtId="0" fontId="10" fillId="0" borderId="11" xfId="53" applyFont="1" applyBorder="1" applyAlignment="1">
      <alignment horizontal="center"/>
    </xf>
    <xf numFmtId="0" fontId="10" fillId="0" borderId="0" xfId="53" applyFont="1" applyAlignment="1">
      <alignment horizontal="center"/>
    </xf>
    <xf numFmtId="0" fontId="15" fillId="0" borderId="0" xfId="53" applyFont="1"/>
    <xf numFmtId="1" fontId="10" fillId="0" borderId="0" xfId="53" applyNumberFormat="1" applyFont="1"/>
    <xf numFmtId="0" fontId="7" fillId="0" borderId="2" xfId="53" applyFont="1" applyBorder="1" applyAlignment="1" applyProtection="1">
      <alignment horizontal="left" vertical="top" wrapText="1"/>
      <protection locked="0"/>
    </xf>
    <xf numFmtId="0" fontId="7" fillId="0" borderId="3" xfId="53" applyFont="1" applyBorder="1" applyAlignment="1" applyProtection="1">
      <alignment horizontal="left" vertical="top" wrapText="1"/>
      <protection locked="0"/>
    </xf>
    <xf numFmtId="0" fontId="7" fillId="0" borderId="4" xfId="53" applyFont="1" applyBorder="1" applyAlignment="1" applyProtection="1">
      <alignment horizontal="left" vertical="top" wrapText="1"/>
      <protection locked="0"/>
    </xf>
    <xf numFmtId="0" fontId="7" fillId="0" borderId="12" xfId="53" applyFont="1" applyBorder="1" applyAlignment="1" applyProtection="1">
      <alignment horizontal="left" vertical="top" wrapText="1"/>
      <protection locked="0"/>
    </xf>
    <xf numFmtId="0" fontId="7" fillId="0" borderId="12" xfId="53" applyFont="1" applyBorder="1" applyAlignment="1" applyProtection="1">
      <alignment horizontal="left" vertical="top"/>
      <protection locked="0"/>
    </xf>
    <xf numFmtId="0" fontId="12" fillId="0" borderId="1" xfId="53" applyFont="1" applyBorder="1" applyAlignment="1" applyProtection="1">
      <alignment horizontal="left" vertical="top" wrapText="1"/>
      <protection locked="0"/>
    </xf>
    <xf numFmtId="0" fontId="7" fillId="0" borderId="11" xfId="53" applyFont="1" applyBorder="1" applyAlignment="1" applyProtection="1">
      <alignment horizontal="left" vertical="top" wrapText="1"/>
      <protection locked="0"/>
    </xf>
    <xf numFmtId="0" fontId="7" fillId="0" borderId="0" xfId="53" applyFont="1" applyBorder="1" applyAlignment="1" applyProtection="1">
      <alignment horizontal="left" vertical="top" wrapText="1"/>
      <protection locked="0"/>
    </xf>
    <xf numFmtId="0" fontId="7" fillId="0" borderId="13" xfId="53" applyFont="1" applyBorder="1" applyAlignment="1" applyProtection="1">
      <alignment horizontal="left" vertical="top" wrapText="1"/>
      <protection locked="0"/>
    </xf>
    <xf numFmtId="0" fontId="7" fillId="0" borderId="7" xfId="53" applyFont="1" applyBorder="1" applyAlignment="1" applyProtection="1">
      <alignment horizontal="left" vertical="top" wrapText="1"/>
      <protection locked="0"/>
    </xf>
    <xf numFmtId="0" fontId="7" fillId="0" borderId="8" xfId="53" applyFont="1" applyBorder="1" applyAlignment="1" applyProtection="1">
      <alignment horizontal="left" vertical="top" wrapText="1"/>
      <protection locked="0"/>
    </xf>
    <xf numFmtId="0" fontId="7" fillId="0" borderId="9" xfId="53" applyFont="1" applyBorder="1" applyAlignment="1" applyProtection="1">
      <alignment horizontal="left" vertical="top" wrapText="1"/>
      <protection locked="0"/>
    </xf>
    <xf numFmtId="1" fontId="9" fillId="0" borderId="5" xfId="53" applyNumberFormat="1" applyFont="1" applyBorder="1" applyAlignment="1" applyProtection="1">
      <alignment horizontal="left" vertical="top" wrapText="1"/>
      <protection locked="0"/>
    </xf>
    <xf numFmtId="1" fontId="9" fillId="0" borderId="10" xfId="53" applyNumberFormat="1" applyFont="1" applyBorder="1" applyAlignment="1" applyProtection="1">
      <alignment horizontal="left" vertical="top" wrapText="1"/>
      <protection locked="0"/>
    </xf>
    <xf numFmtId="1" fontId="9" fillId="0" borderId="6" xfId="53" applyNumberFormat="1" applyFont="1" applyBorder="1" applyAlignment="1" applyProtection="1">
      <alignment horizontal="left" vertical="top" wrapText="1"/>
      <protection locked="0"/>
    </xf>
    <xf numFmtId="0" fontId="7" fillId="0" borderId="5" xfId="53" applyFont="1" applyBorder="1" applyAlignment="1" applyProtection="1">
      <alignment horizontal="left" vertical="top" wrapText="1"/>
      <protection locked="0"/>
    </xf>
    <xf numFmtId="0" fontId="7" fillId="0" borderId="10" xfId="53" applyFont="1" applyBorder="1" applyAlignment="1" applyProtection="1">
      <alignment horizontal="left" vertical="top" wrapText="1"/>
      <protection locked="0"/>
    </xf>
    <xf numFmtId="0" fontId="7" fillId="0" borderId="6" xfId="53" applyFont="1" applyBorder="1" applyAlignment="1" applyProtection="1">
      <alignment horizontal="left" vertical="top" wrapText="1"/>
      <protection locked="0"/>
    </xf>
    <xf numFmtId="0" fontId="9" fillId="0" borderId="12" xfId="53" applyFont="1" applyBorder="1" applyAlignment="1" applyProtection="1">
      <alignment horizontal="left" vertical="top"/>
      <protection locked="0"/>
    </xf>
    <xf numFmtId="0" fontId="9" fillId="0" borderId="12" xfId="53" applyFont="1" applyBorder="1" applyAlignment="1" applyProtection="1">
      <alignment horizontal="left" vertical="top" wrapText="1"/>
      <protection locked="0"/>
    </xf>
    <xf numFmtId="0" fontId="7" fillId="0" borderId="14" xfId="53" applyFont="1" applyBorder="1" applyAlignment="1" applyProtection="1">
      <alignment horizontal="left" vertical="top" wrapText="1"/>
      <protection locked="0"/>
    </xf>
    <xf numFmtId="0" fontId="7" fillId="0" borderId="15" xfId="53" applyFont="1" applyBorder="1" applyAlignment="1" applyProtection="1">
      <alignment horizontal="left" vertical="top" wrapText="1"/>
      <protection locked="0"/>
    </xf>
    <xf numFmtId="0" fontId="7" fillId="0" borderId="16" xfId="53" applyFont="1" applyBorder="1" applyAlignment="1" applyProtection="1">
      <alignment horizontal="left" vertical="top" wrapText="1"/>
      <protection locked="0"/>
    </xf>
    <xf numFmtId="0" fontId="12" fillId="0" borderId="17" xfId="53" applyFont="1" applyBorder="1" applyAlignment="1" applyProtection="1">
      <alignment horizontal="left" vertical="top" wrapText="1"/>
      <protection locked="0"/>
    </xf>
    <xf numFmtId="0" fontId="12" fillId="0" borderId="18" xfId="53" applyFont="1" applyBorder="1" applyAlignment="1" applyProtection="1">
      <alignment horizontal="left" vertical="top" wrapText="1"/>
      <protection locked="0"/>
    </xf>
    <xf numFmtId="0" fontId="12" fillId="0" borderId="19" xfId="53" applyFont="1" applyBorder="1" applyAlignment="1" applyProtection="1">
      <alignment horizontal="left" vertical="top" wrapText="1"/>
      <protection locked="0"/>
    </xf>
    <xf numFmtId="0" fontId="12" fillId="0" borderId="20" xfId="53" applyFont="1" applyBorder="1" applyAlignment="1" applyProtection="1">
      <alignment horizontal="left" vertical="top" wrapText="1"/>
      <protection locked="0"/>
    </xf>
    <xf numFmtId="0" fontId="12" fillId="0" borderId="21" xfId="53" applyFont="1" applyBorder="1" applyAlignment="1" applyProtection="1">
      <alignment horizontal="left" vertical="top" wrapText="1"/>
      <protection locked="0"/>
    </xf>
    <xf numFmtId="0" fontId="7" fillId="0" borderId="22" xfId="53" applyFont="1" applyBorder="1" applyAlignment="1" applyProtection="1">
      <alignment horizontal="center" vertical="top"/>
      <protection locked="0"/>
    </xf>
    <xf numFmtId="0" fontId="7" fillId="0" borderId="1" xfId="53" applyFont="1" applyBorder="1" applyAlignment="1" applyProtection="1">
      <alignment horizontal="center" vertical="top"/>
      <protection locked="0"/>
    </xf>
    <xf numFmtId="0" fontId="7" fillId="0" borderId="23" xfId="53" applyFont="1" applyBorder="1" applyAlignment="1" applyProtection="1">
      <alignment horizontal="center" vertical="top"/>
      <protection locked="0"/>
    </xf>
    <xf numFmtId="0" fontId="12" fillId="0" borderId="22" xfId="53" applyFont="1" applyBorder="1" applyAlignment="1" applyProtection="1">
      <alignment horizontal="left" vertical="top"/>
      <protection locked="0"/>
    </xf>
    <xf numFmtId="0" fontId="12" fillId="0" borderId="5" xfId="53" applyFont="1" applyBorder="1" applyAlignment="1" applyProtection="1">
      <alignment horizontal="left" vertical="top" wrapText="1"/>
      <protection locked="0"/>
    </xf>
    <xf numFmtId="0" fontId="12" fillId="0" borderId="10" xfId="53" applyFont="1" applyBorder="1" applyAlignment="1" applyProtection="1">
      <alignment horizontal="left" vertical="top" wrapText="1"/>
      <protection locked="0"/>
    </xf>
    <xf numFmtId="0" fontId="12" fillId="0" borderId="24" xfId="53" applyFont="1" applyBorder="1" applyAlignment="1" applyProtection="1">
      <alignment horizontal="left" vertical="top" wrapText="1"/>
      <protection locked="0"/>
    </xf>
    <xf numFmtId="0" fontId="7" fillId="0" borderId="22" xfId="53" applyFont="1" applyBorder="1" applyAlignment="1" applyProtection="1">
      <alignment horizontal="center" vertical="top" wrapText="1"/>
      <protection locked="0"/>
    </xf>
    <xf numFmtId="0" fontId="7" fillId="0" borderId="1" xfId="53" applyFont="1" applyBorder="1" applyAlignment="1" applyProtection="1">
      <alignment horizontal="center" vertical="top" wrapText="1"/>
      <protection locked="0"/>
    </xf>
    <xf numFmtId="0" fontId="7" fillId="0" borderId="5" xfId="53" applyFont="1" applyBorder="1" applyAlignment="1" applyProtection="1">
      <alignment horizontal="center" vertical="top" wrapText="1"/>
      <protection locked="0"/>
    </xf>
    <xf numFmtId="0" fontId="7" fillId="0" borderId="6" xfId="53" applyFont="1" applyBorder="1" applyAlignment="1" applyProtection="1">
      <alignment horizontal="center" vertical="top" wrapText="1"/>
      <protection locked="0"/>
    </xf>
    <xf numFmtId="0" fontId="7" fillId="0" borderId="23" xfId="53" applyFont="1" applyBorder="1" applyAlignment="1" applyProtection="1">
      <alignment horizontal="center" vertical="top" wrapText="1"/>
      <protection locked="0"/>
    </xf>
    <xf numFmtId="1" fontId="7" fillId="0" borderId="1" xfId="53" applyNumberFormat="1" applyFont="1" applyBorder="1" applyAlignment="1" applyProtection="1">
      <alignment horizontal="center" vertical="top" wrapText="1"/>
      <protection locked="0"/>
    </xf>
    <xf numFmtId="9" fontId="7" fillId="0" borderId="1" xfId="3" applyFont="1" applyFill="1" applyBorder="1" applyAlignment="1" applyProtection="1">
      <alignment horizontal="center" vertical="top" wrapText="1"/>
      <protection locked="0"/>
    </xf>
    <xf numFmtId="9" fontId="7" fillId="0" borderId="2" xfId="3" applyFont="1" applyFill="1" applyBorder="1" applyAlignment="1" applyProtection="1">
      <alignment horizontal="center" vertical="center" wrapText="1"/>
      <protection locked="0"/>
    </xf>
    <xf numFmtId="9" fontId="7" fillId="0" borderId="4" xfId="3" applyFont="1" applyFill="1" applyBorder="1" applyAlignment="1" applyProtection="1">
      <alignment horizontal="center" vertical="center" wrapText="1"/>
      <protection locked="0"/>
    </xf>
    <xf numFmtId="9" fontId="7" fillId="0" borderId="25" xfId="3" applyFont="1" applyFill="1" applyBorder="1" applyAlignment="1" applyProtection="1">
      <alignment horizontal="center" vertical="center" wrapText="1"/>
      <protection locked="0"/>
    </xf>
    <xf numFmtId="9" fontId="7" fillId="0" borderId="11" xfId="3" applyFont="1" applyFill="1" applyBorder="1" applyAlignment="1" applyProtection="1">
      <alignment horizontal="center" vertical="center" wrapText="1"/>
      <protection locked="0"/>
    </xf>
    <xf numFmtId="9" fontId="7" fillId="0" borderId="13" xfId="3" applyFont="1" applyFill="1" applyBorder="1" applyAlignment="1" applyProtection="1">
      <alignment horizontal="center" vertical="center" wrapText="1"/>
      <protection locked="0"/>
    </xf>
    <xf numFmtId="9" fontId="7" fillId="0" borderId="26" xfId="3" applyFont="1" applyFill="1" applyBorder="1" applyAlignment="1" applyProtection="1">
      <alignment horizontal="center" vertical="center" wrapText="1"/>
      <protection locked="0"/>
    </xf>
    <xf numFmtId="0" fontId="7" fillId="0" borderId="27" xfId="53" applyFont="1" applyBorder="1" applyAlignment="1" applyProtection="1">
      <alignment horizontal="center" vertical="top" wrapText="1"/>
      <protection locked="0"/>
    </xf>
    <xf numFmtId="0" fontId="7" fillId="0" borderId="28" xfId="53" applyFont="1" applyBorder="1" applyAlignment="1" applyProtection="1">
      <alignment horizontal="center" vertical="top" wrapText="1"/>
      <protection locked="0"/>
    </xf>
    <xf numFmtId="9" fontId="7" fillId="0" borderId="28" xfId="3" applyFont="1" applyFill="1" applyBorder="1" applyAlignment="1" applyProtection="1">
      <alignment horizontal="center" vertical="top" wrapText="1"/>
      <protection locked="0"/>
    </xf>
    <xf numFmtId="9" fontId="7" fillId="0" borderId="29" xfId="3" applyFont="1" applyFill="1" applyBorder="1" applyAlignment="1" applyProtection="1">
      <alignment horizontal="center" vertical="center" wrapText="1"/>
      <protection locked="0"/>
    </xf>
    <xf numFmtId="9" fontId="7" fillId="0" borderId="30" xfId="3" applyFont="1" applyFill="1" applyBorder="1" applyAlignment="1" applyProtection="1">
      <alignment horizontal="center" vertical="center" wrapText="1"/>
      <protection locked="0"/>
    </xf>
    <xf numFmtId="9" fontId="7" fillId="0" borderId="31" xfId="3" applyFont="1" applyFill="1" applyBorder="1" applyAlignment="1" applyProtection="1">
      <alignment horizontal="center" vertical="center" wrapText="1"/>
      <protection locked="0"/>
    </xf>
    <xf numFmtId="58" fontId="10" fillId="0" borderId="0" xfId="53" applyNumberFormat="1" applyFont="1"/>
    <xf numFmtId="0" fontId="10" fillId="0" borderId="0" xfId="53" applyFont="1" applyProtection="1">
      <protection hidden="1"/>
    </xf>
    <xf numFmtId="0" fontId="16" fillId="0" borderId="0" xfId="53" applyFont="1"/>
    <xf numFmtId="0" fontId="17" fillId="2" borderId="32" xfId="0" applyFont="1" applyFill="1" applyBorder="1"/>
    <xf numFmtId="0" fontId="18" fillId="0" borderId="33" xfId="0" applyFont="1" applyBorder="1"/>
    <xf numFmtId="0" fontId="18" fillId="0" borderId="1" xfId="0" applyFont="1" applyBorder="1"/>
    <xf numFmtId="0" fontId="18" fillId="0" borderId="23" xfId="0" applyFont="1" applyBorder="1"/>
    <xf numFmtId="0" fontId="19" fillId="0" borderId="0" xfId="0" applyFont="1" applyProtection="1">
      <protection hidden="1"/>
    </xf>
    <xf numFmtId="0" fontId="10" fillId="0" borderId="26" xfId="53" applyFont="1" applyBorder="1"/>
    <xf numFmtId="0" fontId="19" fillId="0" borderId="26" xfId="0" applyFont="1" applyBorder="1" applyProtection="1">
      <protection hidden="1"/>
    </xf>
    <xf numFmtId="1" fontId="0" fillId="0" borderId="26" xfId="0" applyNumberFormat="1" applyBorder="1"/>
    <xf numFmtId="1" fontId="0" fillId="0" borderId="26" xfId="0" applyNumberFormat="1" applyBorder="1" applyAlignment="1">
      <alignment horizontal="right"/>
    </xf>
    <xf numFmtId="0" fontId="19" fillId="0" borderId="34" xfId="0" applyFont="1" applyBorder="1" applyProtection="1">
      <protection hidden="1"/>
    </xf>
    <xf numFmtId="1" fontId="0" fillId="0" borderId="31" xfId="0" applyNumberFormat="1" applyBorder="1"/>
    <xf numFmtId="0" fontId="6" fillId="0" borderId="0" xfId="53" applyFont="1" applyAlignment="1">
      <alignment horizontal="center" vertical="center"/>
    </xf>
    <xf numFmtId="0" fontId="12" fillId="0" borderId="35" xfId="53" applyFont="1" applyBorder="1" applyAlignment="1" applyProtection="1">
      <alignment horizontal="left" vertical="top"/>
      <protection locked="0"/>
    </xf>
    <xf numFmtId="0" fontId="12" fillId="0" borderId="35" xfId="53" applyFont="1" applyBorder="1" applyAlignment="1" applyProtection="1">
      <alignment horizontal="center" vertical="top"/>
      <protection locked="0"/>
    </xf>
    <xf numFmtId="180" fontId="7" fillId="0" borderId="1" xfId="1" applyNumberFormat="1" applyFont="1" applyFill="1" applyBorder="1" applyAlignment="1" applyProtection="1">
      <alignment horizontal="left" vertical="top"/>
      <protection locked="0"/>
    </xf>
    <xf numFmtId="1" fontId="13" fillId="0" borderId="5" xfId="0" applyNumberFormat="1" applyFont="1" applyBorder="1" applyAlignment="1" applyProtection="1">
      <alignment horizontal="center" vertical="center" wrapText="1"/>
      <protection locked="0"/>
    </xf>
    <xf numFmtId="1" fontId="13" fillId="0" borderId="10" xfId="0" applyNumberFormat="1" applyFont="1" applyBorder="1" applyAlignment="1" applyProtection="1">
      <alignment horizontal="center" vertical="center" wrapText="1"/>
      <protection locked="0"/>
    </xf>
    <xf numFmtId="1" fontId="13" fillId="0" borderId="6" xfId="0" applyNumberFormat="1" applyFont="1" applyBorder="1" applyAlignment="1" applyProtection="1">
      <alignment horizontal="center" vertical="center" wrapText="1"/>
      <protection locked="0"/>
    </xf>
    <xf numFmtId="1" fontId="13" fillId="0" borderId="1" xfId="0" applyNumberFormat="1" applyFont="1" applyBorder="1" applyAlignment="1" applyProtection="1">
      <alignment horizontal="center" vertical="top" wrapText="1"/>
      <protection locked="0"/>
    </xf>
    <xf numFmtId="0" fontId="15" fillId="0" borderId="1" xfId="0" applyFont="1" applyBorder="1" applyAlignment="1" applyProtection="1">
      <alignment horizontal="center" vertical="center"/>
      <protection locked="0"/>
    </xf>
    <xf numFmtId="0" fontId="15" fillId="0" borderId="5" xfId="0" applyFont="1" applyBorder="1" applyAlignment="1" applyProtection="1">
      <alignment horizontal="center" vertical="top" wrapText="1"/>
      <protection locked="0"/>
    </xf>
    <xf numFmtId="0" fontId="15" fillId="0" borderId="6" xfId="0"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1" fontId="10" fillId="0" borderId="5" xfId="0" applyNumberFormat="1" applyFont="1" applyBorder="1" applyAlignment="1" applyProtection="1">
      <alignment horizontal="center" vertical="top" wrapText="1"/>
      <protection locked="0"/>
    </xf>
    <xf numFmtId="0" fontId="10" fillId="0" borderId="6" xfId="0" applyFont="1" applyBorder="1" applyAlignment="1" applyProtection="1">
      <alignment horizontal="center" vertical="top" wrapText="1"/>
      <protection locked="0"/>
    </xf>
    <xf numFmtId="1" fontId="13" fillId="0" borderId="1" xfId="0" applyNumberFormat="1" applyFont="1" applyBorder="1" applyAlignment="1" applyProtection="1">
      <alignment horizontal="center" vertical="center" wrapText="1"/>
      <protection locked="0"/>
    </xf>
    <xf numFmtId="1" fontId="15" fillId="0" borderId="1" xfId="0" applyNumberFormat="1" applyFont="1" applyBorder="1" applyAlignment="1" applyProtection="1">
      <alignment horizontal="center" vertical="center"/>
      <protection locked="0"/>
    </xf>
    <xf numFmtId="1" fontId="15" fillId="0" borderId="5" xfId="0" applyNumberFormat="1" applyFont="1" applyBorder="1" applyAlignment="1" applyProtection="1">
      <alignment horizontal="center" vertical="top" wrapText="1"/>
      <protection locked="0"/>
    </xf>
    <xf numFmtId="1" fontId="9" fillId="0" borderId="12"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top" wrapText="1"/>
      <protection locked="0"/>
    </xf>
    <xf numFmtId="1" fontId="10" fillId="0" borderId="6" xfId="0" applyNumberFormat="1" applyFont="1" applyBorder="1" applyAlignment="1" applyProtection="1">
      <alignment horizontal="center" vertical="top" wrapText="1"/>
      <protection locked="0"/>
    </xf>
    <xf numFmtId="1" fontId="9" fillId="0" borderId="36"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top" wrapText="1"/>
      <protection locked="0"/>
    </xf>
    <xf numFmtId="1" fontId="9" fillId="0" borderId="35" xfId="0" applyNumberFormat="1" applyFont="1" applyBorder="1" applyAlignment="1" applyProtection="1">
      <alignment horizontal="center" vertical="center" wrapText="1"/>
      <protection locked="0"/>
    </xf>
    <xf numFmtId="1" fontId="15" fillId="0" borderId="6" xfId="0" applyNumberFormat="1" applyFont="1" applyBorder="1" applyAlignment="1" applyProtection="1">
      <alignment horizontal="center" vertical="top" wrapText="1"/>
      <protection locked="0"/>
    </xf>
    <xf numFmtId="0" fontId="20" fillId="0" borderId="0" xfId="53" applyFont="1" applyAlignment="1">
      <alignment horizontal="center" vertical="center"/>
    </xf>
    <xf numFmtId="1" fontId="6" fillId="0" borderId="0" xfId="53" applyNumberFormat="1" applyFont="1" applyAlignment="1">
      <alignment horizontal="center" vertical="center"/>
    </xf>
    <xf numFmtId="0" fontId="6" fillId="0" borderId="0" xfId="53" applyFont="1" applyAlignment="1">
      <alignment horizontal="left" vertical="center"/>
    </xf>
    <xf numFmtId="58" fontId="20" fillId="0" borderId="0" xfId="53" applyNumberFormat="1" applyFont="1" applyAlignment="1">
      <alignment horizontal="center" vertical="center"/>
    </xf>
    <xf numFmtId="0" fontId="6" fillId="0" borderId="0" xfId="50" applyFont="1" applyAlignment="1">
      <alignment horizontal="center" vertical="center"/>
    </xf>
    <xf numFmtId="1" fontId="12" fillId="0" borderId="12" xfId="53" applyNumberFormat="1" applyFont="1" applyBorder="1" applyAlignment="1" applyProtection="1">
      <alignment horizontal="center" vertical="top" wrapText="1"/>
      <protection locked="0"/>
    </xf>
    <xf numFmtId="1" fontId="21" fillId="0" borderId="12" xfId="53" applyNumberFormat="1" applyFont="1" applyBorder="1" applyAlignment="1" applyProtection="1">
      <alignment horizontal="center" vertical="top" wrapText="1"/>
      <protection locked="0"/>
    </xf>
    <xf numFmtId="1" fontId="12" fillId="0" borderId="35" xfId="53" applyNumberFormat="1" applyFont="1" applyBorder="1" applyAlignment="1" applyProtection="1">
      <alignment horizontal="center" vertical="top" wrapText="1"/>
      <protection locked="0"/>
    </xf>
    <xf numFmtId="1" fontId="21" fillId="0" borderId="35" xfId="53" applyNumberFormat="1" applyFont="1" applyBorder="1" applyAlignment="1" applyProtection="1">
      <alignment horizontal="center" vertical="top" wrapText="1"/>
      <protection locked="0"/>
    </xf>
    <xf numFmtId="9" fontId="12" fillId="0" borderId="35" xfId="3" applyFont="1" applyFill="1" applyBorder="1" applyAlignment="1" applyProtection="1">
      <alignment horizontal="center" vertical="top" wrapText="1"/>
      <protection locked="0"/>
    </xf>
    <xf numFmtId="1" fontId="12" fillId="3" borderId="5" xfId="53" applyNumberFormat="1" applyFont="1" applyFill="1" applyBorder="1" applyAlignment="1" applyProtection="1">
      <alignment horizontal="center" vertical="center" wrapText="1"/>
      <protection locked="0"/>
    </xf>
    <xf numFmtId="1" fontId="12" fillId="3" borderId="10" xfId="53" applyNumberFormat="1" applyFont="1" applyFill="1" applyBorder="1" applyAlignment="1" applyProtection="1">
      <alignment horizontal="center" vertical="center" wrapText="1"/>
      <protection locked="0"/>
    </xf>
    <xf numFmtId="1" fontId="12" fillId="3" borderId="6" xfId="53" applyNumberFormat="1" applyFont="1" applyFill="1" applyBorder="1" applyAlignment="1" applyProtection="1">
      <alignment horizontal="center" vertical="center" wrapText="1"/>
      <protection locked="0"/>
    </xf>
    <xf numFmtId="1" fontId="12" fillId="4" borderId="5" xfId="53" applyNumberFormat="1" applyFont="1" applyFill="1" applyBorder="1" applyAlignment="1" applyProtection="1">
      <alignment horizontal="center" vertical="center" wrapText="1"/>
      <protection locked="0"/>
    </xf>
    <xf numFmtId="1" fontId="12" fillId="4" borderId="10" xfId="53" applyNumberFormat="1" applyFont="1" applyFill="1" applyBorder="1" applyAlignment="1" applyProtection="1">
      <alignment horizontal="center" vertical="center" wrapText="1"/>
      <protection locked="0"/>
    </xf>
    <xf numFmtId="1" fontId="12" fillId="4" borderId="6" xfId="53" applyNumberFormat="1" applyFont="1" applyFill="1" applyBorder="1" applyAlignment="1" applyProtection="1">
      <alignment horizontal="center" vertical="center" wrapText="1"/>
      <protection locked="0"/>
    </xf>
    <xf numFmtId="1" fontId="12" fillId="0" borderId="5" xfId="53" applyNumberFormat="1" applyFont="1" applyBorder="1" applyAlignment="1" applyProtection="1">
      <alignment horizontal="center" vertical="center" wrapText="1"/>
      <protection locked="0"/>
    </xf>
    <xf numFmtId="1" fontId="12" fillId="0" borderId="10" xfId="53" applyNumberFormat="1" applyFont="1" applyBorder="1" applyAlignment="1" applyProtection="1">
      <alignment horizontal="center" vertical="center" wrapText="1"/>
      <protection locked="0"/>
    </xf>
    <xf numFmtId="1" fontId="12" fillId="0" borderId="6" xfId="53" applyNumberFormat="1" applyFont="1" applyBorder="1" applyAlignment="1" applyProtection="1">
      <alignment horizontal="center" vertical="center" wrapText="1"/>
      <protection locked="0"/>
    </xf>
    <xf numFmtId="1" fontId="7" fillId="0" borderId="5" xfId="53" applyNumberFormat="1" applyFont="1" applyBorder="1" applyAlignment="1" applyProtection="1">
      <alignment horizontal="center" vertical="center" wrapText="1"/>
      <protection locked="0"/>
    </xf>
    <xf numFmtId="1" fontId="7" fillId="0" borderId="6" xfId="53" applyNumberFormat="1" applyFont="1" applyBorder="1" applyAlignment="1" applyProtection="1">
      <alignment horizontal="center" vertical="center" wrapText="1"/>
      <protection locked="0"/>
    </xf>
    <xf numFmtId="1" fontId="7" fillId="0" borderId="1" xfId="53" applyNumberFormat="1" applyFont="1" applyBorder="1" applyAlignment="1" applyProtection="1">
      <alignment horizontal="center" vertical="center" wrapText="1"/>
      <protection locked="0"/>
    </xf>
    <xf numFmtId="1" fontId="10" fillId="0" borderId="1" xfId="53" applyNumberFormat="1" applyFont="1" applyBorder="1" applyAlignment="1">
      <alignment horizontal="center" vertical="center"/>
    </xf>
    <xf numFmtId="1" fontId="7" fillId="0" borderId="1" xfId="53" applyNumberFormat="1" applyFont="1" applyFill="1" applyBorder="1" applyAlignment="1" applyProtection="1">
      <alignment horizontal="center" vertical="center" wrapText="1"/>
      <protection locked="0"/>
    </xf>
    <xf numFmtId="1" fontId="10" fillId="0" borderId="0" xfId="53" applyNumberFormat="1" applyFont="1" applyAlignment="1">
      <alignment horizontal="center" vertical="center"/>
    </xf>
    <xf numFmtId="1" fontId="7" fillId="0" borderId="10" xfId="53" applyNumberFormat="1" applyFont="1" applyBorder="1" applyAlignment="1" applyProtection="1">
      <alignment horizontal="center" vertical="center" wrapText="1"/>
      <protection locked="0"/>
    </xf>
    <xf numFmtId="1" fontId="12" fillId="0" borderId="2" xfId="53" applyNumberFormat="1" applyFont="1" applyBorder="1" applyAlignment="1" applyProtection="1">
      <alignment horizontal="center" vertical="top" wrapText="1"/>
      <protection locked="0"/>
    </xf>
    <xf numFmtId="1" fontId="12" fillId="0" borderId="7" xfId="53" applyNumberFormat="1" applyFont="1" applyBorder="1" applyAlignment="1" applyProtection="1">
      <alignment horizontal="center" vertical="top" wrapText="1"/>
      <protection locked="0"/>
    </xf>
    <xf numFmtId="1" fontId="13" fillId="0" borderId="5" xfId="53" applyNumberFormat="1" applyFont="1" applyBorder="1" applyAlignment="1" applyProtection="1">
      <alignment horizontal="center" vertical="center" wrapText="1"/>
      <protection locked="0"/>
    </xf>
    <xf numFmtId="1" fontId="13" fillId="0" borderId="10" xfId="53" applyNumberFormat="1" applyFont="1" applyBorder="1" applyAlignment="1" applyProtection="1">
      <alignment horizontal="center" vertical="center" wrapText="1"/>
      <protection locked="0"/>
    </xf>
    <xf numFmtId="1" fontId="13" fillId="0" borderId="6" xfId="53" applyNumberFormat="1" applyFont="1" applyBorder="1" applyAlignment="1" applyProtection="1">
      <alignment horizontal="center" vertical="center" wrapText="1"/>
      <protection locked="0"/>
    </xf>
    <xf numFmtId="1" fontId="9" fillId="0" borderId="5" xfId="53" applyNumberFormat="1" applyFont="1" applyBorder="1" applyAlignment="1" applyProtection="1">
      <alignment horizontal="center" vertical="center" wrapText="1"/>
      <protection locked="0"/>
    </xf>
    <xf numFmtId="1" fontId="9" fillId="0" borderId="6" xfId="53" applyNumberFormat="1" applyFont="1" applyBorder="1" applyAlignment="1" applyProtection="1">
      <alignment horizontal="center" vertical="center" wrapText="1"/>
      <protection locked="0"/>
    </xf>
    <xf numFmtId="1" fontId="9" fillId="0" borderId="2" xfId="53" applyNumberFormat="1" applyFont="1" applyBorder="1" applyAlignment="1" applyProtection="1">
      <alignment horizontal="center" vertical="center" wrapText="1"/>
      <protection locked="0"/>
    </xf>
    <xf numFmtId="1" fontId="9" fillId="0" borderId="3" xfId="53" applyNumberFormat="1" applyFont="1" applyBorder="1" applyAlignment="1" applyProtection="1">
      <alignment horizontal="center" vertical="center" wrapText="1"/>
      <protection locked="0"/>
    </xf>
    <xf numFmtId="1" fontId="9" fillId="0" borderId="4" xfId="53" applyNumberFormat="1" applyFont="1" applyBorder="1" applyAlignment="1" applyProtection="1">
      <alignment horizontal="center" vertical="center" wrapText="1"/>
      <protection locked="0"/>
    </xf>
    <xf numFmtId="1" fontId="9" fillId="0" borderId="11" xfId="53" applyNumberFormat="1" applyFont="1" applyBorder="1" applyAlignment="1" applyProtection="1">
      <alignment horizontal="center" vertical="center" wrapText="1"/>
      <protection locked="0"/>
    </xf>
    <xf numFmtId="1" fontId="9" fillId="0" borderId="0" xfId="53" applyNumberFormat="1" applyFont="1" applyBorder="1" applyAlignment="1" applyProtection="1">
      <alignment horizontal="center" vertical="center" wrapText="1"/>
      <protection locked="0"/>
    </xf>
    <xf numFmtId="1" fontId="9" fillId="0" borderId="13" xfId="53" applyNumberFormat="1" applyFont="1" applyBorder="1" applyAlignment="1" applyProtection="1">
      <alignment horizontal="center" vertical="center" wrapText="1"/>
      <protection locked="0"/>
    </xf>
    <xf numFmtId="1" fontId="9" fillId="0" borderId="7" xfId="53" applyNumberFormat="1" applyFont="1" applyBorder="1" applyAlignment="1" applyProtection="1">
      <alignment horizontal="center" vertical="center" wrapText="1"/>
      <protection locked="0"/>
    </xf>
    <xf numFmtId="1" fontId="9" fillId="0" borderId="8" xfId="53" applyNumberFormat="1" applyFont="1" applyBorder="1" applyAlignment="1" applyProtection="1">
      <alignment horizontal="center" vertical="center" wrapText="1"/>
      <protection locked="0"/>
    </xf>
    <xf numFmtId="1" fontId="9" fillId="0" borderId="9" xfId="53" applyNumberFormat="1" applyFont="1" applyBorder="1" applyAlignment="1" applyProtection="1">
      <alignment horizontal="center" vertical="center" wrapText="1"/>
      <protection locked="0"/>
    </xf>
    <xf numFmtId="1" fontId="9" fillId="0" borderId="1" xfId="53" applyNumberFormat="1" applyFont="1" applyBorder="1" applyAlignment="1" applyProtection="1">
      <alignment horizontal="center" vertical="center" wrapText="1"/>
      <protection locked="0"/>
    </xf>
    <xf numFmtId="1" fontId="9" fillId="0" borderId="10" xfId="53" applyNumberFormat="1" applyFont="1" applyBorder="1" applyAlignment="1" applyProtection="1">
      <alignment horizontal="center" vertical="center" wrapText="1"/>
      <protection locked="0"/>
    </xf>
    <xf numFmtId="1" fontId="13" fillId="4" borderId="5" xfId="53" applyNumberFormat="1" applyFont="1" applyFill="1" applyBorder="1" applyAlignment="1" applyProtection="1">
      <alignment horizontal="center" vertical="center" wrapText="1"/>
      <protection locked="0"/>
    </xf>
    <xf numFmtId="1" fontId="13" fillId="4" borderId="10" xfId="53" applyNumberFormat="1" applyFont="1" applyFill="1" applyBorder="1" applyAlignment="1" applyProtection="1">
      <alignment horizontal="center" vertical="center" wrapText="1"/>
      <protection locked="0"/>
    </xf>
    <xf numFmtId="1" fontId="13" fillId="4" borderId="6" xfId="53" applyNumberFormat="1" applyFont="1" applyFill="1" applyBorder="1" applyAlignment="1" applyProtection="1">
      <alignment horizontal="center" vertical="center" wrapText="1"/>
      <protection locked="0"/>
    </xf>
    <xf numFmtId="1" fontId="13" fillId="0" borderId="5" xfId="0" applyNumberFormat="1" applyFont="1" applyBorder="1" applyAlignment="1" applyProtection="1">
      <alignment vertical="top" wrapText="1"/>
      <protection locked="0"/>
    </xf>
    <xf numFmtId="1" fontId="13" fillId="0" borderId="10" xfId="0" applyNumberFormat="1" applyFont="1" applyBorder="1" applyAlignment="1" applyProtection="1">
      <alignment vertical="top" wrapText="1"/>
      <protection locked="0"/>
    </xf>
    <xf numFmtId="1" fontId="13" fillId="0" borderId="6" xfId="0" applyNumberFormat="1" applyFont="1" applyBorder="1" applyAlignment="1" applyProtection="1">
      <alignment vertical="top" wrapText="1"/>
      <protection locked="0"/>
    </xf>
    <xf numFmtId="1" fontId="13" fillId="0" borderId="5" xfId="0" applyNumberFormat="1" applyFont="1" applyBorder="1" applyAlignment="1" applyProtection="1">
      <alignment horizontal="left" vertical="top" wrapText="1"/>
      <protection locked="0"/>
    </xf>
    <xf numFmtId="1" fontId="13" fillId="0" borderId="10" xfId="0" applyNumberFormat="1" applyFont="1" applyBorder="1" applyAlignment="1" applyProtection="1">
      <alignment horizontal="left" vertical="top" wrapText="1"/>
      <protection locked="0"/>
    </xf>
    <xf numFmtId="1" fontId="13" fillId="0" borderId="6" xfId="0" applyNumberFormat="1" applyFont="1" applyBorder="1" applyAlignment="1" applyProtection="1">
      <alignment horizontal="left" vertical="top" wrapText="1"/>
      <protection locked="0"/>
    </xf>
    <xf numFmtId="1" fontId="12" fillId="0" borderId="5" xfId="0" applyNumberFormat="1" applyFont="1" applyBorder="1" applyAlignment="1" applyProtection="1">
      <alignment vertical="top" wrapText="1"/>
      <protection locked="0"/>
    </xf>
    <xf numFmtId="1" fontId="12" fillId="0" borderId="10" xfId="0" applyNumberFormat="1" applyFont="1" applyBorder="1" applyAlignment="1" applyProtection="1">
      <alignment vertical="top" wrapText="1"/>
      <protection locked="0"/>
    </xf>
    <xf numFmtId="1" fontId="12" fillId="0" borderId="6" xfId="0" applyNumberFormat="1" applyFont="1" applyBorder="1" applyAlignment="1" applyProtection="1">
      <alignment vertical="top" wrapText="1"/>
      <protection locked="0"/>
    </xf>
    <xf numFmtId="1" fontId="13" fillId="5" borderId="5" xfId="0" applyNumberFormat="1" applyFont="1" applyFill="1" applyBorder="1" applyAlignment="1" applyProtection="1">
      <alignment vertical="top" wrapText="1"/>
      <protection locked="0"/>
    </xf>
    <xf numFmtId="1" fontId="13" fillId="5" borderId="10" xfId="0" applyNumberFormat="1" applyFont="1" applyFill="1" applyBorder="1" applyAlignment="1" applyProtection="1">
      <alignment vertical="top" wrapText="1"/>
      <protection locked="0"/>
    </xf>
    <xf numFmtId="1" fontId="13" fillId="5" borderId="6" xfId="0" applyNumberFormat="1" applyFont="1" applyFill="1" applyBorder="1" applyAlignment="1" applyProtection="1">
      <alignment vertical="top" wrapText="1"/>
      <protection locked="0"/>
    </xf>
    <xf numFmtId="0" fontId="13" fillId="0" borderId="5" xfId="53" applyFont="1" applyBorder="1" applyAlignment="1" applyProtection="1">
      <alignment vertical="top"/>
      <protection locked="0"/>
    </xf>
    <xf numFmtId="0" fontId="13" fillId="0" borderId="10" xfId="53" applyFont="1" applyBorder="1" applyAlignment="1" applyProtection="1">
      <alignment vertical="top"/>
      <protection locked="0"/>
    </xf>
    <xf numFmtId="0" fontId="13" fillId="0" borderId="6" xfId="53" applyFont="1" applyBorder="1" applyAlignment="1" applyProtection="1">
      <alignment vertical="top"/>
      <protection locked="0"/>
    </xf>
    <xf numFmtId="0" fontId="9" fillId="0" borderId="5" xfId="53" applyFont="1" applyBorder="1" applyAlignment="1" applyProtection="1">
      <alignment horizontal="left" vertical="top"/>
      <protection locked="0"/>
    </xf>
    <xf numFmtId="0" fontId="9" fillId="0" borderId="10" xfId="53" applyFont="1" applyBorder="1" applyAlignment="1" applyProtection="1">
      <alignment horizontal="left" vertical="top"/>
      <protection locked="0"/>
    </xf>
    <xf numFmtId="0" fontId="9" fillId="0" borderId="6" xfId="53" applyFont="1" applyBorder="1" applyAlignment="1" applyProtection="1">
      <alignment horizontal="left" vertical="top"/>
      <protection locked="0"/>
    </xf>
    <xf numFmtId="0" fontId="9" fillId="0" borderId="5" xfId="53" applyFont="1" applyBorder="1" applyAlignment="1" applyProtection="1">
      <alignment vertical="top"/>
      <protection locked="0"/>
    </xf>
    <xf numFmtId="0" fontId="9" fillId="0" borderId="10" xfId="53" applyFont="1" applyBorder="1" applyAlignment="1" applyProtection="1">
      <alignment vertical="top"/>
      <protection locked="0"/>
    </xf>
    <xf numFmtId="0" fontId="9" fillId="0" borderId="6" xfId="53" applyFont="1" applyBorder="1" applyAlignment="1" applyProtection="1">
      <alignment vertical="top"/>
      <protection locked="0"/>
    </xf>
    <xf numFmtId="0" fontId="22" fillId="0" borderId="1" xfId="53" applyFont="1" applyBorder="1" applyAlignment="1" applyProtection="1">
      <alignment horizontal="center" vertical="top" wrapText="1"/>
      <protection locked="0"/>
    </xf>
    <xf numFmtId="0" fontId="22" fillId="0" borderId="5" xfId="53" applyFont="1" applyBorder="1" applyAlignment="1" applyProtection="1">
      <alignment horizontal="center" vertical="top" wrapText="1"/>
      <protection locked="0"/>
    </xf>
    <xf numFmtId="0" fontId="22" fillId="0" borderId="6" xfId="53" applyFont="1" applyBorder="1" applyAlignment="1" applyProtection="1">
      <alignment horizontal="center" vertical="top" wrapText="1"/>
      <protection locked="0"/>
    </xf>
    <xf numFmtId="0" fontId="12" fillId="0" borderId="2" xfId="53" applyFont="1" applyBorder="1" applyAlignment="1" applyProtection="1">
      <alignment horizontal="center" vertical="top" wrapText="1"/>
      <protection locked="0"/>
    </xf>
    <xf numFmtId="0" fontId="12" fillId="0" borderId="3" xfId="53" applyFont="1" applyBorder="1" applyAlignment="1" applyProtection="1">
      <alignment horizontal="center" vertical="top" wrapText="1"/>
      <protection locked="0"/>
    </xf>
    <xf numFmtId="0" fontId="12" fillId="0" borderId="4" xfId="53" applyFont="1" applyBorder="1" applyAlignment="1" applyProtection="1">
      <alignment horizontal="center" vertical="top" wrapText="1"/>
      <protection locked="0"/>
    </xf>
    <xf numFmtId="0" fontId="12" fillId="0" borderId="11" xfId="53" applyFont="1" applyBorder="1" applyAlignment="1" applyProtection="1">
      <alignment horizontal="center" vertical="top" wrapText="1"/>
      <protection locked="0"/>
    </xf>
    <xf numFmtId="0" fontId="12" fillId="0" borderId="0" xfId="53" applyFont="1" applyBorder="1" applyAlignment="1" applyProtection="1">
      <alignment horizontal="center" vertical="top" wrapText="1"/>
      <protection locked="0"/>
    </xf>
    <xf numFmtId="0" fontId="12" fillId="0" borderId="13" xfId="53" applyFont="1" applyBorder="1" applyAlignment="1" applyProtection="1">
      <alignment horizontal="center" vertical="top" wrapText="1"/>
      <protection locked="0"/>
    </xf>
    <xf numFmtId="0" fontId="12" fillId="0" borderId="7" xfId="53" applyFont="1" applyBorder="1" applyAlignment="1" applyProtection="1">
      <alignment horizontal="center" vertical="top" wrapText="1"/>
      <protection locked="0"/>
    </xf>
    <xf numFmtId="0" fontId="12" fillId="0" borderId="8" xfId="53" applyFont="1" applyBorder="1" applyAlignment="1" applyProtection="1">
      <alignment horizontal="center" vertical="top" wrapText="1"/>
      <protection locked="0"/>
    </xf>
    <xf numFmtId="0" fontId="12" fillId="0" borderId="9" xfId="53" applyFont="1" applyBorder="1" applyAlignment="1" applyProtection="1">
      <alignment horizontal="center" vertical="top" wrapText="1"/>
      <protection locked="0"/>
    </xf>
    <xf numFmtId="0" fontId="13" fillId="0" borderId="0" xfId="53" applyFont="1" applyAlignment="1" applyProtection="1">
      <alignment vertical="top"/>
      <protection locked="0"/>
    </xf>
    <xf numFmtId="0" fontId="13" fillId="0" borderId="0" xfId="53" applyFont="1" applyAlignment="1" applyProtection="1">
      <alignment vertical="top" wrapText="1"/>
      <protection locked="0"/>
    </xf>
    <xf numFmtId="0" fontId="15" fillId="0" borderId="0" xfId="53" applyFont="1" applyProtection="1">
      <protection locked="0"/>
    </xf>
  </cellXfs>
  <cellStyles count="56">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Comma 2" xfId="49"/>
    <cellStyle name="Excel Built-in Normal" xfId="50"/>
    <cellStyle name="Excel Built-in Normal 2" xfId="51"/>
    <cellStyle name="Normal 2" xfId="52"/>
    <cellStyle name="Normal 3" xfId="53"/>
    <cellStyle name="Normal 3 3" xfId="54"/>
    <cellStyle name="Normal 4"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jpeg"/><Relationship Id="rId8" Type="http://schemas.openxmlformats.org/officeDocument/2006/relationships/image" Target="../media/image8.jpeg"/><Relationship Id="rId7" Type="http://schemas.openxmlformats.org/officeDocument/2006/relationships/image" Target="../media/image7.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1" Type="http://schemas.openxmlformats.org/officeDocument/2006/relationships/image" Target="../media/image11.jpeg"/><Relationship Id="rId10" Type="http://schemas.openxmlformats.org/officeDocument/2006/relationships/image" Target="../media/image10.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622300</xdr:colOff>
      <xdr:row>712</xdr:row>
      <xdr:rowOff>88900</xdr:rowOff>
    </xdr:from>
    <xdr:to>
      <xdr:col>6</xdr:col>
      <xdr:colOff>118910</xdr:colOff>
      <xdr:row>738</xdr:row>
      <xdr:rowOff>181626</xdr:rowOff>
    </xdr:to>
    <xdr:pic>
      <xdr:nvPicPr>
        <xdr:cNvPr id="2" name="Picture 1"/>
        <xdr:cNvPicPr>
          <a:picLocks noChangeAspect="1"/>
        </xdr:cNvPicPr>
      </xdr:nvPicPr>
      <xdr:blipFill>
        <a:blip r:embed="rId1" cstate="print"/>
        <a:srcRect/>
        <a:stretch>
          <a:fillRect/>
        </a:stretch>
      </xdr:blipFill>
      <xdr:spPr>
        <a:xfrm>
          <a:off x="1384300" y="149176105"/>
          <a:ext cx="3582670" cy="5293360"/>
        </a:xfrm>
        <a:prstGeom prst="rect">
          <a:avLst/>
        </a:prstGeom>
        <a:ln>
          <a:solidFill>
            <a:schemeClr val="tx1"/>
          </a:solidFill>
        </a:ln>
      </xdr:spPr>
    </xdr:pic>
    <xdr:clientData/>
  </xdr:twoCellAnchor>
  <xdr:twoCellAnchor editAs="oneCell">
    <xdr:from>
      <xdr:col>2</xdr:col>
      <xdr:colOff>55530</xdr:colOff>
      <xdr:row>739</xdr:row>
      <xdr:rowOff>121695</xdr:rowOff>
    </xdr:from>
    <xdr:to>
      <xdr:col>5</xdr:col>
      <xdr:colOff>628530</xdr:colOff>
      <xdr:row>752</xdr:row>
      <xdr:rowOff>28556</xdr:rowOff>
    </xdr:to>
    <xdr:pic>
      <xdr:nvPicPr>
        <xdr:cNvPr id="3" name="Picture 2"/>
        <xdr:cNvPicPr>
          <a:picLocks noChangeAspect="1"/>
        </xdr:cNvPicPr>
      </xdr:nvPicPr>
      <xdr:blipFill>
        <a:blip r:embed="rId2" cstate="print"/>
        <a:srcRect/>
        <a:stretch>
          <a:fillRect/>
        </a:stretch>
      </xdr:blipFill>
      <xdr:spPr>
        <a:xfrm>
          <a:off x="1617345" y="154609165"/>
          <a:ext cx="3115945" cy="2506980"/>
        </a:xfrm>
        <a:prstGeom prst="rect">
          <a:avLst/>
        </a:prstGeom>
        <a:ln>
          <a:solidFill>
            <a:schemeClr val="tx1"/>
          </a:solidFill>
        </a:ln>
      </xdr:spPr>
    </xdr:pic>
    <xdr:clientData/>
  </xdr:twoCellAnchor>
  <xdr:twoCellAnchor>
    <xdr:from>
      <xdr:col>1</xdr:col>
      <xdr:colOff>774699</xdr:colOff>
      <xdr:row>713</xdr:row>
      <xdr:rowOff>57150</xdr:rowOff>
    </xdr:from>
    <xdr:to>
      <xdr:col>2</xdr:col>
      <xdr:colOff>742950</xdr:colOff>
      <xdr:row>714</xdr:row>
      <xdr:rowOff>124860</xdr:rowOff>
    </xdr:to>
    <xdr:sp>
      <xdr:nvSpPr>
        <xdr:cNvPr id="4" name="TextBox 6"/>
        <xdr:cNvSpPr txBox="1"/>
      </xdr:nvSpPr>
      <xdr:spPr>
        <a:xfrm>
          <a:off x="1536065" y="149344380"/>
          <a:ext cx="768985" cy="267335"/>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wrap="square" rtlCol="0" anchor="t">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100" b="0" cap="none" spc="0">
              <a:ln w="0"/>
              <a:solidFill>
                <a:schemeClr val="tx1"/>
              </a:solidFill>
              <a:effectLst>
                <a:outerShdw blurRad="38100" dist="19050" dir="2700000" algn="tl" rotWithShape="0">
                  <a:schemeClr val="dk1">
                    <a:alpha val="40000"/>
                  </a:schemeClr>
                </a:outerShdw>
              </a:effectLst>
            </a:rPr>
            <a:t>Tower A</a:t>
          </a:r>
          <a:endParaRPr lang="en-IN"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2</xdr:col>
      <xdr:colOff>358775</xdr:colOff>
      <xdr:row>714</xdr:row>
      <xdr:rowOff>124860</xdr:rowOff>
    </xdr:from>
    <xdr:to>
      <xdr:col>2</xdr:col>
      <xdr:colOff>558800</xdr:colOff>
      <xdr:row>717</xdr:row>
      <xdr:rowOff>76200</xdr:rowOff>
    </xdr:to>
    <xdr:cxnSp>
      <xdr:nvCxnSpPr>
        <xdr:cNvPr id="6" name="Straight Arrow Connector 5"/>
        <xdr:cNvCxnSpPr>
          <a:stCxn id="4" idx="2"/>
        </xdr:cNvCxnSpPr>
      </xdr:nvCxnSpPr>
      <xdr:spPr>
        <a:xfrm>
          <a:off x="1920875" y="149611715"/>
          <a:ext cx="200025" cy="55181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831850</xdr:colOff>
      <xdr:row>713</xdr:row>
      <xdr:rowOff>38100</xdr:rowOff>
    </xdr:from>
    <xdr:to>
      <xdr:col>4</xdr:col>
      <xdr:colOff>628650</xdr:colOff>
      <xdr:row>714</xdr:row>
      <xdr:rowOff>105810</xdr:rowOff>
    </xdr:to>
    <xdr:sp>
      <xdr:nvSpPr>
        <xdr:cNvPr id="9" name="TextBox 6"/>
        <xdr:cNvSpPr txBox="1"/>
      </xdr:nvSpPr>
      <xdr:spPr>
        <a:xfrm>
          <a:off x="3241675" y="149325330"/>
          <a:ext cx="711200" cy="267335"/>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wrap="square" rtlCol="0" anchor="t">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100" b="0" cap="none" spc="0">
              <a:ln w="0"/>
              <a:solidFill>
                <a:schemeClr val="tx1"/>
              </a:solidFill>
              <a:effectLst>
                <a:outerShdw blurRad="38100" dist="19050" dir="2700000" algn="tl" rotWithShape="0">
                  <a:schemeClr val="dk1">
                    <a:alpha val="40000"/>
                  </a:schemeClr>
                </a:outerShdw>
              </a:effectLst>
            </a:rPr>
            <a:t>Tower B</a:t>
          </a:r>
          <a:endParaRPr lang="en-IN"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4</xdr:col>
      <xdr:colOff>0</xdr:colOff>
      <xdr:row>714</xdr:row>
      <xdr:rowOff>105810</xdr:rowOff>
    </xdr:from>
    <xdr:to>
      <xdr:col>4</xdr:col>
      <xdr:colOff>273050</xdr:colOff>
      <xdr:row>717</xdr:row>
      <xdr:rowOff>25400</xdr:rowOff>
    </xdr:to>
    <xdr:cxnSp>
      <xdr:nvCxnSpPr>
        <xdr:cNvPr id="10" name="Straight Arrow Connector 9"/>
        <xdr:cNvCxnSpPr>
          <a:stCxn id="9" idx="2"/>
        </xdr:cNvCxnSpPr>
      </xdr:nvCxnSpPr>
      <xdr:spPr>
        <a:xfrm flipH="1">
          <a:off x="3324225" y="149592665"/>
          <a:ext cx="273050" cy="52006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527050</xdr:colOff>
      <xdr:row>722</xdr:row>
      <xdr:rowOff>150260</xdr:rowOff>
    </xdr:from>
    <xdr:to>
      <xdr:col>5</xdr:col>
      <xdr:colOff>552450</xdr:colOff>
      <xdr:row>724</xdr:row>
      <xdr:rowOff>21120</xdr:rowOff>
    </xdr:to>
    <xdr:sp>
      <xdr:nvSpPr>
        <xdr:cNvPr id="12" name="TextBox 6"/>
        <xdr:cNvSpPr txBox="1"/>
      </xdr:nvSpPr>
      <xdr:spPr>
        <a:xfrm>
          <a:off x="3851275" y="151237315"/>
          <a:ext cx="806450" cy="271145"/>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wrap="square" rtlCol="0" anchor="t">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100" b="0" cap="none" spc="0">
              <a:ln w="0"/>
              <a:solidFill>
                <a:schemeClr val="tx1"/>
              </a:solidFill>
              <a:effectLst>
                <a:outerShdw blurRad="38100" dist="19050" dir="2700000" algn="tl" rotWithShape="0">
                  <a:schemeClr val="dk1">
                    <a:alpha val="40000"/>
                  </a:schemeClr>
                </a:outerShdw>
              </a:effectLst>
            </a:rPr>
            <a:t>Tower C</a:t>
          </a:r>
          <a:endParaRPr lang="en-IN"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4</xdr:col>
      <xdr:colOff>127000</xdr:colOff>
      <xdr:row>723</xdr:row>
      <xdr:rowOff>76200</xdr:rowOff>
    </xdr:from>
    <xdr:to>
      <xdr:col>4</xdr:col>
      <xdr:colOff>527050</xdr:colOff>
      <xdr:row>723</xdr:row>
      <xdr:rowOff>88900</xdr:rowOff>
    </xdr:to>
    <xdr:cxnSp>
      <xdr:nvCxnSpPr>
        <xdr:cNvPr id="13" name="Straight Arrow Connector 12"/>
        <xdr:cNvCxnSpPr/>
      </xdr:nvCxnSpPr>
      <xdr:spPr>
        <a:xfrm flipH="1">
          <a:off x="3451225" y="151363680"/>
          <a:ext cx="400050" cy="127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584200</xdr:colOff>
      <xdr:row>727</xdr:row>
      <xdr:rowOff>184150</xdr:rowOff>
    </xdr:from>
    <xdr:to>
      <xdr:col>5</xdr:col>
      <xdr:colOff>523876</xdr:colOff>
      <xdr:row>729</xdr:row>
      <xdr:rowOff>55010</xdr:rowOff>
    </xdr:to>
    <xdr:sp>
      <xdr:nvSpPr>
        <xdr:cNvPr id="16" name="TextBox 6"/>
        <xdr:cNvSpPr txBox="1"/>
      </xdr:nvSpPr>
      <xdr:spPr>
        <a:xfrm>
          <a:off x="3908425" y="152271730"/>
          <a:ext cx="720725" cy="270510"/>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wrap="square" rtlCol="0" anchor="t">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100" b="0" cap="none" spc="0">
              <a:ln w="0"/>
              <a:solidFill>
                <a:schemeClr val="tx1"/>
              </a:solidFill>
              <a:effectLst>
                <a:outerShdw blurRad="38100" dist="19050" dir="2700000" algn="tl" rotWithShape="0">
                  <a:schemeClr val="dk1">
                    <a:alpha val="40000"/>
                  </a:schemeClr>
                </a:outerShdw>
              </a:effectLst>
            </a:rPr>
            <a:t>Tower D</a:t>
          </a:r>
          <a:endParaRPr lang="en-IN"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4</xdr:col>
      <xdr:colOff>95250</xdr:colOff>
      <xdr:row>728</xdr:row>
      <xdr:rowOff>114300</xdr:rowOff>
    </xdr:from>
    <xdr:to>
      <xdr:col>4</xdr:col>
      <xdr:colOff>590550</xdr:colOff>
      <xdr:row>728</xdr:row>
      <xdr:rowOff>114300</xdr:rowOff>
    </xdr:to>
    <xdr:cxnSp>
      <xdr:nvCxnSpPr>
        <xdr:cNvPr id="17" name="Straight Arrow Connector 16"/>
        <xdr:cNvCxnSpPr/>
      </xdr:nvCxnSpPr>
      <xdr:spPr>
        <a:xfrm flipH="1">
          <a:off x="3419475" y="152401905"/>
          <a:ext cx="495300"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450850</xdr:colOff>
      <xdr:row>733</xdr:row>
      <xdr:rowOff>171450</xdr:rowOff>
    </xdr:from>
    <xdr:to>
      <xdr:col>5</xdr:col>
      <xdr:colOff>317500</xdr:colOff>
      <xdr:row>735</xdr:row>
      <xdr:rowOff>42310</xdr:rowOff>
    </xdr:to>
    <xdr:sp>
      <xdr:nvSpPr>
        <xdr:cNvPr id="20" name="TextBox 6"/>
        <xdr:cNvSpPr txBox="1"/>
      </xdr:nvSpPr>
      <xdr:spPr>
        <a:xfrm>
          <a:off x="3775075" y="153459180"/>
          <a:ext cx="647700" cy="270510"/>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wrap="square" rtlCol="0" anchor="t">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100" b="0" cap="none" spc="0">
              <a:ln w="0"/>
              <a:solidFill>
                <a:schemeClr val="tx1"/>
              </a:solidFill>
              <a:effectLst>
                <a:outerShdw blurRad="38100" dist="19050" dir="2700000" algn="tl" rotWithShape="0">
                  <a:schemeClr val="dk1">
                    <a:alpha val="40000"/>
                  </a:schemeClr>
                </a:outerShdw>
              </a:effectLst>
            </a:rPr>
            <a:t>Tower E</a:t>
          </a:r>
          <a:endParaRPr lang="en-IN"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4</xdr:col>
      <xdr:colOff>69850</xdr:colOff>
      <xdr:row>733</xdr:row>
      <xdr:rowOff>177800</xdr:rowOff>
    </xdr:from>
    <xdr:to>
      <xdr:col>4</xdr:col>
      <xdr:colOff>425450</xdr:colOff>
      <xdr:row>734</xdr:row>
      <xdr:rowOff>107950</xdr:rowOff>
    </xdr:to>
    <xdr:cxnSp>
      <xdr:nvCxnSpPr>
        <xdr:cNvPr id="21" name="Straight Arrow Connector 20"/>
        <xdr:cNvCxnSpPr/>
      </xdr:nvCxnSpPr>
      <xdr:spPr>
        <a:xfrm flipH="1" flipV="1">
          <a:off x="3394075" y="153465530"/>
          <a:ext cx="355600" cy="13017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342900</xdr:colOff>
      <xdr:row>733</xdr:row>
      <xdr:rowOff>158750</xdr:rowOff>
    </xdr:from>
    <xdr:to>
      <xdr:col>2</xdr:col>
      <xdr:colOff>190500</xdr:colOff>
      <xdr:row>735</xdr:row>
      <xdr:rowOff>29610</xdr:rowOff>
    </xdr:to>
    <xdr:sp>
      <xdr:nvSpPr>
        <xdr:cNvPr id="24" name="TextBox 6"/>
        <xdr:cNvSpPr txBox="1"/>
      </xdr:nvSpPr>
      <xdr:spPr>
        <a:xfrm>
          <a:off x="1104900" y="153446480"/>
          <a:ext cx="647700" cy="270510"/>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wrap="square" rtlCol="0" anchor="t">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100" b="0" cap="none" spc="0">
              <a:ln w="0"/>
              <a:solidFill>
                <a:schemeClr val="tx1"/>
              </a:solidFill>
              <a:effectLst>
                <a:outerShdw blurRad="38100" dist="19050" dir="2700000" algn="tl" rotWithShape="0">
                  <a:schemeClr val="dk1">
                    <a:alpha val="40000"/>
                  </a:schemeClr>
                </a:outerShdw>
              </a:effectLst>
            </a:rPr>
            <a:t>Tower F</a:t>
          </a:r>
          <a:endParaRPr lang="en-IN"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2</xdr:col>
      <xdr:colOff>171450</xdr:colOff>
      <xdr:row>733</xdr:row>
      <xdr:rowOff>184150</xdr:rowOff>
    </xdr:from>
    <xdr:to>
      <xdr:col>2</xdr:col>
      <xdr:colOff>520700</xdr:colOff>
      <xdr:row>734</xdr:row>
      <xdr:rowOff>88900</xdr:rowOff>
    </xdr:to>
    <xdr:cxnSp>
      <xdr:nvCxnSpPr>
        <xdr:cNvPr id="25" name="Straight Arrow Connector 24"/>
        <xdr:cNvCxnSpPr/>
      </xdr:nvCxnSpPr>
      <xdr:spPr>
        <a:xfrm flipV="1">
          <a:off x="1733550" y="153471880"/>
          <a:ext cx="349250" cy="10477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736600</xdr:colOff>
      <xdr:row>722</xdr:row>
      <xdr:rowOff>158750</xdr:rowOff>
    </xdr:from>
    <xdr:to>
      <xdr:col>2</xdr:col>
      <xdr:colOff>19050</xdr:colOff>
      <xdr:row>724</xdr:row>
      <xdr:rowOff>29610</xdr:rowOff>
    </xdr:to>
    <xdr:sp>
      <xdr:nvSpPr>
        <xdr:cNvPr id="28" name="TextBox 6"/>
        <xdr:cNvSpPr txBox="1"/>
      </xdr:nvSpPr>
      <xdr:spPr>
        <a:xfrm>
          <a:off x="736600" y="151246205"/>
          <a:ext cx="844550" cy="270510"/>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wrap="square" rtlCol="0" anchor="t">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100" b="0" cap="none" spc="0">
              <a:ln w="0"/>
              <a:solidFill>
                <a:schemeClr val="tx1"/>
              </a:solidFill>
              <a:effectLst>
                <a:outerShdw blurRad="38100" dist="19050" dir="2700000" algn="tl" rotWithShape="0">
                  <a:schemeClr val="dk1">
                    <a:alpha val="40000"/>
                  </a:schemeClr>
                </a:outerShdw>
              </a:effectLst>
            </a:rPr>
            <a:t>Retail Wing</a:t>
          </a:r>
          <a:endParaRPr lang="en-IN"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396875</xdr:colOff>
      <xdr:row>724</xdr:row>
      <xdr:rowOff>29610</xdr:rowOff>
    </xdr:from>
    <xdr:to>
      <xdr:col>2</xdr:col>
      <xdr:colOff>457200</xdr:colOff>
      <xdr:row>726</xdr:row>
      <xdr:rowOff>158750</xdr:rowOff>
    </xdr:to>
    <xdr:cxnSp>
      <xdr:nvCxnSpPr>
        <xdr:cNvPr id="29" name="Straight Arrow Connector 28"/>
        <xdr:cNvCxnSpPr>
          <a:stCxn id="28" idx="2"/>
        </xdr:cNvCxnSpPr>
      </xdr:nvCxnSpPr>
      <xdr:spPr>
        <a:xfrm>
          <a:off x="1158875" y="151516715"/>
          <a:ext cx="860425" cy="52959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344987</xdr:colOff>
      <xdr:row>776</xdr:row>
      <xdr:rowOff>21051</xdr:rowOff>
    </xdr:from>
    <xdr:to>
      <xdr:col>6</xdr:col>
      <xdr:colOff>442846</xdr:colOff>
      <xdr:row>794</xdr:row>
      <xdr:rowOff>10091</xdr:rowOff>
    </xdr:to>
    <xdr:pic>
      <xdr:nvPicPr>
        <xdr:cNvPr id="33" name="Picture 32"/>
        <xdr:cNvPicPr>
          <a:picLocks noChangeAspect="1"/>
        </xdr:cNvPicPr>
      </xdr:nvPicPr>
      <xdr:blipFill>
        <a:blip r:embed="rId3" cstate="print"/>
        <a:srcRect/>
        <a:stretch>
          <a:fillRect/>
        </a:stretch>
      </xdr:blipFill>
      <xdr:spPr>
        <a:xfrm>
          <a:off x="1106805" y="161909760"/>
          <a:ext cx="4184015" cy="3589020"/>
        </a:xfrm>
        <a:prstGeom prst="rect">
          <a:avLst/>
        </a:prstGeom>
        <a:ln>
          <a:solidFill>
            <a:schemeClr val="tx1"/>
          </a:solidFill>
        </a:ln>
      </xdr:spPr>
    </xdr:pic>
    <xdr:clientData/>
  </xdr:twoCellAnchor>
  <xdr:twoCellAnchor editAs="oneCell">
    <xdr:from>
      <xdr:col>1</xdr:col>
      <xdr:colOff>38100</xdr:colOff>
      <xdr:row>755</xdr:row>
      <xdr:rowOff>184150</xdr:rowOff>
    </xdr:from>
    <xdr:to>
      <xdr:col>7</xdr:col>
      <xdr:colOff>2303</xdr:colOff>
      <xdr:row>775</xdr:row>
      <xdr:rowOff>30010</xdr:rowOff>
    </xdr:to>
    <xdr:pic>
      <xdr:nvPicPr>
        <xdr:cNvPr id="34" name="Picture 33"/>
        <xdr:cNvPicPr>
          <a:picLocks noChangeAspect="1"/>
        </xdr:cNvPicPr>
      </xdr:nvPicPr>
      <xdr:blipFill>
        <a:blip r:embed="rId4" cstate="print"/>
        <a:srcRect/>
        <a:stretch>
          <a:fillRect/>
        </a:stretch>
      </xdr:blipFill>
      <xdr:spPr>
        <a:xfrm>
          <a:off x="800100" y="157872430"/>
          <a:ext cx="4783455" cy="3846195"/>
        </a:xfrm>
        <a:prstGeom prst="rect">
          <a:avLst/>
        </a:prstGeom>
        <a:ln>
          <a:solidFill>
            <a:schemeClr val="tx1"/>
          </a:solidFill>
        </a:ln>
      </xdr:spPr>
    </xdr:pic>
    <xdr:clientData/>
  </xdr:twoCellAnchor>
  <xdr:twoCellAnchor>
    <xdr:from>
      <xdr:col>3</xdr:col>
      <xdr:colOff>440217</xdr:colOff>
      <xdr:row>781</xdr:row>
      <xdr:rowOff>119893</xdr:rowOff>
    </xdr:from>
    <xdr:to>
      <xdr:col>4</xdr:col>
      <xdr:colOff>519633</xdr:colOff>
      <xdr:row>789</xdr:row>
      <xdr:rowOff>11168</xdr:rowOff>
    </xdr:to>
    <xdr:sp>
      <xdr:nvSpPr>
        <xdr:cNvPr id="35" name="Rectangle 34"/>
        <xdr:cNvSpPr/>
      </xdr:nvSpPr>
      <xdr:spPr>
        <a:xfrm rot="588997">
          <a:off x="2849880" y="163008310"/>
          <a:ext cx="993775" cy="1491615"/>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oneCellAnchor>
    <xdr:from>
      <xdr:col>2</xdr:col>
      <xdr:colOff>523875</xdr:colOff>
      <xdr:row>717</xdr:row>
      <xdr:rowOff>161925</xdr:rowOff>
    </xdr:from>
    <xdr:ext cx="308995" cy="342786"/>
    <xdr:sp>
      <xdr:nvSpPr>
        <xdr:cNvPr id="5" name="TextBox 4"/>
        <xdr:cNvSpPr txBox="1"/>
      </xdr:nvSpPr>
      <xdr:spPr>
        <a:xfrm>
          <a:off x="2085975" y="150249255"/>
          <a:ext cx="308610" cy="342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a:solidFill>
                <a:srgbClr val="7030A0"/>
              </a:solidFill>
            </a:rPr>
            <a:t>A</a:t>
          </a:r>
          <a:endParaRPr lang="en-IN" sz="1600" b="1">
            <a:solidFill>
              <a:srgbClr val="7030A0"/>
            </a:solidFill>
          </a:endParaRPr>
        </a:p>
      </xdr:txBody>
    </xdr:sp>
    <xdr:clientData/>
  </xdr:oneCellAnchor>
  <xdr:twoCellAnchor editAs="oneCell">
    <xdr:from>
      <xdr:col>11</xdr:col>
      <xdr:colOff>31937</xdr:colOff>
      <xdr:row>15</xdr:row>
      <xdr:rowOff>1120</xdr:rowOff>
    </xdr:from>
    <xdr:to>
      <xdr:col>20</xdr:col>
      <xdr:colOff>96207</xdr:colOff>
      <xdr:row>22</xdr:row>
      <xdr:rowOff>354466</xdr:rowOff>
    </xdr:to>
    <xdr:pic>
      <xdr:nvPicPr>
        <xdr:cNvPr id="8" name="Picture 7"/>
        <xdr:cNvPicPr>
          <a:picLocks noChangeAspect="1"/>
        </xdr:cNvPicPr>
      </xdr:nvPicPr>
      <xdr:blipFill>
        <a:blip r:embed="rId5"/>
        <a:stretch>
          <a:fillRect/>
        </a:stretch>
      </xdr:blipFill>
      <xdr:spPr>
        <a:xfrm>
          <a:off x="8975725" y="3772535"/>
          <a:ext cx="6864985" cy="2590165"/>
        </a:xfrm>
        <a:prstGeom prst="rect">
          <a:avLst/>
        </a:prstGeom>
      </xdr:spPr>
    </xdr:pic>
    <xdr:clientData/>
  </xdr:twoCellAnchor>
  <xdr:twoCellAnchor editAs="oneCell">
    <xdr:from>
      <xdr:col>8</xdr:col>
      <xdr:colOff>457200</xdr:colOff>
      <xdr:row>51</xdr:row>
      <xdr:rowOff>9525</xdr:rowOff>
    </xdr:from>
    <xdr:to>
      <xdr:col>17</xdr:col>
      <xdr:colOff>94373</xdr:colOff>
      <xdr:row>55</xdr:row>
      <xdr:rowOff>1028332</xdr:rowOff>
    </xdr:to>
    <xdr:pic>
      <xdr:nvPicPr>
        <xdr:cNvPr id="11" name="Picture 10"/>
        <xdr:cNvPicPr>
          <a:picLocks noChangeAspect="1"/>
        </xdr:cNvPicPr>
      </xdr:nvPicPr>
      <xdr:blipFill>
        <a:blip r:embed="rId6"/>
        <a:stretch>
          <a:fillRect/>
        </a:stretch>
      </xdr:blipFill>
      <xdr:spPr>
        <a:xfrm>
          <a:off x="6772275" y="12499975"/>
          <a:ext cx="7018655" cy="2942590"/>
        </a:xfrm>
        <a:prstGeom prst="rect">
          <a:avLst/>
        </a:prstGeom>
      </xdr:spPr>
    </xdr:pic>
    <xdr:clientData/>
  </xdr:twoCellAnchor>
  <xdr:twoCellAnchor>
    <xdr:from>
      <xdr:col>0</xdr:col>
      <xdr:colOff>152400</xdr:colOff>
      <xdr:row>669</xdr:row>
      <xdr:rowOff>88899</xdr:rowOff>
    </xdr:from>
    <xdr:to>
      <xdr:col>7</xdr:col>
      <xdr:colOff>615580</xdr:colOff>
      <xdr:row>705</xdr:row>
      <xdr:rowOff>29575</xdr:rowOff>
    </xdr:to>
    <xdr:grpSp>
      <xdr:nvGrpSpPr>
        <xdr:cNvPr id="7" name="Group 6"/>
        <xdr:cNvGrpSpPr/>
      </xdr:nvGrpSpPr>
      <xdr:grpSpPr>
        <a:xfrm>
          <a:off x="152400" y="141374495"/>
          <a:ext cx="6044565" cy="7141845"/>
          <a:chOff x="114300" y="140792199"/>
          <a:chExt cx="6044830" cy="7141576"/>
        </a:xfrm>
      </xdr:grpSpPr>
      <xdr:pic>
        <xdr:nvPicPr>
          <xdr:cNvPr id="31" name="Picture 30" descr="https://vsjcllp.vsjadon.com/upload/insp-243264-1525.jpg"/>
          <xdr:cNvPicPr>
            <a:picLocks noChangeAspect="1" noChangeArrowheads="1"/>
          </xdr:cNvPicPr>
        </xdr:nvPicPr>
        <xdr:blipFill>
          <a:blip r:embed="rId7" cstate="print"/>
          <a:srcRect/>
          <a:stretch>
            <a:fillRect/>
          </a:stretch>
        </xdr:blipFill>
        <xdr:spPr>
          <a:xfrm>
            <a:off x="1847850" y="145773775"/>
            <a:ext cx="2865387"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6" name="Picture 35" descr="https://vsjcllp.vsjadon.com/upload/insp-243264-845.jpg"/>
          <xdr:cNvPicPr>
            <a:picLocks noChangeAspect="1" noChangeArrowheads="1"/>
          </xdr:cNvPicPr>
        </xdr:nvPicPr>
        <xdr:blipFill>
          <a:blip r:embed="rId8" cstate="print"/>
          <a:srcRect/>
          <a:stretch>
            <a:fillRect/>
          </a:stretch>
        </xdr:blipFill>
        <xdr:spPr>
          <a:xfrm>
            <a:off x="3181350" y="140792199"/>
            <a:ext cx="2977780" cy="22447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7" name="Picture 36" descr="https://vsjcllp.vsjadon.com/upload/insp-243264-849.jpg"/>
          <xdr:cNvPicPr>
            <a:picLocks noChangeAspect="1" noChangeArrowheads="1"/>
          </xdr:cNvPicPr>
        </xdr:nvPicPr>
        <xdr:blipFill>
          <a:blip r:embed="rId9" cstate="print"/>
          <a:srcRect/>
          <a:stretch>
            <a:fillRect/>
          </a:stretch>
        </xdr:blipFill>
        <xdr:spPr>
          <a:xfrm>
            <a:off x="114300" y="140801724"/>
            <a:ext cx="2977780" cy="22447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8" name="Picture 37" descr="https://vsjcllp.vsjadon.com/upload/insp-243264-851.jpg"/>
          <xdr:cNvPicPr>
            <a:picLocks noChangeAspect="1" noChangeArrowheads="1"/>
          </xdr:cNvPicPr>
        </xdr:nvPicPr>
        <xdr:blipFill>
          <a:blip r:embed="rId10" cstate="print"/>
          <a:srcRect/>
          <a:stretch>
            <a:fillRect/>
          </a:stretch>
        </xdr:blipFill>
        <xdr:spPr>
          <a:xfrm>
            <a:off x="419100" y="143132174"/>
            <a:ext cx="1932999" cy="257016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0" name="Picture 39" descr="https://vsjcllp.vsjadon.com/upload/insp-243264-925.jpg"/>
          <xdr:cNvPicPr>
            <a:picLocks noChangeAspect="1" noChangeArrowheads="1"/>
          </xdr:cNvPicPr>
        </xdr:nvPicPr>
        <xdr:blipFill>
          <a:blip r:embed="rId11" cstate="print"/>
          <a:srcRect/>
          <a:stretch>
            <a:fillRect/>
          </a:stretch>
        </xdr:blipFill>
        <xdr:spPr>
          <a:xfrm>
            <a:off x="2457450" y="143124236"/>
            <a:ext cx="3422123" cy="257016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a:blip r:embed="rId1">
          <a:extLst>
            <a:ext uri="{28A0092B-C50C-407E-A947-70E740481C1C}">
              <a14:useLocalDpi xmlns:a14="http://schemas.microsoft.com/office/drawing/2010/main" val="0"/>
            </a:ext>
          </a:extLst>
        </a:blip>
        <a:srcRect l="36269"/>
        <a:stretch>
          <a:fillRect/>
        </a:stretch>
      </xdr:blipFill>
      <xdr:spPr>
        <a:xfrm>
          <a:off x="9903460" y="358140"/>
          <a:ext cx="3246755" cy="4318635"/>
        </a:xfrm>
        <a:prstGeom prst="rect">
          <a:avLst/>
        </a:prstGeom>
      </xdr:spPr>
    </xdr:pic>
    <xdr:clientData/>
  </xdr:twoCellAnchor>
  <xdr:twoCellAnchor editAs="oneCell">
    <xdr:from>
      <xdr:col>0</xdr:col>
      <xdr:colOff>0</xdr:colOff>
      <xdr:row>14</xdr:row>
      <xdr:rowOff>0</xdr:rowOff>
    </xdr:from>
    <xdr:to>
      <xdr:col>5</xdr:col>
      <xdr:colOff>857471</xdr:colOff>
      <xdr:row>35</xdr:row>
      <xdr:rowOff>113000</xdr:rowOff>
    </xdr:to>
    <xdr:pic>
      <xdr:nvPicPr>
        <xdr:cNvPr id="3" name="Picture 2"/>
        <xdr:cNvPicPr>
          <a:picLocks noChangeAspect="1"/>
        </xdr:cNvPicPr>
      </xdr:nvPicPr>
      <xdr:blipFill>
        <a:blip r:embed="rId2" cstate="print"/>
        <a:stretch>
          <a:fillRect/>
        </a:stretch>
      </xdr:blipFill>
      <xdr:spPr>
        <a:xfrm>
          <a:off x="0" y="2676525"/>
          <a:ext cx="6905625" cy="4112895"/>
        </a:xfrm>
        <a:prstGeom prst="rect">
          <a:avLst/>
        </a:prstGeom>
        <a:ln>
          <a:solidFill>
            <a:schemeClr val="tx1"/>
          </a:solidFill>
        </a:ln>
      </xdr:spPr>
    </xdr:pic>
    <xdr:clientData/>
  </xdr:twoCellAnchor>
  <xdr:twoCellAnchor editAs="oneCell">
    <xdr:from>
      <xdr:col>6</xdr:col>
      <xdr:colOff>71268</xdr:colOff>
      <xdr:row>14</xdr:row>
      <xdr:rowOff>0</xdr:rowOff>
    </xdr:from>
    <xdr:to>
      <xdr:col>15</xdr:col>
      <xdr:colOff>435679</xdr:colOff>
      <xdr:row>35</xdr:row>
      <xdr:rowOff>113000</xdr:rowOff>
    </xdr:to>
    <xdr:pic>
      <xdr:nvPicPr>
        <xdr:cNvPr id="4" name="Picture 3"/>
        <xdr:cNvPicPr>
          <a:picLocks noChangeAspect="1"/>
        </xdr:cNvPicPr>
      </xdr:nvPicPr>
      <xdr:blipFill>
        <a:blip r:embed="rId3" cstate="print"/>
        <a:stretch>
          <a:fillRect/>
        </a:stretch>
      </xdr:blipFill>
      <xdr:spPr>
        <a:xfrm>
          <a:off x="7052945" y="2676525"/>
          <a:ext cx="6860540" cy="4112895"/>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maps.app.goo.gl/jwRSNy8a4uZibM9k6" TargetMode="External"/><Relationship Id="rId4" Type="http://schemas.openxmlformats.org/officeDocument/2006/relationships/vmlDrawing" Target="../drawings/vmlDrawing2.vm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Z755"/>
  <sheetViews>
    <sheetView tabSelected="1" view="pageBreakPreview" zoomScalePageLayoutView="85" zoomScaleNormal="100" workbookViewId="0">
      <selection activeCell="L387" sqref="L387"/>
    </sheetView>
  </sheetViews>
  <sheetFormatPr defaultColWidth="9.14285714285714" defaultRowHeight="15.75"/>
  <cols>
    <col min="1" max="1" width="11.4285714285714" style="27" customWidth="1"/>
    <col min="2" max="2" width="12" style="27" customWidth="1"/>
    <col min="3" max="3" width="12.7142857142857" style="27" customWidth="1"/>
    <col min="4" max="4" width="13.7142857142857" style="27" customWidth="1"/>
    <col min="5" max="5" width="11.7142857142857" style="27" customWidth="1"/>
    <col min="6" max="6" width="11.1428571428571" style="27" customWidth="1"/>
    <col min="7" max="8" width="11" style="27" customWidth="1"/>
    <col min="9" max="9" width="17.4285714285714" style="28" customWidth="1"/>
    <col min="10" max="10" width="11.4285714285714" style="28" customWidth="1"/>
    <col min="11" max="11" width="10.5714285714286" style="28" customWidth="1"/>
    <col min="12" max="12" width="13.8571428571429" style="28" customWidth="1"/>
    <col min="13" max="13" width="11.8571428571429" style="28" customWidth="1"/>
    <col min="14" max="14" width="12.5714285714286" style="28" customWidth="1"/>
    <col min="15" max="15" width="12.1428571428571" style="28" customWidth="1"/>
    <col min="16" max="16" width="11.7142857142857" style="28" customWidth="1"/>
    <col min="17" max="18" width="9.14285714285714" style="28"/>
    <col min="19" max="19" width="10.8571428571429" style="28" customWidth="1"/>
    <col min="20" max="20" width="10.7142857142857" style="28" customWidth="1"/>
    <col min="21" max="247" width="9.14285714285714" style="28"/>
    <col min="248" max="248" width="8.71428571428571" style="28" customWidth="1"/>
    <col min="249" max="249" width="9.85714285714286" style="28" customWidth="1"/>
    <col min="250" max="250" width="14.4285714285714" style="28" customWidth="1"/>
    <col min="251" max="251" width="7.28571428571429" style="28" customWidth="1"/>
    <col min="252" max="252" width="5.57142857142857" style="28" customWidth="1"/>
    <col min="253" max="253" width="9" style="28" customWidth="1"/>
    <col min="254" max="255" width="9.85714285714286" style="28" customWidth="1"/>
    <col min="256" max="256" width="11.1428571428571" style="28" customWidth="1"/>
    <col min="257" max="257" width="2.85714285714286" style="28" customWidth="1"/>
    <col min="258" max="258" width="3.57142857142857" style="28" customWidth="1"/>
    <col min="259" max="503" width="9.14285714285714" style="28"/>
    <col min="504" max="504" width="8.71428571428571" style="28" customWidth="1"/>
    <col min="505" max="505" width="9.85714285714286" style="28" customWidth="1"/>
    <col min="506" max="506" width="14.4285714285714" style="28" customWidth="1"/>
    <col min="507" max="507" width="7.28571428571429" style="28" customWidth="1"/>
    <col min="508" max="508" width="5.57142857142857" style="28" customWidth="1"/>
    <col min="509" max="509" width="9" style="28" customWidth="1"/>
    <col min="510" max="511" width="9.85714285714286" style="28" customWidth="1"/>
    <col min="512" max="512" width="11.1428571428571" style="28" customWidth="1"/>
    <col min="513" max="513" width="2.85714285714286" style="28" customWidth="1"/>
    <col min="514" max="514" width="3.57142857142857" style="28" customWidth="1"/>
    <col min="515" max="759" width="9.14285714285714" style="28"/>
    <col min="760" max="760" width="8.71428571428571" style="28" customWidth="1"/>
    <col min="761" max="761" width="9.85714285714286" style="28" customWidth="1"/>
    <col min="762" max="762" width="14.4285714285714" style="28" customWidth="1"/>
    <col min="763" max="763" width="7.28571428571429" style="28" customWidth="1"/>
    <col min="764" max="764" width="5.57142857142857" style="28" customWidth="1"/>
    <col min="765" max="765" width="9" style="28" customWidth="1"/>
    <col min="766" max="767" width="9.85714285714286" style="28" customWidth="1"/>
    <col min="768" max="768" width="11.1428571428571" style="28" customWidth="1"/>
    <col min="769" max="769" width="2.85714285714286" style="28" customWidth="1"/>
    <col min="770" max="770" width="3.57142857142857" style="28" customWidth="1"/>
    <col min="771" max="1015" width="9.14285714285714" style="28"/>
    <col min="1016" max="1016" width="8.71428571428571" style="28" customWidth="1"/>
    <col min="1017" max="1017" width="9.85714285714286" style="28" customWidth="1"/>
    <col min="1018" max="1018" width="14.4285714285714" style="28" customWidth="1"/>
    <col min="1019" max="1019" width="7.28571428571429" style="28" customWidth="1"/>
    <col min="1020" max="1020" width="5.57142857142857" style="28" customWidth="1"/>
    <col min="1021" max="1021" width="9" style="28" customWidth="1"/>
    <col min="1022" max="1023" width="9.85714285714286" style="28" customWidth="1"/>
    <col min="1024" max="1024" width="11.1428571428571" style="28" customWidth="1"/>
    <col min="1025" max="1025" width="2.85714285714286" style="28" customWidth="1"/>
    <col min="1026" max="1026" width="3.57142857142857" style="28" customWidth="1"/>
    <col min="1027" max="1271" width="9.14285714285714" style="28"/>
    <col min="1272" max="1272" width="8.71428571428571" style="28" customWidth="1"/>
    <col min="1273" max="1273" width="9.85714285714286" style="28" customWidth="1"/>
    <col min="1274" max="1274" width="14.4285714285714" style="28" customWidth="1"/>
    <col min="1275" max="1275" width="7.28571428571429" style="28" customWidth="1"/>
    <col min="1276" max="1276" width="5.57142857142857" style="28" customWidth="1"/>
    <col min="1277" max="1277" width="9" style="28" customWidth="1"/>
    <col min="1278" max="1279" width="9.85714285714286" style="28" customWidth="1"/>
    <col min="1280" max="1280" width="11.1428571428571" style="28" customWidth="1"/>
    <col min="1281" max="1281" width="2.85714285714286" style="28" customWidth="1"/>
    <col min="1282" max="1282" width="3.57142857142857" style="28" customWidth="1"/>
    <col min="1283" max="1527" width="9.14285714285714" style="28"/>
    <col min="1528" max="1528" width="8.71428571428571" style="28" customWidth="1"/>
    <col min="1529" max="1529" width="9.85714285714286" style="28" customWidth="1"/>
    <col min="1530" max="1530" width="14.4285714285714" style="28" customWidth="1"/>
    <col min="1531" max="1531" width="7.28571428571429" style="28" customWidth="1"/>
    <col min="1532" max="1532" width="5.57142857142857" style="28" customWidth="1"/>
    <col min="1533" max="1533" width="9" style="28" customWidth="1"/>
    <col min="1534" max="1535" width="9.85714285714286" style="28" customWidth="1"/>
    <col min="1536" max="1536" width="11.1428571428571" style="28" customWidth="1"/>
    <col min="1537" max="1537" width="2.85714285714286" style="28" customWidth="1"/>
    <col min="1538" max="1538" width="3.57142857142857" style="28" customWidth="1"/>
    <col min="1539" max="1783" width="9.14285714285714" style="28"/>
    <col min="1784" max="1784" width="8.71428571428571" style="28" customWidth="1"/>
    <col min="1785" max="1785" width="9.85714285714286" style="28" customWidth="1"/>
    <col min="1786" max="1786" width="14.4285714285714" style="28" customWidth="1"/>
    <col min="1787" max="1787" width="7.28571428571429" style="28" customWidth="1"/>
    <col min="1788" max="1788" width="5.57142857142857" style="28" customWidth="1"/>
    <col min="1789" max="1789" width="9" style="28" customWidth="1"/>
    <col min="1790" max="1791" width="9.85714285714286" style="28" customWidth="1"/>
    <col min="1792" max="1792" width="11.1428571428571" style="28" customWidth="1"/>
    <col min="1793" max="1793" width="2.85714285714286" style="28" customWidth="1"/>
    <col min="1794" max="1794" width="3.57142857142857" style="28" customWidth="1"/>
    <col min="1795" max="2039" width="9.14285714285714" style="28"/>
    <col min="2040" max="2040" width="8.71428571428571" style="28" customWidth="1"/>
    <col min="2041" max="2041" width="9.85714285714286" style="28" customWidth="1"/>
    <col min="2042" max="2042" width="14.4285714285714" style="28" customWidth="1"/>
    <col min="2043" max="2043" width="7.28571428571429" style="28" customWidth="1"/>
    <col min="2044" max="2044" width="5.57142857142857" style="28" customWidth="1"/>
    <col min="2045" max="2045" width="9" style="28" customWidth="1"/>
    <col min="2046" max="2047" width="9.85714285714286" style="28" customWidth="1"/>
    <col min="2048" max="2048" width="11.1428571428571" style="28" customWidth="1"/>
    <col min="2049" max="2049" width="2.85714285714286" style="28" customWidth="1"/>
    <col min="2050" max="2050" width="3.57142857142857" style="28" customWidth="1"/>
    <col min="2051" max="2295" width="9.14285714285714" style="28"/>
    <col min="2296" max="2296" width="8.71428571428571" style="28" customWidth="1"/>
    <col min="2297" max="2297" width="9.85714285714286" style="28" customWidth="1"/>
    <col min="2298" max="2298" width="14.4285714285714" style="28" customWidth="1"/>
    <col min="2299" max="2299" width="7.28571428571429" style="28" customWidth="1"/>
    <col min="2300" max="2300" width="5.57142857142857" style="28" customWidth="1"/>
    <col min="2301" max="2301" width="9" style="28" customWidth="1"/>
    <col min="2302" max="2303" width="9.85714285714286" style="28" customWidth="1"/>
    <col min="2304" max="2304" width="11.1428571428571" style="28" customWidth="1"/>
    <col min="2305" max="2305" width="2.85714285714286" style="28" customWidth="1"/>
    <col min="2306" max="2306" width="3.57142857142857" style="28" customWidth="1"/>
    <col min="2307" max="2551" width="9.14285714285714" style="28"/>
    <col min="2552" max="2552" width="8.71428571428571" style="28" customWidth="1"/>
    <col min="2553" max="2553" width="9.85714285714286" style="28" customWidth="1"/>
    <col min="2554" max="2554" width="14.4285714285714" style="28" customWidth="1"/>
    <col min="2555" max="2555" width="7.28571428571429" style="28" customWidth="1"/>
    <col min="2556" max="2556" width="5.57142857142857" style="28" customWidth="1"/>
    <col min="2557" max="2557" width="9" style="28" customWidth="1"/>
    <col min="2558" max="2559" width="9.85714285714286" style="28" customWidth="1"/>
    <col min="2560" max="2560" width="11.1428571428571" style="28" customWidth="1"/>
    <col min="2561" max="2561" width="2.85714285714286" style="28" customWidth="1"/>
    <col min="2562" max="2562" width="3.57142857142857" style="28" customWidth="1"/>
    <col min="2563" max="2807" width="9.14285714285714" style="28"/>
    <col min="2808" max="2808" width="8.71428571428571" style="28" customWidth="1"/>
    <col min="2809" max="2809" width="9.85714285714286" style="28" customWidth="1"/>
    <col min="2810" max="2810" width="14.4285714285714" style="28" customWidth="1"/>
    <col min="2811" max="2811" width="7.28571428571429" style="28" customWidth="1"/>
    <col min="2812" max="2812" width="5.57142857142857" style="28" customWidth="1"/>
    <col min="2813" max="2813" width="9" style="28" customWidth="1"/>
    <col min="2814" max="2815" width="9.85714285714286" style="28" customWidth="1"/>
    <col min="2816" max="2816" width="11.1428571428571" style="28" customWidth="1"/>
    <col min="2817" max="2817" width="2.85714285714286" style="28" customWidth="1"/>
    <col min="2818" max="2818" width="3.57142857142857" style="28" customWidth="1"/>
    <col min="2819" max="3063" width="9.14285714285714" style="28"/>
    <col min="3064" max="3064" width="8.71428571428571" style="28" customWidth="1"/>
    <col min="3065" max="3065" width="9.85714285714286" style="28" customWidth="1"/>
    <col min="3066" max="3066" width="14.4285714285714" style="28" customWidth="1"/>
    <col min="3067" max="3067" width="7.28571428571429" style="28" customWidth="1"/>
    <col min="3068" max="3068" width="5.57142857142857" style="28" customWidth="1"/>
    <col min="3069" max="3069" width="9" style="28" customWidth="1"/>
    <col min="3070" max="3071" width="9.85714285714286" style="28" customWidth="1"/>
    <col min="3072" max="3072" width="11.1428571428571" style="28" customWidth="1"/>
    <col min="3073" max="3073" width="2.85714285714286" style="28" customWidth="1"/>
    <col min="3074" max="3074" width="3.57142857142857" style="28" customWidth="1"/>
    <col min="3075" max="3319" width="9.14285714285714" style="28"/>
    <col min="3320" max="3320" width="8.71428571428571" style="28" customWidth="1"/>
    <col min="3321" max="3321" width="9.85714285714286" style="28" customWidth="1"/>
    <col min="3322" max="3322" width="14.4285714285714" style="28" customWidth="1"/>
    <col min="3323" max="3323" width="7.28571428571429" style="28" customWidth="1"/>
    <col min="3324" max="3324" width="5.57142857142857" style="28" customWidth="1"/>
    <col min="3325" max="3325" width="9" style="28" customWidth="1"/>
    <col min="3326" max="3327" width="9.85714285714286" style="28" customWidth="1"/>
    <col min="3328" max="3328" width="11.1428571428571" style="28" customWidth="1"/>
    <col min="3329" max="3329" width="2.85714285714286" style="28" customWidth="1"/>
    <col min="3330" max="3330" width="3.57142857142857" style="28" customWidth="1"/>
    <col min="3331" max="3575" width="9.14285714285714" style="28"/>
    <col min="3576" max="3576" width="8.71428571428571" style="28" customWidth="1"/>
    <col min="3577" max="3577" width="9.85714285714286" style="28" customWidth="1"/>
    <col min="3578" max="3578" width="14.4285714285714" style="28" customWidth="1"/>
    <col min="3579" max="3579" width="7.28571428571429" style="28" customWidth="1"/>
    <col min="3580" max="3580" width="5.57142857142857" style="28" customWidth="1"/>
    <col min="3581" max="3581" width="9" style="28" customWidth="1"/>
    <col min="3582" max="3583" width="9.85714285714286" style="28" customWidth="1"/>
    <col min="3584" max="3584" width="11.1428571428571" style="28" customWidth="1"/>
    <col min="3585" max="3585" width="2.85714285714286" style="28" customWidth="1"/>
    <col min="3586" max="3586" width="3.57142857142857" style="28" customWidth="1"/>
    <col min="3587" max="3831" width="9.14285714285714" style="28"/>
    <col min="3832" max="3832" width="8.71428571428571" style="28" customWidth="1"/>
    <col min="3833" max="3833" width="9.85714285714286" style="28" customWidth="1"/>
    <col min="3834" max="3834" width="14.4285714285714" style="28" customWidth="1"/>
    <col min="3835" max="3835" width="7.28571428571429" style="28" customWidth="1"/>
    <col min="3836" max="3836" width="5.57142857142857" style="28" customWidth="1"/>
    <col min="3837" max="3837" width="9" style="28" customWidth="1"/>
    <col min="3838" max="3839" width="9.85714285714286" style="28" customWidth="1"/>
    <col min="3840" max="3840" width="11.1428571428571" style="28" customWidth="1"/>
    <col min="3841" max="3841" width="2.85714285714286" style="28" customWidth="1"/>
    <col min="3842" max="3842" width="3.57142857142857" style="28" customWidth="1"/>
    <col min="3843" max="4087" width="9.14285714285714" style="28"/>
    <col min="4088" max="4088" width="8.71428571428571" style="28" customWidth="1"/>
    <col min="4089" max="4089" width="9.85714285714286" style="28" customWidth="1"/>
    <col min="4090" max="4090" width="14.4285714285714" style="28" customWidth="1"/>
    <col min="4091" max="4091" width="7.28571428571429" style="28" customWidth="1"/>
    <col min="4092" max="4092" width="5.57142857142857" style="28" customWidth="1"/>
    <col min="4093" max="4093" width="9" style="28" customWidth="1"/>
    <col min="4094" max="4095" width="9.85714285714286" style="28" customWidth="1"/>
    <col min="4096" max="4096" width="11.1428571428571" style="28" customWidth="1"/>
    <col min="4097" max="4097" width="2.85714285714286" style="28" customWidth="1"/>
    <col min="4098" max="4098" width="3.57142857142857" style="28" customWidth="1"/>
    <col min="4099" max="4343" width="9.14285714285714" style="28"/>
    <col min="4344" max="4344" width="8.71428571428571" style="28" customWidth="1"/>
    <col min="4345" max="4345" width="9.85714285714286" style="28" customWidth="1"/>
    <col min="4346" max="4346" width="14.4285714285714" style="28" customWidth="1"/>
    <col min="4347" max="4347" width="7.28571428571429" style="28" customWidth="1"/>
    <col min="4348" max="4348" width="5.57142857142857" style="28" customWidth="1"/>
    <col min="4349" max="4349" width="9" style="28" customWidth="1"/>
    <col min="4350" max="4351" width="9.85714285714286" style="28" customWidth="1"/>
    <col min="4352" max="4352" width="11.1428571428571" style="28" customWidth="1"/>
    <col min="4353" max="4353" width="2.85714285714286" style="28" customWidth="1"/>
    <col min="4354" max="4354" width="3.57142857142857" style="28" customWidth="1"/>
    <col min="4355" max="4599" width="9.14285714285714" style="28"/>
    <col min="4600" max="4600" width="8.71428571428571" style="28" customWidth="1"/>
    <col min="4601" max="4601" width="9.85714285714286" style="28" customWidth="1"/>
    <col min="4602" max="4602" width="14.4285714285714" style="28" customWidth="1"/>
    <col min="4603" max="4603" width="7.28571428571429" style="28" customWidth="1"/>
    <col min="4604" max="4604" width="5.57142857142857" style="28" customWidth="1"/>
    <col min="4605" max="4605" width="9" style="28" customWidth="1"/>
    <col min="4606" max="4607" width="9.85714285714286" style="28" customWidth="1"/>
    <col min="4608" max="4608" width="11.1428571428571" style="28" customWidth="1"/>
    <col min="4609" max="4609" width="2.85714285714286" style="28" customWidth="1"/>
    <col min="4610" max="4610" width="3.57142857142857" style="28" customWidth="1"/>
    <col min="4611" max="4855" width="9.14285714285714" style="28"/>
    <col min="4856" max="4856" width="8.71428571428571" style="28" customWidth="1"/>
    <col min="4857" max="4857" width="9.85714285714286" style="28" customWidth="1"/>
    <col min="4858" max="4858" width="14.4285714285714" style="28" customWidth="1"/>
    <col min="4859" max="4859" width="7.28571428571429" style="28" customWidth="1"/>
    <col min="4860" max="4860" width="5.57142857142857" style="28" customWidth="1"/>
    <col min="4861" max="4861" width="9" style="28" customWidth="1"/>
    <col min="4862" max="4863" width="9.85714285714286" style="28" customWidth="1"/>
    <col min="4864" max="4864" width="11.1428571428571" style="28" customWidth="1"/>
    <col min="4865" max="4865" width="2.85714285714286" style="28" customWidth="1"/>
    <col min="4866" max="4866" width="3.57142857142857" style="28" customWidth="1"/>
    <col min="4867" max="5111" width="9.14285714285714" style="28"/>
    <col min="5112" max="5112" width="8.71428571428571" style="28" customWidth="1"/>
    <col min="5113" max="5113" width="9.85714285714286" style="28" customWidth="1"/>
    <col min="5114" max="5114" width="14.4285714285714" style="28" customWidth="1"/>
    <col min="5115" max="5115" width="7.28571428571429" style="28" customWidth="1"/>
    <col min="5116" max="5116" width="5.57142857142857" style="28" customWidth="1"/>
    <col min="5117" max="5117" width="9" style="28" customWidth="1"/>
    <col min="5118" max="5119" width="9.85714285714286" style="28" customWidth="1"/>
    <col min="5120" max="5120" width="11.1428571428571" style="28" customWidth="1"/>
    <col min="5121" max="5121" width="2.85714285714286" style="28" customWidth="1"/>
    <col min="5122" max="5122" width="3.57142857142857" style="28" customWidth="1"/>
    <col min="5123" max="5367" width="9.14285714285714" style="28"/>
    <col min="5368" max="5368" width="8.71428571428571" style="28" customWidth="1"/>
    <col min="5369" max="5369" width="9.85714285714286" style="28" customWidth="1"/>
    <col min="5370" max="5370" width="14.4285714285714" style="28" customWidth="1"/>
    <col min="5371" max="5371" width="7.28571428571429" style="28" customWidth="1"/>
    <col min="5372" max="5372" width="5.57142857142857" style="28" customWidth="1"/>
    <col min="5373" max="5373" width="9" style="28" customWidth="1"/>
    <col min="5374" max="5375" width="9.85714285714286" style="28" customWidth="1"/>
    <col min="5376" max="5376" width="11.1428571428571" style="28" customWidth="1"/>
    <col min="5377" max="5377" width="2.85714285714286" style="28" customWidth="1"/>
    <col min="5378" max="5378" width="3.57142857142857" style="28" customWidth="1"/>
    <col min="5379" max="5623" width="9.14285714285714" style="28"/>
    <col min="5624" max="5624" width="8.71428571428571" style="28" customWidth="1"/>
    <col min="5625" max="5625" width="9.85714285714286" style="28" customWidth="1"/>
    <col min="5626" max="5626" width="14.4285714285714" style="28" customWidth="1"/>
    <col min="5627" max="5627" width="7.28571428571429" style="28" customWidth="1"/>
    <col min="5628" max="5628" width="5.57142857142857" style="28" customWidth="1"/>
    <col min="5629" max="5629" width="9" style="28" customWidth="1"/>
    <col min="5630" max="5631" width="9.85714285714286" style="28" customWidth="1"/>
    <col min="5632" max="5632" width="11.1428571428571" style="28" customWidth="1"/>
    <col min="5633" max="5633" width="2.85714285714286" style="28" customWidth="1"/>
    <col min="5634" max="5634" width="3.57142857142857" style="28" customWidth="1"/>
    <col min="5635" max="5879" width="9.14285714285714" style="28"/>
    <col min="5880" max="5880" width="8.71428571428571" style="28" customWidth="1"/>
    <col min="5881" max="5881" width="9.85714285714286" style="28" customWidth="1"/>
    <col min="5882" max="5882" width="14.4285714285714" style="28" customWidth="1"/>
    <col min="5883" max="5883" width="7.28571428571429" style="28" customWidth="1"/>
    <col min="5884" max="5884" width="5.57142857142857" style="28" customWidth="1"/>
    <col min="5885" max="5885" width="9" style="28" customWidth="1"/>
    <col min="5886" max="5887" width="9.85714285714286" style="28" customWidth="1"/>
    <col min="5888" max="5888" width="11.1428571428571" style="28" customWidth="1"/>
    <col min="5889" max="5889" width="2.85714285714286" style="28" customWidth="1"/>
    <col min="5890" max="5890" width="3.57142857142857" style="28" customWidth="1"/>
    <col min="5891" max="6135" width="9.14285714285714" style="28"/>
    <col min="6136" max="6136" width="8.71428571428571" style="28" customWidth="1"/>
    <col min="6137" max="6137" width="9.85714285714286" style="28" customWidth="1"/>
    <col min="6138" max="6138" width="14.4285714285714" style="28" customWidth="1"/>
    <col min="6139" max="6139" width="7.28571428571429" style="28" customWidth="1"/>
    <col min="6140" max="6140" width="5.57142857142857" style="28" customWidth="1"/>
    <col min="6141" max="6141" width="9" style="28" customWidth="1"/>
    <col min="6142" max="6143" width="9.85714285714286" style="28" customWidth="1"/>
    <col min="6144" max="6144" width="11.1428571428571" style="28" customWidth="1"/>
    <col min="6145" max="6145" width="2.85714285714286" style="28" customWidth="1"/>
    <col min="6146" max="6146" width="3.57142857142857" style="28" customWidth="1"/>
    <col min="6147" max="6391" width="9.14285714285714" style="28"/>
    <col min="6392" max="6392" width="8.71428571428571" style="28" customWidth="1"/>
    <col min="6393" max="6393" width="9.85714285714286" style="28" customWidth="1"/>
    <col min="6394" max="6394" width="14.4285714285714" style="28" customWidth="1"/>
    <col min="6395" max="6395" width="7.28571428571429" style="28" customWidth="1"/>
    <col min="6396" max="6396" width="5.57142857142857" style="28" customWidth="1"/>
    <col min="6397" max="6397" width="9" style="28" customWidth="1"/>
    <col min="6398" max="6399" width="9.85714285714286" style="28" customWidth="1"/>
    <col min="6400" max="6400" width="11.1428571428571" style="28" customWidth="1"/>
    <col min="6401" max="6401" width="2.85714285714286" style="28" customWidth="1"/>
    <col min="6402" max="6402" width="3.57142857142857" style="28" customWidth="1"/>
    <col min="6403" max="6647" width="9.14285714285714" style="28"/>
    <col min="6648" max="6648" width="8.71428571428571" style="28" customWidth="1"/>
    <col min="6649" max="6649" width="9.85714285714286" style="28" customWidth="1"/>
    <col min="6650" max="6650" width="14.4285714285714" style="28" customWidth="1"/>
    <col min="6651" max="6651" width="7.28571428571429" style="28" customWidth="1"/>
    <col min="6652" max="6652" width="5.57142857142857" style="28" customWidth="1"/>
    <col min="6653" max="6653" width="9" style="28" customWidth="1"/>
    <col min="6654" max="6655" width="9.85714285714286" style="28" customWidth="1"/>
    <col min="6656" max="6656" width="11.1428571428571" style="28" customWidth="1"/>
    <col min="6657" max="6657" width="2.85714285714286" style="28" customWidth="1"/>
    <col min="6658" max="6658" width="3.57142857142857" style="28" customWidth="1"/>
    <col min="6659" max="6903" width="9.14285714285714" style="28"/>
    <col min="6904" max="6904" width="8.71428571428571" style="28" customWidth="1"/>
    <col min="6905" max="6905" width="9.85714285714286" style="28" customWidth="1"/>
    <col min="6906" max="6906" width="14.4285714285714" style="28" customWidth="1"/>
    <col min="6907" max="6907" width="7.28571428571429" style="28" customWidth="1"/>
    <col min="6908" max="6908" width="5.57142857142857" style="28" customWidth="1"/>
    <col min="6909" max="6909" width="9" style="28" customWidth="1"/>
    <col min="6910" max="6911" width="9.85714285714286" style="28" customWidth="1"/>
    <col min="6912" max="6912" width="11.1428571428571" style="28" customWidth="1"/>
    <col min="6913" max="6913" width="2.85714285714286" style="28" customWidth="1"/>
    <col min="6914" max="6914" width="3.57142857142857" style="28" customWidth="1"/>
    <col min="6915" max="7159" width="9.14285714285714" style="28"/>
    <col min="7160" max="7160" width="8.71428571428571" style="28" customWidth="1"/>
    <col min="7161" max="7161" width="9.85714285714286" style="28" customWidth="1"/>
    <col min="7162" max="7162" width="14.4285714285714" style="28" customWidth="1"/>
    <col min="7163" max="7163" width="7.28571428571429" style="28" customWidth="1"/>
    <col min="7164" max="7164" width="5.57142857142857" style="28" customWidth="1"/>
    <col min="7165" max="7165" width="9" style="28" customWidth="1"/>
    <col min="7166" max="7167" width="9.85714285714286" style="28" customWidth="1"/>
    <col min="7168" max="7168" width="11.1428571428571" style="28" customWidth="1"/>
    <col min="7169" max="7169" width="2.85714285714286" style="28" customWidth="1"/>
    <col min="7170" max="7170" width="3.57142857142857" style="28" customWidth="1"/>
    <col min="7171" max="7415" width="9.14285714285714" style="28"/>
    <col min="7416" max="7416" width="8.71428571428571" style="28" customWidth="1"/>
    <col min="7417" max="7417" width="9.85714285714286" style="28" customWidth="1"/>
    <col min="7418" max="7418" width="14.4285714285714" style="28" customWidth="1"/>
    <col min="7419" max="7419" width="7.28571428571429" style="28" customWidth="1"/>
    <col min="7420" max="7420" width="5.57142857142857" style="28" customWidth="1"/>
    <col min="7421" max="7421" width="9" style="28" customWidth="1"/>
    <col min="7422" max="7423" width="9.85714285714286" style="28" customWidth="1"/>
    <col min="7424" max="7424" width="11.1428571428571" style="28" customWidth="1"/>
    <col min="7425" max="7425" width="2.85714285714286" style="28" customWidth="1"/>
    <col min="7426" max="7426" width="3.57142857142857" style="28" customWidth="1"/>
    <col min="7427" max="7671" width="9.14285714285714" style="28"/>
    <col min="7672" max="7672" width="8.71428571428571" style="28" customWidth="1"/>
    <col min="7673" max="7673" width="9.85714285714286" style="28" customWidth="1"/>
    <col min="7674" max="7674" width="14.4285714285714" style="28" customWidth="1"/>
    <col min="7675" max="7675" width="7.28571428571429" style="28" customWidth="1"/>
    <col min="7676" max="7676" width="5.57142857142857" style="28" customWidth="1"/>
    <col min="7677" max="7677" width="9" style="28" customWidth="1"/>
    <col min="7678" max="7679" width="9.85714285714286" style="28" customWidth="1"/>
    <col min="7680" max="7680" width="11.1428571428571" style="28" customWidth="1"/>
    <col min="7681" max="7681" width="2.85714285714286" style="28" customWidth="1"/>
    <col min="7682" max="7682" width="3.57142857142857" style="28" customWidth="1"/>
    <col min="7683" max="7927" width="9.14285714285714" style="28"/>
    <col min="7928" max="7928" width="8.71428571428571" style="28" customWidth="1"/>
    <col min="7929" max="7929" width="9.85714285714286" style="28" customWidth="1"/>
    <col min="7930" max="7930" width="14.4285714285714" style="28" customWidth="1"/>
    <col min="7931" max="7931" width="7.28571428571429" style="28" customWidth="1"/>
    <col min="7932" max="7932" width="5.57142857142857" style="28" customWidth="1"/>
    <col min="7933" max="7933" width="9" style="28" customWidth="1"/>
    <col min="7934" max="7935" width="9.85714285714286" style="28" customWidth="1"/>
    <col min="7936" max="7936" width="11.1428571428571" style="28" customWidth="1"/>
    <col min="7937" max="7937" width="2.85714285714286" style="28" customWidth="1"/>
    <col min="7938" max="7938" width="3.57142857142857" style="28" customWidth="1"/>
    <col min="7939" max="8183" width="9.14285714285714" style="28"/>
    <col min="8184" max="8184" width="8.71428571428571" style="28" customWidth="1"/>
    <col min="8185" max="8185" width="9.85714285714286" style="28" customWidth="1"/>
    <col min="8186" max="8186" width="14.4285714285714" style="28" customWidth="1"/>
    <col min="8187" max="8187" width="7.28571428571429" style="28" customWidth="1"/>
    <col min="8188" max="8188" width="5.57142857142857" style="28" customWidth="1"/>
    <col min="8189" max="8189" width="9" style="28" customWidth="1"/>
    <col min="8190" max="8191" width="9.85714285714286" style="28" customWidth="1"/>
    <col min="8192" max="8192" width="11.1428571428571" style="28" customWidth="1"/>
    <col min="8193" max="8193" width="2.85714285714286" style="28" customWidth="1"/>
    <col min="8194" max="8194" width="3.57142857142857" style="28" customWidth="1"/>
    <col min="8195" max="8439" width="9.14285714285714" style="28"/>
    <col min="8440" max="8440" width="8.71428571428571" style="28" customWidth="1"/>
    <col min="8441" max="8441" width="9.85714285714286" style="28" customWidth="1"/>
    <col min="8442" max="8442" width="14.4285714285714" style="28" customWidth="1"/>
    <col min="8443" max="8443" width="7.28571428571429" style="28" customWidth="1"/>
    <col min="8444" max="8444" width="5.57142857142857" style="28" customWidth="1"/>
    <col min="8445" max="8445" width="9" style="28" customWidth="1"/>
    <col min="8446" max="8447" width="9.85714285714286" style="28" customWidth="1"/>
    <col min="8448" max="8448" width="11.1428571428571" style="28" customWidth="1"/>
    <col min="8449" max="8449" width="2.85714285714286" style="28" customWidth="1"/>
    <col min="8450" max="8450" width="3.57142857142857" style="28" customWidth="1"/>
    <col min="8451" max="8695" width="9.14285714285714" style="28"/>
    <col min="8696" max="8696" width="8.71428571428571" style="28" customWidth="1"/>
    <col min="8697" max="8697" width="9.85714285714286" style="28" customWidth="1"/>
    <col min="8698" max="8698" width="14.4285714285714" style="28" customWidth="1"/>
    <col min="8699" max="8699" width="7.28571428571429" style="28" customWidth="1"/>
    <col min="8700" max="8700" width="5.57142857142857" style="28" customWidth="1"/>
    <col min="8701" max="8701" width="9" style="28" customWidth="1"/>
    <col min="8702" max="8703" width="9.85714285714286" style="28" customWidth="1"/>
    <col min="8704" max="8704" width="11.1428571428571" style="28" customWidth="1"/>
    <col min="8705" max="8705" width="2.85714285714286" style="28" customWidth="1"/>
    <col min="8706" max="8706" width="3.57142857142857" style="28" customWidth="1"/>
    <col min="8707" max="8951" width="9.14285714285714" style="28"/>
    <col min="8952" max="8952" width="8.71428571428571" style="28" customWidth="1"/>
    <col min="8953" max="8953" width="9.85714285714286" style="28" customWidth="1"/>
    <col min="8954" max="8954" width="14.4285714285714" style="28" customWidth="1"/>
    <col min="8955" max="8955" width="7.28571428571429" style="28" customWidth="1"/>
    <col min="8956" max="8956" width="5.57142857142857" style="28" customWidth="1"/>
    <col min="8957" max="8957" width="9" style="28" customWidth="1"/>
    <col min="8958" max="8959" width="9.85714285714286" style="28" customWidth="1"/>
    <col min="8960" max="8960" width="11.1428571428571" style="28" customWidth="1"/>
    <col min="8961" max="8961" width="2.85714285714286" style="28" customWidth="1"/>
    <col min="8962" max="8962" width="3.57142857142857" style="28" customWidth="1"/>
    <col min="8963" max="9207" width="9.14285714285714" style="28"/>
    <col min="9208" max="9208" width="8.71428571428571" style="28" customWidth="1"/>
    <col min="9209" max="9209" width="9.85714285714286" style="28" customWidth="1"/>
    <col min="9210" max="9210" width="14.4285714285714" style="28" customWidth="1"/>
    <col min="9211" max="9211" width="7.28571428571429" style="28" customWidth="1"/>
    <col min="9212" max="9212" width="5.57142857142857" style="28" customWidth="1"/>
    <col min="9213" max="9213" width="9" style="28" customWidth="1"/>
    <col min="9214" max="9215" width="9.85714285714286" style="28" customWidth="1"/>
    <col min="9216" max="9216" width="11.1428571428571" style="28" customWidth="1"/>
    <col min="9217" max="9217" width="2.85714285714286" style="28" customWidth="1"/>
    <col min="9218" max="9218" width="3.57142857142857" style="28" customWidth="1"/>
    <col min="9219" max="9463" width="9.14285714285714" style="28"/>
    <col min="9464" max="9464" width="8.71428571428571" style="28" customWidth="1"/>
    <col min="9465" max="9465" width="9.85714285714286" style="28" customWidth="1"/>
    <col min="9466" max="9466" width="14.4285714285714" style="28" customWidth="1"/>
    <col min="9467" max="9467" width="7.28571428571429" style="28" customWidth="1"/>
    <col min="9468" max="9468" width="5.57142857142857" style="28" customWidth="1"/>
    <col min="9469" max="9469" width="9" style="28" customWidth="1"/>
    <col min="9470" max="9471" width="9.85714285714286" style="28" customWidth="1"/>
    <col min="9472" max="9472" width="11.1428571428571" style="28" customWidth="1"/>
    <col min="9473" max="9473" width="2.85714285714286" style="28" customWidth="1"/>
    <col min="9474" max="9474" width="3.57142857142857" style="28" customWidth="1"/>
    <col min="9475" max="9719" width="9.14285714285714" style="28"/>
    <col min="9720" max="9720" width="8.71428571428571" style="28" customWidth="1"/>
    <col min="9721" max="9721" width="9.85714285714286" style="28" customWidth="1"/>
    <col min="9722" max="9722" width="14.4285714285714" style="28" customWidth="1"/>
    <col min="9723" max="9723" width="7.28571428571429" style="28" customWidth="1"/>
    <col min="9724" max="9724" width="5.57142857142857" style="28" customWidth="1"/>
    <col min="9725" max="9725" width="9" style="28" customWidth="1"/>
    <col min="9726" max="9727" width="9.85714285714286" style="28" customWidth="1"/>
    <col min="9728" max="9728" width="11.1428571428571" style="28" customWidth="1"/>
    <col min="9729" max="9729" width="2.85714285714286" style="28" customWidth="1"/>
    <col min="9730" max="9730" width="3.57142857142857" style="28" customWidth="1"/>
    <col min="9731" max="9975" width="9.14285714285714" style="28"/>
    <col min="9976" max="9976" width="8.71428571428571" style="28" customWidth="1"/>
    <col min="9977" max="9977" width="9.85714285714286" style="28" customWidth="1"/>
    <col min="9978" max="9978" width="14.4285714285714" style="28" customWidth="1"/>
    <col min="9979" max="9979" width="7.28571428571429" style="28" customWidth="1"/>
    <col min="9980" max="9980" width="5.57142857142857" style="28" customWidth="1"/>
    <col min="9981" max="9981" width="9" style="28" customWidth="1"/>
    <col min="9982" max="9983" width="9.85714285714286" style="28" customWidth="1"/>
    <col min="9984" max="9984" width="11.1428571428571" style="28" customWidth="1"/>
    <col min="9985" max="9985" width="2.85714285714286" style="28" customWidth="1"/>
    <col min="9986" max="9986" width="3.57142857142857" style="28" customWidth="1"/>
    <col min="9987" max="10231" width="9.14285714285714" style="28"/>
    <col min="10232" max="10232" width="8.71428571428571" style="28" customWidth="1"/>
    <col min="10233" max="10233" width="9.85714285714286" style="28" customWidth="1"/>
    <col min="10234" max="10234" width="14.4285714285714" style="28" customWidth="1"/>
    <col min="10235" max="10235" width="7.28571428571429" style="28" customWidth="1"/>
    <col min="10236" max="10236" width="5.57142857142857" style="28" customWidth="1"/>
    <col min="10237" max="10237" width="9" style="28" customWidth="1"/>
    <col min="10238" max="10239" width="9.85714285714286" style="28" customWidth="1"/>
    <col min="10240" max="10240" width="11.1428571428571" style="28" customWidth="1"/>
    <col min="10241" max="10241" width="2.85714285714286" style="28" customWidth="1"/>
    <col min="10242" max="10242" width="3.57142857142857" style="28" customWidth="1"/>
    <col min="10243" max="10487" width="9.14285714285714" style="28"/>
    <col min="10488" max="10488" width="8.71428571428571" style="28" customWidth="1"/>
    <col min="10489" max="10489" width="9.85714285714286" style="28" customWidth="1"/>
    <col min="10490" max="10490" width="14.4285714285714" style="28" customWidth="1"/>
    <col min="10491" max="10491" width="7.28571428571429" style="28" customWidth="1"/>
    <col min="10492" max="10492" width="5.57142857142857" style="28" customWidth="1"/>
    <col min="10493" max="10493" width="9" style="28" customWidth="1"/>
    <col min="10494" max="10495" width="9.85714285714286" style="28" customWidth="1"/>
    <col min="10496" max="10496" width="11.1428571428571" style="28" customWidth="1"/>
    <col min="10497" max="10497" width="2.85714285714286" style="28" customWidth="1"/>
    <col min="10498" max="10498" width="3.57142857142857" style="28" customWidth="1"/>
    <col min="10499" max="10743" width="9.14285714285714" style="28"/>
    <col min="10744" max="10744" width="8.71428571428571" style="28" customWidth="1"/>
    <col min="10745" max="10745" width="9.85714285714286" style="28" customWidth="1"/>
    <col min="10746" max="10746" width="14.4285714285714" style="28" customWidth="1"/>
    <col min="10747" max="10747" width="7.28571428571429" style="28" customWidth="1"/>
    <col min="10748" max="10748" width="5.57142857142857" style="28" customWidth="1"/>
    <col min="10749" max="10749" width="9" style="28" customWidth="1"/>
    <col min="10750" max="10751" width="9.85714285714286" style="28" customWidth="1"/>
    <col min="10752" max="10752" width="11.1428571428571" style="28" customWidth="1"/>
    <col min="10753" max="10753" width="2.85714285714286" style="28" customWidth="1"/>
    <col min="10754" max="10754" width="3.57142857142857" style="28" customWidth="1"/>
    <col min="10755" max="10999" width="9.14285714285714" style="28"/>
    <col min="11000" max="11000" width="8.71428571428571" style="28" customWidth="1"/>
    <col min="11001" max="11001" width="9.85714285714286" style="28" customWidth="1"/>
    <col min="11002" max="11002" width="14.4285714285714" style="28" customWidth="1"/>
    <col min="11003" max="11003" width="7.28571428571429" style="28" customWidth="1"/>
    <col min="11004" max="11004" width="5.57142857142857" style="28" customWidth="1"/>
    <col min="11005" max="11005" width="9" style="28" customWidth="1"/>
    <col min="11006" max="11007" width="9.85714285714286" style="28" customWidth="1"/>
    <col min="11008" max="11008" width="11.1428571428571" style="28" customWidth="1"/>
    <col min="11009" max="11009" width="2.85714285714286" style="28" customWidth="1"/>
    <col min="11010" max="11010" width="3.57142857142857" style="28" customWidth="1"/>
    <col min="11011" max="11255" width="9.14285714285714" style="28"/>
    <col min="11256" max="11256" width="8.71428571428571" style="28" customWidth="1"/>
    <col min="11257" max="11257" width="9.85714285714286" style="28" customWidth="1"/>
    <col min="11258" max="11258" width="14.4285714285714" style="28" customWidth="1"/>
    <col min="11259" max="11259" width="7.28571428571429" style="28" customWidth="1"/>
    <col min="11260" max="11260" width="5.57142857142857" style="28" customWidth="1"/>
    <col min="11261" max="11261" width="9" style="28" customWidth="1"/>
    <col min="11262" max="11263" width="9.85714285714286" style="28" customWidth="1"/>
    <col min="11264" max="11264" width="11.1428571428571" style="28" customWidth="1"/>
    <col min="11265" max="11265" width="2.85714285714286" style="28" customWidth="1"/>
    <col min="11266" max="11266" width="3.57142857142857" style="28" customWidth="1"/>
    <col min="11267" max="11511" width="9.14285714285714" style="28"/>
    <col min="11512" max="11512" width="8.71428571428571" style="28" customWidth="1"/>
    <col min="11513" max="11513" width="9.85714285714286" style="28" customWidth="1"/>
    <col min="11514" max="11514" width="14.4285714285714" style="28" customWidth="1"/>
    <col min="11515" max="11515" width="7.28571428571429" style="28" customWidth="1"/>
    <col min="11516" max="11516" width="5.57142857142857" style="28" customWidth="1"/>
    <col min="11517" max="11517" width="9" style="28" customWidth="1"/>
    <col min="11518" max="11519" width="9.85714285714286" style="28" customWidth="1"/>
    <col min="11520" max="11520" width="11.1428571428571" style="28" customWidth="1"/>
    <col min="11521" max="11521" width="2.85714285714286" style="28" customWidth="1"/>
    <col min="11522" max="11522" width="3.57142857142857" style="28" customWidth="1"/>
    <col min="11523" max="11767" width="9.14285714285714" style="28"/>
    <col min="11768" max="11768" width="8.71428571428571" style="28" customWidth="1"/>
    <col min="11769" max="11769" width="9.85714285714286" style="28" customWidth="1"/>
    <col min="11770" max="11770" width="14.4285714285714" style="28" customWidth="1"/>
    <col min="11771" max="11771" width="7.28571428571429" style="28" customWidth="1"/>
    <col min="11772" max="11772" width="5.57142857142857" style="28" customWidth="1"/>
    <col min="11773" max="11773" width="9" style="28" customWidth="1"/>
    <col min="11774" max="11775" width="9.85714285714286" style="28" customWidth="1"/>
    <col min="11776" max="11776" width="11.1428571428571" style="28" customWidth="1"/>
    <col min="11777" max="11777" width="2.85714285714286" style="28" customWidth="1"/>
    <col min="11778" max="11778" width="3.57142857142857" style="28" customWidth="1"/>
    <col min="11779" max="12023" width="9.14285714285714" style="28"/>
    <col min="12024" max="12024" width="8.71428571428571" style="28" customWidth="1"/>
    <col min="12025" max="12025" width="9.85714285714286" style="28" customWidth="1"/>
    <col min="12026" max="12026" width="14.4285714285714" style="28" customWidth="1"/>
    <col min="12027" max="12027" width="7.28571428571429" style="28" customWidth="1"/>
    <col min="12028" max="12028" width="5.57142857142857" style="28" customWidth="1"/>
    <col min="12029" max="12029" width="9" style="28" customWidth="1"/>
    <col min="12030" max="12031" width="9.85714285714286" style="28" customWidth="1"/>
    <col min="12032" max="12032" width="11.1428571428571" style="28" customWidth="1"/>
    <col min="12033" max="12033" width="2.85714285714286" style="28" customWidth="1"/>
    <col min="12034" max="12034" width="3.57142857142857" style="28" customWidth="1"/>
    <col min="12035" max="12279" width="9.14285714285714" style="28"/>
    <col min="12280" max="12280" width="8.71428571428571" style="28" customWidth="1"/>
    <col min="12281" max="12281" width="9.85714285714286" style="28" customWidth="1"/>
    <col min="12282" max="12282" width="14.4285714285714" style="28" customWidth="1"/>
    <col min="12283" max="12283" width="7.28571428571429" style="28" customWidth="1"/>
    <col min="12284" max="12284" width="5.57142857142857" style="28" customWidth="1"/>
    <col min="12285" max="12285" width="9" style="28" customWidth="1"/>
    <col min="12286" max="12287" width="9.85714285714286" style="28" customWidth="1"/>
    <col min="12288" max="12288" width="11.1428571428571" style="28" customWidth="1"/>
    <col min="12289" max="12289" width="2.85714285714286" style="28" customWidth="1"/>
    <col min="12290" max="12290" width="3.57142857142857" style="28" customWidth="1"/>
    <col min="12291" max="12535" width="9.14285714285714" style="28"/>
    <col min="12536" max="12536" width="8.71428571428571" style="28" customWidth="1"/>
    <col min="12537" max="12537" width="9.85714285714286" style="28" customWidth="1"/>
    <col min="12538" max="12538" width="14.4285714285714" style="28" customWidth="1"/>
    <col min="12539" max="12539" width="7.28571428571429" style="28" customWidth="1"/>
    <col min="12540" max="12540" width="5.57142857142857" style="28" customWidth="1"/>
    <col min="12541" max="12541" width="9" style="28" customWidth="1"/>
    <col min="12542" max="12543" width="9.85714285714286" style="28" customWidth="1"/>
    <col min="12544" max="12544" width="11.1428571428571" style="28" customWidth="1"/>
    <col min="12545" max="12545" width="2.85714285714286" style="28" customWidth="1"/>
    <col min="12546" max="12546" width="3.57142857142857" style="28" customWidth="1"/>
    <col min="12547" max="12791" width="9.14285714285714" style="28"/>
    <col min="12792" max="12792" width="8.71428571428571" style="28" customWidth="1"/>
    <col min="12793" max="12793" width="9.85714285714286" style="28" customWidth="1"/>
    <col min="12794" max="12794" width="14.4285714285714" style="28" customWidth="1"/>
    <col min="12795" max="12795" width="7.28571428571429" style="28" customWidth="1"/>
    <col min="12796" max="12796" width="5.57142857142857" style="28" customWidth="1"/>
    <col min="12797" max="12797" width="9" style="28" customWidth="1"/>
    <col min="12798" max="12799" width="9.85714285714286" style="28" customWidth="1"/>
    <col min="12800" max="12800" width="11.1428571428571" style="28" customWidth="1"/>
    <col min="12801" max="12801" width="2.85714285714286" style="28" customWidth="1"/>
    <col min="12802" max="12802" width="3.57142857142857" style="28" customWidth="1"/>
    <col min="12803" max="13047" width="9.14285714285714" style="28"/>
    <col min="13048" max="13048" width="8.71428571428571" style="28" customWidth="1"/>
    <col min="13049" max="13049" width="9.85714285714286" style="28" customWidth="1"/>
    <col min="13050" max="13050" width="14.4285714285714" style="28" customWidth="1"/>
    <col min="13051" max="13051" width="7.28571428571429" style="28" customWidth="1"/>
    <col min="13052" max="13052" width="5.57142857142857" style="28" customWidth="1"/>
    <col min="13053" max="13053" width="9" style="28" customWidth="1"/>
    <col min="13054" max="13055" width="9.85714285714286" style="28" customWidth="1"/>
    <col min="13056" max="13056" width="11.1428571428571" style="28" customWidth="1"/>
    <col min="13057" max="13057" width="2.85714285714286" style="28" customWidth="1"/>
    <col min="13058" max="13058" width="3.57142857142857" style="28" customWidth="1"/>
    <col min="13059" max="13303" width="9.14285714285714" style="28"/>
    <col min="13304" max="13304" width="8.71428571428571" style="28" customWidth="1"/>
    <col min="13305" max="13305" width="9.85714285714286" style="28" customWidth="1"/>
    <col min="13306" max="13306" width="14.4285714285714" style="28" customWidth="1"/>
    <col min="13307" max="13307" width="7.28571428571429" style="28" customWidth="1"/>
    <col min="13308" max="13308" width="5.57142857142857" style="28" customWidth="1"/>
    <col min="13309" max="13309" width="9" style="28" customWidth="1"/>
    <col min="13310" max="13311" width="9.85714285714286" style="28" customWidth="1"/>
    <col min="13312" max="13312" width="11.1428571428571" style="28" customWidth="1"/>
    <col min="13313" max="13313" width="2.85714285714286" style="28" customWidth="1"/>
    <col min="13314" max="13314" width="3.57142857142857" style="28" customWidth="1"/>
    <col min="13315" max="13559" width="9.14285714285714" style="28"/>
    <col min="13560" max="13560" width="8.71428571428571" style="28" customWidth="1"/>
    <col min="13561" max="13561" width="9.85714285714286" style="28" customWidth="1"/>
    <col min="13562" max="13562" width="14.4285714285714" style="28" customWidth="1"/>
    <col min="13563" max="13563" width="7.28571428571429" style="28" customWidth="1"/>
    <col min="13564" max="13564" width="5.57142857142857" style="28" customWidth="1"/>
    <col min="13565" max="13565" width="9" style="28" customWidth="1"/>
    <col min="13566" max="13567" width="9.85714285714286" style="28" customWidth="1"/>
    <col min="13568" max="13568" width="11.1428571428571" style="28" customWidth="1"/>
    <col min="13569" max="13569" width="2.85714285714286" style="28" customWidth="1"/>
    <col min="13570" max="13570" width="3.57142857142857" style="28" customWidth="1"/>
    <col min="13571" max="13815" width="9.14285714285714" style="28"/>
    <col min="13816" max="13816" width="8.71428571428571" style="28" customWidth="1"/>
    <col min="13817" max="13817" width="9.85714285714286" style="28" customWidth="1"/>
    <col min="13818" max="13818" width="14.4285714285714" style="28" customWidth="1"/>
    <col min="13819" max="13819" width="7.28571428571429" style="28" customWidth="1"/>
    <col min="13820" max="13820" width="5.57142857142857" style="28" customWidth="1"/>
    <col min="13821" max="13821" width="9" style="28" customWidth="1"/>
    <col min="13822" max="13823" width="9.85714285714286" style="28" customWidth="1"/>
    <col min="13824" max="13824" width="11.1428571428571" style="28" customWidth="1"/>
    <col min="13825" max="13825" width="2.85714285714286" style="28" customWidth="1"/>
    <col min="13826" max="13826" width="3.57142857142857" style="28" customWidth="1"/>
    <col min="13827" max="14071" width="9.14285714285714" style="28"/>
    <col min="14072" max="14072" width="8.71428571428571" style="28" customWidth="1"/>
    <col min="14073" max="14073" width="9.85714285714286" style="28" customWidth="1"/>
    <col min="14074" max="14074" width="14.4285714285714" style="28" customWidth="1"/>
    <col min="14075" max="14075" width="7.28571428571429" style="28" customWidth="1"/>
    <col min="14076" max="14076" width="5.57142857142857" style="28" customWidth="1"/>
    <col min="14077" max="14077" width="9" style="28" customWidth="1"/>
    <col min="14078" max="14079" width="9.85714285714286" style="28" customWidth="1"/>
    <col min="14080" max="14080" width="11.1428571428571" style="28" customWidth="1"/>
    <col min="14081" max="14081" width="2.85714285714286" style="28" customWidth="1"/>
    <col min="14082" max="14082" width="3.57142857142857" style="28" customWidth="1"/>
    <col min="14083" max="14327" width="9.14285714285714" style="28"/>
    <col min="14328" max="14328" width="8.71428571428571" style="28" customWidth="1"/>
    <col min="14329" max="14329" width="9.85714285714286" style="28" customWidth="1"/>
    <col min="14330" max="14330" width="14.4285714285714" style="28" customWidth="1"/>
    <col min="14331" max="14331" width="7.28571428571429" style="28" customWidth="1"/>
    <col min="14332" max="14332" width="5.57142857142857" style="28" customWidth="1"/>
    <col min="14333" max="14333" width="9" style="28" customWidth="1"/>
    <col min="14334" max="14335" width="9.85714285714286" style="28" customWidth="1"/>
    <col min="14336" max="14336" width="11.1428571428571" style="28" customWidth="1"/>
    <col min="14337" max="14337" width="2.85714285714286" style="28" customWidth="1"/>
    <col min="14338" max="14338" width="3.57142857142857" style="28" customWidth="1"/>
    <col min="14339" max="14583" width="9.14285714285714" style="28"/>
    <col min="14584" max="14584" width="8.71428571428571" style="28" customWidth="1"/>
    <col min="14585" max="14585" width="9.85714285714286" style="28" customWidth="1"/>
    <col min="14586" max="14586" width="14.4285714285714" style="28" customWidth="1"/>
    <col min="14587" max="14587" width="7.28571428571429" style="28" customWidth="1"/>
    <col min="14588" max="14588" width="5.57142857142857" style="28" customWidth="1"/>
    <col min="14589" max="14589" width="9" style="28" customWidth="1"/>
    <col min="14590" max="14591" width="9.85714285714286" style="28" customWidth="1"/>
    <col min="14592" max="14592" width="11.1428571428571" style="28" customWidth="1"/>
    <col min="14593" max="14593" width="2.85714285714286" style="28" customWidth="1"/>
    <col min="14594" max="14594" width="3.57142857142857" style="28" customWidth="1"/>
    <col min="14595" max="14839" width="9.14285714285714" style="28"/>
    <col min="14840" max="14840" width="8.71428571428571" style="28" customWidth="1"/>
    <col min="14841" max="14841" width="9.85714285714286" style="28" customWidth="1"/>
    <col min="14842" max="14842" width="14.4285714285714" style="28" customWidth="1"/>
    <col min="14843" max="14843" width="7.28571428571429" style="28" customWidth="1"/>
    <col min="14844" max="14844" width="5.57142857142857" style="28" customWidth="1"/>
    <col min="14845" max="14845" width="9" style="28" customWidth="1"/>
    <col min="14846" max="14847" width="9.85714285714286" style="28" customWidth="1"/>
    <col min="14848" max="14848" width="11.1428571428571" style="28" customWidth="1"/>
    <col min="14849" max="14849" width="2.85714285714286" style="28" customWidth="1"/>
    <col min="14850" max="14850" width="3.57142857142857" style="28" customWidth="1"/>
    <col min="14851" max="15095" width="9.14285714285714" style="28"/>
    <col min="15096" max="15096" width="8.71428571428571" style="28" customWidth="1"/>
    <col min="15097" max="15097" width="9.85714285714286" style="28" customWidth="1"/>
    <col min="15098" max="15098" width="14.4285714285714" style="28" customWidth="1"/>
    <col min="15099" max="15099" width="7.28571428571429" style="28" customWidth="1"/>
    <col min="15100" max="15100" width="5.57142857142857" style="28" customWidth="1"/>
    <col min="15101" max="15101" width="9" style="28" customWidth="1"/>
    <col min="15102" max="15103" width="9.85714285714286" style="28" customWidth="1"/>
    <col min="15104" max="15104" width="11.1428571428571" style="28" customWidth="1"/>
    <col min="15105" max="15105" width="2.85714285714286" style="28" customWidth="1"/>
    <col min="15106" max="15106" width="3.57142857142857" style="28" customWidth="1"/>
    <col min="15107" max="15351" width="9.14285714285714" style="28"/>
    <col min="15352" max="15352" width="8.71428571428571" style="28" customWidth="1"/>
    <col min="15353" max="15353" width="9.85714285714286" style="28" customWidth="1"/>
    <col min="15354" max="15354" width="14.4285714285714" style="28" customWidth="1"/>
    <col min="15355" max="15355" width="7.28571428571429" style="28" customWidth="1"/>
    <col min="15356" max="15356" width="5.57142857142857" style="28" customWidth="1"/>
    <col min="15357" max="15357" width="9" style="28" customWidth="1"/>
    <col min="15358" max="15359" width="9.85714285714286" style="28" customWidth="1"/>
    <col min="15360" max="15360" width="11.1428571428571" style="28" customWidth="1"/>
    <col min="15361" max="15361" width="2.85714285714286" style="28" customWidth="1"/>
    <col min="15362" max="15362" width="3.57142857142857" style="28" customWidth="1"/>
    <col min="15363" max="15607" width="9.14285714285714" style="28"/>
    <col min="15608" max="15608" width="8.71428571428571" style="28" customWidth="1"/>
    <col min="15609" max="15609" width="9.85714285714286" style="28" customWidth="1"/>
    <col min="15610" max="15610" width="14.4285714285714" style="28" customWidth="1"/>
    <col min="15611" max="15611" width="7.28571428571429" style="28" customWidth="1"/>
    <col min="15612" max="15612" width="5.57142857142857" style="28" customWidth="1"/>
    <col min="15613" max="15613" width="9" style="28" customWidth="1"/>
    <col min="15614" max="15615" width="9.85714285714286" style="28" customWidth="1"/>
    <col min="15616" max="15616" width="11.1428571428571" style="28" customWidth="1"/>
    <col min="15617" max="15617" width="2.85714285714286" style="28" customWidth="1"/>
    <col min="15618" max="15618" width="3.57142857142857" style="28" customWidth="1"/>
    <col min="15619" max="15863" width="9.14285714285714" style="28"/>
    <col min="15864" max="15864" width="8.71428571428571" style="28" customWidth="1"/>
    <col min="15865" max="15865" width="9.85714285714286" style="28" customWidth="1"/>
    <col min="15866" max="15866" width="14.4285714285714" style="28" customWidth="1"/>
    <col min="15867" max="15867" width="7.28571428571429" style="28" customWidth="1"/>
    <col min="15868" max="15868" width="5.57142857142857" style="28" customWidth="1"/>
    <col min="15869" max="15869" width="9" style="28" customWidth="1"/>
    <col min="15870" max="15871" width="9.85714285714286" style="28" customWidth="1"/>
    <col min="15872" max="15872" width="11.1428571428571" style="28" customWidth="1"/>
    <col min="15873" max="15873" width="2.85714285714286" style="28" customWidth="1"/>
    <col min="15874" max="15874" width="3.57142857142857" style="28" customWidth="1"/>
    <col min="15875" max="16119" width="9.14285714285714" style="28"/>
    <col min="16120" max="16120" width="8.71428571428571" style="28" customWidth="1"/>
    <col min="16121" max="16121" width="9.85714285714286" style="28" customWidth="1"/>
    <col min="16122" max="16122" width="14.4285714285714" style="28" customWidth="1"/>
    <col min="16123" max="16123" width="7.28571428571429" style="28" customWidth="1"/>
    <col min="16124" max="16124" width="5.57142857142857" style="28" customWidth="1"/>
    <col min="16125" max="16125" width="9" style="28" customWidth="1"/>
    <col min="16126" max="16127" width="9.85714285714286" style="28" customWidth="1"/>
    <col min="16128" max="16128" width="11.1428571428571" style="28" customWidth="1"/>
    <col min="16129" max="16129" width="2.85714285714286" style="28" customWidth="1"/>
    <col min="16130" max="16130" width="3.57142857142857" style="28" customWidth="1"/>
    <col min="16131" max="16384" width="9.14285714285714" style="28"/>
  </cols>
  <sheetData>
    <row r="1" ht="46.5" customHeight="1" spans="1:8">
      <c r="A1" s="29" t="s">
        <v>0</v>
      </c>
      <c r="B1" s="29"/>
      <c r="C1" s="29"/>
      <c r="D1" s="29"/>
      <c r="E1" s="29"/>
      <c r="F1" s="29"/>
      <c r="G1" s="29"/>
      <c r="H1" s="29"/>
    </row>
    <row r="2" ht="16.5" customHeight="1" spans="1:8">
      <c r="A2" s="30" t="s">
        <v>1</v>
      </c>
      <c r="B2" s="30"/>
      <c r="C2" s="30"/>
      <c r="D2" s="30"/>
      <c r="E2" s="30"/>
      <c r="F2" s="30"/>
      <c r="G2" s="30"/>
      <c r="H2" s="30"/>
    </row>
    <row r="3" spans="1:16">
      <c r="A3" s="31" t="s">
        <v>2</v>
      </c>
      <c r="B3" s="31"/>
      <c r="C3" s="31"/>
      <c r="D3" s="31"/>
      <c r="E3" s="31" t="str">
        <f ca="1">TEXT(TODAY(),"DD/MM/YYYY")</f>
        <v>31/08/2025</v>
      </c>
      <c r="F3" s="31"/>
      <c r="G3" s="31"/>
      <c r="H3" s="31"/>
      <c r="K3" s="7" t="s">
        <v>3</v>
      </c>
      <c r="L3" s="6" t="s">
        <v>4</v>
      </c>
      <c r="M3" s="6" t="s">
        <v>5</v>
      </c>
      <c r="N3" s="6" t="s">
        <v>6</v>
      </c>
      <c r="O3" s="6" t="s">
        <v>7</v>
      </c>
      <c r="P3" s="6" t="s">
        <v>8</v>
      </c>
    </row>
    <row r="4" ht="15" customHeight="1" spans="1:16">
      <c r="A4" s="31" t="s">
        <v>9</v>
      </c>
      <c r="B4" s="31"/>
      <c r="C4" s="31"/>
      <c r="D4" s="31"/>
      <c r="E4" s="31" t="s">
        <v>4</v>
      </c>
      <c r="F4" s="31"/>
      <c r="G4" s="31"/>
      <c r="H4" s="31"/>
      <c r="K4" s="5" t="s">
        <v>10</v>
      </c>
      <c r="L4" s="6" t="s">
        <v>11</v>
      </c>
      <c r="M4" s="6" t="s">
        <v>12</v>
      </c>
      <c r="N4" s="6" t="s">
        <v>13</v>
      </c>
      <c r="O4" s="6" t="s">
        <v>14</v>
      </c>
      <c r="P4" s="6"/>
    </row>
    <row r="5" ht="15" customHeight="1" spans="1:16">
      <c r="A5" s="31" t="s">
        <v>15</v>
      </c>
      <c r="B5" s="31"/>
      <c r="C5" s="31"/>
      <c r="D5" s="31"/>
      <c r="E5" s="31" t="s">
        <v>11</v>
      </c>
      <c r="F5" s="31"/>
      <c r="G5" s="31"/>
      <c r="H5" s="31"/>
      <c r="K5" s="5"/>
      <c r="L5" s="6" t="s">
        <v>16</v>
      </c>
      <c r="M5" s="6" t="s">
        <v>17</v>
      </c>
      <c r="N5" s="6" t="s">
        <v>18</v>
      </c>
      <c r="O5" s="6" t="s">
        <v>19</v>
      </c>
      <c r="P5" s="6"/>
    </row>
    <row r="6" spans="1:16">
      <c r="A6" s="31" t="s">
        <v>20</v>
      </c>
      <c r="B6" s="31"/>
      <c r="C6" s="31"/>
      <c r="D6" s="31"/>
      <c r="E6" s="32" t="s">
        <v>21</v>
      </c>
      <c r="F6" s="31"/>
      <c r="G6" s="31"/>
      <c r="H6" s="31"/>
      <c r="K6" s="5"/>
      <c r="L6" s="6" t="s">
        <v>22</v>
      </c>
      <c r="M6" s="6"/>
      <c r="N6" s="6"/>
      <c r="O6" s="6" t="s">
        <v>23</v>
      </c>
      <c r="P6" s="6"/>
    </row>
    <row r="7" ht="16.5" customHeight="1" spans="1:16">
      <c r="A7" s="31" t="s">
        <v>24</v>
      </c>
      <c r="B7" s="31"/>
      <c r="C7" s="31"/>
      <c r="D7" s="31"/>
      <c r="E7" s="31" t="s">
        <v>25</v>
      </c>
      <c r="F7" s="31"/>
      <c r="G7" s="31"/>
      <c r="H7" s="31"/>
      <c r="K7" s="5"/>
      <c r="L7" s="6" t="s">
        <v>26</v>
      </c>
      <c r="M7" s="6"/>
      <c r="N7" s="6"/>
      <c r="O7" s="6" t="s">
        <v>23</v>
      </c>
      <c r="P7" s="6"/>
    </row>
    <row r="8" ht="15" customHeight="1" spans="1:16">
      <c r="A8" s="31" t="s">
        <v>27</v>
      </c>
      <c r="B8" s="31"/>
      <c r="C8" s="31"/>
      <c r="D8" s="31"/>
      <c r="E8" s="31" t="str">
        <f>E7</f>
        <v>Mahindra Lifespace Developers limited</v>
      </c>
      <c r="F8" s="31"/>
      <c r="G8" s="31"/>
      <c r="H8" s="31"/>
      <c r="K8" s="5"/>
      <c r="L8" s="6"/>
      <c r="M8" s="6"/>
      <c r="N8" s="6"/>
      <c r="O8" s="6" t="s">
        <v>28</v>
      </c>
      <c r="P8" s="6"/>
    </row>
    <row r="9" spans="1:16">
      <c r="A9" s="31" t="s">
        <v>29</v>
      </c>
      <c r="B9" s="31"/>
      <c r="C9" s="31"/>
      <c r="D9" s="31"/>
      <c r="E9" s="33" t="s">
        <v>30</v>
      </c>
      <c r="F9" s="33"/>
      <c r="G9" s="33"/>
      <c r="H9" s="33"/>
      <c r="K9" s="5"/>
      <c r="L9" s="6"/>
      <c r="M9" s="6"/>
      <c r="N9" s="6"/>
      <c r="O9" s="6" t="s">
        <v>31</v>
      </c>
      <c r="P9" s="6"/>
    </row>
    <row r="10" spans="1:16">
      <c r="A10" s="31" t="s">
        <v>32</v>
      </c>
      <c r="B10" s="31"/>
      <c r="C10" s="31"/>
      <c r="D10" s="31"/>
      <c r="E10" s="31" t="s">
        <v>33</v>
      </c>
      <c r="F10" s="31"/>
      <c r="G10" s="31"/>
      <c r="H10" s="31"/>
      <c r="K10" s="5"/>
      <c r="L10" s="6"/>
      <c r="M10" s="6"/>
      <c r="N10" s="6"/>
      <c r="O10" s="6"/>
      <c r="P10" s="6"/>
    </row>
    <row r="11" spans="1:8">
      <c r="A11" s="31" t="s">
        <v>34</v>
      </c>
      <c r="B11" s="31"/>
      <c r="C11" s="31"/>
      <c r="D11" s="31"/>
      <c r="E11" s="31" t="s">
        <v>35</v>
      </c>
      <c r="F11" s="31"/>
      <c r="G11" s="31"/>
      <c r="H11" s="31"/>
    </row>
    <row r="12" spans="1:8">
      <c r="A12" s="31" t="s">
        <v>36</v>
      </c>
      <c r="B12" s="31"/>
      <c r="C12" s="31"/>
      <c r="D12" s="31"/>
      <c r="E12" s="31" t="s">
        <v>37</v>
      </c>
      <c r="F12" s="31"/>
      <c r="G12" s="31"/>
      <c r="H12" s="31"/>
    </row>
    <row r="13" spans="1:26">
      <c r="A13" s="31" t="s">
        <v>38</v>
      </c>
      <c r="B13" s="31"/>
      <c r="C13" s="31"/>
      <c r="D13" s="31"/>
      <c r="E13" s="31" t="s">
        <v>39</v>
      </c>
      <c r="F13" s="31"/>
      <c r="G13" s="31"/>
      <c r="H13" s="31"/>
      <c r="S13" s="6" t="s">
        <v>40</v>
      </c>
      <c r="T13" s="6" t="s">
        <v>41</v>
      </c>
      <c r="U13" s="6" t="s">
        <v>42</v>
      </c>
      <c r="V13" s="6" t="s">
        <v>43</v>
      </c>
      <c r="W13" s="6" t="s">
        <v>44</v>
      </c>
      <c r="X13"/>
      <c r="Y13" t="s">
        <v>43</v>
      </c>
      <c r="Z13" t="e">
        <f ca="1">OFFSET($S$13,1,MATCH($G21,$S$13:$W$13,0)-1,15,1)</f>
        <v>#VALUE!</v>
      </c>
    </row>
    <row r="14" spans="1:26">
      <c r="A14" s="31" t="s">
        <v>45</v>
      </c>
      <c r="B14" s="31"/>
      <c r="C14" s="31"/>
      <c r="D14" s="31"/>
      <c r="E14" s="34" t="s">
        <v>46</v>
      </c>
      <c r="F14" s="34"/>
      <c r="G14" s="34"/>
      <c r="H14" s="34"/>
      <c r="S14" s="6" t="s">
        <v>47</v>
      </c>
      <c r="T14" s="6" t="s">
        <v>48</v>
      </c>
      <c r="U14" s="6" t="s">
        <v>49</v>
      </c>
      <c r="V14" s="6" t="s">
        <v>50</v>
      </c>
      <c r="W14" s="6" t="s">
        <v>51</v>
      </c>
      <c r="X14"/>
      <c r="Y14"/>
      <c r="Z14"/>
    </row>
    <row r="15" ht="46.5" customHeight="1" spans="1:26">
      <c r="A15" s="35" t="s">
        <v>52</v>
      </c>
      <c r="B15" s="36"/>
      <c r="C15" s="36"/>
      <c r="D15" s="37"/>
      <c r="E15" s="38" t="s">
        <v>53</v>
      </c>
      <c r="F15" s="39"/>
      <c r="G15" s="38" t="s">
        <v>54</v>
      </c>
      <c r="H15" s="39"/>
      <c r="I15" s="85" t="e">
        <f ca="1">OFFSET($D$5,1,MATCH($J13,$D$5:$H$5,0)-1,15,1)</f>
        <v>#N/A</v>
      </c>
      <c r="J15" s="86"/>
      <c r="K15" s="86"/>
      <c r="L15" s="86"/>
      <c r="M15" s="86"/>
      <c r="N15" s="86"/>
      <c r="O15" s="86"/>
      <c r="P15" s="86"/>
      <c r="S15" s="6" t="s">
        <v>55</v>
      </c>
      <c r="T15" s="6" t="s">
        <v>56</v>
      </c>
      <c r="U15" s="6" t="s">
        <v>57</v>
      </c>
      <c r="V15" s="6" t="s">
        <v>58</v>
      </c>
      <c r="W15" s="6" t="s">
        <v>59</v>
      </c>
      <c r="X15"/>
      <c r="Y15"/>
      <c r="Z15"/>
    </row>
    <row r="16" ht="47.1" customHeight="1" spans="1:26">
      <c r="A16" s="40"/>
      <c r="B16" s="41"/>
      <c r="C16" s="41"/>
      <c r="D16" s="42"/>
      <c r="E16" s="38" t="s">
        <v>60</v>
      </c>
      <c r="F16" s="39"/>
      <c r="G16" s="38" t="s">
        <v>61</v>
      </c>
      <c r="H16" s="39"/>
      <c r="I16" s="87" t="s">
        <v>62</v>
      </c>
      <c r="S16" s="6" t="s">
        <v>63</v>
      </c>
      <c r="T16" s="6" t="s">
        <v>64</v>
      </c>
      <c r="U16" s="6" t="s">
        <v>65</v>
      </c>
      <c r="V16" s="6" t="s">
        <v>66</v>
      </c>
      <c r="W16" s="6" t="s">
        <v>67</v>
      </c>
      <c r="X16"/>
      <c r="Y16"/>
      <c r="Z16"/>
    </row>
    <row r="17" ht="50.25" customHeight="1" spans="1:26">
      <c r="A17" s="34" t="s">
        <v>68</v>
      </c>
      <c r="B17" s="34"/>
      <c r="C17" s="34" t="str">
        <f>CONCATENATE((IF(OR(E9="",E9="NA"),"",E9)),", ",(IF(OR(A18="",A18="NA"),"",A18)),".",(IF(OR(C18="",C18="NA"),"",C18)),", near ",(IF(OR(C23="",C23="NA"),"",C23)),", ",(IF(OR(C20="",C20="NA"),"",C20)),", ",(IF(OR(C19="",C19="NA"),"",C19)),", ",(IF(OR(G20="",G20="NA"),"",G20)),", ",(IF(OR(C21="",C21="NA"),"",C21)),", ",(IF(OR(C22="",C22="NA"),"",C22)),", ",(IF(OR(G21="",G21="NA"),"",G21))," - ",(IF(OR(G22="",G22="NA"),"",G22)),".")</f>
        <v>Mahindra Vista Phase 1 &amp; 2, CTS No.174.A/3, near Birchwood, Raheja Willows, Akurli Road, Singh Agri Estate, Akurli, Kandivali (East), Borivali, Mumbai - 400101.</v>
      </c>
      <c r="D17" s="34"/>
      <c r="E17" s="34"/>
      <c r="F17" s="34"/>
      <c r="G17" s="34"/>
      <c r="H17" s="34"/>
      <c r="S17" s="6" t="s">
        <v>69</v>
      </c>
      <c r="T17" s="6" t="s">
        <v>70</v>
      </c>
      <c r="U17" s="6" t="s">
        <v>42</v>
      </c>
      <c r="V17" s="6" t="s">
        <v>71</v>
      </c>
      <c r="W17" s="6" t="s">
        <v>72</v>
      </c>
      <c r="X17"/>
      <c r="Y17"/>
      <c r="Z17"/>
    </row>
    <row r="18" customHeight="1" spans="1:26">
      <c r="A18" s="34" t="s">
        <v>73</v>
      </c>
      <c r="B18" s="34"/>
      <c r="C18" s="34" t="s">
        <v>74</v>
      </c>
      <c r="D18" s="34"/>
      <c r="E18" s="34"/>
      <c r="F18" s="34"/>
      <c r="G18" s="34"/>
      <c r="H18" s="34"/>
      <c r="S18" s="6" t="s">
        <v>75</v>
      </c>
      <c r="T18" s="6" t="s">
        <v>41</v>
      </c>
      <c r="U18" s="6"/>
      <c r="V18" s="6" t="s">
        <v>76</v>
      </c>
      <c r="W18" s="6" t="s">
        <v>77</v>
      </c>
      <c r="X18"/>
      <c r="Y18"/>
      <c r="Z18"/>
    </row>
    <row r="19" customHeight="1" spans="1:26">
      <c r="A19" s="34" t="s">
        <v>78</v>
      </c>
      <c r="B19" s="34"/>
      <c r="C19" s="34" t="s">
        <v>79</v>
      </c>
      <c r="D19" s="34"/>
      <c r="E19" s="34"/>
      <c r="F19" s="34"/>
      <c r="G19" s="34"/>
      <c r="H19" s="34"/>
      <c r="S19" s="6" t="s">
        <v>80</v>
      </c>
      <c r="T19" s="6" t="s">
        <v>81</v>
      </c>
      <c r="U19" s="6"/>
      <c r="V19" s="6" t="s">
        <v>82</v>
      </c>
      <c r="W19" s="6" t="s">
        <v>83</v>
      </c>
      <c r="X19"/>
      <c r="Y19"/>
      <c r="Z19"/>
    </row>
    <row r="20" spans="1:26">
      <c r="A20" s="34" t="s">
        <v>84</v>
      </c>
      <c r="B20" s="34"/>
      <c r="C20" s="31" t="s">
        <v>85</v>
      </c>
      <c r="D20" s="31"/>
      <c r="E20" s="34" t="s">
        <v>86</v>
      </c>
      <c r="F20" s="34"/>
      <c r="G20" s="34" t="s">
        <v>87</v>
      </c>
      <c r="H20" s="34"/>
      <c r="S20" s="6" t="s">
        <v>88</v>
      </c>
      <c r="T20" s="6" t="s">
        <v>89</v>
      </c>
      <c r="U20" s="6"/>
      <c r="V20" s="6" t="s">
        <v>90</v>
      </c>
      <c r="W20" s="6" t="s">
        <v>91</v>
      </c>
      <c r="X20"/>
      <c r="Y20"/>
      <c r="Z20"/>
    </row>
    <row r="21" spans="1:26">
      <c r="A21" s="31" t="s">
        <v>92</v>
      </c>
      <c r="B21" s="31"/>
      <c r="C21" s="34" t="s">
        <v>93</v>
      </c>
      <c r="D21" s="34"/>
      <c r="E21" s="34" t="s">
        <v>94</v>
      </c>
      <c r="F21" s="34"/>
      <c r="G21" s="43" t="s">
        <v>42</v>
      </c>
      <c r="H21" s="43"/>
      <c r="S21" s="6"/>
      <c r="T21" s="6"/>
      <c r="U21" s="6"/>
      <c r="V21" s="6" t="s">
        <v>95</v>
      </c>
      <c r="W21" s="6" t="s">
        <v>96</v>
      </c>
      <c r="X21"/>
      <c r="Y21"/>
      <c r="Z21"/>
    </row>
    <row r="22" spans="1:26">
      <c r="A22" s="31" t="s">
        <v>97</v>
      </c>
      <c r="B22" s="31"/>
      <c r="C22" s="34" t="s">
        <v>57</v>
      </c>
      <c r="D22" s="34"/>
      <c r="E22" s="34" t="s">
        <v>98</v>
      </c>
      <c r="F22" s="34"/>
      <c r="G22" s="34">
        <v>400101</v>
      </c>
      <c r="H22" s="34"/>
      <c r="S22" s="6"/>
      <c r="T22" s="6"/>
      <c r="U22" s="6"/>
      <c r="V22" s="6" t="s">
        <v>99</v>
      </c>
      <c r="W22" s="6" t="s">
        <v>100</v>
      </c>
      <c r="X22"/>
      <c r="Y22"/>
      <c r="Z22"/>
    </row>
    <row r="23" ht="38.25" customHeight="1" spans="1:26">
      <c r="A23" s="31" t="s">
        <v>101</v>
      </c>
      <c r="B23" s="31"/>
      <c r="C23" s="34" t="s">
        <v>102</v>
      </c>
      <c r="D23" s="34"/>
      <c r="E23" s="34" t="s">
        <v>103</v>
      </c>
      <c r="F23" s="34"/>
      <c r="G23" s="34" t="s">
        <v>104</v>
      </c>
      <c r="H23" s="34"/>
      <c r="S23" s="6"/>
      <c r="T23" s="6"/>
      <c r="U23" s="6"/>
      <c r="V23" s="6" t="s">
        <v>105</v>
      </c>
      <c r="W23" s="6" t="s">
        <v>106</v>
      </c>
      <c r="X23"/>
      <c r="Y23"/>
      <c r="Z23"/>
    </row>
    <row r="24" ht="18.75" customHeight="1" spans="1:26">
      <c r="A24" s="44" t="s">
        <v>107</v>
      </c>
      <c r="B24" s="44"/>
      <c r="C24" s="44"/>
      <c r="D24" s="44"/>
      <c r="E24" s="31" t="s">
        <v>108</v>
      </c>
      <c r="F24" s="31"/>
      <c r="G24" s="31"/>
      <c r="H24" s="31"/>
      <c r="S24" s="6"/>
      <c r="T24" s="6"/>
      <c r="U24" s="6"/>
      <c r="V24" s="6" t="s">
        <v>109</v>
      </c>
      <c r="W24" s="6" t="s">
        <v>110</v>
      </c>
      <c r="X24"/>
      <c r="Y24"/>
      <c r="Z24"/>
    </row>
    <row r="25" ht="15" customHeight="1" spans="1:26">
      <c r="A25" s="44"/>
      <c r="B25" s="44"/>
      <c r="C25" s="44"/>
      <c r="D25" s="44"/>
      <c r="E25" s="31"/>
      <c r="F25" s="31"/>
      <c r="G25" s="31"/>
      <c r="H25" s="31"/>
      <c r="S25" s="6"/>
      <c r="T25" s="6"/>
      <c r="U25" s="6"/>
      <c r="V25" s="6" t="s">
        <v>111</v>
      </c>
      <c r="W25" s="6" t="s">
        <v>112</v>
      </c>
      <c r="X25"/>
      <c r="Y25"/>
      <c r="Z25"/>
    </row>
    <row r="26" ht="15" customHeight="1" spans="1:26">
      <c r="A26" s="44" t="s">
        <v>113</v>
      </c>
      <c r="B26" s="44"/>
      <c r="C26" s="44"/>
      <c r="D26" s="44"/>
      <c r="E26" s="34" t="s">
        <v>114</v>
      </c>
      <c r="F26" s="34"/>
      <c r="G26" s="34"/>
      <c r="H26" s="34"/>
      <c r="S26" s="6"/>
      <c r="T26" s="6"/>
      <c r="U26" s="6"/>
      <c r="V26" s="6" t="s">
        <v>115</v>
      </c>
      <c r="W26" s="6" t="s">
        <v>116</v>
      </c>
      <c r="X26"/>
      <c r="Y26"/>
      <c r="Z26"/>
    </row>
    <row r="27" spans="1:26">
      <c r="A27" s="45" t="s">
        <v>117</v>
      </c>
      <c r="B27" s="45"/>
      <c r="C27" s="45"/>
      <c r="D27" s="45"/>
      <c r="E27" s="34" t="str">
        <f>IF(AND(G21="Mumbai"),"Upper Class","Middle Class")</f>
        <v>Upper Class</v>
      </c>
      <c r="F27" s="34"/>
      <c r="G27" s="34"/>
      <c r="H27" s="34"/>
      <c r="S27" s="6"/>
      <c r="T27" s="6"/>
      <c r="U27" s="6"/>
      <c r="V27" s="6" t="s">
        <v>118</v>
      </c>
      <c r="W27" s="6" t="s">
        <v>119</v>
      </c>
      <c r="X27"/>
      <c r="Y27"/>
      <c r="Z27"/>
    </row>
    <row r="28" customHeight="1" spans="1:8">
      <c r="A28" s="45" t="s">
        <v>120</v>
      </c>
      <c r="B28" s="45"/>
      <c r="C28" s="45"/>
      <c r="D28" s="45"/>
      <c r="E28" s="34" t="s">
        <v>121</v>
      </c>
      <c r="F28" s="34"/>
      <c r="G28" s="34"/>
      <c r="H28" s="34"/>
    </row>
    <row r="29" spans="1:8">
      <c r="A29" s="45" t="s">
        <v>122</v>
      </c>
      <c r="B29" s="45"/>
      <c r="C29" s="45"/>
      <c r="D29" s="45"/>
      <c r="E29" s="34" t="str">
        <f>IF(AND(G21="Mumbai"),"Developed","Developing")</f>
        <v>Developed</v>
      </c>
      <c r="F29" s="34"/>
      <c r="G29" s="34"/>
      <c r="H29" s="34"/>
    </row>
    <row r="30" customHeight="1" spans="1:8">
      <c r="A30" s="45" t="s">
        <v>123</v>
      </c>
      <c r="B30" s="45"/>
      <c r="C30" s="45"/>
      <c r="D30" s="45"/>
      <c r="E30" s="34" t="s">
        <v>124</v>
      </c>
      <c r="F30" s="34"/>
      <c r="G30" s="34"/>
      <c r="H30" s="34"/>
    </row>
    <row r="31" ht="15" customHeight="1" spans="1:8">
      <c r="A31" s="45" t="s">
        <v>125</v>
      </c>
      <c r="B31" s="45"/>
      <c r="C31" s="45"/>
      <c r="D31" s="45"/>
      <c r="E31" s="34" t="s">
        <v>126</v>
      </c>
      <c r="F31" s="34"/>
      <c r="G31" s="34"/>
      <c r="H31" s="34"/>
    </row>
    <row r="32" customHeight="1" spans="1:8">
      <c r="A32" s="45" t="s">
        <v>127</v>
      </c>
      <c r="B32" s="45"/>
      <c r="C32" s="45"/>
      <c r="D32" s="45"/>
      <c r="E32" s="34" t="str">
        <f>IF(AND(ISNUMBER(SEARCH("Flat",D66)),ISNUMBER(SEARCH("Shop",D66)),ISNUMBER(SEARCH("Office",D66))),"Residential + Commercial",IF(AND(ISNUMBER(SEARCH("Flat",D66)),ISNUMBER(SEARCH("Shop",D66))),"Residential + Commercial",IF(AND(ISNUMBER(SEARCH("Flat",D66)),ISNUMBER(SEARCH("Office",D66))),"Residential + Commercial",IF(AND(ISNUMBER(SEARCH("Shop",D66)),ISNUMBER(SEARCH("Office",D66))),"Commercial",IF(ISNUMBER(SEARCH("Shop",D66)),"Commercial",IF(ISNUMBER(SEARCH("Office",D66)),"Commercial",IF(ISNUMBER(SEARCH("Flat",D66)),"Residential")))))))</f>
        <v>Residential + Commercial</v>
      </c>
      <c r="F32" s="34"/>
      <c r="G32" s="34"/>
      <c r="H32" s="34"/>
    </row>
    <row r="33" s="21" customFormat="1" spans="1:19">
      <c r="A33" s="45" t="s">
        <v>128</v>
      </c>
      <c r="B33" s="45"/>
      <c r="C33" s="45"/>
      <c r="D33" s="45"/>
      <c r="E33" s="34" t="s">
        <v>129</v>
      </c>
      <c r="F33" s="34"/>
      <c r="G33" s="34"/>
      <c r="H33" s="34"/>
      <c r="S33" s="21" t="e">
        <f ca="1">OFFSET($S$13,1,MATCH($G21,$S$13:$W$13,0)-1,15,1)</f>
        <v>#VALUE!</v>
      </c>
    </row>
    <row r="34" s="21" customFormat="1" spans="1:8">
      <c r="A34" s="46" t="s">
        <v>130</v>
      </c>
      <c r="B34" s="46"/>
      <c r="C34" s="47" t="s">
        <v>131</v>
      </c>
      <c r="D34" s="48"/>
      <c r="E34" s="49"/>
      <c r="F34" s="47" t="s">
        <v>132</v>
      </c>
      <c r="G34" s="48"/>
      <c r="H34" s="49"/>
    </row>
    <row r="35" spans="1:8">
      <c r="A35" s="50" t="s">
        <v>133</v>
      </c>
      <c r="B35" s="50" t="s">
        <v>39</v>
      </c>
      <c r="C35" s="51" t="s">
        <v>134</v>
      </c>
      <c r="D35" s="52"/>
      <c r="E35" s="53"/>
      <c r="F35" s="51" t="s">
        <v>135</v>
      </c>
      <c r="G35" s="52"/>
      <c r="H35" s="53"/>
    </row>
    <row r="36" s="21" customFormat="1" spans="1:8">
      <c r="A36" s="50" t="s">
        <v>136</v>
      </c>
      <c r="B36" s="50" t="s">
        <v>39</v>
      </c>
      <c r="C36" s="51" t="s">
        <v>137</v>
      </c>
      <c r="D36" s="52"/>
      <c r="E36" s="53"/>
      <c r="F36" s="51" t="s">
        <v>138</v>
      </c>
      <c r="G36" s="52"/>
      <c r="H36" s="53"/>
    </row>
    <row r="37" spans="1:8">
      <c r="A37" s="50" t="s">
        <v>139</v>
      </c>
      <c r="B37" s="50" t="s">
        <v>39</v>
      </c>
      <c r="C37" s="51" t="s">
        <v>134</v>
      </c>
      <c r="D37" s="52"/>
      <c r="E37" s="53"/>
      <c r="F37" s="51" t="s">
        <v>138</v>
      </c>
      <c r="G37" s="52"/>
      <c r="H37" s="53"/>
    </row>
    <row r="38" spans="1:8">
      <c r="A38" s="50" t="s">
        <v>140</v>
      </c>
      <c r="B38" s="50" t="s">
        <v>39</v>
      </c>
      <c r="C38" s="51" t="s">
        <v>141</v>
      </c>
      <c r="D38" s="52"/>
      <c r="E38" s="53"/>
      <c r="F38" s="51" t="s">
        <v>85</v>
      </c>
      <c r="G38" s="52"/>
      <c r="H38" s="53"/>
    </row>
    <row r="39" customHeight="1" spans="1:8">
      <c r="A39" s="45" t="s">
        <v>142</v>
      </c>
      <c r="B39" s="45"/>
      <c r="C39" s="45"/>
      <c r="D39" s="45"/>
      <c r="E39" s="45"/>
      <c r="F39" s="45"/>
      <c r="G39" s="45"/>
      <c r="H39" s="45"/>
    </row>
    <row r="40" spans="1:8">
      <c r="A40" s="45" t="s">
        <v>143</v>
      </c>
      <c r="B40" s="45"/>
      <c r="C40" s="54" t="s">
        <v>144</v>
      </c>
      <c r="D40" s="54"/>
      <c r="E40" s="54"/>
      <c r="F40" s="54"/>
      <c r="G40" s="54"/>
      <c r="H40" s="54"/>
    </row>
    <row r="41" spans="1:8">
      <c r="A41" s="45" t="s">
        <v>145</v>
      </c>
      <c r="B41" s="45"/>
      <c r="C41" s="55" t="s">
        <v>146</v>
      </c>
      <c r="D41" s="34"/>
      <c r="E41" s="34"/>
      <c r="F41" s="34"/>
      <c r="G41" s="34"/>
      <c r="H41" s="34"/>
    </row>
    <row r="42" spans="1:8">
      <c r="A42" s="54" t="s">
        <v>147</v>
      </c>
      <c r="B42" s="54"/>
      <c r="C42" s="54"/>
      <c r="D42" s="54"/>
      <c r="E42" s="54"/>
      <c r="F42" s="54"/>
      <c r="G42" s="54"/>
      <c r="H42" s="54"/>
    </row>
    <row r="43" spans="1:8">
      <c r="A43" s="45" t="s">
        <v>148</v>
      </c>
      <c r="B43" s="45"/>
      <c r="C43" s="45"/>
      <c r="D43" s="45"/>
      <c r="E43" s="56">
        <v>31308.99</v>
      </c>
      <c r="F43" s="56"/>
      <c r="G43" s="56"/>
      <c r="H43" s="56"/>
    </row>
    <row r="44" spans="1:8">
      <c r="A44" s="45" t="s">
        <v>149</v>
      </c>
      <c r="B44" s="45"/>
      <c r="C44" s="45"/>
      <c r="D44" s="45"/>
      <c r="E44" s="57">
        <v>1</v>
      </c>
      <c r="F44" s="57"/>
      <c r="G44" s="57"/>
      <c r="H44" s="57"/>
    </row>
    <row r="45" spans="1:8">
      <c r="A45" s="45" t="s">
        <v>150</v>
      </c>
      <c r="B45" s="45"/>
      <c r="C45" s="45"/>
      <c r="D45" s="45"/>
      <c r="E45" s="57">
        <f>E47/E43-E44</f>
        <v>1.53747501915584</v>
      </c>
      <c r="F45" s="57"/>
      <c r="G45" s="57"/>
      <c r="H45" s="57"/>
    </row>
    <row r="46" spans="1:8">
      <c r="A46" s="45" t="s">
        <v>151</v>
      </c>
      <c r="B46" s="45"/>
      <c r="C46" s="45"/>
      <c r="D46" s="45"/>
      <c r="E46" s="57">
        <f>E44+E45</f>
        <v>2.53747501915584</v>
      </c>
      <c r="F46" s="57"/>
      <c r="G46" s="57"/>
      <c r="H46" s="57"/>
    </row>
    <row r="47" spans="1:8">
      <c r="A47" s="45" t="s">
        <v>152</v>
      </c>
      <c r="B47" s="45"/>
      <c r="C47" s="45"/>
      <c r="D47" s="45"/>
      <c r="E47" s="58">
        <v>79445.78</v>
      </c>
      <c r="F47" s="58"/>
      <c r="G47" s="58"/>
      <c r="H47" s="58"/>
    </row>
    <row r="48" spans="1:8">
      <c r="A48" s="31" t="s">
        <v>153</v>
      </c>
      <c r="B48" s="31"/>
      <c r="C48" s="31"/>
      <c r="D48" s="31"/>
      <c r="E48" s="31" t="s">
        <v>154</v>
      </c>
      <c r="F48" s="31"/>
      <c r="G48" s="31"/>
      <c r="H48" s="31"/>
    </row>
    <row r="49" spans="1:22">
      <c r="A49" s="54" t="s">
        <v>155</v>
      </c>
      <c r="B49" s="54"/>
      <c r="C49" s="54"/>
      <c r="D49" s="54"/>
      <c r="E49" s="54"/>
      <c r="F49" s="54"/>
      <c r="G49" s="54"/>
      <c r="H49" s="54"/>
      <c r="R49" t="s">
        <v>156</v>
      </c>
      <c r="S49" t="s">
        <v>42</v>
      </c>
      <c r="T49" t="s">
        <v>40</v>
      </c>
      <c r="U49" t="s">
        <v>43</v>
      </c>
      <c r="V49" t="s">
        <v>41</v>
      </c>
    </row>
    <row r="50" ht="30.95" customHeight="1" spans="1:22">
      <c r="A50" s="59" t="s">
        <v>157</v>
      </c>
      <c r="B50" s="60"/>
      <c r="C50" s="61" t="s">
        <v>158</v>
      </c>
      <c r="D50" s="62"/>
      <c r="E50" s="62"/>
      <c r="F50" s="62"/>
      <c r="G50" s="62"/>
      <c r="H50" s="63"/>
      <c r="R50"/>
      <c r="S50" t="s">
        <v>159</v>
      </c>
      <c r="T50" t="s">
        <v>160</v>
      </c>
      <c r="U50" t="s">
        <v>161</v>
      </c>
      <c r="V50" t="s">
        <v>162</v>
      </c>
    </row>
    <row r="51" ht="30.95" customHeight="1" spans="1:22">
      <c r="A51" s="59" t="s">
        <v>163</v>
      </c>
      <c r="B51" s="60"/>
      <c r="C51" s="59" t="s">
        <v>164</v>
      </c>
      <c r="D51" s="64"/>
      <c r="E51" s="60"/>
      <c r="F51" s="65" t="s">
        <v>165</v>
      </c>
      <c r="G51" s="66" t="s">
        <v>166</v>
      </c>
      <c r="H51" s="67"/>
      <c r="R51"/>
      <c r="S51" t="s">
        <v>158</v>
      </c>
      <c r="T51" t="s">
        <v>167</v>
      </c>
      <c r="U51" t="s">
        <v>168</v>
      </c>
      <c r="V51" t="s">
        <v>169</v>
      </c>
    </row>
    <row r="52" s="22" customFormat="1" ht="36" customHeight="1" spans="1:21">
      <c r="A52" s="59" t="s">
        <v>170</v>
      </c>
      <c r="B52" s="60"/>
      <c r="C52" s="59" t="str">
        <f>C51</f>
        <v>P-14015/2022/(174A/3)/R/S Ward/AKURLI-R/S/337/3/Amend</v>
      </c>
      <c r="D52" s="64"/>
      <c r="E52" s="60"/>
      <c r="F52" s="65" t="s">
        <v>165</v>
      </c>
      <c r="G52" s="66" t="str">
        <f>G51</f>
        <v>27/12/2024.</v>
      </c>
      <c r="H52" s="67"/>
      <c r="R52"/>
      <c r="S52" t="s">
        <v>171</v>
      </c>
      <c r="T52" t="s">
        <v>172</v>
      </c>
      <c r="U52" t="s">
        <v>173</v>
      </c>
    </row>
    <row r="53" s="22" customFormat="1" ht="31.5" customHeight="1" spans="1:22">
      <c r="A53" s="68" t="s">
        <v>174</v>
      </c>
      <c r="B53" s="69"/>
      <c r="C53" s="59" t="s">
        <v>175</v>
      </c>
      <c r="D53" s="64"/>
      <c r="E53" s="60"/>
      <c r="F53" s="65" t="s">
        <v>165</v>
      </c>
      <c r="G53" s="66" t="s">
        <v>176</v>
      </c>
      <c r="H53" s="67"/>
      <c r="R53"/>
      <c r="S53" t="s">
        <v>177</v>
      </c>
      <c r="T53" t="s">
        <v>178</v>
      </c>
      <c r="U53" t="s">
        <v>179</v>
      </c>
      <c r="V53" t="s">
        <v>180</v>
      </c>
    </row>
    <row r="54" s="22" customFormat="1" ht="50.25" customHeight="1" spans="1:24">
      <c r="A54" s="70"/>
      <c r="B54" s="71"/>
      <c r="C54" s="59" t="s">
        <v>181</v>
      </c>
      <c r="D54" s="64"/>
      <c r="E54" s="60"/>
      <c r="F54" s="65" t="s">
        <v>182</v>
      </c>
      <c r="G54" s="66" t="s">
        <v>183</v>
      </c>
      <c r="H54" s="67"/>
      <c r="R54"/>
      <c r="S54" t="s">
        <v>179</v>
      </c>
      <c r="T54" t="s">
        <v>184</v>
      </c>
      <c r="U54" t="s">
        <v>185</v>
      </c>
      <c r="V54" s="28"/>
      <c r="W54" s="28"/>
      <c r="X54" s="28"/>
    </row>
    <row r="55" s="22" customFormat="1" ht="33.75" customHeight="1" spans="1:24">
      <c r="A55" s="68" t="s">
        <v>174</v>
      </c>
      <c r="B55" s="69"/>
      <c r="C55" s="59" t="s">
        <v>186</v>
      </c>
      <c r="D55" s="64"/>
      <c r="E55" s="60"/>
      <c r="F55" s="65" t="s">
        <v>165</v>
      </c>
      <c r="G55" s="66" t="s">
        <v>187</v>
      </c>
      <c r="H55" s="67"/>
      <c r="R55"/>
      <c r="S55" s="28"/>
      <c r="T55" t="s">
        <v>188</v>
      </c>
      <c r="U55" t="s">
        <v>189</v>
      </c>
      <c r="V55" s="28"/>
      <c r="W55" s="28"/>
      <c r="X55" s="28"/>
    </row>
    <row r="56" s="22" customFormat="1" ht="83.25" customHeight="1" spans="1:24">
      <c r="A56" s="70"/>
      <c r="B56" s="71"/>
      <c r="C56" s="59" t="s">
        <v>190</v>
      </c>
      <c r="D56" s="64"/>
      <c r="E56" s="60"/>
      <c r="F56" s="65" t="s">
        <v>182</v>
      </c>
      <c r="G56" s="66" t="s">
        <v>191</v>
      </c>
      <c r="H56" s="67"/>
      <c r="R56"/>
      <c r="S56" s="28"/>
      <c r="T56" t="s">
        <v>192</v>
      </c>
      <c r="U56" t="s">
        <v>193</v>
      </c>
      <c r="V56" s="28"/>
      <c r="W56" s="28"/>
      <c r="X56" s="28"/>
    </row>
    <row r="57" s="22" customFormat="1" hidden="1" customHeight="1" spans="1:24">
      <c r="A57" s="72" t="s">
        <v>194</v>
      </c>
      <c r="B57" s="73"/>
      <c r="C57" s="59"/>
      <c r="D57" s="64"/>
      <c r="E57" s="60"/>
      <c r="F57" s="65" t="s">
        <v>165</v>
      </c>
      <c r="G57" s="59"/>
      <c r="H57" s="60"/>
      <c r="R57"/>
      <c r="S57" s="28"/>
      <c r="T57" t="s">
        <v>195</v>
      </c>
      <c r="U57" s="28" t="s">
        <v>196</v>
      </c>
      <c r="V57" s="28"/>
      <c r="W57" s="28"/>
      <c r="X57" s="28"/>
    </row>
    <row r="58" s="22" customFormat="1" hidden="1" customHeight="1" spans="1:24">
      <c r="A58" s="74"/>
      <c r="B58" s="75"/>
      <c r="C58" s="76"/>
      <c r="D58" s="77"/>
      <c r="E58" s="77"/>
      <c r="F58" s="77"/>
      <c r="G58" s="77"/>
      <c r="H58" s="78"/>
      <c r="R58"/>
      <c r="S58" s="28"/>
      <c r="T58" t="s">
        <v>197</v>
      </c>
      <c r="U58" s="28"/>
      <c r="V58" s="28"/>
      <c r="W58" s="28"/>
      <c r="X58" s="28"/>
    </row>
    <row r="59" hidden="1" spans="1:20">
      <c r="A59" s="72" t="s">
        <v>198</v>
      </c>
      <c r="B59" s="73"/>
      <c r="C59" s="59">
        <f>C58</f>
        <v>0</v>
      </c>
      <c r="D59" s="64"/>
      <c r="E59" s="60"/>
      <c r="F59" s="65" t="s">
        <v>165</v>
      </c>
      <c r="G59" s="59">
        <f>G58</f>
        <v>0</v>
      </c>
      <c r="H59" s="60"/>
      <c r="R59"/>
      <c r="T59" t="s">
        <v>199</v>
      </c>
    </row>
    <row r="60" hidden="1" spans="1:20">
      <c r="A60" s="74"/>
      <c r="B60" s="75"/>
      <c r="C60" s="59"/>
      <c r="D60" s="64"/>
      <c r="E60" s="64"/>
      <c r="F60" s="64"/>
      <c r="G60" s="64"/>
      <c r="H60" s="60"/>
      <c r="T60" t="s">
        <v>200</v>
      </c>
    </row>
    <row r="61" hidden="1" spans="1:18">
      <c r="A61" s="72" t="s">
        <v>201</v>
      </c>
      <c r="B61" s="73"/>
      <c r="C61" s="59">
        <f>C60</f>
        <v>0</v>
      </c>
      <c r="D61" s="64"/>
      <c r="E61" s="60"/>
      <c r="F61" s="65" t="s">
        <v>165</v>
      </c>
      <c r="G61" s="59">
        <f>G60</f>
        <v>0</v>
      </c>
      <c r="H61" s="60"/>
      <c r="R61"/>
    </row>
    <row r="62" ht="31.5" hidden="1" spans="1:18">
      <c r="A62" s="74"/>
      <c r="B62" s="75"/>
      <c r="C62" s="44"/>
      <c r="D62" s="44"/>
      <c r="E62" s="44"/>
      <c r="F62" s="65" t="s">
        <v>182</v>
      </c>
      <c r="G62" s="44"/>
      <c r="H62" s="44"/>
      <c r="I62" s="88"/>
      <c r="R62"/>
    </row>
    <row r="63" spans="1:18">
      <c r="A63" s="79" t="s">
        <v>202</v>
      </c>
      <c r="B63" s="80"/>
      <c r="C63" s="79" t="s">
        <v>203</v>
      </c>
      <c r="D63" s="81"/>
      <c r="E63" s="80"/>
      <c r="F63" s="82" t="s">
        <v>165</v>
      </c>
      <c r="G63" s="83" t="s">
        <v>39</v>
      </c>
      <c r="H63" s="84"/>
      <c r="R63"/>
    </row>
    <row r="64" spans="1:18">
      <c r="A64" s="82" t="s">
        <v>204</v>
      </c>
      <c r="B64" s="82"/>
      <c r="C64" s="82"/>
      <c r="D64" s="82"/>
      <c r="E64" s="82"/>
      <c r="F64" s="82"/>
      <c r="G64" s="82"/>
      <c r="H64" s="82"/>
      <c r="R64"/>
    </row>
    <row r="65" spans="1:18">
      <c r="A65" s="44" t="s">
        <v>205</v>
      </c>
      <c r="B65" s="44"/>
      <c r="C65" s="44"/>
      <c r="D65" s="45">
        <f>E47</f>
        <v>79445.78</v>
      </c>
      <c r="E65" s="45"/>
      <c r="F65" s="45"/>
      <c r="G65" s="45"/>
      <c r="H65" s="45"/>
      <c r="R65"/>
    </row>
    <row r="66" ht="37.5" customHeight="1" spans="1:19">
      <c r="A66" s="34" t="s">
        <v>206</v>
      </c>
      <c r="B66" s="31"/>
      <c r="C66" s="31"/>
      <c r="D66" s="34" t="s">
        <v>207</v>
      </c>
      <c r="E66" s="31"/>
      <c r="F66" s="31"/>
      <c r="G66" s="31"/>
      <c r="H66" s="31"/>
      <c r="J66" s="143"/>
      <c r="K66" s="88"/>
      <c r="N66" s="88"/>
      <c r="S66"/>
    </row>
    <row r="67" ht="150" customHeight="1" spans="1:19">
      <c r="A67" s="89" t="s">
        <v>208</v>
      </c>
      <c r="B67" s="90"/>
      <c r="C67" s="91"/>
      <c r="D67" s="92" t="s">
        <v>209</v>
      </c>
      <c r="E67" s="93"/>
      <c r="F67" s="93"/>
      <c r="G67" s="93"/>
      <c r="H67" s="93"/>
      <c r="N67" s="88"/>
      <c r="S67"/>
    </row>
    <row r="68" ht="34.5" customHeight="1" spans="1:19">
      <c r="A68" s="89" t="s">
        <v>210</v>
      </c>
      <c r="B68" s="90"/>
      <c r="C68" s="91"/>
      <c r="D68" s="94" t="s">
        <v>211</v>
      </c>
      <c r="E68" s="34"/>
      <c r="F68" s="34"/>
      <c r="G68" s="34"/>
      <c r="H68" s="34"/>
      <c r="J68" s="144"/>
      <c r="K68" s="144"/>
      <c r="S68"/>
    </row>
    <row r="69" ht="31.5" customHeight="1" spans="1:19">
      <c r="A69" s="95"/>
      <c r="B69" s="96"/>
      <c r="C69" s="97"/>
      <c r="D69" s="34" t="s">
        <v>212</v>
      </c>
      <c r="E69" s="34"/>
      <c r="F69" s="34"/>
      <c r="G69" s="34"/>
      <c r="H69" s="34"/>
      <c r="S69"/>
    </row>
    <row r="70" ht="34.5" customHeight="1" spans="1:19">
      <c r="A70" s="95"/>
      <c r="B70" s="96"/>
      <c r="C70" s="97"/>
      <c r="D70" s="34" t="s">
        <v>213</v>
      </c>
      <c r="E70" s="34"/>
      <c r="F70" s="34"/>
      <c r="G70" s="34"/>
      <c r="H70" s="34"/>
      <c r="S70"/>
    </row>
    <row r="71" ht="36" customHeight="1" spans="1:19">
      <c r="A71" s="95"/>
      <c r="B71" s="96"/>
      <c r="C71" s="97"/>
      <c r="D71" s="34" t="s">
        <v>214</v>
      </c>
      <c r="E71" s="34"/>
      <c r="F71" s="34"/>
      <c r="G71" s="34"/>
      <c r="H71" s="34"/>
      <c r="S71"/>
    </row>
    <row r="72" ht="33.75" customHeight="1" spans="1:19">
      <c r="A72" s="95"/>
      <c r="B72" s="96"/>
      <c r="C72" s="97"/>
      <c r="D72" s="34" t="s">
        <v>215</v>
      </c>
      <c r="E72" s="34"/>
      <c r="F72" s="34"/>
      <c r="G72" s="34"/>
      <c r="H72" s="34"/>
      <c r="S72"/>
    </row>
    <row r="73" spans="1:19">
      <c r="A73" s="98"/>
      <c r="B73" s="99"/>
      <c r="C73" s="100"/>
      <c r="D73" s="34" t="s">
        <v>216</v>
      </c>
      <c r="E73" s="34"/>
      <c r="F73" s="34"/>
      <c r="G73" s="34"/>
      <c r="H73" s="34"/>
      <c r="S73"/>
    </row>
    <row r="74" ht="34.5" customHeight="1" spans="1:14">
      <c r="A74" s="45" t="s">
        <v>217</v>
      </c>
      <c r="B74" s="45"/>
      <c r="C74" s="45"/>
      <c r="D74" s="59" t="s">
        <v>218</v>
      </c>
      <c r="E74" s="64"/>
      <c r="F74" s="64"/>
      <c r="G74" s="64"/>
      <c r="H74" s="60"/>
      <c r="I74" s="145"/>
      <c r="J74" s="145"/>
      <c r="K74" s="145"/>
      <c r="L74" s="145"/>
      <c r="M74" s="145"/>
      <c r="N74" s="145"/>
    </row>
    <row r="75" customHeight="1" spans="1:19">
      <c r="A75" s="45" t="s">
        <v>219</v>
      </c>
      <c r="B75" s="45"/>
      <c r="C75" s="45"/>
      <c r="D75" s="101" t="str">
        <f ca="1">(IF(G63="NA","60 Years After Completion",IF(G63&lt;&gt;"NA",""&amp;60-ROUNDDOWN((E3-G63)/360,0)&amp;" Years"," ")))</f>
        <v>60 Years After Completion</v>
      </c>
      <c r="E75" s="102"/>
      <c r="F75" s="102"/>
      <c r="G75" s="102"/>
      <c r="H75" s="103"/>
      <c r="J75" s="144"/>
      <c r="S75"/>
    </row>
    <row r="76" spans="1:19">
      <c r="A76" s="45" t="s">
        <v>220</v>
      </c>
      <c r="B76" s="45"/>
      <c r="C76" s="45"/>
      <c r="D76" s="59" t="s">
        <v>124</v>
      </c>
      <c r="E76" s="64"/>
      <c r="F76" s="64"/>
      <c r="G76" s="64"/>
      <c r="H76" s="60"/>
      <c r="S76"/>
    </row>
    <row r="77" ht="30.95" customHeight="1" spans="1:19">
      <c r="A77" s="31" t="s">
        <v>221</v>
      </c>
      <c r="B77" s="31"/>
      <c r="C77" s="31"/>
      <c r="D77" s="104" t="s">
        <v>222</v>
      </c>
      <c r="E77" s="105"/>
      <c r="F77" s="105"/>
      <c r="G77" s="105"/>
      <c r="H77" s="106"/>
      <c r="S77"/>
    </row>
    <row r="78" spans="1:19">
      <c r="A78" s="44" t="s">
        <v>223</v>
      </c>
      <c r="B78" s="44"/>
      <c r="C78" s="44"/>
      <c r="D78" s="59" t="s">
        <v>39</v>
      </c>
      <c r="E78" s="64"/>
      <c r="F78" s="64"/>
      <c r="G78" s="64"/>
      <c r="H78" s="60"/>
      <c r="S78"/>
    </row>
    <row r="79" customHeight="1" spans="1:19">
      <c r="A79" s="107" t="s">
        <v>224</v>
      </c>
      <c r="B79" s="107"/>
      <c r="C79" s="107"/>
      <c r="D79" s="104" t="str">
        <f ca="1">(IF(G85&gt;95%,"Nothing",IF(G85&gt;0%,"Cement, Aggregate, Steel, etc",IF(G85=0%,"Work not yet Started"))))</f>
        <v>Cement, Aggregate, Steel, etc</v>
      </c>
      <c r="E79" s="105"/>
      <c r="F79" s="105"/>
      <c r="G79" s="105"/>
      <c r="H79" s="106"/>
      <c r="S79"/>
    </row>
    <row r="80" customHeight="1" spans="1:19">
      <c r="A80" s="108" t="s">
        <v>225</v>
      </c>
      <c r="B80" s="108"/>
      <c r="C80" s="108"/>
      <c r="D80" s="109" t="str">
        <f ca="1">(IF(D79="Nothing","Yes",IF(D79="Cement, Aggregate, Steel, etc","Under Construction",IF(D79="Work not yet Started","Work not yet Started"))))</f>
        <v>Under Construction</v>
      </c>
      <c r="E80" s="110"/>
      <c r="F80" s="110"/>
      <c r="G80" s="110"/>
      <c r="H80" s="111"/>
      <c r="S80"/>
    </row>
    <row r="81" spans="1:10">
      <c r="A81" s="112" t="s">
        <v>226</v>
      </c>
      <c r="B81" s="113"/>
      <c r="C81" s="114" t="str">
        <f>D68</f>
        <v>Phase 1 (Tower A &amp; B) = 1B + Gr + P1 to P6 + 6th (Res.) + 1st to 33rd Floor</v>
      </c>
      <c r="D81" s="115"/>
      <c r="E81" s="115"/>
      <c r="F81" s="115"/>
      <c r="G81" s="115"/>
      <c r="H81" s="116"/>
      <c r="I81" s="146" t="str">
        <f ca="1">IF(D94=100%,"All work Completed. Possession granted to the Building.",IF(D93=100%,"All work Completed, Waiting for OC",I82&amp;""&amp;I83&amp;""&amp;J82&amp;""&amp;J81&amp;" "&amp;J83))</f>
        <v>Excavation work in process </v>
      </c>
      <c r="J81" s="147" t="str">
        <f ca="1">(IF(C87=(D82+F82+H82),"",IF(C87&gt;0,", RCC upto "&amp;C87&amp;" Slab","")))&amp;(IF(C88=H82,"",IF(C88&gt;0,", Brickwork upto "&amp;C88&amp;" Floor","")))&amp;(IF(C89=H82,"",IF(C89&gt;0,", Internal Plaster upto "&amp;C89&amp;" Floor","")))&amp;(IF(C90=H82,"",IF(C90&gt;0,", External Plaster upto "&amp;C90&amp;" Floor","")))&amp;(IF(C91=H82,"",IF(C91&gt;0,", Flooring upto "&amp;C91&amp;" Floor","")))&amp;(IF(C92=H82,"",IF(C92&gt;0,", Painting upto "&amp;C92&amp;" Floor","")))&amp;(IF(C93=H82,"",IF(C93&gt;0,", Finishing upto "&amp;C93&amp;" Floor","")))&amp;(IF(C94=H82,"",IF(C94&gt;0,", Possession upto "&amp;C94&amp;" Floor","")))</f>
        <v/>
      </c>
    </row>
    <row r="82" spans="1:19">
      <c r="A82" s="117" t="s">
        <v>227</v>
      </c>
      <c r="B82" s="118">
        <f>IF(AND(ISNUMBER(SEARCH("1B",C81))),1,IF(AND(ISNUMBER(SEARCH("2B",C81))),2,IF(AND(ISNUMBER(SEARCH("3B",C81))),3,IF(AND(ISNUMBER(SEARCH("4B",C81))),4,IF(ISNUMBER(SEARCH("5B",C81)),5,0)))))</f>
        <v>1</v>
      </c>
      <c r="C82" s="118" t="s">
        <v>228</v>
      </c>
      <c r="D82" s="118">
        <v>1</v>
      </c>
      <c r="E82" s="118" t="s">
        <v>229</v>
      </c>
      <c r="F82" s="118">
        <v>7</v>
      </c>
      <c r="G82" s="118" t="s">
        <v>230</v>
      </c>
      <c r="H82" s="119">
        <f ca="1">--TRIM(RIGHT(SUBSTITUTE(LEFT(C81,_xlfn.AGGREGATE(16,6,FIND({0,1,2,3,4,5,6,7,8,9},C81,ROW(INDIRECT("1:"&amp;LEN(C81)))),1))," ",REPT(" ",LEN(C81))),LEN(C81)))</f>
        <v>3</v>
      </c>
      <c r="I82" s="148" t="str">
        <f ca="1">IF(D85=100%,"Excavation","")&amp;IF(D86=100%,", Plinth","")&amp;IF(D87=100%,", RCC Slab","")&amp;IF(D88=100%,", Brickwork","")&amp;IF(D89=100%,", Internal Plaster","")&amp;IF(D90=100%,", External Plaster","")&amp;IF(D91=100%,", Flooring","")&amp;IF(D92=100%,", Painting","")&amp;IF(D93=100%,", Building common Amenities","")</f>
        <v/>
      </c>
      <c r="J82" s="149" t="str">
        <f ca="1">(IF(C85=0,"Work not yet Started.",IF(D85=25%,"Piling work in process",IF(D85=50%,"Excavation work in process",IF(D85=100%,"","0")))))&amp;(IF(C86=0%,"",IF(C86=J87,", Footing work is process",IF(C86=J88,", Footing work Completed",IF(C86=J89,", 1st Basement Completed",IF(C86=J90,", 1st &amp; 2nd Basement Completed",IF(C86=J91,", 1st to 3rd Basement Completed",IF(C86=J92,", 1st to 4th Basement Completed",IF(C86=J93,", Plinth work is process",IF(C86=J94,"","0"))))))))))</f>
        <v>Excavation work in process</v>
      </c>
      <c r="S82"/>
    </row>
    <row r="83" customHeight="1" spans="1:19">
      <c r="A83" s="120" t="s">
        <v>231</v>
      </c>
      <c r="B83" s="33"/>
      <c r="C83" s="121" t="str">
        <f ca="1">I81</f>
        <v>Excavation work in process </v>
      </c>
      <c r="D83" s="122"/>
      <c r="E83" s="122"/>
      <c r="F83" s="122"/>
      <c r="G83" s="122"/>
      <c r="H83" s="123"/>
      <c r="I83" s="148" t="str">
        <f ca="1">IF(I82&lt;&gt;""," Completed","")</f>
        <v/>
      </c>
      <c r="J83" s="149" t="str">
        <f ca="1">IF(J81&lt;&gt;"","Completed","")</f>
        <v/>
      </c>
      <c r="S83"/>
    </row>
    <row r="84" customHeight="1" spans="1:10">
      <c r="A84" s="124" t="s">
        <v>232</v>
      </c>
      <c r="B84" s="125"/>
      <c r="C84" s="125" t="s">
        <v>233</v>
      </c>
      <c r="D84" s="125" t="s">
        <v>234</v>
      </c>
      <c r="E84" s="126" t="s">
        <v>235</v>
      </c>
      <c r="F84" s="127"/>
      <c r="G84" s="125" t="s">
        <v>236</v>
      </c>
      <c r="H84" s="128"/>
      <c r="I84" s="150" t="s">
        <v>237</v>
      </c>
      <c r="J84" s="151">
        <f ca="1">H82*25%</f>
        <v>0.75</v>
      </c>
    </row>
    <row r="85" customHeight="1" spans="1:10">
      <c r="A85" s="124" t="s">
        <v>238</v>
      </c>
      <c r="B85" s="125"/>
      <c r="C85" s="129">
        <f ca="1">J85</f>
        <v>1.5</v>
      </c>
      <c r="D85" s="130">
        <f ca="1">((100/H82)*C85)/100</f>
        <v>0.5</v>
      </c>
      <c r="E85" s="131">
        <f ca="1">(((C86/H82*10)+(40/(D82+F82+H82)*C87)+(7.5/(H82)*C88)+(7.5/(H82)*C89)+(10/H82*C90)+(10/H82*C91)+(5/H82*C92)+(5/H82*C93)+(5/H82*C94))/100)</f>
        <v>0</v>
      </c>
      <c r="F85" s="132"/>
      <c r="G85" s="131">
        <f ca="1">((((C85/H82)*20)+((C86/H82)*25)+(30/(H82+F82+D82)*C87)+(5/H82*C88)+(5/H82*C89)+(5/H82*C90)+(5/H82*C91)+(0/H82*C92)+(0/H82*C93)+(5/H82*C94))/100)</f>
        <v>0.1</v>
      </c>
      <c r="H85" s="133"/>
      <c r="I85" s="150" t="s">
        <v>239</v>
      </c>
      <c r="J85" s="152">
        <f ca="1">H82*50%</f>
        <v>1.5</v>
      </c>
    </row>
    <row r="86" ht="15" customHeight="1" spans="1:10">
      <c r="A86" s="124" t="s">
        <v>240</v>
      </c>
      <c r="B86" s="125"/>
      <c r="C86" s="125">
        <v>0</v>
      </c>
      <c r="D86" s="130">
        <f ca="1">((100/H82)*C86)/100</f>
        <v>0</v>
      </c>
      <c r="E86" s="134"/>
      <c r="F86" s="135"/>
      <c r="G86" s="134"/>
      <c r="H86" s="136"/>
      <c r="I86" s="150" t="s">
        <v>241</v>
      </c>
      <c r="J86" s="152">
        <f ca="1">H82</f>
        <v>3</v>
      </c>
    </row>
    <row r="87" customHeight="1" spans="1:10">
      <c r="A87" s="124" t="s">
        <v>242</v>
      </c>
      <c r="B87" s="125"/>
      <c r="C87" s="125">
        <v>0</v>
      </c>
      <c r="D87" s="130">
        <f ca="1">((100/(D82+F82+H82))*C87)/100</f>
        <v>0</v>
      </c>
      <c r="E87" s="134"/>
      <c r="F87" s="135"/>
      <c r="G87" s="134"/>
      <c r="H87" s="136"/>
      <c r="I87" s="150" t="s">
        <v>243</v>
      </c>
      <c r="J87" s="153">
        <f ca="1">(IF(B82&gt;1,(H82/(B82+2)),H82/4))</f>
        <v>0.75</v>
      </c>
    </row>
    <row r="88" customHeight="1" spans="1:10">
      <c r="A88" s="124" t="s">
        <v>244</v>
      </c>
      <c r="B88" s="125" t="s">
        <v>245</v>
      </c>
      <c r="C88" s="125">
        <v>0</v>
      </c>
      <c r="D88" s="130">
        <f ca="1">((100/H82)*C88)/100</f>
        <v>0</v>
      </c>
      <c r="E88" s="134"/>
      <c r="F88" s="135"/>
      <c r="G88" s="134"/>
      <c r="H88" s="136"/>
      <c r="I88" s="150" t="s">
        <v>246</v>
      </c>
      <c r="J88" s="153">
        <f ca="1">(IF(B82&gt;1,(H82/(B82+2)+J87),H82/4+J87))</f>
        <v>1.5</v>
      </c>
    </row>
    <row r="89" customHeight="1" spans="1:10">
      <c r="A89" s="124" t="s">
        <v>247</v>
      </c>
      <c r="B89" s="125" t="s">
        <v>245</v>
      </c>
      <c r="C89" s="125">
        <v>0</v>
      </c>
      <c r="D89" s="130">
        <f ca="1">((100/H82)*C89)/100</f>
        <v>0</v>
      </c>
      <c r="E89" s="134"/>
      <c r="F89" s="135"/>
      <c r="G89" s="134"/>
      <c r="H89" s="136"/>
      <c r="I89" s="150" t="s">
        <v>248</v>
      </c>
      <c r="J89" s="153">
        <f ca="1">(IF(B82&gt;1,(H82/(B82+2)+J88),0))</f>
        <v>0</v>
      </c>
    </row>
    <row r="90" spans="1:10">
      <c r="A90" s="124" t="s">
        <v>249</v>
      </c>
      <c r="B90" s="125" t="s">
        <v>250</v>
      </c>
      <c r="C90" s="125">
        <v>0</v>
      </c>
      <c r="D90" s="130">
        <f ca="1">((100/(H82))*C90)/100</f>
        <v>0</v>
      </c>
      <c r="E90" s="134"/>
      <c r="F90" s="135"/>
      <c r="G90" s="134"/>
      <c r="H90" s="136"/>
      <c r="I90" s="150" t="s">
        <v>251</v>
      </c>
      <c r="J90" s="153">
        <f ca="1">(IF(B82&gt;2,(H82/(B82+2)+J89),0))</f>
        <v>0</v>
      </c>
    </row>
    <row r="91" spans="1:10">
      <c r="A91" s="124" t="s">
        <v>252</v>
      </c>
      <c r="B91" s="125" t="s">
        <v>252</v>
      </c>
      <c r="C91" s="125">
        <v>0</v>
      </c>
      <c r="D91" s="130">
        <f ca="1">((100/H82)*C91)/100</f>
        <v>0</v>
      </c>
      <c r="E91" s="134"/>
      <c r="F91" s="135"/>
      <c r="G91" s="134"/>
      <c r="H91" s="136"/>
      <c r="I91" s="150" t="s">
        <v>253</v>
      </c>
      <c r="J91" s="154">
        <f ca="1">(IF(B82&gt;3,(H82/(B82+2)+J90),0))</f>
        <v>0</v>
      </c>
    </row>
    <row r="92" spans="1:10">
      <c r="A92" s="124" t="s">
        <v>254</v>
      </c>
      <c r="B92" s="125"/>
      <c r="C92" s="125">
        <v>0</v>
      </c>
      <c r="D92" s="130">
        <f ca="1">((100/H82)*C92)/100</f>
        <v>0</v>
      </c>
      <c r="E92" s="134"/>
      <c r="F92" s="135"/>
      <c r="G92" s="134"/>
      <c r="H92" s="136"/>
      <c r="I92" s="150" t="s">
        <v>255</v>
      </c>
      <c r="J92" s="153">
        <f ca="1">(IF(B82&gt;4,(H82/(B82+2)+J91),0))</f>
        <v>0</v>
      </c>
    </row>
    <row r="93" spans="1:10">
      <c r="A93" s="124" t="s">
        <v>256</v>
      </c>
      <c r="B93" s="125" t="s">
        <v>256</v>
      </c>
      <c r="C93" s="125">
        <v>0</v>
      </c>
      <c r="D93" s="130">
        <f ca="1">((100/(H82))*C93)/100</f>
        <v>0</v>
      </c>
      <c r="E93" s="134"/>
      <c r="F93" s="135"/>
      <c r="G93" s="134"/>
      <c r="H93" s="136"/>
      <c r="I93" s="150" t="s">
        <v>257</v>
      </c>
      <c r="J93" s="153">
        <f ca="1">(IF(B82=1,(H82/(B82+3)+J88),IF(B82=0,(H82/4+J88),IF(B82&gt;1,0))))</f>
        <v>2.25</v>
      </c>
    </row>
    <row r="94" customHeight="1" spans="1:10">
      <c r="A94" s="137" t="s">
        <v>258</v>
      </c>
      <c r="B94" s="138"/>
      <c r="C94" s="138">
        <v>0</v>
      </c>
      <c r="D94" s="139">
        <f ca="1">((100/(H82))*C94)/100</f>
        <v>0</v>
      </c>
      <c r="E94" s="140"/>
      <c r="F94" s="141"/>
      <c r="G94" s="140"/>
      <c r="H94" s="142"/>
      <c r="I94" s="155" t="s">
        <v>259</v>
      </c>
      <c r="J94" s="156">
        <f ca="1">(IF(B82&gt;1.5,(H82/(B82+2)+J88+MAX(0,J89-J88)+MAX(0,J90-J89)+MAX(0,J91-J90)+MAX(0,J92-J91)+MAX(0,J93-J92)),IF(B82=1,(H82/(B82+3)+J93),IF(B82=0,H82/4+J93))))</f>
        <v>3</v>
      </c>
    </row>
    <row r="95" customHeight="1" spans="1:10">
      <c r="A95" s="112" t="s">
        <v>226</v>
      </c>
      <c r="B95" s="113"/>
      <c r="C95" s="114" t="str">
        <f>D69</f>
        <v>Phase 1 (Tower C) = 1B + Gr + P1 to P6 + 6th (Res.) + 1st to 34th Floor</v>
      </c>
      <c r="D95" s="115"/>
      <c r="E95" s="115"/>
      <c r="F95" s="115"/>
      <c r="G95" s="115"/>
      <c r="H95" s="116"/>
      <c r="I95" s="146" t="str">
        <f ca="1">IF(D108=100%,"All work Completed. Possession granted to the Building.",IF(D107=100%,"All work Completed, Waiting for OC",I96&amp;""&amp;I97&amp;""&amp;J96&amp;""&amp;J95&amp;" "&amp;J97))</f>
        <v>Excavation work in process </v>
      </c>
      <c r="J95" s="147" t="str">
        <f ca="1">(IF(C101=(D96+F96+H96),"",IF(C101&gt;0,", RCC upto "&amp;C101&amp;" Slab","")))&amp;(IF(C102=H96,"",IF(C102&gt;0,", Brickwork upto "&amp;C102&amp;" Floor","")))&amp;(IF(C103=H96,"",IF(C103&gt;0,", Internal Plaster upto "&amp;C103&amp;" Floor","")))&amp;(IF(C104=H96,"",IF(C104&gt;0,", External Plaster upto "&amp;C104&amp;" Floor","")))&amp;(IF(C105=H96,"",IF(C105&gt;0,", Flooring upto "&amp;C105&amp;" Floor","")))&amp;(IF(C106=H96,"",IF(C106&gt;0,", Painting upto "&amp;C106&amp;" Floor","")))&amp;(IF(C107=H96,"",IF(C107&gt;0,", Finishing upto "&amp;C107&amp;" Floor","")))&amp;(IF(C108=H96,"",IF(C108&gt;0,", Possession upto "&amp;C108&amp;" Floor","")))</f>
        <v/>
      </c>
    </row>
    <row r="96" spans="1:10">
      <c r="A96" s="117" t="s">
        <v>227</v>
      </c>
      <c r="B96" s="118">
        <f>IF(AND(ISNUMBER(SEARCH("1B",C95))),1,IF(AND(ISNUMBER(SEARCH("2B",C95))),2,IF(AND(ISNUMBER(SEARCH("3B",C95))),3,IF(AND(ISNUMBER(SEARCH("4B",C95))),4,IF(ISNUMBER(SEARCH("5B",C95)),5,0)))))</f>
        <v>1</v>
      </c>
      <c r="C96" s="118" t="s">
        <v>228</v>
      </c>
      <c r="D96" s="118">
        <v>1</v>
      </c>
      <c r="E96" s="118" t="s">
        <v>229</v>
      </c>
      <c r="F96" s="118">
        <v>7</v>
      </c>
      <c r="G96" s="118" t="s">
        <v>230</v>
      </c>
      <c r="H96" s="119">
        <f ca="1">--TRIM(RIGHT(SUBSTITUTE(LEFT(C95,_xlfn.AGGREGATE(16,6,FIND({0,1,2,3,4,5,6,7,8,9},C95,ROW(INDIRECT("1:"&amp;LEN(C95)))),1))," ",REPT(" ",LEN(C95))),LEN(C95)))</f>
        <v>34</v>
      </c>
      <c r="I96" s="148" t="str">
        <f ca="1">IF(D99=100%,"Excavation","")&amp;IF(D100=100%,", Plinth","")&amp;IF(D101=100%,", RCC Slab","")&amp;IF(D102=100%,", Brickwork","")&amp;IF(D103=100%,", Internal Plaster","")&amp;IF(D104=100%,", External Plaster","")&amp;IF(D105=100%,", Flooring","")&amp;IF(D106=100%,", Painting","")&amp;IF(D107=100%,", Building common Amenities","")</f>
        <v/>
      </c>
      <c r="J96" s="149" t="str">
        <f ca="1">(IF(C99=0,"Work not yet Started.",IF(D99=25%,"Piling work in process",IF(D99=50%,"Excavation work in process",IF(D99=100%,"","0")))))&amp;(IF(C100=0%,"",IF(C100=J101,", Footing work is process",IF(C100=J102,", Footing work Completed",IF(C100=J103,", 1st Basement Completed",IF(C100=J104,", 1st &amp; 2nd Basement Completed",IF(C100=J105,", 1st to 3rd Basement Completed",IF(C100=J106,", 1st to 4th Basement Completed",IF(C100=J107,", Plinth work is process",IF(C100=J108,"","0"))))))))))</f>
        <v>Excavation work in process</v>
      </c>
    </row>
    <row r="97" customHeight="1" spans="1:10">
      <c r="A97" s="120" t="s">
        <v>231</v>
      </c>
      <c r="B97" s="33"/>
      <c r="C97" s="121" t="str">
        <f ca="1">(IF($G$63="NA",I95,"All work Completed. OC Received."))</f>
        <v>Excavation work in process </v>
      </c>
      <c r="D97" s="122"/>
      <c r="E97" s="122"/>
      <c r="F97" s="122"/>
      <c r="G97" s="122"/>
      <c r="H97" s="123"/>
      <c r="I97" s="148" t="str">
        <f ca="1">IF(I96&lt;&gt;""," Completed","")</f>
        <v/>
      </c>
      <c r="J97" s="149" t="str">
        <f ca="1">IF(J95&lt;&gt;"","Completed","")</f>
        <v/>
      </c>
    </row>
    <row r="98" customHeight="1" spans="1:10">
      <c r="A98" s="124" t="s">
        <v>232</v>
      </c>
      <c r="B98" s="125"/>
      <c r="C98" s="125" t="s">
        <v>233</v>
      </c>
      <c r="D98" s="125" t="s">
        <v>234</v>
      </c>
      <c r="E98" s="126" t="s">
        <v>235</v>
      </c>
      <c r="F98" s="127"/>
      <c r="G98" s="125" t="s">
        <v>236</v>
      </c>
      <c r="H98" s="128"/>
      <c r="I98" s="150" t="s">
        <v>237</v>
      </c>
      <c r="J98" s="151">
        <f ca="1">H96*25%</f>
        <v>8.5</v>
      </c>
    </row>
    <row r="99" customHeight="1" spans="1:10">
      <c r="A99" s="124" t="s">
        <v>238</v>
      </c>
      <c r="B99" s="125"/>
      <c r="C99" s="125">
        <f ca="1">J99</f>
        <v>17</v>
      </c>
      <c r="D99" s="130">
        <f ca="1">((100/H96)*C99)/100</f>
        <v>0.5</v>
      </c>
      <c r="E99" s="131">
        <f ca="1">(((C100/H96*10)+(40/(D96+F96+H96)*C101)+(7.5/(H96)*C102)+(7.5/(H96)*C103)+(10/H96*C104)+(10/H96*C105)+(5/H96*C106)+(5/H96*C107)+(5/H96*C108))/100)</f>
        <v>0</v>
      </c>
      <c r="F99" s="132"/>
      <c r="G99" s="131">
        <f ca="1">((((C99/H96)*20)+((C100/H96)*25)+(30/(H96+F96+D96)*C101)+(5/H96*C102)+(5/H96*C103)+(5/H96*C104)+(5/H96*C105)+(0/H96*C106)+(0/H96*C107)+(5/H96*C108))/100)</f>
        <v>0.1</v>
      </c>
      <c r="H99" s="133"/>
      <c r="I99" s="150" t="s">
        <v>239</v>
      </c>
      <c r="J99" s="152">
        <f ca="1">H96*50%</f>
        <v>17</v>
      </c>
    </row>
    <row r="100" ht="15" customHeight="1" spans="1:10">
      <c r="A100" s="124" t="s">
        <v>240</v>
      </c>
      <c r="B100" s="125"/>
      <c r="C100" s="129">
        <v>0</v>
      </c>
      <c r="D100" s="130">
        <f ca="1">((100/H96)*C100)/100</f>
        <v>0</v>
      </c>
      <c r="E100" s="134"/>
      <c r="F100" s="135"/>
      <c r="G100" s="134"/>
      <c r="H100" s="136"/>
      <c r="I100" s="150" t="s">
        <v>241</v>
      </c>
      <c r="J100" s="152">
        <f ca="1">H96</f>
        <v>34</v>
      </c>
    </row>
    <row r="101" customHeight="1" spans="1:10">
      <c r="A101" s="124" t="s">
        <v>242</v>
      </c>
      <c r="B101" s="125"/>
      <c r="C101" s="125">
        <v>0</v>
      </c>
      <c r="D101" s="130">
        <f ca="1">((100/(D96+F96+H96))*C101)/100</f>
        <v>0</v>
      </c>
      <c r="E101" s="134"/>
      <c r="F101" s="135"/>
      <c r="G101" s="134"/>
      <c r="H101" s="136"/>
      <c r="I101" s="150" t="s">
        <v>243</v>
      </c>
      <c r="J101" s="153">
        <f ca="1">(IF(B96&gt;1,(H96/(B96+2)),H96/4))</f>
        <v>8.5</v>
      </c>
    </row>
    <row r="102" customHeight="1" spans="1:10">
      <c r="A102" s="124" t="s">
        <v>244</v>
      </c>
      <c r="B102" s="125" t="s">
        <v>245</v>
      </c>
      <c r="C102" s="125">
        <v>0</v>
      </c>
      <c r="D102" s="130">
        <f ca="1">((100/H96)*C102)/100</f>
        <v>0</v>
      </c>
      <c r="E102" s="134"/>
      <c r="F102" s="135"/>
      <c r="G102" s="134"/>
      <c r="H102" s="136"/>
      <c r="I102" s="150" t="s">
        <v>246</v>
      </c>
      <c r="J102" s="153">
        <f ca="1">(IF(B96&gt;1,(H96/(B96+2)+J101),H96/4+J101))</f>
        <v>17</v>
      </c>
    </row>
    <row r="103" customHeight="1" spans="1:10">
      <c r="A103" s="124" t="s">
        <v>247</v>
      </c>
      <c r="B103" s="125" t="s">
        <v>245</v>
      </c>
      <c r="C103" s="125">
        <v>0</v>
      </c>
      <c r="D103" s="130">
        <f ca="1">((100/H96)*C103)/100</f>
        <v>0</v>
      </c>
      <c r="E103" s="134"/>
      <c r="F103" s="135"/>
      <c r="G103" s="134"/>
      <c r="H103" s="136"/>
      <c r="I103" s="150" t="s">
        <v>248</v>
      </c>
      <c r="J103" s="153">
        <f ca="1">(IF(B96&gt;1,(H96/(B96+2)+J102),0))</f>
        <v>0</v>
      </c>
    </row>
    <row r="104" spans="1:10">
      <c r="A104" s="124" t="s">
        <v>249</v>
      </c>
      <c r="B104" s="125" t="s">
        <v>250</v>
      </c>
      <c r="C104" s="125">
        <v>0</v>
      </c>
      <c r="D104" s="130">
        <f ca="1">((100/(H96))*C104)/100</f>
        <v>0</v>
      </c>
      <c r="E104" s="134"/>
      <c r="F104" s="135"/>
      <c r="G104" s="134"/>
      <c r="H104" s="136"/>
      <c r="I104" s="150" t="s">
        <v>251</v>
      </c>
      <c r="J104" s="153">
        <f ca="1">(IF(B96&gt;2,(H96/(B96+2)+J103),0))</f>
        <v>0</v>
      </c>
    </row>
    <row r="105" spans="1:22">
      <c r="A105" s="124" t="s">
        <v>252</v>
      </c>
      <c r="B105" s="125" t="s">
        <v>252</v>
      </c>
      <c r="C105" s="125">
        <v>0</v>
      </c>
      <c r="D105" s="130">
        <f ca="1">((100/H96)*C105)/100</f>
        <v>0</v>
      </c>
      <c r="E105" s="134"/>
      <c r="F105" s="135"/>
      <c r="G105" s="134"/>
      <c r="H105" s="136"/>
      <c r="I105" s="150" t="s">
        <v>253</v>
      </c>
      <c r="J105" s="154">
        <f ca="1">(IF(B96&gt;3,(H96/(B96+2)+J104),0))</f>
        <v>0</v>
      </c>
      <c r="M105" s="157"/>
      <c r="R105" t="s">
        <v>156</v>
      </c>
      <c r="S105" t="s">
        <v>42</v>
      </c>
      <c r="T105" t="s">
        <v>40</v>
      </c>
      <c r="U105" t="s">
        <v>43</v>
      </c>
      <c r="V105" t="s">
        <v>41</v>
      </c>
    </row>
    <row r="106" spans="1:22">
      <c r="A106" s="124" t="s">
        <v>254</v>
      </c>
      <c r="B106" s="125"/>
      <c r="C106" s="125">
        <v>0</v>
      </c>
      <c r="D106" s="130">
        <f ca="1">((100/H96)*C106)/100</f>
        <v>0</v>
      </c>
      <c r="E106" s="134"/>
      <c r="F106" s="135"/>
      <c r="G106" s="134"/>
      <c r="H106" s="136"/>
      <c r="I106" s="150" t="s">
        <v>255</v>
      </c>
      <c r="J106" s="153">
        <f ca="1">(IF(B96&gt;4,(H96/(B96+2)+J105),0))</f>
        <v>0</v>
      </c>
      <c r="M106" s="157"/>
      <c r="R106"/>
      <c r="S106">
        <v>800000</v>
      </c>
      <c r="T106">
        <v>300000</v>
      </c>
      <c r="U106">
        <v>100000</v>
      </c>
      <c r="V106">
        <v>100000</v>
      </c>
    </row>
    <row r="107" customHeight="1" spans="1:22">
      <c r="A107" s="124" t="s">
        <v>256</v>
      </c>
      <c r="B107" s="125" t="s">
        <v>256</v>
      </c>
      <c r="C107" s="125">
        <v>0</v>
      </c>
      <c r="D107" s="130">
        <f ca="1">((100/(H96))*C107)/100</f>
        <v>0</v>
      </c>
      <c r="E107" s="134"/>
      <c r="F107" s="135"/>
      <c r="G107" s="134"/>
      <c r="H107" s="136"/>
      <c r="I107" s="150" t="s">
        <v>257</v>
      </c>
      <c r="J107" s="153">
        <f ca="1">(IF(B96=1,(H96/(B96+3)+J102),IF(B96=0,(H96/4+J102),IF(B96&gt;1,0))))</f>
        <v>25.5</v>
      </c>
      <c r="M107" s="157"/>
      <c r="R107"/>
      <c r="S107">
        <v>900000</v>
      </c>
      <c r="T107">
        <v>350000</v>
      </c>
      <c r="U107">
        <v>150000</v>
      </c>
      <c r="V107">
        <v>150000</v>
      </c>
    </row>
    <row r="108" ht="16.5" customHeight="1" spans="1:22">
      <c r="A108" s="137" t="s">
        <v>258</v>
      </c>
      <c r="B108" s="138"/>
      <c r="C108" s="138">
        <v>0</v>
      </c>
      <c r="D108" s="139">
        <f ca="1">((100/(H96))*C108)/100</f>
        <v>0</v>
      </c>
      <c r="E108" s="140"/>
      <c r="F108" s="141"/>
      <c r="G108" s="140"/>
      <c r="H108" s="142"/>
      <c r="I108" s="155" t="s">
        <v>259</v>
      </c>
      <c r="J108" s="156">
        <f ca="1">(IF(B96&gt;1.5,(H96/(B96+2)+J102+MAX(0,J103-J102)+MAX(0,J104-J103)+MAX(0,J105-J104)+MAX(0,J106-J105)+MAX(0,J107-J106)),IF(B96=1,(H96/(B96+3)+J107),IF(B96=0,H96/4+J107))))</f>
        <v>34</v>
      </c>
      <c r="M108" s="157"/>
      <c r="R108"/>
      <c r="S108">
        <v>1000000</v>
      </c>
      <c r="T108">
        <v>400000</v>
      </c>
      <c r="U108">
        <v>200000</v>
      </c>
      <c r="V108">
        <v>200000</v>
      </c>
    </row>
    <row r="109" ht="16.5" customHeight="1" spans="1:22">
      <c r="A109" s="112" t="s">
        <v>226</v>
      </c>
      <c r="B109" s="113"/>
      <c r="C109" s="114" t="str">
        <f>D70</f>
        <v>Phase 2 (Tower D) = 1B + Gr + P1 to P6 + 6th (Res.) + 1st to 34th Floor</v>
      </c>
      <c r="D109" s="115"/>
      <c r="E109" s="115"/>
      <c r="F109" s="115"/>
      <c r="G109" s="115"/>
      <c r="H109" s="116"/>
      <c r="I109" s="146" t="str">
        <f ca="1">IF(D122=100%,"All work Completed. Possession granted to the Building.",IF(D121=100%,"All work Completed, Waiting for OC",I110&amp;""&amp;I111&amp;""&amp;J110&amp;""&amp;J109&amp;" "&amp;J111))</f>
        <v>Work not yet Started. </v>
      </c>
      <c r="J109" s="147" t="str">
        <f ca="1">(IF(C115=(D110+F110+H110),"",IF(C115&gt;0,", RCC upto "&amp;C115&amp;" Slab","")))&amp;(IF(C116=H110,"",IF(C116&gt;0,", Brickwork upto "&amp;C116&amp;" Floor","")))&amp;(IF(C117=H110,"",IF(C117&gt;0,", Internal Plaster upto "&amp;C117&amp;" Floor","")))&amp;(IF(C118=H110,"",IF(C118&gt;0,", External Plaster upto "&amp;C118&amp;" Floor","")))&amp;(IF(C119=H110,"",IF(C119&gt;0,", Flooring upto "&amp;C119&amp;" Floor","")))&amp;(IF(C120=H110,"",IF(C120&gt;0,", Painting upto "&amp;C120&amp;" Floor","")))&amp;(IF(C121=H110,"",IF(C121&gt;0,", Finishing upto "&amp;C121&amp;" Floor","")))&amp;(IF(C122=H110,"",IF(C122&gt;0,", Possession upto "&amp;C122&amp;" Floor","")))</f>
        <v/>
      </c>
      <c r="M109" s="157"/>
      <c r="R109"/>
      <c r="S109">
        <v>1100000</v>
      </c>
      <c r="T109">
        <v>500000</v>
      </c>
      <c r="U109">
        <v>250000</v>
      </c>
      <c r="V109" s="22">
        <v>250000</v>
      </c>
    </row>
    <row r="110" ht="16.5" customHeight="1" spans="1:22">
      <c r="A110" s="117" t="s">
        <v>227</v>
      </c>
      <c r="B110" s="118">
        <f>IF(AND(ISNUMBER(SEARCH("1B",C109))),1,IF(AND(ISNUMBER(SEARCH("2B",C109))),2,IF(AND(ISNUMBER(SEARCH("3B",C109))),3,IF(AND(ISNUMBER(SEARCH("4B",C109))),4,IF(ISNUMBER(SEARCH("5B",C109)),5,0)))))</f>
        <v>1</v>
      </c>
      <c r="C110" s="118" t="s">
        <v>228</v>
      </c>
      <c r="D110" s="118">
        <v>1</v>
      </c>
      <c r="E110" s="118" t="s">
        <v>229</v>
      </c>
      <c r="F110" s="118">
        <v>7</v>
      </c>
      <c r="G110" s="118" t="s">
        <v>230</v>
      </c>
      <c r="H110" s="119">
        <f ca="1">--TRIM(RIGHT(SUBSTITUTE(LEFT(C109,_xlfn.AGGREGATE(16,6,FIND({0,1,2,3,4,5,6,7,8,9},C109,ROW(INDIRECT("1:"&amp;LEN(C109)))),1))," ",REPT(" ",LEN(C109))),LEN(C109)))</f>
        <v>34</v>
      </c>
      <c r="I110" s="148" t="str">
        <f ca="1">IF(D113=100%,"Excavation","")&amp;IF(D114=100%,", Plinth","")&amp;IF(D115=100%,", RCC Slab","")&amp;IF(D116=100%,", Brickwork","")&amp;IF(D117=100%,", Internal Plaster","")&amp;IF(D118=100%,", External Plaster","")&amp;IF(D119=100%,", Flooring","")&amp;IF(D120=100%,", Painting","")&amp;IF(D121=100%,", Building common Amenities","")</f>
        <v/>
      </c>
      <c r="J110" s="149" t="str">
        <f ca="1">(IF(C113=0,"Work not yet Started.",IF(D113=25%,"Piling work in process",IF(D113=50%,"Excavation work in process",IF(D113=100%,"","0")))))&amp;(IF(C114=0%,"",IF(C114=J115,", Footing work is process",IF(C114=J116,", Footing work Completed",IF(C114=J117,", 1st Basement Completed",IF(C114=J118,", 1st &amp; 2nd Basement Completed",IF(C114=J119,", 1st to 3rd Basement Completed",IF(C114=J120,", 1st to 4th Basement Completed",IF(C114=J121,", Plinth work is process",IF(C114=J122,"","0"))))))))))</f>
        <v>Work not yet Started.</v>
      </c>
      <c r="M110" s="157"/>
      <c r="R110"/>
      <c r="S110">
        <v>1200000</v>
      </c>
      <c r="T110">
        <v>600000</v>
      </c>
      <c r="U110">
        <v>300000</v>
      </c>
      <c r="V110">
        <v>300000</v>
      </c>
    </row>
    <row r="111" ht="16.5" customHeight="1" spans="1:22">
      <c r="A111" s="120" t="s">
        <v>231</v>
      </c>
      <c r="B111" s="33"/>
      <c r="C111" s="121" t="str">
        <f ca="1">(IF($G$63="NA",I109,"All work Completed. OC Received."))</f>
        <v>Work not yet Started. </v>
      </c>
      <c r="D111" s="122"/>
      <c r="E111" s="122"/>
      <c r="F111" s="122"/>
      <c r="G111" s="122"/>
      <c r="H111" s="123"/>
      <c r="I111" s="148" t="str">
        <f ca="1">IF(I110&lt;&gt;""," Completed","")</f>
        <v/>
      </c>
      <c r="J111" s="149" t="str">
        <f ca="1">IF(J109&lt;&gt;"","Completed","")</f>
        <v/>
      </c>
      <c r="M111" s="157"/>
      <c r="R111"/>
      <c r="S111">
        <v>1300000</v>
      </c>
      <c r="T111">
        <v>700000</v>
      </c>
      <c r="U111">
        <v>350000</v>
      </c>
      <c r="V111" s="22">
        <v>400000</v>
      </c>
    </row>
    <row r="112" ht="16.5" customHeight="1" spans="1:22">
      <c r="A112" s="124" t="s">
        <v>232</v>
      </c>
      <c r="B112" s="125"/>
      <c r="C112" s="125" t="s">
        <v>233</v>
      </c>
      <c r="D112" s="125" t="s">
        <v>234</v>
      </c>
      <c r="E112" s="126" t="s">
        <v>235</v>
      </c>
      <c r="F112" s="127"/>
      <c r="G112" s="125" t="s">
        <v>236</v>
      </c>
      <c r="H112" s="128"/>
      <c r="I112" s="150" t="s">
        <v>237</v>
      </c>
      <c r="J112" s="151">
        <f ca="1">H110*25%</f>
        <v>8.5</v>
      </c>
      <c r="M112" s="157"/>
      <c r="R112"/>
      <c r="S112">
        <v>1400000</v>
      </c>
      <c r="T112">
        <v>800000</v>
      </c>
      <c r="U112">
        <v>400000</v>
      </c>
      <c r="V112"/>
    </row>
    <row r="113" ht="16.5" customHeight="1" spans="1:22">
      <c r="A113" s="124" t="s">
        <v>238</v>
      </c>
      <c r="B113" s="125"/>
      <c r="C113" s="125">
        <v>0</v>
      </c>
      <c r="D113" s="130">
        <f ca="1">((100/H110)*C113)/100</f>
        <v>0</v>
      </c>
      <c r="E113" s="131">
        <f ca="1">(((C114/H110*10)+(40/(D110+F110+H110)*C115)+(7.5/(H110)*C116)+(7.5/(H110)*C117)+(10/H110*C118)+(10/H110*C119)+(5/H110*C120)+(5/H110*C121)+(5/H110*C122))/100)</f>
        <v>0</v>
      </c>
      <c r="F113" s="132"/>
      <c r="G113" s="131">
        <f ca="1">((((C113/H110)*20)+((C114/H110)*25)+(30/(H110+F110+D110)*C115)+(5/H110*C116)+(5/H110*C117)+(5/H110*C118)+(5/H110*C119)+(0/H110*C120)+(0/H110*C121)+(5/H110*C122))/100)</f>
        <v>0</v>
      </c>
      <c r="H113" s="133"/>
      <c r="I113" s="150" t="s">
        <v>239</v>
      </c>
      <c r="J113" s="152">
        <f ca="1">H110*50%</f>
        <v>17</v>
      </c>
      <c r="M113" s="157"/>
      <c r="R113"/>
      <c r="S113">
        <v>1500000</v>
      </c>
      <c r="T113">
        <v>900000</v>
      </c>
      <c r="U113">
        <v>500000</v>
      </c>
      <c r="V113" s="22"/>
    </row>
    <row r="114" ht="16.5" customHeight="1" spans="1:22">
      <c r="A114" s="124" t="s">
        <v>240</v>
      </c>
      <c r="B114" s="125"/>
      <c r="C114" s="129">
        <v>0</v>
      </c>
      <c r="D114" s="130">
        <f ca="1">((100/H110)*C114)/100</f>
        <v>0</v>
      </c>
      <c r="E114" s="134"/>
      <c r="F114" s="135"/>
      <c r="G114" s="134"/>
      <c r="H114" s="136"/>
      <c r="I114" s="150" t="s">
        <v>241</v>
      </c>
      <c r="J114" s="152">
        <f ca="1">H110</f>
        <v>34</v>
      </c>
      <c r="M114" s="157"/>
      <c r="R114"/>
      <c r="S114">
        <v>1600000</v>
      </c>
      <c r="T114">
        <v>1000000</v>
      </c>
      <c r="U114">
        <v>600000</v>
      </c>
      <c r="V114"/>
    </row>
    <row r="115" ht="16.5" customHeight="1" spans="1:22">
      <c r="A115" s="124" t="s">
        <v>242</v>
      </c>
      <c r="B115" s="125"/>
      <c r="C115" s="125">
        <v>0</v>
      </c>
      <c r="D115" s="130">
        <f ca="1">((100/(D110+F110+H110))*C115)/100</f>
        <v>0</v>
      </c>
      <c r="E115" s="134"/>
      <c r="F115" s="135"/>
      <c r="G115" s="134"/>
      <c r="H115" s="136"/>
      <c r="I115" s="150" t="s">
        <v>243</v>
      </c>
      <c r="J115" s="153">
        <f ca="1">(IF(B110&gt;1,(H110/(B110+2)),H110/4))</f>
        <v>8.5</v>
      </c>
      <c r="M115" s="157"/>
      <c r="R115"/>
      <c r="S115">
        <v>1700000</v>
      </c>
      <c r="T115"/>
      <c r="U115"/>
      <c r="V115" s="22"/>
    </row>
    <row r="116" ht="16.5" customHeight="1" spans="1:21">
      <c r="A116" s="124" t="s">
        <v>244</v>
      </c>
      <c r="B116" s="125" t="s">
        <v>245</v>
      </c>
      <c r="C116" s="125">
        <v>0</v>
      </c>
      <c r="D116" s="130">
        <f ca="1">((100/H110)*C116)/100</f>
        <v>0</v>
      </c>
      <c r="E116" s="134"/>
      <c r="F116" s="135"/>
      <c r="G116" s="134"/>
      <c r="H116" s="136"/>
      <c r="I116" s="150" t="s">
        <v>246</v>
      </c>
      <c r="J116" s="153">
        <f ca="1">(IF(B110&gt;1,(H110/(B110+2)+J115),H110/4+J115))</f>
        <v>17</v>
      </c>
      <c r="M116" s="157"/>
      <c r="R116"/>
      <c r="S116">
        <v>1800000</v>
      </c>
      <c r="T116"/>
      <c r="U116"/>
    </row>
    <row r="117" ht="16.5" customHeight="1" spans="1:22">
      <c r="A117" s="124" t="s">
        <v>247</v>
      </c>
      <c r="B117" s="125" t="s">
        <v>245</v>
      </c>
      <c r="C117" s="125">
        <v>0</v>
      </c>
      <c r="D117" s="130">
        <f ca="1">((100/H110)*C117)/100</f>
        <v>0</v>
      </c>
      <c r="E117" s="134"/>
      <c r="F117" s="135"/>
      <c r="G117" s="134"/>
      <c r="H117" s="136"/>
      <c r="I117" s="150" t="s">
        <v>248</v>
      </c>
      <c r="J117" s="153">
        <f ca="1">(IF(B110&gt;1,(H110/(B110+2)+J116),0))</f>
        <v>0</v>
      </c>
      <c r="M117" s="157"/>
      <c r="R117"/>
      <c r="S117"/>
      <c r="T117"/>
      <c r="U117"/>
      <c r="V117"/>
    </row>
    <row r="118" ht="16.5" customHeight="1" spans="1:22">
      <c r="A118" s="124" t="s">
        <v>249</v>
      </c>
      <c r="B118" s="125" t="s">
        <v>250</v>
      </c>
      <c r="C118" s="125">
        <v>0</v>
      </c>
      <c r="D118" s="130">
        <f ca="1">((100/(H110))*C118)/100</f>
        <v>0</v>
      </c>
      <c r="E118" s="134"/>
      <c r="F118" s="135"/>
      <c r="G118" s="134"/>
      <c r="H118" s="136"/>
      <c r="I118" s="150" t="s">
        <v>251</v>
      </c>
      <c r="J118" s="153">
        <f ca="1">(IF(B110&gt;2,(H110/(B110+2)+J117),0))</f>
        <v>0</v>
      </c>
      <c r="M118" s="157"/>
      <c r="R118"/>
      <c r="S118"/>
      <c r="T118"/>
      <c r="U118"/>
      <c r="V118"/>
    </row>
    <row r="119" ht="16.5" customHeight="1" spans="1:22">
      <c r="A119" s="124" t="s">
        <v>252</v>
      </c>
      <c r="B119" s="125" t="s">
        <v>252</v>
      </c>
      <c r="C119" s="125">
        <v>0</v>
      </c>
      <c r="D119" s="130">
        <f ca="1">((100/H110)*C119)/100</f>
        <v>0</v>
      </c>
      <c r="E119" s="134"/>
      <c r="F119" s="135"/>
      <c r="G119" s="134"/>
      <c r="H119" s="136"/>
      <c r="I119" s="150" t="s">
        <v>253</v>
      </c>
      <c r="J119" s="154">
        <f ca="1">(IF(B110&gt;3,(H110/(B110+2)+J118),0))</f>
        <v>0</v>
      </c>
      <c r="M119" s="157"/>
      <c r="R119"/>
      <c r="S119"/>
      <c r="T119"/>
      <c r="U119"/>
      <c r="V119"/>
    </row>
    <row r="120" ht="16.5" customHeight="1" spans="1:22">
      <c r="A120" s="124" t="s">
        <v>254</v>
      </c>
      <c r="B120" s="125"/>
      <c r="C120" s="125">
        <v>0</v>
      </c>
      <c r="D120" s="130">
        <f ca="1">((100/H110)*C120)/100</f>
        <v>0</v>
      </c>
      <c r="E120" s="134"/>
      <c r="F120" s="135"/>
      <c r="G120" s="134"/>
      <c r="H120" s="136"/>
      <c r="I120" s="150" t="s">
        <v>255</v>
      </c>
      <c r="J120" s="153">
        <f ca="1">(IF(B110&gt;4,(H110/(B110+2)+J119),0))</f>
        <v>0</v>
      </c>
      <c r="M120" s="157"/>
      <c r="R120"/>
      <c r="S120"/>
      <c r="T120"/>
      <c r="U120"/>
      <c r="V120"/>
    </row>
    <row r="121" ht="16.5" customHeight="1" spans="1:22">
      <c r="A121" s="124" t="s">
        <v>256</v>
      </c>
      <c r="B121" s="125" t="s">
        <v>256</v>
      </c>
      <c r="C121" s="125">
        <v>0</v>
      </c>
      <c r="D121" s="130">
        <f ca="1">((100/(H110))*C121)/100</f>
        <v>0</v>
      </c>
      <c r="E121" s="134"/>
      <c r="F121" s="135"/>
      <c r="G121" s="134"/>
      <c r="H121" s="136"/>
      <c r="I121" s="150" t="s">
        <v>257</v>
      </c>
      <c r="J121" s="153">
        <f ca="1">(IF(B110=1,(H110/(B110+3)+J116),IF(B110=0,(H110/4+J116),IF(B110&gt;1,0))))</f>
        <v>25.5</v>
      </c>
      <c r="M121" s="157"/>
      <c r="R121"/>
      <c r="S121"/>
      <c r="T121"/>
      <c r="U121"/>
      <c r="V121"/>
    </row>
    <row r="122" ht="16.5" customHeight="1" spans="1:22">
      <c r="A122" s="137" t="s">
        <v>258</v>
      </c>
      <c r="B122" s="138"/>
      <c r="C122" s="138">
        <v>0</v>
      </c>
      <c r="D122" s="139">
        <f ca="1">((100/(H110))*C122)/100</f>
        <v>0</v>
      </c>
      <c r="E122" s="140"/>
      <c r="F122" s="141"/>
      <c r="G122" s="140"/>
      <c r="H122" s="142"/>
      <c r="I122" s="155" t="s">
        <v>259</v>
      </c>
      <c r="J122" s="156">
        <f ca="1">(IF(B110&gt;1.5,(H110/(B110+2)+J116+MAX(0,J117-J116)+MAX(0,J118-J117)+MAX(0,J119-J118)+MAX(0,J120-J119)+MAX(0,J121-J120)),IF(B110=1,(H110/(B110+3)+J121),IF(B110=0,H110/4+J121))))</f>
        <v>34</v>
      </c>
      <c r="M122" s="157"/>
      <c r="R122"/>
      <c r="S122"/>
      <c r="T122"/>
      <c r="U122"/>
      <c r="V122"/>
    </row>
    <row r="123" ht="16.5" customHeight="1" spans="1:22">
      <c r="A123" s="112" t="s">
        <v>226</v>
      </c>
      <c r="B123" s="113"/>
      <c r="C123" s="114" t="str">
        <f>D71</f>
        <v>Phase 2 (Tower E) = 1B + Gr + P1 to P6 + 6th (Res.) + 1st to 33rd Floor</v>
      </c>
      <c r="D123" s="115"/>
      <c r="E123" s="115"/>
      <c r="F123" s="115"/>
      <c r="G123" s="115"/>
      <c r="H123" s="116"/>
      <c r="I123" s="146" t="str">
        <f ca="1">IF(D136=100%,"All work Completed. Possession granted to the Building.",IF(D135=100%,"All work Completed, Waiting for OC",I124&amp;""&amp;I125&amp;""&amp;J124&amp;""&amp;J123&amp;" "&amp;J125))</f>
        <v>Work not yet Started. </v>
      </c>
      <c r="J123" s="147" t="str">
        <f ca="1">(IF(C129=(D124+F124+H124),"",IF(C129&gt;0,", RCC upto "&amp;C129&amp;" Slab","")))&amp;(IF(C130=H124,"",IF(C130&gt;0,", Brickwork upto "&amp;C130&amp;" Floor","")))&amp;(IF(C131=H124,"",IF(C131&gt;0,", Internal Plaster upto "&amp;C131&amp;" Floor","")))&amp;(IF(C132=H124,"",IF(C132&gt;0,", External Plaster upto "&amp;C132&amp;" Floor","")))&amp;(IF(C133=H124,"",IF(C133&gt;0,", Flooring upto "&amp;C133&amp;" Floor","")))&amp;(IF(C134=H124,"",IF(C134&gt;0,", Painting upto "&amp;C134&amp;" Floor","")))&amp;(IF(C135=H124,"",IF(C135&gt;0,", Finishing upto "&amp;C135&amp;" Floor","")))&amp;(IF(C136=H124,"",IF(C136&gt;0,", Possession upto "&amp;C136&amp;" Floor","")))</f>
        <v/>
      </c>
      <c r="M123" s="157"/>
      <c r="R123"/>
      <c r="S123"/>
      <c r="T123"/>
      <c r="U123"/>
      <c r="V123"/>
    </row>
    <row r="124" ht="16.5" customHeight="1" spans="1:22">
      <c r="A124" s="117" t="s">
        <v>227</v>
      </c>
      <c r="B124" s="118">
        <f>IF(AND(ISNUMBER(SEARCH("1B",C123))),1,IF(AND(ISNUMBER(SEARCH("2B",C123))),2,IF(AND(ISNUMBER(SEARCH("3B",C123))),3,IF(AND(ISNUMBER(SEARCH("4B",C123))),4,IF(ISNUMBER(SEARCH("5B",C123)),5,0)))))</f>
        <v>1</v>
      </c>
      <c r="C124" s="118" t="s">
        <v>228</v>
      </c>
      <c r="D124" s="118">
        <v>1</v>
      </c>
      <c r="E124" s="118" t="s">
        <v>229</v>
      </c>
      <c r="F124" s="118">
        <v>7</v>
      </c>
      <c r="G124" s="118" t="s">
        <v>230</v>
      </c>
      <c r="H124" s="119">
        <f ca="1">--TRIM(RIGHT(SUBSTITUTE(LEFT(C123,_xlfn.AGGREGATE(16,6,FIND({0,1,2,3,4,5,6,7,8,9},C123,ROW(INDIRECT("1:"&amp;LEN(C123)))),1))," ",REPT(" ",LEN(C123))),LEN(C123)))</f>
        <v>3</v>
      </c>
      <c r="I124" s="148" t="str">
        <f ca="1">IF(D127=100%,"Excavation","")&amp;IF(D128=100%,", Plinth","")&amp;IF(D129=100%,", RCC Slab","")&amp;IF(D130=100%,", Brickwork","")&amp;IF(D131=100%,", Internal Plaster","")&amp;IF(D132=100%,", External Plaster","")&amp;IF(D133=100%,", Flooring","")&amp;IF(D134=100%,", Painting","")&amp;IF(D135=100%,", Building common Amenities","")</f>
        <v/>
      </c>
      <c r="J124" s="149" t="str">
        <f ca="1">(IF(C127=0,"Work not yet Started.",IF(D127=25%,"Piling work in process",IF(D127=50%,"Excavation work in process",IF(D127=100%,"","0")))))&amp;(IF(C128=0%,"",IF(C128=J129,", Footing work is process",IF(C128=J130,", Footing work Completed",IF(C128=J131,", 1st Basement Completed",IF(C128=J132,", 1st &amp; 2nd Basement Completed",IF(C128=J133,", 1st to 3rd Basement Completed",IF(C128=J134,", 1st to 4th Basement Completed",IF(C128=J135,", Plinth work is process",IF(C128=J136,"","0"))))))))))</f>
        <v>Work not yet Started.</v>
      </c>
      <c r="M124" s="157"/>
      <c r="R124"/>
      <c r="S124"/>
      <c r="T124"/>
      <c r="U124"/>
      <c r="V124"/>
    </row>
    <row r="125" ht="16.5" customHeight="1" spans="1:22">
      <c r="A125" s="120" t="s">
        <v>231</v>
      </c>
      <c r="B125" s="33"/>
      <c r="C125" s="121" t="str">
        <f ca="1">(IF($G$63="NA",I123,"All work Completed. OC Received."))</f>
        <v>Work not yet Started. </v>
      </c>
      <c r="D125" s="122"/>
      <c r="E125" s="122"/>
      <c r="F125" s="122"/>
      <c r="G125" s="122"/>
      <c r="H125" s="123"/>
      <c r="I125" s="148" t="str">
        <f ca="1">IF(I124&lt;&gt;""," Completed","")</f>
        <v/>
      </c>
      <c r="J125" s="149" t="str">
        <f ca="1">IF(J123&lt;&gt;"","Completed","")</f>
        <v/>
      </c>
      <c r="M125" s="157"/>
      <c r="R125"/>
      <c r="S125"/>
      <c r="T125"/>
      <c r="U125"/>
      <c r="V125"/>
    </row>
    <row r="126" ht="16.5" customHeight="1" spans="1:22">
      <c r="A126" s="124" t="s">
        <v>232</v>
      </c>
      <c r="B126" s="125"/>
      <c r="C126" s="125" t="s">
        <v>233</v>
      </c>
      <c r="D126" s="125" t="s">
        <v>234</v>
      </c>
      <c r="E126" s="126" t="s">
        <v>235</v>
      </c>
      <c r="F126" s="127"/>
      <c r="G126" s="125" t="s">
        <v>236</v>
      </c>
      <c r="H126" s="128"/>
      <c r="I126" s="150" t="s">
        <v>237</v>
      </c>
      <c r="J126" s="151">
        <f ca="1">H124*25%</f>
        <v>0.75</v>
      </c>
      <c r="M126" s="157"/>
      <c r="R126"/>
      <c r="S126"/>
      <c r="T126"/>
      <c r="U126"/>
      <c r="V126"/>
    </row>
    <row r="127" ht="16.5" customHeight="1" spans="1:22">
      <c r="A127" s="124" t="s">
        <v>238</v>
      </c>
      <c r="B127" s="125"/>
      <c r="C127" s="125">
        <v>0</v>
      </c>
      <c r="D127" s="130">
        <f ca="1">((100/H124)*C127)/100</f>
        <v>0</v>
      </c>
      <c r="E127" s="131">
        <f ca="1">(((C128/H124*10)+(40/(D124+F124+H124)*C129)+(7.5/(H124)*C130)+(7.5/(H124)*C131)+(10/H124*C132)+(10/H124*C133)+(5/H124*C134)+(5/H124*C135)+(5/H124*C136))/100)</f>
        <v>0</v>
      </c>
      <c r="F127" s="132"/>
      <c r="G127" s="131">
        <f ca="1">((((C127/H124)*20)+((C128/H124)*25)+(30/(H124+F124+D124)*C129)+(5/H124*C130)+(5/H124*C131)+(5/H124*C132)+(5/H124*C133)+(0/H124*C134)+(0/H124*C135)+(5/H124*C136))/100)</f>
        <v>0</v>
      </c>
      <c r="H127" s="133"/>
      <c r="I127" s="150" t="s">
        <v>239</v>
      </c>
      <c r="J127" s="152">
        <f ca="1">H124*50%</f>
        <v>1.5</v>
      </c>
      <c r="M127" s="157"/>
      <c r="R127"/>
      <c r="S127"/>
      <c r="T127"/>
      <c r="U127"/>
      <c r="V127"/>
    </row>
    <row r="128" ht="16.5" customHeight="1" spans="1:22">
      <c r="A128" s="124" t="s">
        <v>240</v>
      </c>
      <c r="B128" s="125"/>
      <c r="C128" s="129">
        <v>0</v>
      </c>
      <c r="D128" s="130">
        <f ca="1">((100/H124)*C128)/100</f>
        <v>0</v>
      </c>
      <c r="E128" s="134"/>
      <c r="F128" s="135"/>
      <c r="G128" s="134"/>
      <c r="H128" s="136"/>
      <c r="I128" s="150" t="s">
        <v>241</v>
      </c>
      <c r="J128" s="152">
        <f ca="1">H124</f>
        <v>3</v>
      </c>
      <c r="M128" s="157"/>
      <c r="R128"/>
      <c r="S128"/>
      <c r="T128"/>
      <c r="U128"/>
      <c r="V128"/>
    </row>
    <row r="129" ht="16.5" customHeight="1" spans="1:22">
      <c r="A129" s="124" t="s">
        <v>242</v>
      </c>
      <c r="B129" s="125"/>
      <c r="C129" s="125">
        <v>0</v>
      </c>
      <c r="D129" s="130">
        <f ca="1">((100/(D124+F124+H124))*C129)/100</f>
        <v>0</v>
      </c>
      <c r="E129" s="134"/>
      <c r="F129" s="135"/>
      <c r="G129" s="134"/>
      <c r="H129" s="136"/>
      <c r="I129" s="150" t="s">
        <v>243</v>
      </c>
      <c r="J129" s="153">
        <f ca="1">(IF(B124&gt;1,(H124/(B124+2)),H124/4))</f>
        <v>0.75</v>
      </c>
      <c r="M129" s="157"/>
      <c r="R129"/>
      <c r="S129"/>
      <c r="T129"/>
      <c r="U129"/>
      <c r="V129"/>
    </row>
    <row r="130" ht="16.5" customHeight="1" spans="1:22">
      <c r="A130" s="124" t="s">
        <v>244</v>
      </c>
      <c r="B130" s="125" t="s">
        <v>245</v>
      </c>
      <c r="C130" s="125">
        <v>0</v>
      </c>
      <c r="D130" s="130">
        <f ca="1">((100/H124)*C130)/100</f>
        <v>0</v>
      </c>
      <c r="E130" s="134"/>
      <c r="F130" s="135"/>
      <c r="G130" s="134"/>
      <c r="H130" s="136"/>
      <c r="I130" s="150" t="s">
        <v>246</v>
      </c>
      <c r="J130" s="153">
        <f ca="1">(IF(B124&gt;1,(H124/(B124+2)+J129),H124/4+J129))</f>
        <v>1.5</v>
      </c>
      <c r="M130" s="157"/>
      <c r="R130"/>
      <c r="S130"/>
      <c r="T130"/>
      <c r="U130"/>
      <c r="V130"/>
    </row>
    <row r="131" ht="16.5" customHeight="1" spans="1:22">
      <c r="A131" s="124" t="s">
        <v>247</v>
      </c>
      <c r="B131" s="125" t="s">
        <v>245</v>
      </c>
      <c r="C131" s="125">
        <v>0</v>
      </c>
      <c r="D131" s="130">
        <f ca="1">((100/H124)*C131)/100</f>
        <v>0</v>
      </c>
      <c r="E131" s="134"/>
      <c r="F131" s="135"/>
      <c r="G131" s="134"/>
      <c r="H131" s="136"/>
      <c r="I131" s="150" t="s">
        <v>248</v>
      </c>
      <c r="J131" s="153">
        <f ca="1">(IF(B124&gt;1,(H124/(B124+2)+J130),0))</f>
        <v>0</v>
      </c>
      <c r="M131" s="157"/>
      <c r="R131"/>
      <c r="S131"/>
      <c r="T131"/>
      <c r="U131"/>
      <c r="V131"/>
    </row>
    <row r="132" ht="16.5" customHeight="1" spans="1:22">
      <c r="A132" s="124" t="s">
        <v>249</v>
      </c>
      <c r="B132" s="125" t="s">
        <v>250</v>
      </c>
      <c r="C132" s="125">
        <v>0</v>
      </c>
      <c r="D132" s="130">
        <f ca="1">((100/(H124))*C132)/100</f>
        <v>0</v>
      </c>
      <c r="E132" s="134"/>
      <c r="F132" s="135"/>
      <c r="G132" s="134"/>
      <c r="H132" s="136"/>
      <c r="I132" s="150" t="s">
        <v>251</v>
      </c>
      <c r="J132" s="153">
        <f ca="1">(IF(B124&gt;2,(H124/(B124+2)+J131),0))</f>
        <v>0</v>
      </c>
      <c r="M132" s="157"/>
      <c r="R132"/>
      <c r="S132"/>
      <c r="T132"/>
      <c r="U132"/>
      <c r="V132"/>
    </row>
    <row r="133" ht="16.5" customHeight="1" spans="1:22">
      <c r="A133" s="124" t="s">
        <v>252</v>
      </c>
      <c r="B133" s="125" t="s">
        <v>252</v>
      </c>
      <c r="C133" s="125">
        <v>0</v>
      </c>
      <c r="D133" s="130">
        <f ca="1">((100/H124)*C133)/100</f>
        <v>0</v>
      </c>
      <c r="E133" s="134"/>
      <c r="F133" s="135"/>
      <c r="G133" s="134"/>
      <c r="H133" s="136"/>
      <c r="I133" s="150" t="s">
        <v>253</v>
      </c>
      <c r="J133" s="154">
        <f ca="1">(IF(B124&gt;3,(H124/(B124+2)+J132),0))</f>
        <v>0</v>
      </c>
      <c r="M133" s="157"/>
      <c r="R133"/>
      <c r="S133"/>
      <c r="T133"/>
      <c r="U133"/>
      <c r="V133"/>
    </row>
    <row r="134" ht="16.5" customHeight="1" spans="1:22">
      <c r="A134" s="124" t="s">
        <v>254</v>
      </c>
      <c r="B134" s="125"/>
      <c r="C134" s="125">
        <v>0</v>
      </c>
      <c r="D134" s="130">
        <f ca="1">((100/H124)*C134)/100</f>
        <v>0</v>
      </c>
      <c r="E134" s="134"/>
      <c r="F134" s="135"/>
      <c r="G134" s="134"/>
      <c r="H134" s="136"/>
      <c r="I134" s="150" t="s">
        <v>255</v>
      </c>
      <c r="J134" s="153">
        <f ca="1">(IF(B124&gt;4,(H124/(B124+2)+J133),0))</f>
        <v>0</v>
      </c>
      <c r="M134" s="157"/>
      <c r="R134"/>
      <c r="S134"/>
      <c r="T134"/>
      <c r="U134"/>
      <c r="V134"/>
    </row>
    <row r="135" ht="16.5" customHeight="1" spans="1:22">
      <c r="A135" s="124" t="s">
        <v>256</v>
      </c>
      <c r="B135" s="125" t="s">
        <v>256</v>
      </c>
      <c r="C135" s="125">
        <v>0</v>
      </c>
      <c r="D135" s="130">
        <f ca="1">((100/(H124))*C135)/100</f>
        <v>0</v>
      </c>
      <c r="E135" s="134"/>
      <c r="F135" s="135"/>
      <c r="G135" s="134"/>
      <c r="H135" s="136"/>
      <c r="I135" s="150" t="s">
        <v>257</v>
      </c>
      <c r="J135" s="153">
        <f ca="1">(IF(B124=1,(H124/(B124+3)+J130),IF(B124=0,(H124/4+J130),IF(B124&gt;1,0))))</f>
        <v>2.25</v>
      </c>
      <c r="M135" s="157"/>
      <c r="R135"/>
      <c r="S135"/>
      <c r="T135"/>
      <c r="U135"/>
      <c r="V135"/>
    </row>
    <row r="136" ht="16.5" customHeight="1" spans="1:22">
      <c r="A136" s="137" t="s">
        <v>258</v>
      </c>
      <c r="B136" s="138"/>
      <c r="C136" s="138">
        <v>0</v>
      </c>
      <c r="D136" s="139">
        <f ca="1">((100/(H124))*C136)/100</f>
        <v>0</v>
      </c>
      <c r="E136" s="140"/>
      <c r="F136" s="141"/>
      <c r="G136" s="140"/>
      <c r="H136" s="142"/>
      <c r="I136" s="155" t="s">
        <v>259</v>
      </c>
      <c r="J136" s="156">
        <f ca="1">(IF(B124&gt;1.5,(H124/(B124+2)+J130+MAX(0,J131-J130)+MAX(0,J132-J131)+MAX(0,J133-J132)+MAX(0,J134-J133)+MAX(0,J135-J134)),IF(B124=1,(H124/(B124+3)+J135),IF(B124=0,H124/4+J135))))</f>
        <v>3</v>
      </c>
      <c r="M136" s="157"/>
      <c r="R136"/>
      <c r="S136"/>
      <c r="T136"/>
      <c r="U136"/>
      <c r="V136"/>
    </row>
    <row r="137" ht="16.5" customHeight="1" spans="1:22">
      <c r="A137" s="112" t="s">
        <v>226</v>
      </c>
      <c r="B137" s="113"/>
      <c r="C137" s="114" t="str">
        <f>D72</f>
        <v>Phase 2 (Tower F) =  1B + Gr + P1 to P6 + 6th (Res.) + 1st to 33rd Floor</v>
      </c>
      <c r="D137" s="115"/>
      <c r="E137" s="115"/>
      <c r="F137" s="115"/>
      <c r="G137" s="115"/>
      <c r="H137" s="116"/>
      <c r="I137" s="146" t="str">
        <f ca="1">IF(D150=100%,"All work Completed. Possession granted to the Building.",IF(D149=100%,"All work Completed, Waiting for OC",I138&amp;""&amp;I139&amp;""&amp;J138&amp;""&amp;J137&amp;" "&amp;J139))</f>
        <v>Work not yet Started. </v>
      </c>
      <c r="J137" s="147" t="str">
        <f ca="1">(IF(C143=(D138+F138+H138),"",IF(C143&gt;0,", RCC upto "&amp;C143&amp;" Slab","")))&amp;(IF(C144=H138,"",IF(C144&gt;0,", Brickwork upto "&amp;C144&amp;" Floor","")))&amp;(IF(C145=H138,"",IF(C145&gt;0,", Internal Plaster upto "&amp;C145&amp;" Floor","")))&amp;(IF(C146=H138,"",IF(C146&gt;0,", External Plaster upto "&amp;C146&amp;" Floor","")))&amp;(IF(C147=H138,"",IF(C147&gt;0,", Flooring upto "&amp;C147&amp;" Floor","")))&amp;(IF(C148=H138,"",IF(C148&gt;0,", Painting upto "&amp;C148&amp;" Floor","")))&amp;(IF(C149=H138,"",IF(C149&gt;0,", Finishing upto "&amp;C149&amp;" Floor","")))&amp;(IF(C150=H138,"",IF(C150&gt;0,", Possession upto "&amp;C150&amp;" Floor","")))</f>
        <v/>
      </c>
      <c r="M137" s="157"/>
      <c r="R137"/>
      <c r="S137"/>
      <c r="T137"/>
      <c r="U137"/>
      <c r="V137"/>
    </row>
    <row r="138" ht="16.5" customHeight="1" spans="1:22">
      <c r="A138" s="117" t="s">
        <v>227</v>
      </c>
      <c r="B138" s="118">
        <f>IF(AND(ISNUMBER(SEARCH("1B",C137))),1,IF(AND(ISNUMBER(SEARCH("2B",C137))),2,IF(AND(ISNUMBER(SEARCH("3B",C137))),3,IF(AND(ISNUMBER(SEARCH("4B",C137))),4,IF(ISNUMBER(SEARCH("5B",C137)),5,0)))))</f>
        <v>1</v>
      </c>
      <c r="C138" s="118" t="s">
        <v>228</v>
      </c>
      <c r="D138" s="118">
        <v>1</v>
      </c>
      <c r="E138" s="118" t="s">
        <v>229</v>
      </c>
      <c r="F138" s="118">
        <v>7</v>
      </c>
      <c r="G138" s="118" t="s">
        <v>230</v>
      </c>
      <c r="H138" s="119">
        <f ca="1">--TRIM(RIGHT(SUBSTITUTE(LEFT(C137,_xlfn.AGGREGATE(16,6,FIND({0,1,2,3,4,5,6,7,8,9},C137,ROW(INDIRECT("1:"&amp;LEN(C137)))),1))," ",REPT(" ",LEN(C137))),LEN(C137)))</f>
        <v>3</v>
      </c>
      <c r="I138" s="148" t="str">
        <f ca="1">IF(D141=100%,"Excavation","")&amp;IF(D142=100%,", Plinth","")&amp;IF(D143=100%,", RCC Slab","")&amp;IF(D144=100%,", Brickwork","")&amp;IF(D145=100%,", Internal Plaster","")&amp;IF(D146=100%,", External Plaster","")&amp;IF(D147=100%,", Flooring","")&amp;IF(D148=100%,", Painting","")&amp;IF(D149=100%,", Building common Amenities","")</f>
        <v/>
      </c>
      <c r="J138" s="149" t="str">
        <f ca="1">(IF(C141=0,"Work not yet Started.",IF(D141=25%,"Piling work in process",IF(D141=50%,"Excavation work in process",IF(D141=100%,"","0")))))&amp;(IF(C142=0%,"",IF(C142=J143,", Footing work is process",IF(C142=J144,", Footing work Completed",IF(C142=J145,", 1st Basement Completed",IF(C142=J146,", 1st &amp; 2nd Basement Completed",IF(C142=J147,", 1st to 3rd Basement Completed",IF(C142=J148,", 1st to 4th Basement Completed",IF(C142=J149,", Plinth work is process",IF(C142=J150,"","0"))))))))))</f>
        <v>Work not yet Started.</v>
      </c>
      <c r="M138" s="157"/>
      <c r="R138"/>
      <c r="S138"/>
      <c r="T138"/>
      <c r="U138"/>
      <c r="V138"/>
    </row>
    <row r="139" ht="16.5" customHeight="1" spans="1:22">
      <c r="A139" s="120" t="s">
        <v>231</v>
      </c>
      <c r="B139" s="33"/>
      <c r="C139" s="121" t="str">
        <f ca="1">(IF($G$63="NA",I137,"All work Completed. OC Received."))</f>
        <v>Work not yet Started. </v>
      </c>
      <c r="D139" s="122"/>
      <c r="E139" s="122"/>
      <c r="F139" s="122"/>
      <c r="G139" s="122"/>
      <c r="H139" s="123"/>
      <c r="I139" s="148" t="str">
        <f ca="1">IF(I138&lt;&gt;""," Completed","")</f>
        <v/>
      </c>
      <c r="J139" s="149" t="str">
        <f ca="1">IF(J137&lt;&gt;"","Completed","")</f>
        <v/>
      </c>
      <c r="M139" s="157"/>
      <c r="R139"/>
      <c r="S139"/>
      <c r="T139"/>
      <c r="U139"/>
      <c r="V139"/>
    </row>
    <row r="140" ht="16.5" customHeight="1" spans="1:22">
      <c r="A140" s="124" t="s">
        <v>232</v>
      </c>
      <c r="B140" s="125"/>
      <c r="C140" s="125" t="s">
        <v>233</v>
      </c>
      <c r="D140" s="125" t="s">
        <v>234</v>
      </c>
      <c r="E140" s="126" t="s">
        <v>235</v>
      </c>
      <c r="F140" s="127"/>
      <c r="G140" s="125" t="s">
        <v>236</v>
      </c>
      <c r="H140" s="128"/>
      <c r="I140" s="150" t="s">
        <v>237</v>
      </c>
      <c r="J140" s="151">
        <f ca="1">H138*25%</f>
        <v>0.75</v>
      </c>
      <c r="M140" s="157"/>
      <c r="R140"/>
      <c r="S140"/>
      <c r="T140"/>
      <c r="U140"/>
      <c r="V140"/>
    </row>
    <row r="141" ht="16.5" customHeight="1" spans="1:22">
      <c r="A141" s="124" t="s">
        <v>238</v>
      </c>
      <c r="B141" s="125"/>
      <c r="C141" s="125">
        <v>0</v>
      </c>
      <c r="D141" s="130">
        <f ca="1">((100/H138)*C141)/100</f>
        <v>0</v>
      </c>
      <c r="E141" s="131">
        <f ca="1">(((C142/H138*10)+(40/(D138+F138+H138)*C143)+(7.5/(H138)*C144)+(7.5/(H138)*C145)+(10/H138*C146)+(10/H138*C147)+(5/H138*C148)+(5/H138*C149)+(5/H138*C150))/100)</f>
        <v>0</v>
      </c>
      <c r="F141" s="132"/>
      <c r="G141" s="131">
        <f ca="1">((((C141/H138)*20)+((C142/H138)*25)+(30/(H138+F138+D138)*C143)+(5/H138*C144)+(5/H138*C145)+(5/H138*C146)+(5/H138*C147)+(0/H138*C148)+(0/H138*C149)+(5/H138*C150))/100)</f>
        <v>0</v>
      </c>
      <c r="H141" s="133"/>
      <c r="I141" s="150" t="s">
        <v>239</v>
      </c>
      <c r="J141" s="152">
        <f ca="1">H138*50%</f>
        <v>1.5</v>
      </c>
      <c r="M141" s="157"/>
      <c r="R141"/>
      <c r="S141"/>
      <c r="T141"/>
      <c r="U141"/>
      <c r="V141"/>
    </row>
    <row r="142" ht="16.5" customHeight="1" spans="1:22">
      <c r="A142" s="124" t="s">
        <v>240</v>
      </c>
      <c r="B142" s="125"/>
      <c r="C142" s="129">
        <v>0</v>
      </c>
      <c r="D142" s="130">
        <f ca="1">((100/H138)*C142)/100</f>
        <v>0</v>
      </c>
      <c r="E142" s="134"/>
      <c r="F142" s="135"/>
      <c r="G142" s="134"/>
      <c r="H142" s="136"/>
      <c r="I142" s="150" t="s">
        <v>241</v>
      </c>
      <c r="J142" s="152">
        <f ca="1">H138</f>
        <v>3</v>
      </c>
      <c r="M142" s="157"/>
      <c r="R142"/>
      <c r="S142"/>
      <c r="T142"/>
      <c r="U142"/>
      <c r="V142"/>
    </row>
    <row r="143" ht="16.5" customHeight="1" spans="1:22">
      <c r="A143" s="124" t="s">
        <v>242</v>
      </c>
      <c r="B143" s="125"/>
      <c r="C143" s="125">
        <v>0</v>
      </c>
      <c r="D143" s="130">
        <f ca="1">((100/(D138+F138+H138))*C143)/100</f>
        <v>0</v>
      </c>
      <c r="E143" s="134"/>
      <c r="F143" s="135"/>
      <c r="G143" s="134"/>
      <c r="H143" s="136"/>
      <c r="I143" s="150" t="s">
        <v>243</v>
      </c>
      <c r="J143" s="153">
        <f ca="1">(IF(B138&gt;1,(H138/(B138+2)),H138/4))</f>
        <v>0.75</v>
      </c>
      <c r="M143" s="157"/>
      <c r="R143"/>
      <c r="S143"/>
      <c r="T143"/>
      <c r="U143"/>
      <c r="V143"/>
    </row>
    <row r="144" ht="16.5" customHeight="1" spans="1:22">
      <c r="A144" s="124" t="s">
        <v>244</v>
      </c>
      <c r="B144" s="125" t="s">
        <v>245</v>
      </c>
      <c r="C144" s="125">
        <v>0</v>
      </c>
      <c r="D144" s="130">
        <f ca="1">((100/H138)*C144)/100</f>
        <v>0</v>
      </c>
      <c r="E144" s="134"/>
      <c r="F144" s="135"/>
      <c r="G144" s="134"/>
      <c r="H144" s="136"/>
      <c r="I144" s="150" t="s">
        <v>246</v>
      </c>
      <c r="J144" s="153">
        <f ca="1">(IF(B138&gt;1,(H138/(B138+2)+J143),H138/4+J143))</f>
        <v>1.5</v>
      </c>
      <c r="M144" s="157"/>
      <c r="R144"/>
      <c r="S144"/>
      <c r="T144"/>
      <c r="U144"/>
      <c r="V144"/>
    </row>
    <row r="145" ht="16.5" customHeight="1" spans="1:22">
      <c r="A145" s="124" t="s">
        <v>247</v>
      </c>
      <c r="B145" s="125" t="s">
        <v>245</v>
      </c>
      <c r="C145" s="125">
        <v>0</v>
      </c>
      <c r="D145" s="130">
        <f ca="1">((100/H138)*C145)/100</f>
        <v>0</v>
      </c>
      <c r="E145" s="134"/>
      <c r="F145" s="135"/>
      <c r="G145" s="134"/>
      <c r="H145" s="136"/>
      <c r="I145" s="150" t="s">
        <v>248</v>
      </c>
      <c r="J145" s="153">
        <f ca="1">(IF(B138&gt;1,(H138/(B138+2)+J144),0))</f>
        <v>0</v>
      </c>
      <c r="M145" s="157"/>
      <c r="R145"/>
      <c r="S145"/>
      <c r="T145"/>
      <c r="U145"/>
      <c r="V145"/>
    </row>
    <row r="146" ht="16.5" customHeight="1" spans="1:22">
      <c r="A146" s="124" t="s">
        <v>249</v>
      </c>
      <c r="B146" s="125" t="s">
        <v>250</v>
      </c>
      <c r="C146" s="125">
        <v>0</v>
      </c>
      <c r="D146" s="130">
        <f ca="1">((100/(H138))*C146)/100</f>
        <v>0</v>
      </c>
      <c r="E146" s="134"/>
      <c r="F146" s="135"/>
      <c r="G146" s="134"/>
      <c r="H146" s="136"/>
      <c r="I146" s="150" t="s">
        <v>251</v>
      </c>
      <c r="J146" s="153">
        <f ca="1">(IF(B138&gt;2,(H138/(B138+2)+J145),0))</f>
        <v>0</v>
      </c>
      <c r="M146" s="157"/>
      <c r="R146"/>
      <c r="S146"/>
      <c r="T146"/>
      <c r="U146"/>
      <c r="V146"/>
    </row>
    <row r="147" ht="16.5" customHeight="1" spans="1:22">
      <c r="A147" s="124" t="s">
        <v>252</v>
      </c>
      <c r="B147" s="125" t="s">
        <v>252</v>
      </c>
      <c r="C147" s="125">
        <v>0</v>
      </c>
      <c r="D147" s="130">
        <f ca="1">((100/H138)*C147)/100</f>
        <v>0</v>
      </c>
      <c r="E147" s="134"/>
      <c r="F147" s="135"/>
      <c r="G147" s="134"/>
      <c r="H147" s="136"/>
      <c r="I147" s="150" t="s">
        <v>253</v>
      </c>
      <c r="J147" s="154">
        <f ca="1">(IF(B138&gt;3,(H138/(B138+2)+J146),0))</f>
        <v>0</v>
      </c>
      <c r="M147" s="157"/>
      <c r="R147"/>
      <c r="S147"/>
      <c r="T147"/>
      <c r="U147"/>
      <c r="V147"/>
    </row>
    <row r="148" ht="16.5" customHeight="1" spans="1:22">
      <c r="A148" s="124" t="s">
        <v>254</v>
      </c>
      <c r="B148" s="125"/>
      <c r="C148" s="125">
        <v>0</v>
      </c>
      <c r="D148" s="130">
        <f ca="1">((100/H138)*C148)/100</f>
        <v>0</v>
      </c>
      <c r="E148" s="134"/>
      <c r="F148" s="135"/>
      <c r="G148" s="134"/>
      <c r="H148" s="136"/>
      <c r="I148" s="150" t="s">
        <v>255</v>
      </c>
      <c r="J148" s="153">
        <f ca="1">(IF(B138&gt;4,(H138/(B138+2)+J147),0))</f>
        <v>0</v>
      </c>
      <c r="M148" s="157"/>
      <c r="R148"/>
      <c r="S148"/>
      <c r="T148"/>
      <c r="U148"/>
      <c r="V148"/>
    </row>
    <row r="149" ht="16.5" customHeight="1" spans="1:22">
      <c r="A149" s="124" t="s">
        <v>256</v>
      </c>
      <c r="B149" s="125" t="s">
        <v>256</v>
      </c>
      <c r="C149" s="125">
        <v>0</v>
      </c>
      <c r="D149" s="130">
        <f ca="1">((100/(H138))*C149)/100</f>
        <v>0</v>
      </c>
      <c r="E149" s="134"/>
      <c r="F149" s="135"/>
      <c r="G149" s="134"/>
      <c r="H149" s="136"/>
      <c r="I149" s="150" t="s">
        <v>257</v>
      </c>
      <c r="J149" s="153">
        <f ca="1">(IF(B138=1,(H138/(B138+3)+J144),IF(B138=0,(H138/4+J144),IF(B138&gt;1,0))))</f>
        <v>2.25</v>
      </c>
      <c r="M149" s="157"/>
      <c r="R149"/>
      <c r="S149"/>
      <c r="T149"/>
      <c r="U149"/>
      <c r="V149"/>
    </row>
    <row r="150" ht="16.5" customHeight="1" spans="1:22">
      <c r="A150" s="137" t="s">
        <v>258</v>
      </c>
      <c r="B150" s="138"/>
      <c r="C150" s="138">
        <v>0</v>
      </c>
      <c r="D150" s="139">
        <f ca="1">((100/(H138))*C150)/100</f>
        <v>0</v>
      </c>
      <c r="E150" s="140"/>
      <c r="F150" s="141"/>
      <c r="G150" s="140"/>
      <c r="H150" s="142"/>
      <c r="I150" s="155" t="s">
        <v>259</v>
      </c>
      <c r="J150" s="156">
        <f ca="1">(IF(B138&gt;1.5,(H138/(B138+2)+J144+MAX(0,J145-J144)+MAX(0,J146-J145)+MAX(0,J147-J146)+MAX(0,J148-J147)+MAX(0,J149-J148)),IF(B138=1,(H138/(B138+3)+J149),IF(B138=0,H138/4+J149))))</f>
        <v>3</v>
      </c>
      <c r="M150" s="157"/>
      <c r="R150"/>
      <c r="S150"/>
      <c r="T150"/>
      <c r="U150"/>
      <c r="V150"/>
    </row>
    <row r="151" ht="16.5" customHeight="1" spans="1:22">
      <c r="A151" s="112" t="s">
        <v>226</v>
      </c>
      <c r="B151" s="113"/>
      <c r="C151" s="114" t="str">
        <f>D73</f>
        <v>Phase 2 (Retail Wing) = LG + UG + 1st to 2nd Floor</v>
      </c>
      <c r="D151" s="115"/>
      <c r="E151" s="115"/>
      <c r="F151" s="115"/>
      <c r="G151" s="115"/>
      <c r="H151" s="116"/>
      <c r="I151" s="146" t="str">
        <f ca="1">IF(D164=100%,"All work Completed. Possession granted to the Building.",IF(D163=100%,"All work Completed, Waiting for OC",I152&amp;""&amp;I153&amp;""&amp;J152&amp;""&amp;J151&amp;" "&amp;J153))</f>
        <v>Work not yet Started. </v>
      </c>
      <c r="J151" s="147" t="str">
        <f ca="1">(IF(C157=(D152+F152+H152),"",IF(C157&gt;0,", RCC upto "&amp;C157&amp;" Slab","")))&amp;(IF(C158=H152,"",IF(C158&gt;0,", Brickwork upto "&amp;C158&amp;" Floor","")))&amp;(IF(C159=H152,"",IF(C159&gt;0,", Internal Plaster upto "&amp;C159&amp;" Floor","")))&amp;(IF(C160=H152,"",IF(C160&gt;0,", External Plaster upto "&amp;C160&amp;" Floor","")))&amp;(IF(C161=H152,"",IF(C161&gt;0,", Flooring upto "&amp;C161&amp;" Floor","")))&amp;(IF(C162=H152,"",IF(C162&gt;0,", Painting upto "&amp;C162&amp;" Floor","")))&amp;(IF(C163=H152,"",IF(C163&gt;0,", Finishing upto "&amp;C163&amp;" Floor","")))&amp;(IF(C164=H152,"",IF(C164&gt;0,", Possession upto "&amp;C164&amp;" Floor","")))</f>
        <v/>
      </c>
      <c r="M151" s="157"/>
      <c r="R151"/>
      <c r="S151"/>
      <c r="T151"/>
      <c r="U151"/>
      <c r="V151"/>
    </row>
    <row r="152" ht="16.5" customHeight="1" spans="1:22">
      <c r="A152" s="117" t="s">
        <v>227</v>
      </c>
      <c r="B152" s="118">
        <f>IF(AND(ISNUMBER(SEARCH("1B",C151))),1,IF(AND(ISNUMBER(SEARCH("2B",C151))),2,IF(AND(ISNUMBER(SEARCH("3B",C151))),3,IF(AND(ISNUMBER(SEARCH("4B",C151))),4,IF(ISNUMBER(SEARCH("5B",C151)),5,0)))))</f>
        <v>0</v>
      </c>
      <c r="C152" s="118" t="s">
        <v>228</v>
      </c>
      <c r="D152" s="118">
        <v>2</v>
      </c>
      <c r="E152" s="118" t="s">
        <v>229</v>
      </c>
      <c r="F152" s="118">
        <v>7</v>
      </c>
      <c r="G152" s="118" t="s">
        <v>230</v>
      </c>
      <c r="H152" s="119">
        <f ca="1">--TRIM(RIGHT(SUBSTITUTE(LEFT(C151,_xlfn.AGGREGATE(16,6,FIND({0,1,2,3,4,5,6,7,8,9},C151,ROW(INDIRECT("1:"&amp;LEN(C151)))),1))," ",REPT(" ",LEN(C151))),LEN(C151)))</f>
        <v>1</v>
      </c>
      <c r="I152" s="148" t="str">
        <f ca="1">IF(D155=100%,"Excavation","")&amp;IF(D156=100%,", Plinth","")&amp;IF(D157=100%,", RCC Slab","")&amp;IF(D158=100%,", Brickwork","")&amp;IF(D159=100%,", Internal Plaster","")&amp;IF(D160=100%,", External Plaster","")&amp;IF(D161=100%,", Flooring","")&amp;IF(D162=100%,", Painting","")&amp;IF(D163=100%,", Building common Amenities","")</f>
        <v/>
      </c>
      <c r="J152" s="149" t="str">
        <f ca="1">(IF(C155=0,"Work not yet Started.",IF(D155=25%,"Piling work in process",IF(D155=50%,"Excavation work in process",IF(D155=100%,"","0")))))&amp;(IF(C156=0%,"",IF(C156=J157,", Footing work is process",IF(C156=J158,", Footing work Completed",IF(C156=J159,", 1st Basement Completed",IF(C156=J160,", 1st &amp; 2nd Basement Completed",IF(C156=J161,", 1st to 3rd Basement Completed",IF(C156=J162,", 1st to 4th Basement Completed",IF(C156=J163,", Plinth work is process",IF(C156=J164,"","0"))))))))))</f>
        <v>Work not yet Started.</v>
      </c>
      <c r="M152" s="157"/>
      <c r="R152"/>
      <c r="S152"/>
      <c r="T152"/>
      <c r="U152"/>
      <c r="V152"/>
    </row>
    <row r="153" ht="16.5" customHeight="1" spans="1:22">
      <c r="A153" s="120" t="s">
        <v>231</v>
      </c>
      <c r="B153" s="33"/>
      <c r="C153" s="121" t="str">
        <f ca="1">(IF($G$63="NA",I151,"All work Completed. OC Received."))</f>
        <v>Work not yet Started. </v>
      </c>
      <c r="D153" s="122"/>
      <c r="E153" s="122"/>
      <c r="F153" s="122"/>
      <c r="G153" s="122"/>
      <c r="H153" s="123"/>
      <c r="I153" s="148" t="str">
        <f ca="1">IF(I152&lt;&gt;""," Completed","")</f>
        <v/>
      </c>
      <c r="J153" s="149" t="str">
        <f ca="1">IF(J151&lt;&gt;"","Completed","")</f>
        <v/>
      </c>
      <c r="M153" s="157"/>
      <c r="R153"/>
      <c r="S153"/>
      <c r="T153"/>
      <c r="U153"/>
      <c r="V153"/>
    </row>
    <row r="154" ht="16.5" customHeight="1" spans="1:22">
      <c r="A154" s="124" t="s">
        <v>232</v>
      </c>
      <c r="B154" s="125"/>
      <c r="C154" s="125" t="s">
        <v>233</v>
      </c>
      <c r="D154" s="125" t="s">
        <v>234</v>
      </c>
      <c r="E154" s="126" t="s">
        <v>235</v>
      </c>
      <c r="F154" s="127"/>
      <c r="G154" s="125" t="s">
        <v>236</v>
      </c>
      <c r="H154" s="128"/>
      <c r="I154" s="150" t="s">
        <v>237</v>
      </c>
      <c r="J154" s="151">
        <f ca="1">H152*25%</f>
        <v>0.25</v>
      </c>
      <c r="M154" s="157"/>
      <c r="R154"/>
      <c r="S154"/>
      <c r="T154"/>
      <c r="U154"/>
      <c r="V154"/>
    </row>
    <row r="155" ht="16.5" customHeight="1" spans="1:22">
      <c r="A155" s="124" t="s">
        <v>238</v>
      </c>
      <c r="B155" s="125"/>
      <c r="C155" s="125">
        <v>0</v>
      </c>
      <c r="D155" s="130">
        <f ca="1">((100/H152)*C155)/100</f>
        <v>0</v>
      </c>
      <c r="E155" s="131">
        <f ca="1">(((C156/H152*10)+(40/(D152+F152+H152)*C157)+(7.5/(H152)*C158)+(7.5/(H152)*C159)+(10/H152*C160)+(10/H152*C161)+(5/H152*C162)+(5/H152*C163)+(5/H152*C164))/100)</f>
        <v>0</v>
      </c>
      <c r="F155" s="132"/>
      <c r="G155" s="131">
        <f ca="1">((((C155/H152)*20)+((C156/H152)*25)+(30/(H152+F152+D152)*C157)+(5/H152*C158)+(5/H152*C159)+(5/H152*C160)+(5/H152*C161)+(0/H152*C162)+(0/H152*C163)+(5/H152*C164))/100)</f>
        <v>0</v>
      </c>
      <c r="H155" s="133"/>
      <c r="I155" s="150" t="s">
        <v>239</v>
      </c>
      <c r="J155" s="152">
        <f ca="1">H152*50%</f>
        <v>0.5</v>
      </c>
      <c r="M155" s="157"/>
      <c r="R155"/>
      <c r="S155"/>
      <c r="T155"/>
      <c r="U155"/>
      <c r="V155"/>
    </row>
    <row r="156" ht="16.5" customHeight="1" spans="1:22">
      <c r="A156" s="124" t="s">
        <v>240</v>
      </c>
      <c r="B156" s="125"/>
      <c r="C156" s="129">
        <v>0</v>
      </c>
      <c r="D156" s="130">
        <f ca="1">((100/H152)*C156)/100</f>
        <v>0</v>
      </c>
      <c r="E156" s="134"/>
      <c r="F156" s="135"/>
      <c r="G156" s="134"/>
      <c r="H156" s="136"/>
      <c r="I156" s="150" t="s">
        <v>241</v>
      </c>
      <c r="J156" s="152">
        <f ca="1">H152</f>
        <v>1</v>
      </c>
      <c r="M156" s="157"/>
      <c r="R156"/>
      <c r="S156"/>
      <c r="T156"/>
      <c r="U156"/>
      <c r="V156"/>
    </row>
    <row r="157" ht="16.5" customHeight="1" spans="1:22">
      <c r="A157" s="124" t="s">
        <v>242</v>
      </c>
      <c r="B157" s="125"/>
      <c r="C157" s="125">
        <v>0</v>
      </c>
      <c r="D157" s="130">
        <f ca="1">((100/(D152+F152+H152))*C157)/100</f>
        <v>0</v>
      </c>
      <c r="E157" s="134"/>
      <c r="F157" s="135"/>
      <c r="G157" s="134"/>
      <c r="H157" s="136"/>
      <c r="I157" s="150" t="s">
        <v>243</v>
      </c>
      <c r="J157" s="153">
        <f ca="1">(IF(B152&gt;1,(H152/(B152+2)),H152/4))</f>
        <v>0.25</v>
      </c>
      <c r="M157" s="157"/>
      <c r="R157"/>
      <c r="S157"/>
      <c r="T157"/>
      <c r="U157"/>
      <c r="V157"/>
    </row>
    <row r="158" ht="16.5" customHeight="1" spans="1:22">
      <c r="A158" s="124" t="s">
        <v>244</v>
      </c>
      <c r="B158" s="125" t="s">
        <v>245</v>
      </c>
      <c r="C158" s="125">
        <v>0</v>
      </c>
      <c r="D158" s="130">
        <f ca="1">((100/H152)*C158)/100</f>
        <v>0</v>
      </c>
      <c r="E158" s="134"/>
      <c r="F158" s="135"/>
      <c r="G158" s="134"/>
      <c r="H158" s="136"/>
      <c r="I158" s="150" t="s">
        <v>246</v>
      </c>
      <c r="J158" s="153">
        <f ca="1">(IF(B152&gt;1,(H152/(B152+2)+J157),H152/4+J157))</f>
        <v>0.5</v>
      </c>
      <c r="M158" s="157"/>
      <c r="R158"/>
      <c r="S158"/>
      <c r="T158"/>
      <c r="U158"/>
      <c r="V158"/>
    </row>
    <row r="159" ht="16.5" customHeight="1" spans="1:22">
      <c r="A159" s="124" t="s">
        <v>247</v>
      </c>
      <c r="B159" s="125" t="s">
        <v>245</v>
      </c>
      <c r="C159" s="125">
        <v>0</v>
      </c>
      <c r="D159" s="130">
        <f ca="1">((100/H152)*C159)/100</f>
        <v>0</v>
      </c>
      <c r="E159" s="134"/>
      <c r="F159" s="135"/>
      <c r="G159" s="134"/>
      <c r="H159" s="136"/>
      <c r="I159" s="150" t="s">
        <v>248</v>
      </c>
      <c r="J159" s="153">
        <f ca="1">(IF(B152&gt;1,(H152/(B152+2)+J158),0))</f>
        <v>0</v>
      </c>
      <c r="M159" s="157"/>
      <c r="R159"/>
      <c r="S159"/>
      <c r="T159"/>
      <c r="U159"/>
      <c r="V159"/>
    </row>
    <row r="160" ht="16.5" customHeight="1" spans="1:22">
      <c r="A160" s="124" t="s">
        <v>249</v>
      </c>
      <c r="B160" s="125" t="s">
        <v>250</v>
      </c>
      <c r="C160" s="125">
        <v>0</v>
      </c>
      <c r="D160" s="130">
        <f ca="1">((100/(H152))*C160)/100</f>
        <v>0</v>
      </c>
      <c r="E160" s="134"/>
      <c r="F160" s="135"/>
      <c r="G160" s="134"/>
      <c r="H160" s="136"/>
      <c r="I160" s="150" t="s">
        <v>251</v>
      </c>
      <c r="J160" s="153">
        <f ca="1">(IF(B152&gt;2,(H152/(B152+2)+J159),0))</f>
        <v>0</v>
      </c>
      <c r="M160" s="157"/>
      <c r="R160"/>
      <c r="S160"/>
      <c r="T160"/>
      <c r="U160"/>
      <c r="V160"/>
    </row>
    <row r="161" ht="16.5" customHeight="1" spans="1:22">
      <c r="A161" s="124" t="s">
        <v>252</v>
      </c>
      <c r="B161" s="125" t="s">
        <v>252</v>
      </c>
      <c r="C161" s="125">
        <v>0</v>
      </c>
      <c r="D161" s="130">
        <f ca="1">((100/H152)*C161)/100</f>
        <v>0</v>
      </c>
      <c r="E161" s="134"/>
      <c r="F161" s="135"/>
      <c r="G161" s="134"/>
      <c r="H161" s="136"/>
      <c r="I161" s="150" t="s">
        <v>253</v>
      </c>
      <c r="J161" s="154">
        <f ca="1">(IF(B152&gt;3,(H152/(B152+2)+J160),0))</f>
        <v>0</v>
      </c>
      <c r="M161" s="157"/>
      <c r="R161"/>
      <c r="S161"/>
      <c r="T161"/>
      <c r="U161"/>
      <c r="V161"/>
    </row>
    <row r="162" ht="16.5" customHeight="1" spans="1:22">
      <c r="A162" s="124" t="s">
        <v>254</v>
      </c>
      <c r="B162" s="125"/>
      <c r="C162" s="125">
        <v>0</v>
      </c>
      <c r="D162" s="130">
        <f ca="1">((100/H152)*C162)/100</f>
        <v>0</v>
      </c>
      <c r="E162" s="134"/>
      <c r="F162" s="135"/>
      <c r="G162" s="134"/>
      <c r="H162" s="136"/>
      <c r="I162" s="150" t="s">
        <v>255</v>
      </c>
      <c r="J162" s="153">
        <f ca="1">(IF(B152&gt;4,(H152/(B152+2)+J161),0))</f>
        <v>0</v>
      </c>
      <c r="M162" s="157"/>
      <c r="R162"/>
      <c r="S162"/>
      <c r="T162"/>
      <c r="U162"/>
      <c r="V162"/>
    </row>
    <row r="163" ht="16.5" customHeight="1" spans="1:22">
      <c r="A163" s="124" t="s">
        <v>256</v>
      </c>
      <c r="B163" s="125" t="s">
        <v>256</v>
      </c>
      <c r="C163" s="125">
        <v>0</v>
      </c>
      <c r="D163" s="130">
        <f ca="1">((100/(H152))*C163)/100</f>
        <v>0</v>
      </c>
      <c r="E163" s="134"/>
      <c r="F163" s="135"/>
      <c r="G163" s="134"/>
      <c r="H163" s="136"/>
      <c r="I163" s="150" t="s">
        <v>257</v>
      </c>
      <c r="J163" s="153">
        <f ca="1">(IF(B152=1,(H152/(B152+3)+J158),IF(B152=0,(H152/4+J158),IF(B152&gt;1,0))))</f>
        <v>0.75</v>
      </c>
      <c r="M163" s="157"/>
      <c r="R163"/>
      <c r="S163"/>
      <c r="T163"/>
      <c r="U163"/>
      <c r="V163"/>
    </row>
    <row r="164" ht="16.5" customHeight="1" spans="1:22">
      <c r="A164" s="137" t="s">
        <v>258</v>
      </c>
      <c r="B164" s="138"/>
      <c r="C164" s="138">
        <v>0</v>
      </c>
      <c r="D164" s="139">
        <f ca="1">((100/(H152))*C164)/100</f>
        <v>0</v>
      </c>
      <c r="E164" s="140"/>
      <c r="F164" s="141"/>
      <c r="G164" s="140"/>
      <c r="H164" s="142"/>
      <c r="I164" s="155" t="s">
        <v>259</v>
      </c>
      <c r="J164" s="156">
        <f ca="1">(IF(B152&gt;1.5,(H152/(B152+2)+J158+MAX(0,J159-J158)+MAX(0,J160-J159)+MAX(0,J161-J160)+MAX(0,J162-J161)+MAX(0,J163-J162)),IF(B152=1,(H152/(B152+3)+J163),IF(B152=0,H152/4+J163))))</f>
        <v>1</v>
      </c>
      <c r="M164" s="157"/>
      <c r="R164"/>
      <c r="S164"/>
      <c r="T164"/>
      <c r="U164"/>
      <c r="V164"/>
    </row>
    <row r="165" s="23" customFormat="1" spans="1:18">
      <c r="A165" s="158" t="s">
        <v>260</v>
      </c>
      <c r="B165" s="158"/>
      <c r="C165" s="158"/>
      <c r="D165" s="158"/>
      <c r="E165" s="158"/>
      <c r="F165" s="159" t="s">
        <v>261</v>
      </c>
      <c r="G165" s="159"/>
      <c r="H165" s="159"/>
      <c r="I165" s="157"/>
      <c r="J165" s="157" t="s">
        <v>262</v>
      </c>
      <c r="K165" s="157" t="s">
        <v>263</v>
      </c>
      <c r="L165" s="157" t="s">
        <v>264</v>
      </c>
      <c r="M165" s="183"/>
      <c r="R165"/>
    </row>
    <row r="166" s="23" customFormat="1" spans="1:18">
      <c r="A166" s="31" t="s">
        <v>265</v>
      </c>
      <c r="B166" s="31"/>
      <c r="C166" s="31"/>
      <c r="D166" s="31"/>
      <c r="E166" s="31"/>
      <c r="F166" s="160">
        <v>19000</v>
      </c>
      <c r="G166" s="160"/>
      <c r="H166" s="160"/>
      <c r="I166" s="184">
        <f>AVERAGE(J166:L166)</f>
        <v>19875.6722508136</v>
      </c>
      <c r="J166" s="184">
        <f>AVERAGE(J212:J213,J250,J366,J372)</f>
        <v>25562.5006234086</v>
      </c>
      <c r="K166" s="184">
        <f>28000/1.55</f>
        <v>18064.5161290323</v>
      </c>
      <c r="L166" s="157">
        <v>16000</v>
      </c>
      <c r="M166" s="183"/>
      <c r="R166"/>
    </row>
    <row r="167" s="23" customFormat="1" spans="1:18">
      <c r="A167" s="31" t="s">
        <v>266</v>
      </c>
      <c r="B167" s="31"/>
      <c r="C167" s="31"/>
      <c r="D167" s="31"/>
      <c r="E167" s="31"/>
      <c r="F167" s="160">
        <v>48000</v>
      </c>
      <c r="G167" s="160"/>
      <c r="H167" s="160"/>
      <c r="I167" s="157" t="s">
        <v>267</v>
      </c>
      <c r="J167" s="185" t="s">
        <v>268</v>
      </c>
      <c r="K167" s="157"/>
      <c r="L167" s="157"/>
      <c r="M167" s="186">
        <v>45862</v>
      </c>
      <c r="R167"/>
    </row>
    <row r="168" s="23" customFormat="1" hidden="1" spans="1:18">
      <c r="A168" s="31" t="s">
        <v>269</v>
      </c>
      <c r="B168" s="31"/>
      <c r="C168" s="31"/>
      <c r="D168" s="31"/>
      <c r="E168" s="31"/>
      <c r="F168" s="160"/>
      <c r="G168" s="160"/>
      <c r="H168" s="160"/>
      <c r="I168" s="157"/>
      <c r="J168" s="157"/>
      <c r="K168" s="157"/>
      <c r="L168" s="157"/>
      <c r="M168" s="183"/>
      <c r="R168"/>
    </row>
    <row r="169" s="23" customFormat="1" hidden="1" spans="1:18">
      <c r="A169" s="31" t="s">
        <v>270</v>
      </c>
      <c r="B169" s="31"/>
      <c r="C169" s="31"/>
      <c r="D169" s="31"/>
      <c r="E169" s="31"/>
      <c r="F169" s="160"/>
      <c r="G169" s="160"/>
      <c r="H169" s="160"/>
      <c r="I169" s="183"/>
      <c r="J169" s="183"/>
      <c r="K169" s="183"/>
      <c r="L169" s="183"/>
      <c r="M169" s="183"/>
      <c r="R169"/>
    </row>
    <row r="170" s="23" customFormat="1" spans="1:18">
      <c r="A170" s="31" t="s">
        <v>271</v>
      </c>
      <c r="B170" s="31"/>
      <c r="C170" s="31"/>
      <c r="D170" s="31"/>
      <c r="E170" s="31"/>
      <c r="F170" s="160">
        <v>300000</v>
      </c>
      <c r="G170" s="160"/>
      <c r="H170" s="160"/>
      <c r="I170" s="183" t="s">
        <v>272</v>
      </c>
      <c r="J170" s="183"/>
      <c r="K170" s="183"/>
      <c r="L170" s="183"/>
      <c r="M170" s="183"/>
      <c r="R170"/>
    </row>
    <row r="171" s="23" customFormat="1" hidden="1" spans="1:18">
      <c r="A171" s="31" t="s">
        <v>273</v>
      </c>
      <c r="B171" s="31"/>
      <c r="C171" s="31"/>
      <c r="D171" s="31"/>
      <c r="E171" s="31"/>
      <c r="F171" s="160"/>
      <c r="G171" s="160"/>
      <c r="H171" s="160"/>
      <c r="I171" s="183"/>
      <c r="J171" s="183"/>
      <c r="K171" s="183"/>
      <c r="L171" s="183"/>
      <c r="M171" s="183"/>
      <c r="R171"/>
    </row>
    <row r="172" hidden="1" spans="1:18">
      <c r="A172" s="31" t="s">
        <v>274</v>
      </c>
      <c r="B172" s="31"/>
      <c r="C172" s="31"/>
      <c r="D172" s="31"/>
      <c r="E172" s="31"/>
      <c r="F172" s="160"/>
      <c r="G172" s="160"/>
      <c r="H172" s="160"/>
      <c r="I172" s="183"/>
      <c r="J172" s="183"/>
      <c r="K172" s="183"/>
      <c r="L172" s="183"/>
      <c r="M172" s="157"/>
      <c r="R172"/>
    </row>
    <row r="173" s="24" customFormat="1" hidden="1" spans="1:22">
      <c r="A173" s="31" t="s">
        <v>275</v>
      </c>
      <c r="B173" s="31"/>
      <c r="C173" s="31"/>
      <c r="D173" s="31"/>
      <c r="E173" s="31"/>
      <c r="F173" s="160"/>
      <c r="G173" s="160"/>
      <c r="H173" s="160"/>
      <c r="I173" s="183"/>
      <c r="J173" s="183"/>
      <c r="K173" s="183"/>
      <c r="L173" s="183"/>
      <c r="M173" s="187"/>
      <c r="R173" s="28"/>
      <c r="S173" s="28"/>
      <c r="T173"/>
      <c r="U173"/>
      <c r="V173" s="28"/>
    </row>
    <row r="174" s="25" customFormat="1" hidden="1" customHeight="1" spans="1:22">
      <c r="A174" s="31" t="s">
        <v>276</v>
      </c>
      <c r="B174" s="31"/>
      <c r="C174" s="31"/>
      <c r="D174" s="31"/>
      <c r="E174" s="31"/>
      <c r="F174" s="160"/>
      <c r="G174" s="160"/>
      <c r="H174" s="160"/>
      <c r="I174" s="183"/>
      <c r="J174" s="183"/>
      <c r="K174" s="183"/>
      <c r="L174" s="183"/>
      <c r="R174"/>
      <c r="S174" s="28"/>
      <c r="T174"/>
      <c r="U174"/>
      <c r="V174" s="28"/>
    </row>
    <row r="175" s="25" customFormat="1" hidden="1" customHeight="1" spans="1:22">
      <c r="A175" s="31" t="s">
        <v>277</v>
      </c>
      <c r="B175" s="31"/>
      <c r="C175" s="31"/>
      <c r="D175" s="31"/>
      <c r="E175" s="31"/>
      <c r="F175" s="160"/>
      <c r="G175" s="160"/>
      <c r="H175" s="160"/>
      <c r="I175" s="183"/>
      <c r="J175" s="183"/>
      <c r="K175" s="183"/>
      <c r="L175" s="183"/>
      <c r="R175"/>
      <c r="S175" s="28"/>
      <c r="T175"/>
      <c r="U175" s="28"/>
      <c r="V175" s="28"/>
    </row>
    <row r="176" s="25" customFormat="1" spans="1:22">
      <c r="A176" s="31" t="s">
        <v>278</v>
      </c>
      <c r="B176" s="31"/>
      <c r="C176" s="31"/>
      <c r="D176" s="31"/>
      <c r="E176" s="31"/>
      <c r="F176" s="160">
        <v>1200000</v>
      </c>
      <c r="G176" s="160"/>
      <c r="H176" s="160"/>
      <c r="I176" s="157"/>
      <c r="J176" s="157" t="s">
        <v>279</v>
      </c>
      <c r="K176" s="157"/>
      <c r="L176" s="157"/>
      <c r="R176"/>
      <c r="S176" s="28"/>
      <c r="T176"/>
      <c r="U176" s="28"/>
      <c r="V176" s="28"/>
    </row>
    <row r="177" s="25" customFormat="1" spans="1:22">
      <c r="A177" s="54" t="s">
        <v>280</v>
      </c>
      <c r="B177" s="54"/>
      <c r="C177" s="54"/>
      <c r="D177" s="54"/>
      <c r="E177" s="54"/>
      <c r="F177" s="160">
        <f>F166*0.8</f>
        <v>15200</v>
      </c>
      <c r="G177" s="160"/>
      <c r="H177" s="160"/>
      <c r="I177" s="157" t="s">
        <v>281</v>
      </c>
      <c r="J177" s="185" t="s">
        <v>282</v>
      </c>
      <c r="K177" s="157"/>
      <c r="L177" s="157"/>
      <c r="M177" s="186">
        <v>45900</v>
      </c>
      <c r="R177"/>
      <c r="S177" s="28"/>
      <c r="T177"/>
      <c r="U177" s="28"/>
      <c r="V177" s="28"/>
    </row>
    <row r="178" s="25" customFormat="1" customHeight="1" spans="1:22">
      <c r="A178" s="161" t="s">
        <v>283</v>
      </c>
      <c r="B178" s="162"/>
      <c r="C178" s="162"/>
      <c r="D178" s="162"/>
      <c r="E178" s="162"/>
      <c r="F178" s="162"/>
      <c r="G178" s="162"/>
      <c r="H178" s="163"/>
      <c r="R178"/>
      <c r="S178" s="28"/>
      <c r="T178"/>
      <c r="U178" s="28"/>
      <c r="V178" s="28"/>
    </row>
    <row r="179" s="25" customFormat="1" customHeight="1" spans="1:20">
      <c r="A179" s="164" t="s">
        <v>284</v>
      </c>
      <c r="B179" s="164"/>
      <c r="C179" s="165" t="s">
        <v>285</v>
      </c>
      <c r="D179" s="165"/>
      <c r="E179" s="166" t="s">
        <v>286</v>
      </c>
      <c r="F179" s="167"/>
      <c r="G179" s="164" t="s">
        <v>287</v>
      </c>
      <c r="H179" s="164"/>
      <c r="T179"/>
    </row>
    <row r="180" s="25" customFormat="1" customHeight="1" spans="1:20">
      <c r="A180" s="168" t="s">
        <v>288</v>
      </c>
      <c r="B180" s="168" t="s">
        <v>289</v>
      </c>
      <c r="C180" s="169">
        <f>COUNT(F204:F225,)+COUNT(F227:F245)+COUNT(F248:F268)</f>
        <v>63</v>
      </c>
      <c r="D180" s="170"/>
      <c r="E180" s="171">
        <f>SUM(F204:F225,)+SUM(F227:F245)+SUM(F248:F268)</f>
        <v>39334.90705092</v>
      </c>
      <c r="F180" s="172"/>
      <c r="G180" s="171">
        <f>SUM(H204:H225,)+SUM(H227:H245)+SUM(H248:H268)</f>
        <v>59002.36057638</v>
      </c>
      <c r="H180" s="172"/>
      <c r="T180"/>
    </row>
    <row r="181" s="25" customFormat="1" spans="1:8">
      <c r="A181" s="173" t="s">
        <v>290</v>
      </c>
      <c r="B181" s="173"/>
      <c r="C181" s="174">
        <f t="shared" ref="C181:G181" si="0">SUM(C180)</f>
        <v>63</v>
      </c>
      <c r="D181" s="165"/>
      <c r="E181" s="175">
        <f t="shared" si="0"/>
        <v>39334.90705092</v>
      </c>
      <c r="F181" s="167"/>
      <c r="G181" s="164">
        <f t="shared" si="0"/>
        <v>59002.36057638</v>
      </c>
      <c r="H181" s="164"/>
    </row>
    <row r="182" s="25" customFormat="1" customHeight="1" spans="1:8">
      <c r="A182" s="161" t="s">
        <v>291</v>
      </c>
      <c r="B182" s="162"/>
      <c r="C182" s="162"/>
      <c r="D182" s="162"/>
      <c r="E182" s="162"/>
      <c r="F182" s="162"/>
      <c r="G182" s="162"/>
      <c r="H182" s="163"/>
    </row>
    <row r="183" s="25" customFormat="1" customHeight="1" spans="1:8">
      <c r="A183" s="164" t="s">
        <v>284</v>
      </c>
      <c r="B183" s="164"/>
      <c r="C183" s="165" t="s">
        <v>285</v>
      </c>
      <c r="D183" s="165"/>
      <c r="E183" s="166" t="s">
        <v>286</v>
      </c>
      <c r="F183" s="167"/>
      <c r="G183" s="164" t="s">
        <v>287</v>
      </c>
      <c r="H183" s="164"/>
    </row>
    <row r="184" s="24" customFormat="1" spans="1:20">
      <c r="A184" s="176" t="s">
        <v>292</v>
      </c>
      <c r="B184" s="168" t="s">
        <v>293</v>
      </c>
      <c r="C184" s="177">
        <f>COUNT(F282)+COUNT(F286:F289)+COUNT(F293:F296)+COUNT(F300:F303)+COUNT(F307:F310)+COUNT(F313:F314)+COUNT(F320:F325)*29+COUNT(F327:F328,F331:F332)*4</f>
        <v>209</v>
      </c>
      <c r="D184" s="177"/>
      <c r="E184" s="171">
        <f>SUM(F282)+SUM(F286:F289)+SUM(F293:F296)+SUM(F300:F303)+SUM(F307:F310)+SUM(F313:F314)+SUM(F320:F325)*29+SUM(F327:F328,F331:F332)*4</f>
        <v>169828.5998916</v>
      </c>
      <c r="F184" s="178"/>
      <c r="G184" s="171">
        <f>SUM(H282)+SUM(H286:H289)+SUM(H293:H296)+SUM(H300:H303)+SUM(H307:H310)+SUM(H313:H314)+SUM(H320:H325)*29+SUM(H327:H328,H331:H332)*4</f>
        <v>254742.8998374</v>
      </c>
      <c r="H184" s="178"/>
      <c r="T184" s="25"/>
    </row>
    <row r="185" spans="1:20">
      <c r="A185" s="179"/>
      <c r="B185" s="168" t="s">
        <v>294</v>
      </c>
      <c r="C185" s="180">
        <f>COUNT(F337:F339)+COUNT(F344:F346,F349)+COUNT(F351:F353,F356)+COUNT(F358:F360,F363)+COUNT(F365:F367,F370)+COUNT(F372:F374,F377)+COUNT(F379:F382)+COUNT(F386:F387)*5+COUNT(F393:F396)*28</f>
        <v>149</v>
      </c>
      <c r="D185" s="180"/>
      <c r="E185" s="171">
        <f>SUM(F337:F339)+SUM(F344:F346,F349)+SUM(F351:F353,F356)+SUM(F358:F360,F363)+SUM(F365:F367,F370)+SUM(F372:F374,F377)+SUM(F379:F382)+SUM(F386:F387)*5+SUM(F393:F396)*28</f>
        <v>115296.777648</v>
      </c>
      <c r="F185" s="178"/>
      <c r="G185" s="171">
        <f>SUM(H337:H339)+SUM(H344:H346,H349)+SUM(H351:H353,H356)+SUM(H358:H360,H363)+SUM(H365:H367,H370)+SUM(H372:H374,H377)+SUM(H379:H382)+SUM(H386:H387)*5+SUM(H393:H396)*28</f>
        <v>172945.166472</v>
      </c>
      <c r="H185" s="178"/>
      <c r="T185" s="25"/>
    </row>
    <row r="186" spans="1:20">
      <c r="A186" s="181"/>
      <c r="B186" s="168" t="s">
        <v>295</v>
      </c>
      <c r="C186" s="177">
        <f>COUNT(F405:F406)+COUNT(F411:F412)+COUNT(F417:F418)+COUNT(F423:F424)+COUNT(F429:F430)+COUNT(F435:F436)+COUNT(F440:F443)+COUNT(F445:F447)*5+COUNT(F451:F455)*29</f>
        <v>176</v>
      </c>
      <c r="D186" s="177"/>
      <c r="E186" s="171">
        <f>SUM(F405:F406)+SUM(F411:F412)+SUM(F417:F418)+SUM(F423:F424)+SUM(F429:F430)+SUM(F435:F436)+SUM(F440:F443)+SUM(F445:F447)*5+SUM(F451:F455)*29</f>
        <v>166887.542484</v>
      </c>
      <c r="F186" s="178"/>
      <c r="G186" s="171">
        <f>SUM(H405:H406)+SUM(H411:H412)+SUM(H417:H418)+SUM(H423:H424)+SUM(H429:H430)+SUM(H435:H436)+SUM(H440:H443)+SUM(H445:H447)*5+SUM(H451:H455)*29</f>
        <v>250331.313726</v>
      </c>
      <c r="H186" s="178"/>
      <c r="T186" s="25"/>
    </row>
    <row r="187" spans="1:20">
      <c r="A187" s="176" t="s">
        <v>296</v>
      </c>
      <c r="B187" s="168" t="s">
        <v>297</v>
      </c>
      <c r="C187" s="177">
        <f>COUNT(F463:F464)+COUNT(F469:F470)+COUNT(F475:F476)+COUNT(F481:F482)+COUNT(F487:F488)+COUNT(F493:F494)+COUNT(F498:F501)+COUNT(F503:F505)*5+COUNT(F509:F513)*29</f>
        <v>176</v>
      </c>
      <c r="D187" s="177"/>
      <c r="E187" s="171">
        <f>SUM(F463:F464)+SUM(F469:F470)+SUM(F475:F476)+SUM(F481:F482)+SUM(F487:F488)+SUM(F493:F494)+SUM(F498:F501)+SUM(F503:F505)*5+SUM(F509:F513)*29</f>
        <v>166887.542484</v>
      </c>
      <c r="F187" s="178"/>
      <c r="G187" s="171">
        <f>SUM(H463:H464)+SUM(H469:H470)+SUM(H475:H476)+SUM(H481:H482)+SUM(H487:H488)+SUM(H493:H494)+SUM(H498:H501)+SUM(H503:H505)*5+SUM(H509:H513)*29</f>
        <v>250331.313726</v>
      </c>
      <c r="H187" s="178"/>
      <c r="T187" s="25"/>
    </row>
    <row r="188" spans="1:20">
      <c r="A188" s="179"/>
      <c r="B188" s="168" t="s">
        <v>298</v>
      </c>
      <c r="C188" s="177">
        <f>COUNT(F518:F519)+COUNT(F525:F527,F530)+COUNT(F532:F534,F537)+COUNT(F539:F541,F544)+COUNT(F546:F548,F551)+COUNT(F553:F555,F558)+COUNT(F560:F563)+COUNT(F567:F568)*5+COUNT(F574:F577)*28</f>
        <v>148</v>
      </c>
      <c r="D188" s="177"/>
      <c r="E188" s="171">
        <f>SUM(F518:F519)+SUM(F525:F527,F530)+SUM(F532:F534,F537)+SUM(F539:F541,F544)+SUM(F546:F548,F551)+SUM(F553:F555,F558)+SUM(F560:F563)+SUM(F567:F568)*5+SUM(F574:F577)*28</f>
        <v>114695.769708</v>
      </c>
      <c r="F188" s="178"/>
      <c r="G188" s="171">
        <f>SUM(H518:H519)+SUM(H525:H527,H530)+SUM(H532:H534,H537)+SUM(H539:H541,H544)+SUM(H546:H548,H551)+SUM(H553:H555,H558)+SUM(H560:H563)+SUM(H567:H568)*5+SUM(H574:H577)*28</f>
        <v>172043.654562</v>
      </c>
      <c r="H188" s="178"/>
      <c r="T188" s="25"/>
    </row>
    <row r="189" spans="1:20">
      <c r="A189" s="181"/>
      <c r="B189" s="168" t="s">
        <v>299</v>
      </c>
      <c r="C189" s="177">
        <f>COUNT(F589)+COUNT(F593:F596)+COUNT(F600:F603)+COUNT(F607:F610)+COUNT(F614:F617)+COUNT(F620:F621)+COUNT(F627:F632)*29+COUNT(F634:F635,F638:F639)*4</f>
        <v>209</v>
      </c>
      <c r="D189" s="177"/>
      <c r="E189" s="171">
        <f>SUM(F589)+SUM(F593:F596)+SUM(F600:F603)+SUM(F607:F610)+SUM(F614:F617)+SUM(F620:F621)+SUM(F627:F632)*29+SUM(F634:F635,F638:F639)*4</f>
        <v>169828.5998916</v>
      </c>
      <c r="F189" s="178"/>
      <c r="G189" s="171">
        <f>SUM(H589)+SUM(H593:H596)+SUM(H600:H603)+SUM(H607:H610)+SUM(H614:H617)+SUM(H620:H621)+SUM(H627:H632)*29+SUM(H634:H635,H638:H639)*4</f>
        <v>254742.8998374</v>
      </c>
      <c r="H189" s="178"/>
      <c r="J189" s="88">
        <f>C190+C195</f>
        <v>1199</v>
      </c>
      <c r="T189" s="25"/>
    </row>
    <row r="190" spans="1:20">
      <c r="A190" s="173" t="s">
        <v>290</v>
      </c>
      <c r="B190" s="173"/>
      <c r="C190" s="174">
        <f t="shared" ref="C190:G190" si="1">SUM(C184:D189)</f>
        <v>1067</v>
      </c>
      <c r="D190" s="165"/>
      <c r="E190" s="175">
        <f t="shared" si="1"/>
        <v>903424.8321072</v>
      </c>
      <c r="F190" s="182"/>
      <c r="G190" s="175">
        <f t="shared" si="1"/>
        <v>1355137.2481608</v>
      </c>
      <c r="H190" s="182"/>
      <c r="T190" s="25"/>
    </row>
    <row r="191" s="26" customFormat="1" customHeight="1" spans="1:20">
      <c r="A191" s="161" t="s">
        <v>300</v>
      </c>
      <c r="B191" s="162"/>
      <c r="C191" s="162"/>
      <c r="D191" s="162"/>
      <c r="E191" s="162"/>
      <c r="F191" s="162"/>
      <c r="G191" s="162"/>
      <c r="H191" s="163"/>
      <c r="T191" s="24"/>
    </row>
    <row r="192" s="26" customFormat="1" customHeight="1" spans="1:20">
      <c r="A192" s="164" t="s">
        <v>284</v>
      </c>
      <c r="B192" s="164"/>
      <c r="C192" s="165" t="s">
        <v>285</v>
      </c>
      <c r="D192" s="165"/>
      <c r="E192" s="166" t="s">
        <v>286</v>
      </c>
      <c r="F192" s="167"/>
      <c r="G192" s="164" t="s">
        <v>287</v>
      </c>
      <c r="H192" s="164"/>
      <c r="T192" s="24"/>
    </row>
    <row r="193" s="26" customFormat="1" customHeight="1" spans="1:20">
      <c r="A193" s="168" t="s">
        <v>292</v>
      </c>
      <c r="B193" s="168" t="s">
        <v>294</v>
      </c>
      <c r="C193" s="177">
        <f>COUNT(F397:F398)*28+COUNT(F390:F391)*5</f>
        <v>66</v>
      </c>
      <c r="D193" s="177"/>
      <c r="E193" s="171">
        <f>SUM(F397:F398)*28+SUM(F390:F391)*5</f>
        <v>28578.936672</v>
      </c>
      <c r="F193" s="178"/>
      <c r="G193" s="171">
        <f>SUM(H397:H398)*28+SUM(H390:H391)*5</f>
        <v>42868.405008</v>
      </c>
      <c r="H193" s="178"/>
      <c r="J193" s="207"/>
      <c r="T193" s="28"/>
    </row>
    <row r="194" s="26" customFormat="1" customHeight="1" spans="1:20">
      <c r="A194" s="168" t="s">
        <v>296</v>
      </c>
      <c r="B194" s="168" t="s">
        <v>298</v>
      </c>
      <c r="C194" s="180">
        <f>COUNT(F571:F572)*5+COUNT(F578:F579)*28</f>
        <v>66</v>
      </c>
      <c r="D194" s="180"/>
      <c r="E194" s="171">
        <f>SUM(F571:F572)*5+SUM(F578:F579)*28</f>
        <v>28578.936672</v>
      </c>
      <c r="F194" s="178"/>
      <c r="G194" s="171">
        <f>SUM(H571:H572)*5+SUM(H578:H579)*28</f>
        <v>42868.405008</v>
      </c>
      <c r="H194" s="178"/>
      <c r="I194" s="207"/>
      <c r="N194" s="207"/>
      <c r="T194" s="28"/>
    </row>
    <row r="195" s="26" customFormat="1" customHeight="1" spans="1:14">
      <c r="A195" s="173" t="s">
        <v>290</v>
      </c>
      <c r="B195" s="173"/>
      <c r="C195" s="174">
        <f t="shared" ref="C195:G195" si="2">SUM(C193:D194)</f>
        <v>132</v>
      </c>
      <c r="D195" s="165"/>
      <c r="E195" s="175">
        <f t="shared" si="2"/>
        <v>57157.873344</v>
      </c>
      <c r="F195" s="182"/>
      <c r="G195" s="164">
        <f t="shared" si="2"/>
        <v>85736.810016</v>
      </c>
      <c r="H195" s="164"/>
      <c r="I195" s="207"/>
      <c r="N195" s="207"/>
    </row>
    <row r="196" s="26" customFormat="1" customHeight="1" spans="1:14">
      <c r="A196" s="173" t="s">
        <v>301</v>
      </c>
      <c r="B196" s="173"/>
      <c r="C196" s="174">
        <f>C181+C190+C195</f>
        <v>1262</v>
      </c>
      <c r="D196" s="165"/>
      <c r="E196" s="175">
        <f>E181+E190+E195</f>
        <v>999917.61250212</v>
      </c>
      <c r="F196" s="182"/>
      <c r="G196" s="175">
        <f>G181+G190+G195</f>
        <v>1499876.41875318</v>
      </c>
      <c r="H196" s="182"/>
      <c r="I196" s="207"/>
      <c r="N196" s="207"/>
    </row>
    <row r="197" s="26" customFormat="1" customHeight="1" spans="1:14">
      <c r="A197" s="47" t="s">
        <v>302</v>
      </c>
      <c r="B197" s="48"/>
      <c r="C197" s="48"/>
      <c r="D197" s="48"/>
      <c r="E197" s="48"/>
      <c r="F197" s="48"/>
      <c r="G197" s="48"/>
      <c r="H197" s="49"/>
      <c r="I197" s="205">
        <v>10.764</v>
      </c>
      <c r="N197" s="207"/>
    </row>
    <row r="198" s="26" customFormat="1" spans="1:14">
      <c r="A198" s="47" t="s">
        <v>303</v>
      </c>
      <c r="B198" s="48"/>
      <c r="C198" s="48"/>
      <c r="D198" s="48"/>
      <c r="E198" s="48"/>
      <c r="F198" s="48"/>
      <c r="G198" s="48"/>
      <c r="H198" s="49"/>
      <c r="I198" s="207"/>
      <c r="N198" s="207"/>
    </row>
    <row r="199" ht="47.25" spans="1:20">
      <c r="A199" s="188" t="s">
        <v>304</v>
      </c>
      <c r="B199" s="188" t="s">
        <v>305</v>
      </c>
      <c r="C199" s="188" t="s">
        <v>306</v>
      </c>
      <c r="D199" s="188" t="s">
        <v>307</v>
      </c>
      <c r="E199" s="189" t="s">
        <v>308</v>
      </c>
      <c r="F199" s="188" t="s">
        <v>309</v>
      </c>
      <c r="G199" s="189" t="s">
        <v>310</v>
      </c>
      <c r="H199" s="188" t="s">
        <v>311</v>
      </c>
      <c r="I199" s="207"/>
      <c r="T199" s="26"/>
    </row>
    <row r="200" s="26" customFormat="1" spans="1:9">
      <c r="A200" s="190"/>
      <c r="B200" s="190"/>
      <c r="C200" s="190"/>
      <c r="D200" s="190"/>
      <c r="E200" s="191"/>
      <c r="F200" s="190"/>
      <c r="G200" s="191"/>
      <c r="H200" s="192">
        <v>0.5</v>
      </c>
      <c r="I200" s="207"/>
    </row>
    <row r="201" s="26" customFormat="1" spans="1:20">
      <c r="A201" s="193" t="s">
        <v>312</v>
      </c>
      <c r="B201" s="194"/>
      <c r="C201" s="194"/>
      <c r="D201" s="194"/>
      <c r="E201" s="194"/>
      <c r="F201" s="194"/>
      <c r="G201" s="194"/>
      <c r="H201" s="195"/>
      <c r="J201" s="207"/>
      <c r="T201" s="28"/>
    </row>
    <row r="202" s="26" customFormat="1" spans="1:20">
      <c r="A202" s="196" t="s">
        <v>289</v>
      </c>
      <c r="B202" s="197"/>
      <c r="C202" s="197"/>
      <c r="D202" s="197"/>
      <c r="E202" s="197"/>
      <c r="F202" s="197"/>
      <c r="G202" s="197"/>
      <c r="H202" s="198"/>
      <c r="J202" s="207"/>
      <c r="T202" s="28"/>
    </row>
    <row r="203" s="26" customFormat="1" spans="1:20">
      <c r="A203" s="199" t="s">
        <v>313</v>
      </c>
      <c r="B203" s="200"/>
      <c r="C203" s="200"/>
      <c r="D203" s="200"/>
      <c r="E203" s="200"/>
      <c r="F203" s="200"/>
      <c r="G203" s="200"/>
      <c r="H203" s="201"/>
      <c r="J203" s="205">
        <v>10.764</v>
      </c>
      <c r="T203" s="28"/>
    </row>
    <row r="204" s="26" customFormat="1" spans="1:20">
      <c r="A204" s="202">
        <v>1</v>
      </c>
      <c r="B204" s="203"/>
      <c r="C204" s="204" t="s">
        <v>314</v>
      </c>
      <c r="D204" s="205">
        <f>(2.78*0.78+1.41*3.15+4.65*5.31+0.49*2.7+1.4*3+3.8*6.5+0.5*3*6)*10.764</f>
        <v>759.1246416</v>
      </c>
      <c r="E204" s="204">
        <v>0</v>
      </c>
      <c r="F204" s="204">
        <f t="shared" ref="F204:F225" si="3">D204+(IF(E204&lt;201,E204,IF(E204&lt;301,E204/2,E204/3)))</f>
        <v>759.1246416</v>
      </c>
      <c r="G204" s="206">
        <v>0</v>
      </c>
      <c r="H204" s="204">
        <f>(F204+(IF(G204&lt;101,G204,IF(G204&lt;201,G204/2,IF(G204&lt;=301,G204/3,G204/4)))))*(($H$200)+1)</f>
        <v>1138.6869624</v>
      </c>
      <c r="J204" s="207"/>
      <c r="T204" s="28"/>
    </row>
    <row r="205" s="26" customFormat="1" ht="15.6" customHeight="1" spans="1:10">
      <c r="A205" s="202">
        <f>A204+1</f>
        <v>2</v>
      </c>
      <c r="B205" s="203"/>
      <c r="C205" s="204" t="s">
        <v>314</v>
      </c>
      <c r="D205" s="205">
        <f>(1.92*1.46+2.81*1.76+5.91*3.4+6.25*6.11)*10.764</f>
        <v>710.7501492</v>
      </c>
      <c r="E205" s="204">
        <v>0</v>
      </c>
      <c r="F205" s="204">
        <f t="shared" si="3"/>
        <v>710.7501492</v>
      </c>
      <c r="G205" s="204">
        <v>0</v>
      </c>
      <c r="H205" s="204">
        <f t="shared" ref="H205:H208" si="4">(F205+(IF(G205&lt;101,G205,IF(G205&lt;201,G205/2,IF(G205&lt;=301,G205/3,G205/4)))))*(($H$200)+1)</f>
        <v>1066.1252238</v>
      </c>
      <c r="J205" s="207"/>
    </row>
    <row r="206" s="26" customFormat="1" customHeight="1" spans="1:20">
      <c r="A206" s="202">
        <f>A205+1</f>
        <v>3</v>
      </c>
      <c r="B206" s="203"/>
      <c r="C206" s="204" t="s">
        <v>314</v>
      </c>
      <c r="D206" s="205">
        <f>(2.81*1.76+4.43*3.1+1.92*1.46+3.11*4.21+4.1*2.05)*10.764</f>
        <v>462.6356436</v>
      </c>
      <c r="E206" s="204">
        <v>0</v>
      </c>
      <c r="F206" s="204">
        <f t="shared" si="3"/>
        <v>462.6356436</v>
      </c>
      <c r="G206" s="204">
        <v>0</v>
      </c>
      <c r="H206" s="204">
        <f t="shared" si="4"/>
        <v>693.9534654</v>
      </c>
      <c r="I206" s="207"/>
      <c r="N206" s="207"/>
      <c r="T206" s="28"/>
    </row>
    <row r="207" s="26" customFormat="1" customHeight="1" spans="1:14">
      <c r="A207" s="202">
        <f>A206+1</f>
        <v>4</v>
      </c>
      <c r="B207" s="203"/>
      <c r="C207" s="204" t="s">
        <v>314</v>
      </c>
      <c r="D207" s="205">
        <f>(2.4*4.76+2.4*4.76+2.3*0.9+1.1*0.67+15.18)*10.764</f>
        <v>439.54794</v>
      </c>
      <c r="E207" s="204">
        <v>0</v>
      </c>
      <c r="F207" s="204">
        <f t="shared" si="3"/>
        <v>439.54794</v>
      </c>
      <c r="G207" s="204">
        <v>0</v>
      </c>
      <c r="H207" s="204">
        <f t="shared" si="4"/>
        <v>659.32191</v>
      </c>
      <c r="I207" s="207"/>
      <c r="N207" s="207"/>
    </row>
    <row r="208" s="26" customFormat="1" customHeight="1" spans="1:14">
      <c r="A208" s="202">
        <v>5</v>
      </c>
      <c r="B208" s="203"/>
      <c r="C208" s="204" t="s">
        <v>314</v>
      </c>
      <c r="D208" s="205">
        <f>(1.1*0.67+2.3*0.9+2.4*2.07+6.95*3.75+4.63)*10.764</f>
        <v>414.06417</v>
      </c>
      <c r="E208" s="204">
        <v>0</v>
      </c>
      <c r="F208" s="204">
        <f t="shared" si="3"/>
        <v>414.06417</v>
      </c>
      <c r="G208" s="206">
        <v>0</v>
      </c>
      <c r="H208" s="204">
        <f t="shared" si="4"/>
        <v>621.096255</v>
      </c>
      <c r="I208" s="207"/>
      <c r="N208" s="207"/>
    </row>
    <row r="209" s="26" customFormat="1" spans="1:14">
      <c r="A209" s="202">
        <f>A208+1</f>
        <v>6</v>
      </c>
      <c r="B209" s="203"/>
      <c r="C209" s="204" t="s">
        <v>314</v>
      </c>
      <c r="D209" s="205">
        <f>(2.4*2.07+2.3*0.9+1.1*0.68+8.37*3.75)*10.764</f>
        <v>421.663554</v>
      </c>
      <c r="E209" s="204">
        <v>0</v>
      </c>
      <c r="F209" s="204">
        <f t="shared" si="3"/>
        <v>421.663554</v>
      </c>
      <c r="G209" s="204">
        <v>0</v>
      </c>
      <c r="H209" s="204">
        <f t="shared" ref="H209:H212" si="5">(F209+(IF(G209&lt;101,G209,IF(G209&lt;201,G209/2,IF(G209&lt;=301,G209/3,G209/4)))))*(($H$200)+1)</f>
        <v>632.495331</v>
      </c>
      <c r="I209" s="207"/>
      <c r="N209" s="207"/>
    </row>
    <row r="210" s="26" customFormat="1" spans="1:14">
      <c r="A210" s="202">
        <f>A209+1</f>
        <v>7</v>
      </c>
      <c r="B210" s="203"/>
      <c r="C210" s="204" t="s">
        <v>314</v>
      </c>
      <c r="D210" s="205">
        <f>(2.4*2.07+2.3*0.9+1.1*0.67+8.37*3.75)*10.764</f>
        <v>421.54515</v>
      </c>
      <c r="E210" s="204">
        <v>0</v>
      </c>
      <c r="F210" s="204">
        <f t="shared" si="3"/>
        <v>421.54515</v>
      </c>
      <c r="G210" s="204">
        <v>0</v>
      </c>
      <c r="H210" s="204">
        <f t="shared" si="5"/>
        <v>632.317725</v>
      </c>
      <c r="I210" s="207"/>
      <c r="N210" s="207"/>
    </row>
    <row r="211" s="26" customFormat="1" customHeight="1" spans="1:20">
      <c r="A211" s="202">
        <f>A210+1</f>
        <v>8</v>
      </c>
      <c r="B211" s="203"/>
      <c r="C211" s="204" t="s">
        <v>314</v>
      </c>
      <c r="D211" s="205">
        <f>(2.4*2.07+2.3*0.9+1.1*0.67+8.37*3.75)*10.764</f>
        <v>421.54515</v>
      </c>
      <c r="E211" s="204">
        <v>0</v>
      </c>
      <c r="F211" s="204">
        <f t="shared" si="3"/>
        <v>421.54515</v>
      </c>
      <c r="G211" s="204">
        <v>0</v>
      </c>
      <c r="H211" s="204">
        <f t="shared" si="5"/>
        <v>632.317725</v>
      </c>
      <c r="I211" s="207"/>
      <c r="N211" s="207"/>
      <c r="T211" s="28"/>
    </row>
    <row r="212" s="26" customFormat="1" customHeight="1" spans="1:14">
      <c r="A212" s="202">
        <v>9</v>
      </c>
      <c r="B212" s="203"/>
      <c r="C212" s="204" t="s">
        <v>314</v>
      </c>
      <c r="D212" s="205">
        <f>(2.4*2.07+2.3*0.9+1.1*0.67+8.37*3.7)*10.764</f>
        <v>417.040416</v>
      </c>
      <c r="E212" s="204">
        <v>0</v>
      </c>
      <c r="F212" s="204">
        <f t="shared" si="3"/>
        <v>417.040416</v>
      </c>
      <c r="G212" s="206">
        <v>0</v>
      </c>
      <c r="H212" s="204">
        <f t="shared" si="5"/>
        <v>625.560624</v>
      </c>
      <c r="I212" s="207"/>
      <c r="J212" s="207">
        <f>26400000/H286</f>
        <v>16557.4357577514</v>
      </c>
      <c r="N212" s="207"/>
    </row>
    <row r="213" s="26" customFormat="1" customHeight="1" spans="1:14">
      <c r="A213" s="202">
        <v>10</v>
      </c>
      <c r="B213" s="203"/>
      <c r="C213" s="204" t="s">
        <v>314</v>
      </c>
      <c r="D213" s="205">
        <f>(2.4*2.12+2.3*0.9+1.1*0.68+8.37*3.8)*10.764</f>
        <v>427.459968</v>
      </c>
      <c r="E213" s="204">
        <v>0</v>
      </c>
      <c r="F213" s="204">
        <f t="shared" si="3"/>
        <v>427.459968</v>
      </c>
      <c r="G213" s="204">
        <v>0</v>
      </c>
      <c r="H213" s="204">
        <f t="shared" ref="H213" si="6">(F213+(IF(G213&lt;101,G213,IF(G213&lt;201,G213/2,IF(G213&lt;=301,G213/3,G213/4)))))*(($H$200)+1)</f>
        <v>641.189952</v>
      </c>
      <c r="I213" s="207"/>
      <c r="J213" s="207">
        <f>17000000/H287</f>
        <v>17350.9831126229</v>
      </c>
      <c r="N213" s="207"/>
    </row>
    <row r="214" s="26" customFormat="1" spans="1:14">
      <c r="A214" s="202">
        <v>1</v>
      </c>
      <c r="B214" s="203"/>
      <c r="C214" s="204" t="s">
        <v>315</v>
      </c>
      <c r="D214" s="205">
        <f>(15.87*15.45+3*1.35+1.65*1.45+2.45*1.39+1.3*0.35+1.3*0.98+1.9*1.42+0.97*1.3+0.88*1.3+3.85*2.77)*10.764</f>
        <v>2933.577504</v>
      </c>
      <c r="E214" s="204">
        <v>0</v>
      </c>
      <c r="F214" s="204">
        <f t="shared" si="3"/>
        <v>2933.577504</v>
      </c>
      <c r="G214" s="204">
        <v>0</v>
      </c>
      <c r="H214" s="204">
        <f t="shared" ref="H214:H216" si="7">(F214+(IF(G214&lt;101,G214,IF(G214&lt;201,G214/2,IF(G214&lt;=301,G214/3,G214/4)))))*(($H$200)+1)</f>
        <v>4400.366256</v>
      </c>
      <c r="I214" s="207"/>
      <c r="N214" s="207"/>
    </row>
    <row r="215" s="26" customFormat="1" spans="1:14">
      <c r="A215" s="202">
        <v>2</v>
      </c>
      <c r="B215" s="203"/>
      <c r="C215" s="204" t="s">
        <v>315</v>
      </c>
      <c r="D215" s="205">
        <f>(12.72*1.69+17.37*13.76+3.85*2.77+1.9*1.42+0.97*1.3+0.88*1.3+1.3*0.98+1.3*0.35+2.45*1.39)*10.764</f>
        <v>3029.09724</v>
      </c>
      <c r="E215" s="204">
        <v>0</v>
      </c>
      <c r="F215" s="204">
        <f t="shared" si="3"/>
        <v>3029.09724</v>
      </c>
      <c r="G215" s="204">
        <v>0</v>
      </c>
      <c r="H215" s="204">
        <f t="shared" si="7"/>
        <v>4543.64586</v>
      </c>
      <c r="I215" s="207"/>
      <c r="N215" s="207"/>
    </row>
    <row r="216" s="26" customFormat="1" customHeight="1" spans="1:14">
      <c r="A216" s="202">
        <v>11</v>
      </c>
      <c r="B216" s="203"/>
      <c r="C216" s="204" t="s">
        <v>314</v>
      </c>
      <c r="D216" s="205">
        <f>(8.37*3.75+2.4*2.08+2.3*0.9+1.1*0.68)*10.764</f>
        <v>421.92189</v>
      </c>
      <c r="E216" s="204">
        <v>0</v>
      </c>
      <c r="F216" s="204">
        <f t="shared" si="3"/>
        <v>421.92189</v>
      </c>
      <c r="G216" s="206">
        <v>0</v>
      </c>
      <c r="H216" s="204">
        <f t="shared" si="7"/>
        <v>632.882835</v>
      </c>
      <c r="I216" s="207"/>
      <c r="N216" s="207"/>
    </row>
    <row r="217" s="26" customFormat="1" ht="15.6" customHeight="1" spans="1:10">
      <c r="A217" s="202">
        <f>A216+1</f>
        <v>12</v>
      </c>
      <c r="B217" s="203"/>
      <c r="C217" s="204" t="s">
        <v>314</v>
      </c>
      <c r="D217" s="205">
        <f>(8.37*3.75+2.4*2.08+2.3*0.9+1.1*0.68)*10.764</f>
        <v>421.92189</v>
      </c>
      <c r="E217" s="204">
        <v>0</v>
      </c>
      <c r="F217" s="204">
        <f t="shared" si="3"/>
        <v>421.92189</v>
      </c>
      <c r="G217" s="204">
        <v>0</v>
      </c>
      <c r="H217" s="204">
        <f t="shared" ref="H217:H222" si="8">(F217+(IF(G217&lt;101,G217,IF(G217&lt;201,G217/2,IF(G217&lt;=301,G217/3,G217/4)))))*(($H$200)+1)</f>
        <v>632.882835</v>
      </c>
      <c r="J217" s="207"/>
    </row>
    <row r="218" s="26" customFormat="1" customHeight="1" spans="1:20">
      <c r="A218" s="202">
        <f>A217+1</f>
        <v>13</v>
      </c>
      <c r="B218" s="203"/>
      <c r="C218" s="204" t="s">
        <v>314</v>
      </c>
      <c r="D218" s="205">
        <f>(8.37*3.75+2.4*2.08+2.3*0.9+1.1*0.68)*10.764</f>
        <v>421.92189</v>
      </c>
      <c r="E218" s="204">
        <v>0</v>
      </c>
      <c r="F218" s="204">
        <f t="shared" si="3"/>
        <v>421.92189</v>
      </c>
      <c r="G218" s="204">
        <v>0</v>
      </c>
      <c r="H218" s="204">
        <f t="shared" si="8"/>
        <v>632.882835</v>
      </c>
      <c r="I218" s="207"/>
      <c r="N218" s="207"/>
      <c r="T218" s="28"/>
    </row>
    <row r="219" s="26" customFormat="1" customHeight="1" spans="1:14">
      <c r="A219" s="202">
        <f>A218+1</f>
        <v>14</v>
      </c>
      <c r="B219" s="203"/>
      <c r="C219" s="204" t="s">
        <v>314</v>
      </c>
      <c r="D219" s="205">
        <f>(8.37*3.75+2.4*2.08+2.3*0.9+1.1*0.68)*10.764</f>
        <v>421.92189</v>
      </c>
      <c r="E219" s="204">
        <v>0</v>
      </c>
      <c r="F219" s="204">
        <f t="shared" si="3"/>
        <v>421.92189</v>
      </c>
      <c r="G219" s="204">
        <v>0</v>
      </c>
      <c r="H219" s="204">
        <f t="shared" si="8"/>
        <v>632.882835</v>
      </c>
      <c r="I219" s="207"/>
      <c r="N219" s="207"/>
    </row>
    <row r="220" s="26" customFormat="1" customHeight="1" spans="1:14">
      <c r="A220" s="202">
        <v>15</v>
      </c>
      <c r="B220" s="203"/>
      <c r="C220" s="204" t="s">
        <v>314</v>
      </c>
      <c r="D220" s="205">
        <f>(8.37*3.75+2.4*2.08+2.3*0.9+1.1*0.68)*10.764</f>
        <v>421.92189</v>
      </c>
      <c r="E220" s="204">
        <v>0</v>
      </c>
      <c r="F220" s="204">
        <f t="shared" si="3"/>
        <v>421.92189</v>
      </c>
      <c r="G220" s="204">
        <v>0</v>
      </c>
      <c r="H220" s="204">
        <f t="shared" si="8"/>
        <v>632.882835</v>
      </c>
      <c r="I220" s="207"/>
      <c r="N220" s="207"/>
    </row>
    <row r="221" s="26" customFormat="1" customHeight="1" spans="1:20">
      <c r="A221" s="202">
        <f>A220+1</f>
        <v>16</v>
      </c>
      <c r="B221" s="203"/>
      <c r="C221" s="204" t="s">
        <v>314</v>
      </c>
      <c r="D221" s="205">
        <f>(6.95*3.75+4.75+2.4*2.08+2.3*0.9+1.1*0.67)*10.764</f>
        <v>415.614186</v>
      </c>
      <c r="E221" s="204">
        <v>0</v>
      </c>
      <c r="F221" s="204">
        <f t="shared" si="3"/>
        <v>415.614186</v>
      </c>
      <c r="G221" s="204">
        <v>0</v>
      </c>
      <c r="H221" s="204">
        <f t="shared" si="8"/>
        <v>623.421279</v>
      </c>
      <c r="I221" s="207"/>
      <c r="N221" s="207"/>
      <c r="T221" s="28"/>
    </row>
    <row r="222" s="26" customFormat="1" customHeight="1" spans="1:14">
      <c r="A222" s="202">
        <v>17</v>
      </c>
      <c r="B222" s="203"/>
      <c r="C222" s="204" t="s">
        <v>314</v>
      </c>
      <c r="D222" s="205">
        <f>(38.69+2.4*4.76+2.3*0.9+1.1*0.67)*10.764</f>
        <v>569.641644</v>
      </c>
      <c r="E222" s="204">
        <v>0</v>
      </c>
      <c r="F222" s="204">
        <f t="shared" si="3"/>
        <v>569.641644</v>
      </c>
      <c r="G222" s="206">
        <v>0</v>
      </c>
      <c r="H222" s="204">
        <f t="shared" si="8"/>
        <v>854.462466</v>
      </c>
      <c r="I222" s="207"/>
      <c r="N222" s="207"/>
    </row>
    <row r="223" s="26" customFormat="1" customHeight="1" spans="1:14">
      <c r="A223" s="202">
        <f>A222+1</f>
        <v>18</v>
      </c>
      <c r="B223" s="203"/>
      <c r="C223" s="204" t="s">
        <v>314</v>
      </c>
      <c r="D223" s="205">
        <f>(4.1*2+3.2*4.21+4.42*3.1+2.81*1.76+1.92*1.46)*10.764</f>
        <v>464.1738192</v>
      </c>
      <c r="E223" s="204">
        <v>0</v>
      </c>
      <c r="F223" s="204">
        <f t="shared" si="3"/>
        <v>464.1738192</v>
      </c>
      <c r="G223" s="204">
        <v>0</v>
      </c>
      <c r="H223" s="204">
        <f t="shared" ref="H223:H225" si="9">(F223+(IF(G223&lt;101,G223,IF(G223&lt;201,G223/2,IF(G223&lt;=301,G223/3,G223/4)))))*(($H$200)+1)</f>
        <v>696.2607288</v>
      </c>
      <c r="I223" s="207"/>
      <c r="N223" s="207"/>
    </row>
    <row r="224" s="26" customFormat="1" customHeight="1" spans="1:14">
      <c r="A224" s="202">
        <f>A223+1</f>
        <v>19</v>
      </c>
      <c r="B224" s="203"/>
      <c r="C224" s="204" t="s">
        <v>314</v>
      </c>
      <c r="D224" s="205">
        <f>(6.25*6.12+5.91*3.25+2.81*1.76+1.92*1.46)*10.764</f>
        <v>701.8806132</v>
      </c>
      <c r="E224" s="204">
        <v>0</v>
      </c>
      <c r="F224" s="204">
        <f t="shared" si="3"/>
        <v>701.8806132</v>
      </c>
      <c r="G224" s="204">
        <v>0</v>
      </c>
      <c r="H224" s="204">
        <f t="shared" si="9"/>
        <v>1052.8209198</v>
      </c>
      <c r="I224" s="207"/>
      <c r="N224" s="207"/>
    </row>
    <row r="225" s="26" customFormat="1" customHeight="1" spans="1:14">
      <c r="A225" s="202">
        <f>A224+1</f>
        <v>20</v>
      </c>
      <c r="B225" s="203"/>
      <c r="C225" s="204" t="s">
        <v>314</v>
      </c>
      <c r="D225" s="205">
        <f>(46.61+6.55*2.46+4.19*0.78)*10.764</f>
        <v>710.3292768</v>
      </c>
      <c r="E225" s="204">
        <v>0</v>
      </c>
      <c r="F225" s="204">
        <f t="shared" si="3"/>
        <v>710.3292768</v>
      </c>
      <c r="G225" s="204">
        <v>0</v>
      </c>
      <c r="H225" s="204">
        <f t="shared" si="9"/>
        <v>1065.4939152</v>
      </c>
      <c r="I225" s="207"/>
      <c r="N225" s="207"/>
    </row>
    <row r="226" s="26" customFormat="1" customHeight="1" spans="1:14">
      <c r="A226" s="199" t="s">
        <v>316</v>
      </c>
      <c r="B226" s="200"/>
      <c r="C226" s="200"/>
      <c r="D226" s="200"/>
      <c r="E226" s="200"/>
      <c r="F226" s="200"/>
      <c r="G226" s="200"/>
      <c r="H226" s="201"/>
      <c r="I226" s="207"/>
      <c r="N226" s="207"/>
    </row>
    <row r="227" s="26" customFormat="1" ht="15.6" customHeight="1" spans="1:10">
      <c r="A227" s="202">
        <v>1</v>
      </c>
      <c r="B227" s="203"/>
      <c r="C227" s="204" t="s">
        <v>314</v>
      </c>
      <c r="D227" s="205">
        <f>(1.5*2.44+1.55*2.44+1.68*1.73+1.38*1.01+4.27*2.1+1.34*2.25+2.41*1.15+3.5*1+3.11*2.7+2.8*0.9+2.83*0.3+2.75*6.11+3.11*1.21+3.5*1.72)*10.764</f>
        <v>735.6903372</v>
      </c>
      <c r="E227" s="204">
        <v>0</v>
      </c>
      <c r="F227" s="204">
        <f t="shared" ref="F227:F245" si="10">D227+(IF(E227&lt;201,E227,IF(E227&lt;301,E227/2,E227/3)))</f>
        <v>735.6903372</v>
      </c>
      <c r="G227" s="206">
        <v>0</v>
      </c>
      <c r="H227" s="204">
        <f>(F227+(IF(G227&lt;101,G227,IF(G227&lt;201,G227/2,IF(G227&lt;=301,G227/3,G227/4)))))*(($H$200)+1)</f>
        <v>1103.5355058</v>
      </c>
      <c r="J227" s="207"/>
    </row>
    <row r="228" s="26" customFormat="1" customHeight="1" spans="1:20">
      <c r="A228" s="202">
        <f>A227+1</f>
        <v>2</v>
      </c>
      <c r="B228" s="203"/>
      <c r="C228" s="204" t="s">
        <v>314</v>
      </c>
      <c r="D228" s="205">
        <f>(1.5*2.44+1.55*2.44+1.68*1.73+1.38*1.01+4.28*2.1+4.43*2.1+4.43*1.02+2.8*0.09+3.11*2.68+2.83*0.3+3.11*3.21+0.9*2)*10.764</f>
        <v>600.3158148</v>
      </c>
      <c r="E228" s="204">
        <v>0</v>
      </c>
      <c r="F228" s="204">
        <f t="shared" si="10"/>
        <v>600.3158148</v>
      </c>
      <c r="G228" s="204">
        <v>0</v>
      </c>
      <c r="H228" s="204">
        <f t="shared" ref="H228:H231" si="11">(F228+(IF(G228&lt;101,G228,IF(G228&lt;201,G228/2,IF(G228&lt;=301,G228/3,G228/4)))))*(($H$200)+1)</f>
        <v>900.4737222</v>
      </c>
      <c r="I228" s="207"/>
      <c r="N228" s="207"/>
      <c r="T228" s="28"/>
    </row>
    <row r="229" s="26" customFormat="1" customHeight="1" spans="1:14">
      <c r="A229" s="202">
        <f>A228+1</f>
        <v>3</v>
      </c>
      <c r="B229" s="203"/>
      <c r="C229" s="204" t="s">
        <v>314</v>
      </c>
      <c r="D229" s="205">
        <f>(5.05+5.29*0.4+5.39*2.45+14.57+1.05*1.85+4.03+1.1*1.58+1.2*0.9)*10.764</f>
        <v>470.731248</v>
      </c>
      <c r="E229" s="204">
        <v>0</v>
      </c>
      <c r="F229" s="204">
        <f t="shared" si="10"/>
        <v>470.731248</v>
      </c>
      <c r="G229" s="204">
        <v>0</v>
      </c>
      <c r="H229" s="204">
        <f t="shared" si="11"/>
        <v>706.096872</v>
      </c>
      <c r="I229" s="207"/>
      <c r="N229" s="207"/>
    </row>
    <row r="230" s="26" customFormat="1" customHeight="1" spans="1:14">
      <c r="A230" s="202">
        <f>A229+1</f>
        <v>4</v>
      </c>
      <c r="B230" s="203"/>
      <c r="C230" s="204" t="s">
        <v>314</v>
      </c>
      <c r="D230" s="205">
        <f>(7.96*3.52+1.11+8.33*0.22+2.4*1.85+1.1*1.58+1.2*0.9)*10.764</f>
        <v>411.3979272</v>
      </c>
      <c r="E230" s="204">
        <v>0</v>
      </c>
      <c r="F230" s="204">
        <f t="shared" si="10"/>
        <v>411.3979272</v>
      </c>
      <c r="G230" s="204">
        <v>0</v>
      </c>
      <c r="H230" s="204">
        <f t="shared" si="11"/>
        <v>617.0968908</v>
      </c>
      <c r="I230" s="207"/>
      <c r="N230" s="207"/>
    </row>
    <row r="231" s="26" customFormat="1" spans="1:14">
      <c r="A231" s="202">
        <v>5</v>
      </c>
      <c r="B231" s="203"/>
      <c r="C231" s="204" t="s">
        <v>314</v>
      </c>
      <c r="D231" s="205">
        <f>(8.3*0.22+8.37*3.52+2.4*1.85+1.1*1.58+1.2*0.9)*10.764</f>
        <v>414.9134496</v>
      </c>
      <c r="E231" s="204">
        <v>0</v>
      </c>
      <c r="F231" s="204">
        <f t="shared" si="10"/>
        <v>414.9134496</v>
      </c>
      <c r="G231" s="206">
        <v>0</v>
      </c>
      <c r="H231" s="204">
        <f t="shared" si="11"/>
        <v>622.3701744</v>
      </c>
      <c r="I231" s="207"/>
      <c r="N231" s="207"/>
    </row>
    <row r="232" s="26" customFormat="1" spans="1:14">
      <c r="A232" s="202">
        <f>A231+1</f>
        <v>6</v>
      </c>
      <c r="B232" s="203"/>
      <c r="C232" s="204" t="s">
        <v>314</v>
      </c>
      <c r="D232" s="205">
        <f>(8.3*0.22+8.37*3.52+2.4*1.85+1.1*1.58+1.2*0.9)*10.764</f>
        <v>414.9134496</v>
      </c>
      <c r="E232" s="204">
        <v>0</v>
      </c>
      <c r="F232" s="204">
        <f t="shared" si="10"/>
        <v>414.9134496</v>
      </c>
      <c r="G232" s="204">
        <v>0</v>
      </c>
      <c r="H232" s="204">
        <f t="shared" ref="H232:H235" si="12">(F232+(IF(G232&lt;101,G232,IF(G232&lt;201,G232/2,IF(G232&lt;=301,G232/3,G232/4)))))*(($H$200)+1)</f>
        <v>622.3701744</v>
      </c>
      <c r="I232" s="207"/>
      <c r="N232" s="207"/>
    </row>
    <row r="233" s="26" customFormat="1" ht="15.6" customHeight="1" spans="1:10">
      <c r="A233" s="202">
        <f>A232+1</f>
        <v>7</v>
      </c>
      <c r="B233" s="203"/>
      <c r="C233" s="204" t="s">
        <v>314</v>
      </c>
      <c r="D233" s="205">
        <f>(8.3*0.22+8.37*3.52+2.4*1.85+1.1*1.58+1.2*0.9)*10.764</f>
        <v>414.9134496</v>
      </c>
      <c r="E233" s="204">
        <v>0</v>
      </c>
      <c r="F233" s="204">
        <f t="shared" si="10"/>
        <v>414.9134496</v>
      </c>
      <c r="G233" s="204">
        <v>0</v>
      </c>
      <c r="H233" s="204">
        <f t="shared" si="12"/>
        <v>622.3701744</v>
      </c>
      <c r="J233" s="207"/>
    </row>
    <row r="234" s="26" customFormat="1" customHeight="1" spans="1:20">
      <c r="A234" s="202">
        <f>A233+1</f>
        <v>8</v>
      </c>
      <c r="B234" s="203"/>
      <c r="C234" s="204" t="s">
        <v>314</v>
      </c>
      <c r="D234" s="205">
        <f>(8.37*3.25+8.4*0.45+2.4*1.57+1.1*1.58+1.2*0.9)*10.764</f>
        <v>404.387334</v>
      </c>
      <c r="E234" s="204">
        <v>0</v>
      </c>
      <c r="F234" s="204">
        <f t="shared" si="10"/>
        <v>404.387334</v>
      </c>
      <c r="G234" s="204">
        <v>0</v>
      </c>
      <c r="H234" s="204">
        <f t="shared" si="12"/>
        <v>606.581001</v>
      </c>
      <c r="I234" s="207"/>
      <c r="N234" s="207"/>
      <c r="T234" s="28"/>
    </row>
    <row r="235" s="26" customFormat="1" customHeight="1" spans="1:14">
      <c r="A235" s="202">
        <v>9</v>
      </c>
      <c r="B235" s="203"/>
      <c r="C235" s="204" t="s">
        <v>314</v>
      </c>
      <c r="D235" s="205">
        <f>(8.37*3.1+8.4*0.6+2.4*1.42+1.1*1.58+1.2*0.9)*10.764</f>
        <v>400.560732</v>
      </c>
      <c r="E235" s="204">
        <v>0</v>
      </c>
      <c r="F235" s="204">
        <f t="shared" si="10"/>
        <v>400.560732</v>
      </c>
      <c r="G235" s="206">
        <v>0</v>
      </c>
      <c r="H235" s="204">
        <f t="shared" si="12"/>
        <v>600.841098</v>
      </c>
      <c r="I235" s="207"/>
      <c r="N235" s="207"/>
    </row>
    <row r="236" s="26" customFormat="1" spans="1:14">
      <c r="A236" s="202">
        <v>1</v>
      </c>
      <c r="B236" s="203"/>
      <c r="C236" s="204" t="s">
        <v>315</v>
      </c>
      <c r="D236" s="205">
        <f>(15.87*15.45+3*1.2+3*1.2+2.15*1.39+1.4*2.77+1.9*2.77+4*2.7)*10.764</f>
        <v>2963.555244</v>
      </c>
      <c r="E236" s="204">
        <v>0</v>
      </c>
      <c r="F236" s="204">
        <f t="shared" si="10"/>
        <v>2963.555244</v>
      </c>
      <c r="G236" s="204">
        <v>0</v>
      </c>
      <c r="H236" s="204">
        <f t="shared" ref="H236:H238" si="13">(F236+(IF(G236&lt;101,G236,IF(G236&lt;201,G236/2,IF(G236&lt;=301,G236/3,G236/4)))))*(($H$200)+1)</f>
        <v>4445.332866</v>
      </c>
      <c r="I236" s="207"/>
      <c r="N236" s="207"/>
    </row>
    <row r="237" s="26" customFormat="1" spans="1:14">
      <c r="A237" s="202">
        <v>2</v>
      </c>
      <c r="B237" s="203"/>
      <c r="C237" s="204" t="s">
        <v>315</v>
      </c>
      <c r="D237" s="205">
        <f>(18.45*13.45+12.72*1.69+4*2.7+1.9*2.77+1.4*2.77+2.15*1.39)*10.764</f>
        <v>3149.3182032</v>
      </c>
      <c r="E237" s="204">
        <v>0</v>
      </c>
      <c r="F237" s="204">
        <f t="shared" si="10"/>
        <v>3149.3182032</v>
      </c>
      <c r="G237" s="204">
        <v>0</v>
      </c>
      <c r="H237" s="204">
        <f t="shared" si="13"/>
        <v>4723.9773048</v>
      </c>
      <c r="I237" s="207"/>
      <c r="N237" s="207"/>
    </row>
    <row r="238" s="26" customFormat="1" customHeight="1" spans="1:14">
      <c r="A238" s="202">
        <v>11</v>
      </c>
      <c r="B238" s="203"/>
      <c r="C238" s="204" t="s">
        <v>314</v>
      </c>
      <c r="D238" s="205">
        <f>(8.37*3.53+8.3*0.14+2.4*1.85+1.1*1.58+1.2*0.9)*10.764</f>
        <v>408.6671004</v>
      </c>
      <c r="E238" s="204">
        <v>0</v>
      </c>
      <c r="F238" s="204">
        <f t="shared" si="10"/>
        <v>408.6671004</v>
      </c>
      <c r="G238" s="206">
        <v>0</v>
      </c>
      <c r="H238" s="204">
        <f t="shared" si="13"/>
        <v>613.0006506</v>
      </c>
      <c r="I238" s="207"/>
      <c r="N238" s="207"/>
    </row>
    <row r="239" s="26" customFormat="1" customHeight="1" spans="1:14">
      <c r="A239" s="202">
        <f>A238+1</f>
        <v>12</v>
      </c>
      <c r="B239" s="203"/>
      <c r="C239" s="204" t="s">
        <v>314</v>
      </c>
      <c r="D239" s="205">
        <f>(8.37*3.52+8.3*0.31+2.4*1.85+1.1*1.58+1.2*0.9)*10.764</f>
        <v>422.9541576</v>
      </c>
      <c r="E239" s="204">
        <v>0</v>
      </c>
      <c r="F239" s="204">
        <f t="shared" si="10"/>
        <v>422.9541576</v>
      </c>
      <c r="G239" s="204">
        <v>0</v>
      </c>
      <c r="H239" s="204">
        <f t="shared" ref="H239:H244" si="14">(F239+(IF(G239&lt;101,G239,IF(G239&lt;201,G239/2,IF(G239&lt;=301,G239/3,G239/4)))))*(($H$200)+1)</f>
        <v>634.4312364</v>
      </c>
      <c r="I239" s="207"/>
      <c r="N239" s="207"/>
    </row>
    <row r="240" s="26" customFormat="1" ht="15" customHeight="1" spans="1:10">
      <c r="A240" s="202">
        <f>A239+1</f>
        <v>13</v>
      </c>
      <c r="B240" s="203"/>
      <c r="C240" s="204" t="s">
        <v>314</v>
      </c>
      <c r="D240" s="205">
        <f>(8.3*0.23+8.37*3.52+2.4*1.84+1.2*0.9+1.1*1.58)*10.764</f>
        <v>415.5485256</v>
      </c>
      <c r="E240" s="204">
        <v>0</v>
      </c>
      <c r="F240" s="204">
        <f t="shared" si="10"/>
        <v>415.5485256</v>
      </c>
      <c r="G240" s="204">
        <v>0</v>
      </c>
      <c r="H240" s="204">
        <f t="shared" si="14"/>
        <v>623.3227884</v>
      </c>
      <c r="J240" s="207"/>
    </row>
    <row r="241" s="26" customFormat="1" customHeight="1" spans="1:14">
      <c r="A241" s="202">
        <f>A240+1</f>
        <v>14</v>
      </c>
      <c r="B241" s="203"/>
      <c r="C241" s="204" t="s">
        <v>314</v>
      </c>
      <c r="D241" s="205">
        <f>(8.3*0.23+8.37*3.52+2.4*1.84+1.2*0.9+1.1*1.58)*10.764</f>
        <v>415.5485256</v>
      </c>
      <c r="E241" s="204">
        <v>0</v>
      </c>
      <c r="F241" s="204">
        <f t="shared" si="10"/>
        <v>415.5485256</v>
      </c>
      <c r="G241" s="204">
        <v>0</v>
      </c>
      <c r="H241" s="204">
        <f t="shared" si="14"/>
        <v>623.3227884</v>
      </c>
      <c r="I241" s="207"/>
      <c r="N241" s="207"/>
    </row>
    <row r="242" s="26" customFormat="1" customHeight="1" spans="1:14">
      <c r="A242" s="202">
        <v>15</v>
      </c>
      <c r="B242" s="203"/>
      <c r="C242" s="204" t="s">
        <v>314</v>
      </c>
      <c r="D242" s="205">
        <f>(1.37*8.3*0.23+7.95*3.52+2.4*1.84+1.1*1.58+1.2*0.9)*10.764</f>
        <v>407.23796412</v>
      </c>
      <c r="E242" s="204">
        <v>0</v>
      </c>
      <c r="F242" s="204">
        <f t="shared" si="10"/>
        <v>407.23796412</v>
      </c>
      <c r="G242" s="204">
        <v>0</v>
      </c>
      <c r="H242" s="204">
        <f t="shared" si="14"/>
        <v>610.85694618</v>
      </c>
      <c r="I242" s="207"/>
      <c r="N242" s="207"/>
    </row>
    <row r="243" s="26" customFormat="1" customHeight="1" spans="1:14">
      <c r="A243" s="202">
        <f>A242+1</f>
        <v>16</v>
      </c>
      <c r="B243" s="203"/>
      <c r="C243" s="204" t="s">
        <v>314</v>
      </c>
      <c r="D243" s="205">
        <f>(4.69*5.35+2.4*1.86+1.1*1.58+1.2*0.9+1.05*2.01+3.3*2.6+14.54)*10.764</f>
        <v>620.049456</v>
      </c>
      <c r="E243" s="204">
        <v>0</v>
      </c>
      <c r="F243" s="204">
        <f t="shared" si="10"/>
        <v>620.049456</v>
      </c>
      <c r="G243" s="204">
        <v>0</v>
      </c>
      <c r="H243" s="204">
        <f t="shared" si="14"/>
        <v>930.074184</v>
      </c>
      <c r="I243" s="207"/>
      <c r="N243" s="207"/>
    </row>
    <row r="244" s="26" customFormat="1" customHeight="1" spans="1:14">
      <c r="A244" s="202">
        <v>17</v>
      </c>
      <c r="B244" s="203"/>
      <c r="C244" s="204" t="s">
        <v>314</v>
      </c>
      <c r="D244" s="205">
        <f>(4.1*2.06+3.11*2.75+3.2*4.56+1.22*1+1.07*2.1+1.38*2.74+1.55*0.71+1.85*1.73+1.5*2.44)*10.764</f>
        <v>503.7519708</v>
      </c>
      <c r="E244" s="204">
        <v>0</v>
      </c>
      <c r="F244" s="204">
        <f t="shared" si="10"/>
        <v>503.7519708</v>
      </c>
      <c r="G244" s="206">
        <v>0</v>
      </c>
      <c r="H244" s="204">
        <f t="shared" si="14"/>
        <v>755.6279562</v>
      </c>
      <c r="I244" s="207"/>
      <c r="N244" s="207"/>
    </row>
    <row r="245" s="26" customFormat="1" ht="15.6" customHeight="1" spans="1:10">
      <c r="A245" s="202">
        <f>A244+1</f>
        <v>18</v>
      </c>
      <c r="B245" s="203"/>
      <c r="C245" s="204" t="s">
        <v>314</v>
      </c>
      <c r="D245" s="205">
        <f>(6.25*2.05+0.28*1.21+2.83*1.41+2.75*4.06+2.92*2.8+1.64*1.15+0.28*2.7+0.77*3.25+1.34*2.25+3.5*3.1+1.37*2.74+1.85*1.73+1.55*0.71+1.5*2.44)*10.764</f>
        <v>723.4150716</v>
      </c>
      <c r="E245" s="204">
        <v>0</v>
      </c>
      <c r="F245" s="204">
        <f t="shared" si="10"/>
        <v>723.4150716</v>
      </c>
      <c r="G245" s="204">
        <v>0</v>
      </c>
      <c r="H245" s="204">
        <f t="shared" ref="H245" si="15">(F245+(IF(G245&lt;101,G245,IF(G245&lt;201,G245/2,IF(G245&lt;=301,G245/3,G245/4)))))*(($H$200)+1)</f>
        <v>1085.1226074</v>
      </c>
      <c r="J245" s="207"/>
    </row>
    <row r="246" s="26" customFormat="1" customHeight="1" spans="1:20">
      <c r="A246" s="199" t="s">
        <v>317</v>
      </c>
      <c r="B246" s="200"/>
      <c r="C246" s="200"/>
      <c r="D246" s="200"/>
      <c r="E246" s="200"/>
      <c r="F246" s="200"/>
      <c r="G246" s="200"/>
      <c r="H246" s="201"/>
      <c r="I246" s="207"/>
      <c r="N246" s="207"/>
      <c r="T246" s="28"/>
    </row>
    <row r="247" s="26" customFormat="1" customHeight="1" spans="1:14">
      <c r="A247" s="199" t="s">
        <v>318</v>
      </c>
      <c r="B247" s="200"/>
      <c r="C247" s="200"/>
      <c r="D247" s="200"/>
      <c r="E247" s="200"/>
      <c r="F247" s="200"/>
      <c r="G247" s="200"/>
      <c r="H247" s="201"/>
      <c r="I247" s="207"/>
      <c r="N247" s="207"/>
    </row>
    <row r="248" s="26" customFormat="1" customHeight="1" spans="1:14">
      <c r="A248" s="202">
        <v>1</v>
      </c>
      <c r="B248" s="203"/>
      <c r="C248" s="204" t="s">
        <v>314</v>
      </c>
      <c r="D248" s="205">
        <f>(1.61+2.4*2.04+4.7*6.14+1.35*0.6+1.53*3.53+3.87+2.4*1.85+1.6*1.58+1.1*0.67)*10.764</f>
        <v>572.1055236</v>
      </c>
      <c r="E248" s="204">
        <v>0</v>
      </c>
      <c r="F248" s="204">
        <f t="shared" ref="F248:F268" si="16">D248+(IF(E248&lt;201,E248,IF(E248&lt;301,E248/2,E248/3)))</f>
        <v>572.1055236</v>
      </c>
      <c r="G248" s="206">
        <v>0</v>
      </c>
      <c r="H248" s="204">
        <f>(F248+(IF(G248&lt;101,G248,IF(G248&lt;201,G248/2,IF(G248&lt;=301,G248/3,G248/4)))))*(($H$200)+1)</f>
        <v>858.1582854</v>
      </c>
      <c r="I248" s="207"/>
      <c r="N248" s="207"/>
    </row>
    <row r="249" s="26" customFormat="1" customHeight="1" spans="1:14">
      <c r="A249" s="202">
        <f>A248+1</f>
        <v>2</v>
      </c>
      <c r="B249" s="203"/>
      <c r="C249" s="204" t="s">
        <v>314</v>
      </c>
      <c r="D249" s="205">
        <f>(8.33*3.75+2.4*2.08+1.6*1.58+1.1*0.87)*10.764</f>
        <v>427.486878</v>
      </c>
      <c r="E249" s="204">
        <v>0</v>
      </c>
      <c r="F249" s="204">
        <f t="shared" si="16"/>
        <v>427.486878</v>
      </c>
      <c r="G249" s="204">
        <v>0</v>
      </c>
      <c r="H249" s="204">
        <f t="shared" ref="H249:H252" si="17">(F249+(IF(G249&lt;101,G249,IF(G249&lt;201,G249/2,IF(G249&lt;=301,G249/3,G249/4)))))*(($H$200)+1)</f>
        <v>641.230317</v>
      </c>
      <c r="I249" s="207"/>
      <c r="N249" s="207"/>
    </row>
    <row r="250" s="26" customFormat="1" customHeight="1" spans="1:14">
      <c r="A250" s="202">
        <f>A249+1</f>
        <v>3</v>
      </c>
      <c r="B250" s="203"/>
      <c r="C250" s="204" t="s">
        <v>314</v>
      </c>
      <c r="D250" s="205">
        <f t="shared" ref="D250:D262" si="18">(8.33*3.75+2.4*2.08+1.6*1.58+1.1*0.67)*10.764</f>
        <v>425.118798</v>
      </c>
      <c r="E250" s="204">
        <v>0</v>
      </c>
      <c r="F250" s="204">
        <f t="shared" si="16"/>
        <v>425.118798</v>
      </c>
      <c r="G250" s="204">
        <v>0</v>
      </c>
      <c r="H250" s="204">
        <f t="shared" si="17"/>
        <v>637.678197</v>
      </c>
      <c r="I250" s="207"/>
      <c r="J250" s="207">
        <f>18000000/H331</f>
        <v>18380.7162465166</v>
      </c>
      <c r="N250" s="207"/>
    </row>
    <row r="251" s="26" customFormat="1" customHeight="1" spans="1:14">
      <c r="A251" s="202">
        <f>A250+1</f>
        <v>4</v>
      </c>
      <c r="B251" s="203"/>
      <c r="C251" s="204" t="s">
        <v>314</v>
      </c>
      <c r="D251" s="205">
        <f t="shared" si="18"/>
        <v>425.118798</v>
      </c>
      <c r="E251" s="204">
        <v>0</v>
      </c>
      <c r="F251" s="204">
        <f t="shared" si="16"/>
        <v>425.118798</v>
      </c>
      <c r="G251" s="204">
        <v>0</v>
      </c>
      <c r="H251" s="204">
        <f t="shared" si="17"/>
        <v>637.678197</v>
      </c>
      <c r="I251" s="207"/>
      <c r="N251" s="207"/>
    </row>
    <row r="252" s="26" customFormat="1" spans="1:20">
      <c r="A252" s="202">
        <v>5</v>
      </c>
      <c r="B252" s="203"/>
      <c r="C252" s="204" t="s">
        <v>314</v>
      </c>
      <c r="D252" s="205">
        <f t="shared" si="18"/>
        <v>425.118798</v>
      </c>
      <c r="E252" s="204">
        <v>0</v>
      </c>
      <c r="F252" s="204">
        <f t="shared" si="16"/>
        <v>425.118798</v>
      </c>
      <c r="G252" s="206">
        <v>0</v>
      </c>
      <c r="H252" s="204">
        <f t="shared" si="17"/>
        <v>637.678197</v>
      </c>
      <c r="J252" s="207"/>
      <c r="T252" s="28"/>
    </row>
    <row r="253" s="26" customFormat="1" spans="1:20">
      <c r="A253" s="202">
        <f>A252+1</f>
        <v>6</v>
      </c>
      <c r="B253" s="203"/>
      <c r="C253" s="204" t="s">
        <v>314</v>
      </c>
      <c r="D253" s="205">
        <f t="shared" si="18"/>
        <v>425.118798</v>
      </c>
      <c r="E253" s="204">
        <v>0</v>
      </c>
      <c r="F253" s="204">
        <f t="shared" si="16"/>
        <v>425.118798</v>
      </c>
      <c r="G253" s="204">
        <v>0</v>
      </c>
      <c r="H253" s="204">
        <f t="shared" ref="H253:H256" si="19">(F253+(IF(G253&lt;101,G253,IF(G253&lt;201,G253/2,IF(G253&lt;=301,G253/3,G253/4)))))*(($H$200)+1)</f>
        <v>637.678197</v>
      </c>
      <c r="J253" s="207"/>
      <c r="T253" s="28"/>
    </row>
    <row r="254" s="26" customFormat="1" spans="1:20">
      <c r="A254" s="202">
        <f>A253+1</f>
        <v>7</v>
      </c>
      <c r="B254" s="203"/>
      <c r="C254" s="204" t="s">
        <v>314</v>
      </c>
      <c r="D254" s="205">
        <f t="shared" si="18"/>
        <v>425.118798</v>
      </c>
      <c r="E254" s="204">
        <v>0</v>
      </c>
      <c r="F254" s="204">
        <f t="shared" si="16"/>
        <v>425.118798</v>
      </c>
      <c r="G254" s="204">
        <v>0</v>
      </c>
      <c r="H254" s="204">
        <f t="shared" si="19"/>
        <v>637.678197</v>
      </c>
      <c r="J254" s="207"/>
      <c r="T254" s="28"/>
    </row>
    <row r="255" s="26" customFormat="1" spans="1:10">
      <c r="A255" s="202">
        <f>A254+1</f>
        <v>8</v>
      </c>
      <c r="B255" s="203"/>
      <c r="C255" s="204" t="s">
        <v>314</v>
      </c>
      <c r="D255" s="205">
        <f t="shared" si="18"/>
        <v>425.118798</v>
      </c>
      <c r="E255" s="204">
        <v>0</v>
      </c>
      <c r="F255" s="204">
        <f t="shared" si="16"/>
        <v>425.118798</v>
      </c>
      <c r="G255" s="204">
        <v>0</v>
      </c>
      <c r="H255" s="204">
        <f t="shared" si="19"/>
        <v>637.678197</v>
      </c>
      <c r="J255" s="207"/>
    </row>
    <row r="256" s="26" customFormat="1" customHeight="1" spans="1:20">
      <c r="A256" s="202">
        <v>9</v>
      </c>
      <c r="B256" s="203"/>
      <c r="C256" s="204" t="s">
        <v>314</v>
      </c>
      <c r="D256" s="205">
        <f t="shared" si="18"/>
        <v>425.118798</v>
      </c>
      <c r="E256" s="204">
        <v>0</v>
      </c>
      <c r="F256" s="204">
        <f t="shared" si="16"/>
        <v>425.118798</v>
      </c>
      <c r="G256" s="206">
        <v>0</v>
      </c>
      <c r="H256" s="204">
        <f t="shared" si="19"/>
        <v>637.678197</v>
      </c>
      <c r="I256" s="207">
        <f>1.25*0.17+1.35*2.72+3.05*4.95+1.15*2.65+3.2*2.44+3.05*3.15+1.42*0.6+3.51*3.06+0.85*1+3.2*4.06+2.28*1.38+1.38*2.28+1.38*2.27+3.1*1+2.13*1.08+2.15*1.08</f>
        <v>82.0274</v>
      </c>
      <c r="N256" s="207"/>
      <c r="T256" s="28"/>
    </row>
    <row r="257" s="26" customFormat="1" customHeight="1" spans="1:14">
      <c r="A257" s="202">
        <v>10</v>
      </c>
      <c r="B257" s="203"/>
      <c r="C257" s="204" t="s">
        <v>314</v>
      </c>
      <c r="D257" s="205">
        <f t="shared" si="18"/>
        <v>425.118798</v>
      </c>
      <c r="E257" s="204">
        <v>0</v>
      </c>
      <c r="F257" s="204">
        <f t="shared" si="16"/>
        <v>425.118798</v>
      </c>
      <c r="G257" s="204">
        <v>0</v>
      </c>
      <c r="H257" s="204">
        <f t="shared" ref="H257:H259" si="20">(F257+(IF(G257&lt;101,G257,IF(G257&lt;201,G257/2,IF(G257&lt;=301,G257/3,G257/4)))))*(($H$200)+1)</f>
        <v>637.678197</v>
      </c>
      <c r="I257" s="207"/>
      <c r="N257" s="207"/>
    </row>
    <row r="258" s="26" customFormat="1" customHeight="1" spans="1:14">
      <c r="A258" s="202">
        <v>11</v>
      </c>
      <c r="B258" s="203"/>
      <c r="C258" s="204" t="s">
        <v>314</v>
      </c>
      <c r="D258" s="205">
        <f t="shared" si="18"/>
        <v>425.118798</v>
      </c>
      <c r="E258" s="204">
        <v>0</v>
      </c>
      <c r="F258" s="204">
        <f t="shared" si="16"/>
        <v>425.118798</v>
      </c>
      <c r="G258" s="204">
        <v>0</v>
      </c>
      <c r="H258" s="204">
        <f t="shared" si="20"/>
        <v>637.678197</v>
      </c>
      <c r="I258" s="207"/>
      <c r="N258" s="207"/>
    </row>
    <row r="259" s="26" customFormat="1" customHeight="1" spans="1:14">
      <c r="A259" s="202">
        <v>12</v>
      </c>
      <c r="B259" s="203"/>
      <c r="C259" s="204" t="s">
        <v>314</v>
      </c>
      <c r="D259" s="205">
        <f t="shared" si="18"/>
        <v>425.118798</v>
      </c>
      <c r="E259" s="204">
        <v>0</v>
      </c>
      <c r="F259" s="204">
        <f t="shared" si="16"/>
        <v>425.118798</v>
      </c>
      <c r="G259" s="206">
        <v>0</v>
      </c>
      <c r="H259" s="204">
        <f t="shared" si="20"/>
        <v>637.678197</v>
      </c>
      <c r="I259" s="207"/>
      <c r="N259" s="207"/>
    </row>
    <row r="260" s="26" customFormat="1" customHeight="1" spans="1:14">
      <c r="A260" s="202">
        <f>A259+1</f>
        <v>13</v>
      </c>
      <c r="B260" s="203"/>
      <c r="C260" s="204" t="s">
        <v>314</v>
      </c>
      <c r="D260" s="205">
        <f t="shared" si="18"/>
        <v>425.118798</v>
      </c>
      <c r="E260" s="204">
        <v>0</v>
      </c>
      <c r="F260" s="204">
        <f t="shared" si="16"/>
        <v>425.118798</v>
      </c>
      <c r="G260" s="204">
        <v>0</v>
      </c>
      <c r="H260" s="204">
        <f t="shared" ref="H260:H264" si="21">(F260+(IF(G260&lt;101,G260,IF(G260&lt;201,G260/2,IF(G260&lt;=301,G260/3,G260/4)))))*(($H$200)+1)</f>
        <v>637.678197</v>
      </c>
      <c r="I260" s="207"/>
      <c r="N260" s="207"/>
    </row>
    <row r="261" s="26" customFormat="1" customHeight="1" spans="1:14">
      <c r="A261" s="202">
        <f>A260+1</f>
        <v>14</v>
      </c>
      <c r="B261" s="203"/>
      <c r="C261" s="204" t="s">
        <v>314</v>
      </c>
      <c r="D261" s="205">
        <f t="shared" si="18"/>
        <v>425.118798</v>
      </c>
      <c r="E261" s="204">
        <v>0</v>
      </c>
      <c r="F261" s="204">
        <f t="shared" si="16"/>
        <v>425.118798</v>
      </c>
      <c r="G261" s="204">
        <v>0</v>
      </c>
      <c r="H261" s="204">
        <f t="shared" si="21"/>
        <v>637.678197</v>
      </c>
      <c r="I261" s="207"/>
      <c r="N261" s="207"/>
    </row>
    <row r="262" s="26" customFormat="1" ht="15.6" customHeight="1" spans="1:10">
      <c r="A262" s="202">
        <f>A261+1</f>
        <v>15</v>
      </c>
      <c r="B262" s="203"/>
      <c r="C262" s="204" t="s">
        <v>314</v>
      </c>
      <c r="D262" s="205">
        <f t="shared" si="18"/>
        <v>425.118798</v>
      </c>
      <c r="E262" s="204">
        <v>0</v>
      </c>
      <c r="F262" s="204">
        <f t="shared" si="16"/>
        <v>425.118798</v>
      </c>
      <c r="G262" s="204">
        <v>0</v>
      </c>
      <c r="H262" s="204">
        <f t="shared" si="21"/>
        <v>637.678197</v>
      </c>
      <c r="J262" s="207"/>
    </row>
    <row r="263" s="26" customFormat="1" customHeight="1" spans="1:20">
      <c r="A263" s="202">
        <v>16</v>
      </c>
      <c r="B263" s="203"/>
      <c r="C263" s="204" t="s">
        <v>314</v>
      </c>
      <c r="D263" s="205">
        <f>(8.33*3.83+2.4*2.08+1.6*1.58+1.1*0.67)*10.764</f>
        <v>432.2919276</v>
      </c>
      <c r="E263" s="204">
        <v>0</v>
      </c>
      <c r="F263" s="204">
        <f t="shared" si="16"/>
        <v>432.2919276</v>
      </c>
      <c r="G263" s="204">
        <v>0</v>
      </c>
      <c r="H263" s="204">
        <f t="shared" si="21"/>
        <v>648.4378914</v>
      </c>
      <c r="I263" s="207"/>
      <c r="N263" s="207"/>
      <c r="T263" s="28"/>
    </row>
    <row r="264" s="26" customFormat="1" customHeight="1" spans="1:14">
      <c r="A264" s="202">
        <v>17</v>
      </c>
      <c r="B264" s="203"/>
      <c r="C264" s="204" t="s">
        <v>314</v>
      </c>
      <c r="D264" s="205">
        <f>(8.33*3.75+2.4*2.08+1.6*1.58+1.1*0.67)*10.764</f>
        <v>425.118798</v>
      </c>
      <c r="E264" s="204">
        <v>0</v>
      </c>
      <c r="F264" s="204">
        <f t="shared" si="16"/>
        <v>425.118798</v>
      </c>
      <c r="G264" s="206">
        <v>0</v>
      </c>
      <c r="H264" s="204">
        <f t="shared" si="21"/>
        <v>637.678197</v>
      </c>
      <c r="I264" s="207"/>
      <c r="N264" s="207"/>
    </row>
    <row r="265" s="26" customFormat="1" spans="1:14">
      <c r="A265" s="202">
        <f>A264+1</f>
        <v>18</v>
      </c>
      <c r="B265" s="203"/>
      <c r="C265" s="204" t="s">
        <v>314</v>
      </c>
      <c r="D265" s="205">
        <f>(8.33*3.75+2.4*2.08+1.6*1.58+1.1*0.67)*10.764</f>
        <v>425.118798</v>
      </c>
      <c r="E265" s="204">
        <v>0</v>
      </c>
      <c r="F265" s="204">
        <f t="shared" si="16"/>
        <v>425.118798</v>
      </c>
      <c r="G265" s="204">
        <v>0</v>
      </c>
      <c r="H265" s="204">
        <f t="shared" ref="H265:H268" si="22">(F265+(IF(G265&lt;101,G265,IF(G265&lt;201,G265/2,IF(G265&lt;=301,G265/3,G265/4)))))*(($H$200)+1)</f>
        <v>637.678197</v>
      </c>
      <c r="I265" s="207"/>
      <c r="N265" s="207"/>
    </row>
    <row r="266" s="26" customFormat="1" customHeight="1" spans="1:14">
      <c r="A266" s="202">
        <f>A265+1</f>
        <v>19</v>
      </c>
      <c r="B266" s="203"/>
      <c r="C266" s="204" t="s">
        <v>314</v>
      </c>
      <c r="D266" s="205">
        <f>(8.33*3.75+2.4*2.08+1.6*1.58+1.1*0.67)*10.764</f>
        <v>425.118798</v>
      </c>
      <c r="E266" s="204">
        <v>0</v>
      </c>
      <c r="F266" s="204">
        <f t="shared" si="16"/>
        <v>425.118798</v>
      </c>
      <c r="G266" s="204">
        <v>0</v>
      </c>
      <c r="H266" s="204">
        <f t="shared" si="22"/>
        <v>637.678197</v>
      </c>
      <c r="I266" s="207"/>
      <c r="N266" s="207"/>
    </row>
    <row r="267" s="26" customFormat="1" customHeight="1" spans="1:14">
      <c r="A267" s="202">
        <f>A266+1</f>
        <v>20</v>
      </c>
      <c r="B267" s="203"/>
      <c r="C267" s="204" t="s">
        <v>314</v>
      </c>
      <c r="D267" s="205">
        <f>(8.33*3.75+2.4*2.08+1.6*1.58+1.1*0.67)*10.764</f>
        <v>425.118798</v>
      </c>
      <c r="E267" s="204">
        <v>0</v>
      </c>
      <c r="F267" s="204">
        <f t="shared" si="16"/>
        <v>425.118798</v>
      </c>
      <c r="G267" s="204">
        <v>0</v>
      </c>
      <c r="H267" s="204">
        <f t="shared" si="22"/>
        <v>637.678197</v>
      </c>
      <c r="I267" s="207"/>
      <c r="N267" s="207"/>
    </row>
    <row r="268" s="26" customFormat="1" customHeight="1" spans="1:14">
      <c r="A268" s="202">
        <v>21</v>
      </c>
      <c r="B268" s="203"/>
      <c r="C268" s="204" t="s">
        <v>314</v>
      </c>
      <c r="D268" s="205">
        <f>(9.16+1.61+4.72*6.54+1.35*0.6+1.35*0.6+2.4*1.86+1.6*1.58+1.1*0.67)*10.764</f>
        <v>548.8326792</v>
      </c>
      <c r="E268" s="204">
        <v>0</v>
      </c>
      <c r="F268" s="204">
        <f t="shared" si="16"/>
        <v>548.8326792</v>
      </c>
      <c r="G268" s="204">
        <v>0</v>
      </c>
      <c r="H268" s="204">
        <f t="shared" si="22"/>
        <v>823.2490188</v>
      </c>
      <c r="I268" s="207"/>
      <c r="J268" s="26">
        <f>9900000/H349</f>
        <v>15241.9946549927</v>
      </c>
      <c r="N268" s="207"/>
    </row>
    <row r="269" s="26" customFormat="1" ht="15.6" customHeight="1" spans="1:10">
      <c r="A269" s="202"/>
      <c r="B269" s="208"/>
      <c r="C269" s="208"/>
      <c r="D269" s="208"/>
      <c r="E269" s="208"/>
      <c r="F269" s="208"/>
      <c r="G269" s="208"/>
      <c r="H269" s="203"/>
      <c r="J269" s="207"/>
    </row>
    <row r="270" s="26" customFormat="1" ht="55.5" customHeight="1" spans="1:20">
      <c r="A270" s="209" t="s">
        <v>319</v>
      </c>
      <c r="B270" s="188" t="s">
        <v>320</v>
      </c>
      <c r="C270" s="188" t="s">
        <v>306</v>
      </c>
      <c r="D270" s="188" t="s">
        <v>307</v>
      </c>
      <c r="E270" s="188" t="s">
        <v>321</v>
      </c>
      <c r="F270" s="188" t="s">
        <v>309</v>
      </c>
      <c r="G270" s="189" t="s">
        <v>310</v>
      </c>
      <c r="H270" s="188" t="s">
        <v>311</v>
      </c>
      <c r="I270" s="207"/>
      <c r="N270" s="207"/>
      <c r="T270" s="28"/>
    </row>
    <row r="271" s="26" customFormat="1" customHeight="1" spans="1:14">
      <c r="A271" s="210"/>
      <c r="B271" s="190"/>
      <c r="C271" s="190"/>
      <c r="D271" s="190"/>
      <c r="E271" s="190"/>
      <c r="F271" s="190"/>
      <c r="G271" s="191"/>
      <c r="H271" s="192">
        <v>0.5</v>
      </c>
      <c r="I271" s="207"/>
      <c r="N271" s="207"/>
    </row>
    <row r="272" s="26" customFormat="1" customHeight="1" spans="1:14">
      <c r="A272" s="193" t="s">
        <v>322</v>
      </c>
      <c r="B272" s="194"/>
      <c r="C272" s="194"/>
      <c r="D272" s="194"/>
      <c r="E272" s="194"/>
      <c r="F272" s="194"/>
      <c r="G272" s="194"/>
      <c r="H272" s="195"/>
      <c r="I272" s="207"/>
      <c r="N272" s="207"/>
    </row>
    <row r="273" s="26" customFormat="1" customHeight="1" spans="1:14">
      <c r="A273" s="196" t="s">
        <v>293</v>
      </c>
      <c r="B273" s="197"/>
      <c r="C273" s="197"/>
      <c r="D273" s="197"/>
      <c r="E273" s="197"/>
      <c r="F273" s="197"/>
      <c r="G273" s="197"/>
      <c r="H273" s="198"/>
      <c r="I273" s="207"/>
      <c r="N273" s="207"/>
    </row>
    <row r="274" s="26" customFormat="1" customHeight="1" spans="1:14">
      <c r="A274" s="199" t="s">
        <v>323</v>
      </c>
      <c r="B274" s="200"/>
      <c r="C274" s="200"/>
      <c r="D274" s="200"/>
      <c r="E274" s="200"/>
      <c r="F274" s="200"/>
      <c r="G274" s="200"/>
      <c r="H274" s="201"/>
      <c r="I274" s="207"/>
      <c r="N274" s="207"/>
    </row>
    <row r="275" s="26" customFormat="1" customHeight="1" spans="1:14">
      <c r="A275" s="199" t="s">
        <v>324</v>
      </c>
      <c r="B275" s="200"/>
      <c r="C275" s="200"/>
      <c r="D275" s="200"/>
      <c r="E275" s="200"/>
      <c r="F275" s="200"/>
      <c r="G275" s="200"/>
      <c r="H275" s="201"/>
      <c r="I275" s="207"/>
      <c r="N275" s="207"/>
    </row>
    <row r="276" s="26" customFormat="1" ht="15.6" customHeight="1" spans="1:10">
      <c r="A276" s="199" t="s">
        <v>325</v>
      </c>
      <c r="B276" s="200"/>
      <c r="C276" s="200"/>
      <c r="D276" s="200"/>
      <c r="E276" s="200"/>
      <c r="F276" s="200"/>
      <c r="G276" s="200"/>
      <c r="H276" s="201"/>
      <c r="J276" s="207"/>
    </row>
    <row r="277" s="26" customFormat="1" customHeight="1" spans="1:20">
      <c r="A277" s="211" t="s">
        <v>326</v>
      </c>
      <c r="B277" s="212"/>
      <c r="C277" s="212"/>
      <c r="D277" s="212"/>
      <c r="E277" s="212"/>
      <c r="F277" s="212"/>
      <c r="G277" s="212"/>
      <c r="H277" s="213"/>
      <c r="I277" s="207"/>
      <c r="N277" s="207"/>
      <c r="T277" s="28"/>
    </row>
    <row r="278" s="26" customFormat="1" customHeight="1" spans="1:14">
      <c r="A278" s="214">
        <v>1</v>
      </c>
      <c r="B278" s="215"/>
      <c r="C278" s="216" t="s">
        <v>327</v>
      </c>
      <c r="D278" s="217"/>
      <c r="E278" s="217"/>
      <c r="F278" s="217"/>
      <c r="G278" s="217"/>
      <c r="H278" s="218"/>
      <c r="I278" s="207"/>
      <c r="N278" s="207"/>
    </row>
    <row r="279" s="26" customFormat="1" customHeight="1" spans="1:14">
      <c r="A279" s="214">
        <f>A278+1</f>
        <v>2</v>
      </c>
      <c r="B279" s="215"/>
      <c r="C279" s="219"/>
      <c r="D279" s="220"/>
      <c r="E279" s="220"/>
      <c r="F279" s="220"/>
      <c r="G279" s="220"/>
      <c r="H279" s="221"/>
      <c r="I279" s="207"/>
      <c r="N279" s="207"/>
    </row>
    <row r="280" s="26" customFormat="1" customHeight="1" spans="1:14">
      <c r="A280" s="214">
        <f>A279+1</f>
        <v>3</v>
      </c>
      <c r="B280" s="215"/>
      <c r="C280" s="219"/>
      <c r="D280" s="220"/>
      <c r="E280" s="220"/>
      <c r="F280" s="220"/>
      <c r="G280" s="220"/>
      <c r="H280" s="221"/>
      <c r="I280" s="207"/>
      <c r="N280" s="207"/>
    </row>
    <row r="281" s="26" customFormat="1" customHeight="1" spans="1:14">
      <c r="A281" s="214">
        <f>A280+1</f>
        <v>4</v>
      </c>
      <c r="B281" s="215"/>
      <c r="C281" s="222"/>
      <c r="D281" s="223"/>
      <c r="E281" s="223"/>
      <c r="F281" s="223"/>
      <c r="G281" s="223"/>
      <c r="H281" s="224"/>
      <c r="I281" s="207"/>
      <c r="N281" s="207"/>
    </row>
    <row r="282" s="26" customFormat="1" customHeight="1" spans="1:14">
      <c r="A282" s="214">
        <f>A281+1</f>
        <v>5</v>
      </c>
      <c r="B282" s="215"/>
      <c r="C282" s="225" t="s">
        <v>328</v>
      </c>
      <c r="D282" s="205">
        <f>(58.32)*10.764</f>
        <v>627.75648</v>
      </c>
      <c r="E282" s="205">
        <f>(2.2*1.06)*10.764</f>
        <v>25.101648</v>
      </c>
      <c r="F282" s="225">
        <f>D282+E282</f>
        <v>652.858128</v>
      </c>
      <c r="G282" s="225">
        <v>0</v>
      </c>
      <c r="H282" s="225">
        <f>F282*(($H$271)+1)+(IF(G282&lt;101,G282,IF(G282&lt;201,G282/2,IF(G282&lt;=301,G282/3,G282/4))))</f>
        <v>979.287192</v>
      </c>
      <c r="I282" s="207"/>
      <c r="N282" s="207"/>
    </row>
    <row r="283" s="26" customFormat="1" ht="15.6" customHeight="1" spans="1:10">
      <c r="A283" s="214">
        <f>A282+1</f>
        <v>6</v>
      </c>
      <c r="B283" s="215"/>
      <c r="C283" s="214" t="s">
        <v>327</v>
      </c>
      <c r="D283" s="226"/>
      <c r="E283" s="226"/>
      <c r="F283" s="226"/>
      <c r="G283" s="226"/>
      <c r="H283" s="215"/>
      <c r="J283" s="207"/>
    </row>
    <row r="284" s="26" customFormat="1" customHeight="1" spans="1:20">
      <c r="A284" s="211" t="s">
        <v>329</v>
      </c>
      <c r="B284" s="212"/>
      <c r="C284" s="212"/>
      <c r="D284" s="212"/>
      <c r="E284" s="212"/>
      <c r="F284" s="212"/>
      <c r="G284" s="212"/>
      <c r="H284" s="213"/>
      <c r="I284" s="207"/>
      <c r="N284" s="207"/>
      <c r="T284" s="28"/>
    </row>
    <row r="285" s="26" customFormat="1" customHeight="1" spans="1:14">
      <c r="A285" s="214">
        <v>1</v>
      </c>
      <c r="B285" s="215"/>
      <c r="C285" s="214" t="s">
        <v>327</v>
      </c>
      <c r="D285" s="226"/>
      <c r="E285" s="226"/>
      <c r="F285" s="226"/>
      <c r="G285" s="226"/>
      <c r="H285" s="215"/>
      <c r="I285" s="207"/>
      <c r="N285" s="207"/>
    </row>
    <row r="286" s="26" customFormat="1" customHeight="1" spans="1:14">
      <c r="A286" s="214">
        <f>A285+1</f>
        <v>2</v>
      </c>
      <c r="B286" s="215"/>
      <c r="C286" s="225" t="s">
        <v>330</v>
      </c>
      <c r="D286" s="205">
        <f>(93.41)*10.764</f>
        <v>1005.46524</v>
      </c>
      <c r="E286" s="205">
        <f>(2.47*1.1+2.5*1.05)*10.764</f>
        <v>57.501288</v>
      </c>
      <c r="F286" s="225">
        <f>D286+E286</f>
        <v>1062.966528</v>
      </c>
      <c r="G286" s="225">
        <v>0</v>
      </c>
      <c r="H286" s="225">
        <f>F286*(($H$271)+1)+(IF(G286&lt;101,G286,IF(G286&lt;201,G286/2,IF(G286&lt;=301,G286/3,G286/4))))</f>
        <v>1594.449792</v>
      </c>
      <c r="I286" s="207"/>
      <c r="N286" s="207"/>
    </row>
    <row r="287" s="26" customFormat="1" customHeight="1" spans="1:14">
      <c r="A287" s="214">
        <f>A286+1</f>
        <v>3</v>
      </c>
      <c r="B287" s="215"/>
      <c r="C287" s="225" t="s">
        <v>328</v>
      </c>
      <c r="D287" s="205">
        <f>(58.35)*10.764</f>
        <v>628.0794</v>
      </c>
      <c r="E287" s="205">
        <f>(2.2*1.06)*10.764</f>
        <v>25.101648</v>
      </c>
      <c r="F287" s="225">
        <f>D287+E287</f>
        <v>653.181048</v>
      </c>
      <c r="G287" s="225">
        <v>0</v>
      </c>
      <c r="H287" s="225">
        <f>F287*(($H$271)+1)+(IF(G287&lt;101,G287,IF(G287&lt;201,G287/2,IF(G287&lt;=301,G287/3,G287/4))))</f>
        <v>979.771572</v>
      </c>
      <c r="I287" s="207"/>
      <c r="N287" s="207"/>
    </row>
    <row r="288" s="26" customFormat="1" customHeight="1" spans="1:14">
      <c r="A288" s="214">
        <f>A287+1</f>
        <v>4</v>
      </c>
      <c r="B288" s="215"/>
      <c r="C288" s="225" t="s">
        <v>328</v>
      </c>
      <c r="D288" s="205">
        <f>(58.35)*10.764</f>
        <v>628.0794</v>
      </c>
      <c r="E288" s="205">
        <f>(2.2*1.06)*10.764</f>
        <v>25.101648</v>
      </c>
      <c r="F288" s="225">
        <f>D288+E288</f>
        <v>653.181048</v>
      </c>
      <c r="G288" s="225">
        <v>0</v>
      </c>
      <c r="H288" s="225">
        <f>F288*(($H$271)+1)+(IF(G288&lt;101,G288,IF(G288&lt;201,G288/2,IF(G288&lt;=301,G288/3,G288/4))))</f>
        <v>979.771572</v>
      </c>
      <c r="I288" s="207"/>
      <c r="N288" s="207"/>
    </row>
    <row r="289" s="26" customFormat="1" customHeight="1" spans="1:14">
      <c r="A289" s="214">
        <f>A288+1</f>
        <v>5</v>
      </c>
      <c r="B289" s="215"/>
      <c r="C289" s="225" t="s">
        <v>328</v>
      </c>
      <c r="D289" s="205">
        <f>(58.32)*10.764</f>
        <v>627.75648</v>
      </c>
      <c r="E289" s="205">
        <f>(2.2*1.06)*10.764</f>
        <v>25.101648</v>
      </c>
      <c r="F289" s="225">
        <f>D289+E289</f>
        <v>652.858128</v>
      </c>
      <c r="G289" s="225">
        <v>0</v>
      </c>
      <c r="H289" s="225">
        <f>F289*(($H$271)+1)+(IF(G289&lt;101,G289,IF(G289&lt;201,G289/2,IF(G289&lt;=301,G289/3,G289/4))))</f>
        <v>979.287192</v>
      </c>
      <c r="I289" s="207"/>
      <c r="N289" s="207"/>
    </row>
    <row r="290" s="26" customFormat="1" ht="15.6" customHeight="1" spans="1:10">
      <c r="A290" s="214">
        <f>A289+1</f>
        <v>6</v>
      </c>
      <c r="B290" s="215"/>
      <c r="C290" s="214" t="s">
        <v>327</v>
      </c>
      <c r="D290" s="226"/>
      <c r="E290" s="226"/>
      <c r="F290" s="226"/>
      <c r="G290" s="226"/>
      <c r="H290" s="215"/>
      <c r="J290" s="207"/>
    </row>
    <row r="291" s="26" customFormat="1" customHeight="1" spans="1:20">
      <c r="A291" s="211" t="s">
        <v>331</v>
      </c>
      <c r="B291" s="212"/>
      <c r="C291" s="212"/>
      <c r="D291" s="212"/>
      <c r="E291" s="212"/>
      <c r="F291" s="212"/>
      <c r="G291" s="212"/>
      <c r="H291" s="213"/>
      <c r="I291" s="207"/>
      <c r="N291" s="207"/>
      <c r="T291" s="28"/>
    </row>
    <row r="292" s="26" customFormat="1" customHeight="1" spans="1:14">
      <c r="A292" s="214">
        <v>1</v>
      </c>
      <c r="B292" s="215"/>
      <c r="C292" s="214" t="s">
        <v>327</v>
      </c>
      <c r="D292" s="226"/>
      <c r="E292" s="226"/>
      <c r="F292" s="226"/>
      <c r="G292" s="226"/>
      <c r="H292" s="215"/>
      <c r="I292" s="207"/>
      <c r="N292" s="207"/>
    </row>
    <row r="293" s="26" customFormat="1" customHeight="1" spans="1:14">
      <c r="A293" s="214">
        <f>A292+1</f>
        <v>2</v>
      </c>
      <c r="B293" s="215"/>
      <c r="C293" s="225" t="s">
        <v>330</v>
      </c>
      <c r="D293" s="205">
        <f>(93.41)*10.764</f>
        <v>1005.46524</v>
      </c>
      <c r="E293" s="205">
        <f>(2.47*1.1+2.5*1.05)*10.764</f>
        <v>57.501288</v>
      </c>
      <c r="F293" s="225">
        <f>D293+E293</f>
        <v>1062.966528</v>
      </c>
      <c r="G293" s="225">
        <v>0</v>
      </c>
      <c r="H293" s="225">
        <f>F293*(($H$271)+1)+(IF(G293&lt;101,G293,IF(G293&lt;201,G293/2,IF(G293&lt;=301,G293/3,G293/4))))</f>
        <v>1594.449792</v>
      </c>
      <c r="I293" s="207"/>
      <c r="N293" s="207"/>
    </row>
    <row r="294" s="26" customFormat="1" customHeight="1" spans="1:14">
      <c r="A294" s="214">
        <f>A293+1</f>
        <v>3</v>
      </c>
      <c r="B294" s="215"/>
      <c r="C294" s="225" t="s">
        <v>328</v>
      </c>
      <c r="D294" s="205">
        <f>(58.35)*10.764</f>
        <v>628.0794</v>
      </c>
      <c r="E294" s="205">
        <f>(2.2*1.06)*10.764</f>
        <v>25.101648</v>
      </c>
      <c r="F294" s="225">
        <f>D294+E294</f>
        <v>653.181048</v>
      </c>
      <c r="G294" s="225">
        <v>0</v>
      </c>
      <c r="H294" s="225">
        <f>F294*(($H$271)+1)+(IF(G294&lt;101,G294,IF(G294&lt;201,G294/2,IF(G294&lt;=301,G294/3,G294/4))))</f>
        <v>979.771572</v>
      </c>
      <c r="I294" s="207"/>
      <c r="N294" s="207"/>
    </row>
    <row r="295" s="26" customFormat="1" customHeight="1" spans="1:14">
      <c r="A295" s="214">
        <f>A294+1</f>
        <v>4</v>
      </c>
      <c r="B295" s="215"/>
      <c r="C295" s="225" t="s">
        <v>328</v>
      </c>
      <c r="D295" s="205">
        <f>(58.35)*10.764</f>
        <v>628.0794</v>
      </c>
      <c r="E295" s="205">
        <f>(2.2*1.06)*10.764</f>
        <v>25.101648</v>
      </c>
      <c r="F295" s="225">
        <f>D295+E295</f>
        <v>653.181048</v>
      </c>
      <c r="G295" s="225">
        <v>0</v>
      </c>
      <c r="H295" s="225">
        <f>F295*(($H$271)+1)+(IF(G295&lt;101,G295,IF(G295&lt;201,G295/2,IF(G295&lt;=301,G295/3,G295/4))))</f>
        <v>979.771572</v>
      </c>
      <c r="I295" s="207"/>
      <c r="N295" s="207"/>
    </row>
    <row r="296" s="26" customFormat="1" customHeight="1" spans="1:14">
      <c r="A296" s="214">
        <f>A295+1</f>
        <v>5</v>
      </c>
      <c r="B296" s="215"/>
      <c r="C296" s="225" t="s">
        <v>328</v>
      </c>
      <c r="D296" s="205">
        <f>(58.32)*10.764</f>
        <v>627.75648</v>
      </c>
      <c r="E296" s="205">
        <f>(2.2*1.06)*10.764</f>
        <v>25.101648</v>
      </c>
      <c r="F296" s="225">
        <f>D296+E296</f>
        <v>652.858128</v>
      </c>
      <c r="G296" s="225">
        <v>0</v>
      </c>
      <c r="H296" s="225">
        <f>F296*(($H$271)+1)+(IF(G296&lt;101,G296,IF(G296&lt;201,G296/2,IF(G296&lt;=301,G296/3,G296/4))))</f>
        <v>979.287192</v>
      </c>
      <c r="I296" s="207"/>
      <c r="N296" s="207"/>
    </row>
    <row r="297" s="26" customFormat="1" ht="15.6" customHeight="1" spans="1:10">
      <c r="A297" s="214">
        <f>A296+1</f>
        <v>6</v>
      </c>
      <c r="B297" s="215"/>
      <c r="C297" s="214" t="s">
        <v>327</v>
      </c>
      <c r="D297" s="226"/>
      <c r="E297" s="226"/>
      <c r="F297" s="226"/>
      <c r="G297" s="226"/>
      <c r="H297" s="215"/>
      <c r="J297" s="207"/>
    </row>
    <row r="298" s="26" customFormat="1" customHeight="1" spans="1:20">
      <c r="A298" s="211" t="s">
        <v>332</v>
      </c>
      <c r="B298" s="212"/>
      <c r="C298" s="212"/>
      <c r="D298" s="212"/>
      <c r="E298" s="212"/>
      <c r="F298" s="212"/>
      <c r="G298" s="212"/>
      <c r="H298" s="213"/>
      <c r="I298" s="207"/>
      <c r="N298" s="207"/>
      <c r="T298" s="28"/>
    </row>
    <row r="299" s="26" customFormat="1" customHeight="1" spans="1:14">
      <c r="A299" s="214">
        <v>1</v>
      </c>
      <c r="B299" s="215"/>
      <c r="C299" s="214" t="s">
        <v>327</v>
      </c>
      <c r="D299" s="226"/>
      <c r="E299" s="226"/>
      <c r="F299" s="226"/>
      <c r="G299" s="226"/>
      <c r="H299" s="215"/>
      <c r="I299" s="207"/>
      <c r="N299" s="207"/>
    </row>
    <row r="300" s="26" customFormat="1" customHeight="1" spans="1:14">
      <c r="A300" s="214">
        <f>A299+1</f>
        <v>2</v>
      </c>
      <c r="B300" s="215"/>
      <c r="C300" s="225" t="s">
        <v>330</v>
      </c>
      <c r="D300" s="205">
        <f>(93.41)*10.764</f>
        <v>1005.46524</v>
      </c>
      <c r="E300" s="205">
        <f>(2.47*1.1+2.5*1.05)*10.764</f>
        <v>57.501288</v>
      </c>
      <c r="F300" s="225">
        <f>D300+E300</f>
        <v>1062.966528</v>
      </c>
      <c r="G300" s="225">
        <v>0</v>
      </c>
      <c r="H300" s="225">
        <f>F300*(($H$271)+1)+(IF(G300&lt;101,G300,IF(G300&lt;201,G300/2,IF(G300&lt;=301,G300/3,G300/4))))</f>
        <v>1594.449792</v>
      </c>
      <c r="I300" s="207"/>
      <c r="N300" s="207"/>
    </row>
    <row r="301" s="26" customFormat="1" customHeight="1" spans="1:14">
      <c r="A301" s="214">
        <f>A300+1</f>
        <v>3</v>
      </c>
      <c r="B301" s="215"/>
      <c r="C301" s="225" t="s">
        <v>328</v>
      </c>
      <c r="D301" s="205">
        <f>(58.35)*10.764</f>
        <v>628.0794</v>
      </c>
      <c r="E301" s="205">
        <f>(2.2*1.06)*10.764</f>
        <v>25.101648</v>
      </c>
      <c r="F301" s="225">
        <f>D301+E301</f>
        <v>653.181048</v>
      </c>
      <c r="G301" s="225">
        <v>0</v>
      </c>
      <c r="H301" s="225">
        <f>F301*(($H$271)+1)+(IF(G301&lt;101,G301,IF(G301&lt;201,G301/2,IF(G301&lt;=301,G301/3,G301/4))))</f>
        <v>979.771572</v>
      </c>
      <c r="I301" s="207"/>
      <c r="N301" s="207"/>
    </row>
    <row r="302" s="26" customFormat="1" customHeight="1" spans="1:14">
      <c r="A302" s="214">
        <f>A301+1</f>
        <v>4</v>
      </c>
      <c r="B302" s="215"/>
      <c r="C302" s="225" t="s">
        <v>328</v>
      </c>
      <c r="D302" s="205">
        <f>(58.35)*10.764</f>
        <v>628.0794</v>
      </c>
      <c r="E302" s="205">
        <f>(2.2*1.06)*10.764</f>
        <v>25.101648</v>
      </c>
      <c r="F302" s="225">
        <f>D302+E302</f>
        <v>653.181048</v>
      </c>
      <c r="G302" s="225">
        <v>0</v>
      </c>
      <c r="H302" s="225">
        <f>F302*(($H$271)+1)+(IF(G302&lt;101,G302,IF(G302&lt;201,G302/2,IF(G302&lt;=301,G302/3,G302/4))))</f>
        <v>979.771572</v>
      </c>
      <c r="I302" s="207"/>
      <c r="N302" s="207"/>
    </row>
    <row r="303" s="26" customFormat="1" customHeight="1" spans="1:14">
      <c r="A303" s="214">
        <f>A302+1</f>
        <v>5</v>
      </c>
      <c r="B303" s="215"/>
      <c r="C303" s="225" t="s">
        <v>328</v>
      </c>
      <c r="D303" s="205">
        <f>(58.32)*10.764</f>
        <v>627.75648</v>
      </c>
      <c r="E303" s="205">
        <f>(2.2*1.06)*10.764</f>
        <v>25.101648</v>
      </c>
      <c r="F303" s="225">
        <f>D303+E303</f>
        <v>652.858128</v>
      </c>
      <c r="G303" s="225">
        <v>0</v>
      </c>
      <c r="H303" s="225">
        <f>F303*(($H$271)+1)+(IF(G303&lt;101,G303,IF(G303&lt;201,G303/2,IF(G303&lt;=301,G303/3,G303/4))))</f>
        <v>979.287192</v>
      </c>
      <c r="I303" s="207"/>
      <c r="N303" s="207"/>
    </row>
    <row r="304" s="26" customFormat="1" ht="15.6" customHeight="1" spans="1:10">
      <c r="A304" s="214">
        <f>A303+1</f>
        <v>6</v>
      </c>
      <c r="B304" s="215"/>
      <c r="C304" s="214" t="s">
        <v>327</v>
      </c>
      <c r="D304" s="226"/>
      <c r="E304" s="226"/>
      <c r="F304" s="226"/>
      <c r="G304" s="226"/>
      <c r="H304" s="215"/>
      <c r="J304" s="207"/>
    </row>
    <row r="305" s="26" customFormat="1" customHeight="1" spans="1:20">
      <c r="A305" s="211" t="s">
        <v>333</v>
      </c>
      <c r="B305" s="212"/>
      <c r="C305" s="212"/>
      <c r="D305" s="212"/>
      <c r="E305" s="212"/>
      <c r="F305" s="212"/>
      <c r="G305" s="212"/>
      <c r="H305" s="213"/>
      <c r="I305" s="207"/>
      <c r="N305" s="207"/>
      <c r="T305" s="28"/>
    </row>
    <row r="306" s="26" customFormat="1" customHeight="1" spans="1:14">
      <c r="A306" s="214">
        <v>1</v>
      </c>
      <c r="B306" s="215"/>
      <c r="C306" s="214" t="s">
        <v>334</v>
      </c>
      <c r="D306" s="226"/>
      <c r="E306" s="226"/>
      <c r="F306" s="226"/>
      <c r="G306" s="226"/>
      <c r="H306" s="215"/>
      <c r="I306" s="207"/>
      <c r="N306" s="207"/>
    </row>
    <row r="307" s="26" customFormat="1" customHeight="1" spans="1:14">
      <c r="A307" s="214">
        <f>A306+1</f>
        <v>2</v>
      </c>
      <c r="B307" s="215"/>
      <c r="C307" s="225" t="s">
        <v>330</v>
      </c>
      <c r="D307" s="205">
        <f>(93.41)*10.764</f>
        <v>1005.46524</v>
      </c>
      <c r="E307" s="205">
        <f>(2.47*1.1+2.5*1.05)*10.764</f>
        <v>57.501288</v>
      </c>
      <c r="F307" s="225">
        <f>D307+E307</f>
        <v>1062.966528</v>
      </c>
      <c r="G307" s="225">
        <v>0</v>
      </c>
      <c r="H307" s="225">
        <f>F307*(($H$271)+1)+(IF(G307&lt;101,G307,IF(G307&lt;201,G307/2,IF(G307&lt;=301,G307/3,G307/4))))</f>
        <v>1594.449792</v>
      </c>
      <c r="I307" s="207"/>
      <c r="N307" s="207"/>
    </row>
    <row r="308" s="26" customFormat="1" customHeight="1" spans="1:14">
      <c r="A308" s="214">
        <f>A307+1</f>
        <v>3</v>
      </c>
      <c r="B308" s="215"/>
      <c r="C308" s="225" t="s">
        <v>328</v>
      </c>
      <c r="D308" s="205">
        <f>(58.35)*10.764</f>
        <v>628.0794</v>
      </c>
      <c r="E308" s="205">
        <f>(2.2*1.06)*10.764</f>
        <v>25.101648</v>
      </c>
      <c r="F308" s="225">
        <f>D308+E308</f>
        <v>653.181048</v>
      </c>
      <c r="G308" s="225">
        <v>0</v>
      </c>
      <c r="H308" s="225">
        <f>F308*(($H$271)+1)+(IF(G308&lt;101,G308,IF(G308&lt;201,G308/2,IF(G308&lt;=301,G308/3,G308/4))))</f>
        <v>979.771572</v>
      </c>
      <c r="I308" s="207"/>
      <c r="N308" s="207"/>
    </row>
    <row r="309" s="26" customFormat="1" customHeight="1" spans="1:14">
      <c r="A309" s="214">
        <f>A308+1</f>
        <v>4</v>
      </c>
      <c r="B309" s="215"/>
      <c r="C309" s="225" t="s">
        <v>328</v>
      </c>
      <c r="D309" s="205">
        <f>(58.35)*10.764</f>
        <v>628.0794</v>
      </c>
      <c r="E309" s="205">
        <f>(2.2*1.06)*10.764</f>
        <v>25.101648</v>
      </c>
      <c r="F309" s="225">
        <f>D309+E309</f>
        <v>653.181048</v>
      </c>
      <c r="G309" s="225">
        <v>0</v>
      </c>
      <c r="H309" s="225">
        <f>F309*(($H$271)+1)+(IF(G309&lt;101,G309,IF(G309&lt;201,G309/2,IF(G309&lt;=301,G309/3,G309/4))))</f>
        <v>979.771572</v>
      </c>
      <c r="I309" s="207"/>
      <c r="N309" s="207"/>
    </row>
    <row r="310" s="26" customFormat="1" customHeight="1" spans="1:14">
      <c r="A310" s="214">
        <f>A309+1</f>
        <v>5</v>
      </c>
      <c r="B310" s="215"/>
      <c r="C310" s="225" t="s">
        <v>328</v>
      </c>
      <c r="D310" s="205">
        <f>(58.32)*10.764</f>
        <v>627.75648</v>
      </c>
      <c r="E310" s="205">
        <f>(2.2*1.06)*10.764</f>
        <v>25.101648</v>
      </c>
      <c r="F310" s="225">
        <f>D310+E310</f>
        <v>652.858128</v>
      </c>
      <c r="G310" s="225">
        <v>0</v>
      </c>
      <c r="H310" s="225">
        <f>F310*(($H$271)+1)+(IF(G310&lt;101,G310,IF(G310&lt;201,G310/2,IF(G310&lt;=301,G310/3,G310/4))))</f>
        <v>979.287192</v>
      </c>
      <c r="I310" s="207"/>
      <c r="N310" s="207"/>
    </row>
    <row r="311" s="26" customFormat="1" ht="15.6" customHeight="1" spans="1:10">
      <c r="A311" s="214">
        <f>A310+1</f>
        <v>6</v>
      </c>
      <c r="B311" s="215"/>
      <c r="C311" s="214" t="s">
        <v>334</v>
      </c>
      <c r="D311" s="226"/>
      <c r="E311" s="226"/>
      <c r="F311" s="226"/>
      <c r="G311" s="226"/>
      <c r="H311" s="215"/>
      <c r="J311" s="207"/>
    </row>
    <row r="312" s="26" customFormat="1" customHeight="1" spans="1:20">
      <c r="A312" s="211" t="s">
        <v>335</v>
      </c>
      <c r="B312" s="212"/>
      <c r="C312" s="212"/>
      <c r="D312" s="212"/>
      <c r="E312" s="212"/>
      <c r="F312" s="212"/>
      <c r="G312" s="212"/>
      <c r="H312" s="213"/>
      <c r="I312" s="207"/>
      <c r="N312" s="207"/>
      <c r="T312" s="28"/>
    </row>
    <row r="313" s="26" customFormat="1" customHeight="1" spans="1:14">
      <c r="A313" s="214">
        <v>1</v>
      </c>
      <c r="B313" s="215"/>
      <c r="C313" s="225" t="s">
        <v>330</v>
      </c>
      <c r="D313" s="205">
        <f>(93.41)*10.764</f>
        <v>1005.46524</v>
      </c>
      <c r="E313" s="205">
        <f>(2.47*1.1+2.5*1.05)*10.764</f>
        <v>57.501288</v>
      </c>
      <c r="F313" s="225">
        <f>D313+E313</f>
        <v>1062.966528</v>
      </c>
      <c r="G313" s="225">
        <v>0</v>
      </c>
      <c r="H313" s="225">
        <f>F313*(($H$271)+1)+(IF(G313&lt;101,G313,IF(G313&lt;201,G313/2,IF(G313&lt;=301,G313/3,G313/4))))</f>
        <v>1594.449792</v>
      </c>
      <c r="I313" s="207"/>
      <c r="N313" s="207"/>
    </row>
    <row r="314" s="26" customFormat="1" customHeight="1" spans="1:14">
      <c r="A314" s="214">
        <f>A313+1</f>
        <v>2</v>
      </c>
      <c r="B314" s="215"/>
      <c r="C314" s="225" t="s">
        <v>330</v>
      </c>
      <c r="D314" s="205">
        <f>(93.41)*10.764</f>
        <v>1005.46524</v>
      </c>
      <c r="E314" s="205">
        <f>(2.47*1.1+2.5*1.05)*10.764</f>
        <v>57.501288</v>
      </c>
      <c r="F314" s="225">
        <f>D314+E314</f>
        <v>1062.966528</v>
      </c>
      <c r="G314" s="225">
        <v>0</v>
      </c>
      <c r="H314" s="225">
        <f>F314*(($H$271)+1)+(IF(G314&lt;101,G314,IF(G314&lt;201,G314/2,IF(G314&lt;=301,G314/3,G314/4))))</f>
        <v>1594.449792</v>
      </c>
      <c r="I314" s="207"/>
      <c r="N314" s="207"/>
    </row>
    <row r="315" s="26" customFormat="1" customHeight="1" spans="1:14">
      <c r="A315" s="214">
        <f>A314+1</f>
        <v>3</v>
      </c>
      <c r="B315" s="215"/>
      <c r="C315" s="216" t="s">
        <v>336</v>
      </c>
      <c r="D315" s="217"/>
      <c r="E315" s="217"/>
      <c r="F315" s="217"/>
      <c r="G315" s="217"/>
      <c r="H315" s="218"/>
      <c r="I315" s="207"/>
      <c r="N315" s="207"/>
    </row>
    <row r="316" s="26" customFormat="1" customHeight="1" spans="1:14">
      <c r="A316" s="214">
        <f>A315+1</f>
        <v>4</v>
      </c>
      <c r="B316" s="215"/>
      <c r="C316" s="222"/>
      <c r="D316" s="223"/>
      <c r="E316" s="223"/>
      <c r="F316" s="223"/>
      <c r="G316" s="223"/>
      <c r="H316" s="224"/>
      <c r="I316" s="207"/>
      <c r="N316" s="207"/>
    </row>
    <row r="317" s="26" customFormat="1" customHeight="1" spans="1:14">
      <c r="A317" s="214">
        <f>A316+1</f>
        <v>5</v>
      </c>
      <c r="B317" s="215"/>
      <c r="C317" s="216" t="s">
        <v>337</v>
      </c>
      <c r="D317" s="217"/>
      <c r="E317" s="217"/>
      <c r="F317" s="217"/>
      <c r="G317" s="217"/>
      <c r="H317" s="218"/>
      <c r="I317" s="207"/>
      <c r="N317" s="207"/>
    </row>
    <row r="318" s="26" customFormat="1" spans="1:20">
      <c r="A318" s="214">
        <f>A317+1</f>
        <v>6</v>
      </c>
      <c r="B318" s="215"/>
      <c r="C318" s="222"/>
      <c r="D318" s="223"/>
      <c r="E318" s="223"/>
      <c r="F318" s="223"/>
      <c r="G318" s="223"/>
      <c r="H318" s="224"/>
      <c r="J318" s="207"/>
      <c r="T318" s="28"/>
    </row>
    <row r="319" s="26" customFormat="1" spans="1:20">
      <c r="A319" s="211" t="s">
        <v>338</v>
      </c>
      <c r="B319" s="212"/>
      <c r="C319" s="212"/>
      <c r="D319" s="212"/>
      <c r="E319" s="212"/>
      <c r="F319" s="212"/>
      <c r="G319" s="212"/>
      <c r="H319" s="213"/>
      <c r="J319" s="207"/>
      <c r="T319" s="28"/>
    </row>
    <row r="320" s="26" customFormat="1" spans="1:20">
      <c r="A320" s="214">
        <v>1</v>
      </c>
      <c r="B320" s="215"/>
      <c r="C320" s="225" t="s">
        <v>330</v>
      </c>
      <c r="D320" s="205">
        <f>(93.41)*10.764</f>
        <v>1005.46524</v>
      </c>
      <c r="E320" s="205">
        <f>(2.47*1.1+2.5*1.05)*10.764</f>
        <v>57.501288</v>
      </c>
      <c r="F320" s="225">
        <f t="shared" ref="F320:F325" si="23">D320+E320</f>
        <v>1062.966528</v>
      </c>
      <c r="G320" s="225">
        <v>0</v>
      </c>
      <c r="H320" s="225">
        <f t="shared" ref="H320:H325" si="24">F320*(($H$271)+1)+(IF(G320&lt;101,G320,IF(G320&lt;201,G320/2,IF(G320&lt;=301,G320/3,G320/4))))</f>
        <v>1594.449792</v>
      </c>
      <c r="J320" s="207"/>
      <c r="T320" s="28"/>
    </row>
    <row r="321" s="26" customFormat="1" ht="15.6" customHeight="1" spans="1:10">
      <c r="A321" s="214">
        <f>A320+1</f>
        <v>2</v>
      </c>
      <c r="B321" s="215"/>
      <c r="C321" s="225" t="s">
        <v>330</v>
      </c>
      <c r="D321" s="205">
        <f>(93.41)*10.764</f>
        <v>1005.46524</v>
      </c>
      <c r="E321" s="205">
        <f>(2.47*1.1+2.5*1.05)*10.764</f>
        <v>57.501288</v>
      </c>
      <c r="F321" s="225">
        <f t="shared" si="23"/>
        <v>1062.966528</v>
      </c>
      <c r="G321" s="225">
        <v>0</v>
      </c>
      <c r="H321" s="225">
        <f t="shared" si="24"/>
        <v>1594.449792</v>
      </c>
      <c r="J321" s="207"/>
    </row>
    <row r="322" s="26" customFormat="1" customHeight="1" spans="1:20">
      <c r="A322" s="214">
        <f>A321+1</f>
        <v>3</v>
      </c>
      <c r="B322" s="215"/>
      <c r="C322" s="225" t="s">
        <v>328</v>
      </c>
      <c r="D322" s="205">
        <f>(58.35)*10.764</f>
        <v>628.0794</v>
      </c>
      <c r="E322" s="205">
        <f>(2.2*1.06)*10.764</f>
        <v>25.101648</v>
      </c>
      <c r="F322" s="225">
        <f t="shared" si="23"/>
        <v>653.181048</v>
      </c>
      <c r="G322" s="225">
        <v>0</v>
      </c>
      <c r="H322" s="225">
        <f t="shared" si="24"/>
        <v>979.771572</v>
      </c>
      <c r="I322" s="207"/>
      <c r="N322" s="207"/>
      <c r="T322" s="28"/>
    </row>
    <row r="323" s="26" customFormat="1" customHeight="1" spans="1:14">
      <c r="A323" s="214">
        <f>A322+1</f>
        <v>4</v>
      </c>
      <c r="B323" s="215"/>
      <c r="C323" s="225" t="s">
        <v>328</v>
      </c>
      <c r="D323" s="205">
        <f>(58.35)*10.764</f>
        <v>628.0794</v>
      </c>
      <c r="E323" s="205">
        <f>(2.2*1.06)*10.764</f>
        <v>25.101648</v>
      </c>
      <c r="F323" s="225">
        <f t="shared" si="23"/>
        <v>653.181048</v>
      </c>
      <c r="G323" s="225">
        <v>0</v>
      </c>
      <c r="H323" s="225">
        <f t="shared" si="24"/>
        <v>979.771572</v>
      </c>
      <c r="I323" s="207"/>
      <c r="N323" s="207"/>
    </row>
    <row r="324" s="26" customFormat="1" customHeight="1" spans="1:14">
      <c r="A324" s="214">
        <f>A323+1</f>
        <v>5</v>
      </c>
      <c r="B324" s="215"/>
      <c r="C324" s="225" t="s">
        <v>328</v>
      </c>
      <c r="D324" s="205">
        <f>(58.32)*10.764</f>
        <v>627.75648</v>
      </c>
      <c r="E324" s="205">
        <f>(2.2*1.06)*10.764</f>
        <v>25.101648</v>
      </c>
      <c r="F324" s="225">
        <f t="shared" si="23"/>
        <v>652.858128</v>
      </c>
      <c r="G324" s="225">
        <v>0</v>
      </c>
      <c r="H324" s="225">
        <f t="shared" si="24"/>
        <v>979.287192</v>
      </c>
      <c r="I324" s="207"/>
      <c r="N324" s="207"/>
    </row>
    <row r="325" s="26" customFormat="1" customHeight="1" spans="1:14">
      <c r="A325" s="214">
        <f>A324+1</f>
        <v>6</v>
      </c>
      <c r="B325" s="215"/>
      <c r="C325" s="225" t="s">
        <v>328</v>
      </c>
      <c r="D325" s="205">
        <f>(66.85)*10.764</f>
        <v>719.5734</v>
      </c>
      <c r="E325" s="205">
        <f>(1.07*2.15+2.14*1.07)*10.764</f>
        <v>49.4099892</v>
      </c>
      <c r="F325" s="225">
        <f t="shared" si="23"/>
        <v>768.9833892</v>
      </c>
      <c r="G325" s="225">
        <v>0</v>
      </c>
      <c r="H325" s="225">
        <f t="shared" si="24"/>
        <v>1153.4750838</v>
      </c>
      <c r="I325" s="207"/>
      <c r="N325" s="207"/>
    </row>
    <row r="326" s="26" customFormat="1" customHeight="1" spans="1:14">
      <c r="A326" s="211" t="s">
        <v>339</v>
      </c>
      <c r="B326" s="212"/>
      <c r="C326" s="212"/>
      <c r="D326" s="212"/>
      <c r="E326" s="212"/>
      <c r="F326" s="212"/>
      <c r="G326" s="212"/>
      <c r="H326" s="213"/>
      <c r="I326" s="207"/>
      <c r="N326" s="207"/>
    </row>
    <row r="327" s="26" customFormat="1" ht="15.6" customHeight="1" spans="1:10">
      <c r="A327" s="214">
        <v>1</v>
      </c>
      <c r="B327" s="215"/>
      <c r="C327" s="225" t="s">
        <v>330</v>
      </c>
      <c r="D327" s="205">
        <f>(93.41)*10.764</f>
        <v>1005.46524</v>
      </c>
      <c r="E327" s="205">
        <f>(2.47*1.1+2.5*1.05)*10.764</f>
        <v>57.501288</v>
      </c>
      <c r="F327" s="225">
        <f>D327+E327</f>
        <v>1062.966528</v>
      </c>
      <c r="G327" s="225">
        <v>0</v>
      </c>
      <c r="H327" s="225">
        <f>F327*(($H$271)+1)+(IF(G327&lt;101,G327,IF(G327&lt;201,G327/2,IF(G327&lt;=301,G327/3,G327/4))))</f>
        <v>1594.449792</v>
      </c>
      <c r="J327" s="207"/>
    </row>
    <row r="328" s="26" customFormat="1" customHeight="1" spans="1:20">
      <c r="A328" s="214">
        <f>A327+1</f>
        <v>2</v>
      </c>
      <c r="B328" s="215"/>
      <c r="C328" s="225" t="s">
        <v>330</v>
      </c>
      <c r="D328" s="205">
        <f>(93.41)*10.764</f>
        <v>1005.46524</v>
      </c>
      <c r="E328" s="205">
        <f>(2.47*1.1+2.5*1.05)*10.764</f>
        <v>57.501288</v>
      </c>
      <c r="F328" s="225">
        <f>D328+E328</f>
        <v>1062.966528</v>
      </c>
      <c r="G328" s="225">
        <v>0</v>
      </c>
      <c r="H328" s="225">
        <f>F328*(($H$271)+1)+(IF(G328&lt;101,G328,IF(G328&lt;201,G328/2,IF(G328&lt;=301,G328/3,G328/4))))</f>
        <v>1594.449792</v>
      </c>
      <c r="I328" s="207"/>
      <c r="N328" s="207"/>
      <c r="T328" s="28"/>
    </row>
    <row r="329" s="26" customFormat="1" customHeight="1" spans="1:14">
      <c r="A329" s="214">
        <f>A328+1</f>
        <v>3</v>
      </c>
      <c r="B329" s="215"/>
      <c r="C329" s="216" t="s">
        <v>336</v>
      </c>
      <c r="D329" s="217"/>
      <c r="E329" s="217"/>
      <c r="F329" s="217"/>
      <c r="G329" s="217"/>
      <c r="H329" s="218"/>
      <c r="I329" s="207"/>
      <c r="N329" s="207"/>
    </row>
    <row r="330" s="26" customFormat="1" customHeight="1" spans="1:14">
      <c r="A330" s="214">
        <f>A329+1</f>
        <v>4</v>
      </c>
      <c r="B330" s="215"/>
      <c r="C330" s="222"/>
      <c r="D330" s="223"/>
      <c r="E330" s="223"/>
      <c r="F330" s="223"/>
      <c r="G330" s="223"/>
      <c r="H330" s="224"/>
      <c r="I330" s="207"/>
      <c r="N330" s="207"/>
    </row>
    <row r="331" s="26" customFormat="1" customHeight="1" spans="1:14">
      <c r="A331" s="214">
        <f>A330+1</f>
        <v>5</v>
      </c>
      <c r="B331" s="215"/>
      <c r="C331" s="225" t="s">
        <v>328</v>
      </c>
      <c r="D331" s="205">
        <f>(58.32)*10.764</f>
        <v>627.75648</v>
      </c>
      <c r="E331" s="205">
        <f>(2.2*1.06)*10.764</f>
        <v>25.101648</v>
      </c>
      <c r="F331" s="225">
        <f>D331+E331</f>
        <v>652.858128</v>
      </c>
      <c r="G331" s="225">
        <v>0</v>
      </c>
      <c r="H331" s="225">
        <f>F331*(($H$271)+1)+(IF(G331&lt;101,G331,IF(G331&lt;201,G331/2,IF(G331&lt;=301,G331/3,G331/4))))</f>
        <v>979.287192</v>
      </c>
      <c r="I331" s="207"/>
      <c r="N331" s="207"/>
    </row>
    <row r="332" s="26" customFormat="1" customHeight="1" spans="1:14">
      <c r="A332" s="214">
        <f>A331+1</f>
        <v>6</v>
      </c>
      <c r="B332" s="215"/>
      <c r="C332" s="225" t="s">
        <v>328</v>
      </c>
      <c r="D332" s="205">
        <f>(66.85)*10.764</f>
        <v>719.5734</v>
      </c>
      <c r="E332" s="205">
        <f>(1.07*2.15+2.14*1.07)*10.764</f>
        <v>49.4099892</v>
      </c>
      <c r="F332" s="225">
        <f>D332+E332</f>
        <v>768.9833892</v>
      </c>
      <c r="G332" s="225">
        <v>0</v>
      </c>
      <c r="H332" s="225">
        <f>F332*(($H$271)+1)+(IF(G332&lt;101,G332,IF(G332&lt;201,G332/2,IF(G332&lt;=301,G332/3,G332/4))))</f>
        <v>1153.4750838</v>
      </c>
      <c r="I332" s="207"/>
      <c r="N332" s="207"/>
    </row>
    <row r="333" s="26" customFormat="1" ht="15.6" customHeight="1" spans="1:10">
      <c r="A333" s="227" t="s">
        <v>294</v>
      </c>
      <c r="B333" s="228"/>
      <c r="C333" s="228"/>
      <c r="D333" s="228"/>
      <c r="E333" s="228"/>
      <c r="F333" s="228"/>
      <c r="G333" s="228"/>
      <c r="H333" s="229"/>
      <c r="J333" s="207"/>
    </row>
    <row r="334" s="26" customFormat="1" customHeight="1" spans="1:20">
      <c r="A334" s="211" t="s">
        <v>323</v>
      </c>
      <c r="B334" s="212"/>
      <c r="C334" s="212"/>
      <c r="D334" s="212"/>
      <c r="E334" s="212"/>
      <c r="F334" s="212"/>
      <c r="G334" s="212"/>
      <c r="H334" s="213"/>
      <c r="I334" s="207"/>
      <c r="N334" s="207"/>
      <c r="T334" s="28"/>
    </row>
    <row r="335" s="26" customFormat="1" customHeight="1" spans="1:14">
      <c r="A335" s="199" t="s">
        <v>340</v>
      </c>
      <c r="B335" s="200"/>
      <c r="C335" s="200"/>
      <c r="D335" s="200"/>
      <c r="E335" s="200"/>
      <c r="F335" s="200"/>
      <c r="G335" s="200"/>
      <c r="H335" s="201"/>
      <c r="I335" s="207"/>
      <c r="N335" s="207"/>
    </row>
    <row r="336" s="26" customFormat="1" customHeight="1" spans="1:14">
      <c r="A336" s="211" t="s">
        <v>341</v>
      </c>
      <c r="B336" s="212"/>
      <c r="C336" s="212"/>
      <c r="D336" s="212"/>
      <c r="E336" s="212"/>
      <c r="F336" s="212"/>
      <c r="G336" s="212"/>
      <c r="H336" s="213"/>
      <c r="I336" s="207"/>
      <c r="N336" s="207"/>
    </row>
    <row r="337" s="26" customFormat="1" customHeight="1" spans="1:14">
      <c r="A337" s="214">
        <v>1</v>
      </c>
      <c r="B337" s="215"/>
      <c r="C337" s="225" t="s">
        <v>330</v>
      </c>
      <c r="D337" s="205">
        <f>(82.15)*10.764</f>
        <v>884.2626</v>
      </c>
      <c r="E337" s="205">
        <f>(2.13*1.08+2.15*1.08)*10.764</f>
        <v>49.7555136</v>
      </c>
      <c r="F337" s="225">
        <f>D337+E337</f>
        <v>934.0181136</v>
      </c>
      <c r="G337" s="225">
        <v>0</v>
      </c>
      <c r="H337" s="225">
        <f>F337*(($H$271)+1)+(IF(G337&lt;101,G337,IF(G337&lt;201,G337/2,IF(G337&lt;=301,G337/3,G337/4))))</f>
        <v>1401.0271704</v>
      </c>
      <c r="I337" s="207"/>
      <c r="N337" s="207"/>
    </row>
    <row r="338" s="26" customFormat="1" customHeight="1" spans="1:14">
      <c r="A338" s="214">
        <f>A337+1</f>
        <v>2</v>
      </c>
      <c r="B338" s="215"/>
      <c r="C338" s="225" t="s">
        <v>330</v>
      </c>
      <c r="D338" s="205">
        <f>(82.15)*10.764</f>
        <v>884.2626</v>
      </c>
      <c r="E338" s="205">
        <f>(2.13*1.08+2.15*1.08)*10.764</f>
        <v>49.7555136</v>
      </c>
      <c r="F338" s="225">
        <f>D338+E338</f>
        <v>934.0181136</v>
      </c>
      <c r="G338" s="225">
        <v>0</v>
      </c>
      <c r="H338" s="225">
        <f>F338*(($H$271)+1)+(IF(G338&lt;101,G338,IF(G338&lt;201,G338/2,IF(G338&lt;=301,G338/3,G338/4))))</f>
        <v>1401.0271704</v>
      </c>
      <c r="I338" s="207"/>
      <c r="N338" s="207"/>
    </row>
    <row r="339" s="26" customFormat="1" ht="15.6" customHeight="1" spans="1:10">
      <c r="A339" s="214">
        <f>A338+1</f>
        <v>3</v>
      </c>
      <c r="B339" s="215"/>
      <c r="C339" s="225" t="s">
        <v>328</v>
      </c>
      <c r="D339" s="205">
        <f>(53.45)*10.764</f>
        <v>575.3358</v>
      </c>
      <c r="E339" s="205">
        <f>(2.25*1.06)*10.764</f>
        <v>25.67214</v>
      </c>
      <c r="F339" s="225">
        <f>D339+E339</f>
        <v>601.00794</v>
      </c>
      <c r="G339" s="225">
        <v>0</v>
      </c>
      <c r="H339" s="225">
        <f>F339*(($H$271)+1)+(IF(G339&lt;101,G339,IF(G339&lt;201,G339/2,IF(G339&lt;=301,G339/3,G339/4))))</f>
        <v>901.51191</v>
      </c>
      <c r="J339" s="207"/>
    </row>
    <row r="340" s="26" customFormat="1" customHeight="1" spans="1:20">
      <c r="A340" s="214">
        <f>A339+1</f>
        <v>4</v>
      </c>
      <c r="B340" s="215"/>
      <c r="C340" s="216" t="s">
        <v>327</v>
      </c>
      <c r="D340" s="217"/>
      <c r="E340" s="217"/>
      <c r="F340" s="217"/>
      <c r="G340" s="217"/>
      <c r="H340" s="218"/>
      <c r="I340" s="207"/>
      <c r="N340" s="207"/>
      <c r="T340" s="28"/>
    </row>
    <row r="341" s="26" customFormat="1" customHeight="1" spans="1:14">
      <c r="A341" s="214">
        <f>A340+1</f>
        <v>5</v>
      </c>
      <c r="B341" s="215"/>
      <c r="C341" s="219"/>
      <c r="D341" s="220"/>
      <c r="E341" s="220"/>
      <c r="F341" s="220"/>
      <c r="G341" s="220"/>
      <c r="H341" s="221"/>
      <c r="I341" s="207"/>
      <c r="N341" s="207"/>
    </row>
    <row r="342" s="26" customFormat="1" customHeight="1" spans="1:14">
      <c r="A342" s="214">
        <f>A341+1</f>
        <v>6</v>
      </c>
      <c r="B342" s="215"/>
      <c r="C342" s="222"/>
      <c r="D342" s="223"/>
      <c r="E342" s="223"/>
      <c r="F342" s="223"/>
      <c r="G342" s="223"/>
      <c r="H342" s="224"/>
      <c r="I342" s="207"/>
      <c r="N342" s="207"/>
    </row>
    <row r="343" s="26" customFormat="1" customHeight="1" spans="1:14">
      <c r="A343" s="211" t="s">
        <v>326</v>
      </c>
      <c r="B343" s="212"/>
      <c r="C343" s="212"/>
      <c r="D343" s="212"/>
      <c r="E343" s="212"/>
      <c r="F343" s="212"/>
      <c r="G343" s="212"/>
      <c r="H343" s="213"/>
      <c r="I343" s="207"/>
      <c r="N343" s="207"/>
    </row>
    <row r="344" s="26" customFormat="1" customHeight="1" spans="1:14">
      <c r="A344" s="214">
        <v>1</v>
      </c>
      <c r="B344" s="215"/>
      <c r="C344" s="225" t="s">
        <v>330</v>
      </c>
      <c r="D344" s="205">
        <f>(82.15)*10.764</f>
        <v>884.2626</v>
      </c>
      <c r="E344" s="205">
        <f>(2.13*1.08+2.15*1.08)*10.764</f>
        <v>49.7555136</v>
      </c>
      <c r="F344" s="225">
        <f>D344+E344</f>
        <v>934.0181136</v>
      </c>
      <c r="G344" s="225">
        <v>0</v>
      </c>
      <c r="H344" s="225">
        <f>F344*(($H$271)+1)+(IF(G344&lt;101,G344,IF(G344&lt;201,G344/2,IF(G344&lt;=301,G344/3,G344/4))))</f>
        <v>1401.0271704</v>
      </c>
      <c r="I344" s="207"/>
      <c r="N344" s="207"/>
    </row>
    <row r="345" s="26" customFormat="1" ht="15.6" customHeight="1" spans="1:10">
      <c r="A345" s="214">
        <f>A344+1</f>
        <v>2</v>
      </c>
      <c r="B345" s="215"/>
      <c r="C345" s="225" t="s">
        <v>330</v>
      </c>
      <c r="D345" s="205">
        <f>(82.15)*10.764</f>
        <v>884.2626</v>
      </c>
      <c r="E345" s="205">
        <f>(2.13*1.08+2.15*1.08)*10.764</f>
        <v>49.7555136</v>
      </c>
      <c r="F345" s="225">
        <f>D345+E345</f>
        <v>934.0181136</v>
      </c>
      <c r="G345" s="225">
        <v>0</v>
      </c>
      <c r="H345" s="225">
        <f>F345*(($H$271)+1)+(IF(G345&lt;101,G345,IF(G345&lt;201,G345/2,IF(G345&lt;=301,G345/3,G345/4))))</f>
        <v>1401.0271704</v>
      </c>
      <c r="J345" s="207"/>
    </row>
    <row r="346" s="26" customFormat="1" customHeight="1" spans="1:20">
      <c r="A346" s="214">
        <f>A345+1</f>
        <v>3</v>
      </c>
      <c r="B346" s="215"/>
      <c r="C346" s="225" t="s">
        <v>328</v>
      </c>
      <c r="D346" s="205">
        <f>(53.45)*10.764</f>
        <v>575.3358</v>
      </c>
      <c r="E346" s="205">
        <f>(2.25*1.06)*10.764</f>
        <v>25.67214</v>
      </c>
      <c r="F346" s="225">
        <f>D346+E346</f>
        <v>601.00794</v>
      </c>
      <c r="G346" s="225">
        <v>0</v>
      </c>
      <c r="H346" s="225">
        <f>F346*(($H$271)+1)+(IF(G346&lt;101,G346,IF(G346&lt;201,G346/2,IF(G346&lt;=301,G346/3,G346/4))))</f>
        <v>901.51191</v>
      </c>
      <c r="I346" s="207"/>
      <c r="N346" s="207"/>
      <c r="T346" s="28"/>
    </row>
    <row r="347" s="26" customFormat="1" customHeight="1" spans="1:14">
      <c r="A347" s="214">
        <f>A346+1</f>
        <v>4</v>
      </c>
      <c r="B347" s="215"/>
      <c r="C347" s="216" t="s">
        <v>327</v>
      </c>
      <c r="D347" s="217"/>
      <c r="E347" s="217"/>
      <c r="F347" s="217"/>
      <c r="G347" s="217"/>
      <c r="H347" s="218"/>
      <c r="I347" s="207"/>
      <c r="N347" s="207"/>
    </row>
    <row r="348" s="26" customFormat="1" customHeight="1" spans="1:14">
      <c r="A348" s="214">
        <f>A347+1</f>
        <v>5</v>
      </c>
      <c r="B348" s="215"/>
      <c r="C348" s="222"/>
      <c r="D348" s="223"/>
      <c r="E348" s="223"/>
      <c r="F348" s="223"/>
      <c r="G348" s="223"/>
      <c r="H348" s="224"/>
      <c r="I348" s="207"/>
      <c r="N348" s="207"/>
    </row>
    <row r="349" s="26" customFormat="1" customHeight="1" spans="1:14">
      <c r="A349" s="214">
        <f>A348+1</f>
        <v>6</v>
      </c>
      <c r="B349" s="215"/>
      <c r="C349" s="225" t="s">
        <v>342</v>
      </c>
      <c r="D349" s="205">
        <f>(37.91)*10.764</f>
        <v>408.06324</v>
      </c>
      <c r="E349" s="205">
        <f>(2.44*0.95)*10.764</f>
        <v>24.950952</v>
      </c>
      <c r="F349" s="225">
        <f>D349+E349</f>
        <v>433.014192</v>
      </c>
      <c r="G349" s="225">
        <v>0</v>
      </c>
      <c r="H349" s="225">
        <f>F349*(($H$271)+1)+(IF(G349&lt;101,G349,IF(G349&lt;201,G349/2,IF(G349&lt;=301,G349/3,G349/4))))</f>
        <v>649.521288</v>
      </c>
      <c r="I349" s="207"/>
      <c r="N349" s="207"/>
    </row>
    <row r="350" s="26" customFormat="1" customHeight="1" spans="1:14">
      <c r="A350" s="211" t="s">
        <v>329</v>
      </c>
      <c r="B350" s="212"/>
      <c r="C350" s="212"/>
      <c r="D350" s="212"/>
      <c r="E350" s="212"/>
      <c r="F350" s="212"/>
      <c r="G350" s="212"/>
      <c r="H350" s="213"/>
      <c r="I350" s="207"/>
      <c r="N350" s="207"/>
    </row>
    <row r="351" s="26" customFormat="1" ht="15.6" customHeight="1" spans="1:10">
      <c r="A351" s="214">
        <v>1</v>
      </c>
      <c r="B351" s="215"/>
      <c r="C351" s="225" t="s">
        <v>330</v>
      </c>
      <c r="D351" s="205">
        <f>(82.15)*10.764</f>
        <v>884.2626</v>
      </c>
      <c r="E351" s="205">
        <f>(2.13*1.08+2.15*1.08)*10.764</f>
        <v>49.7555136</v>
      </c>
      <c r="F351" s="225">
        <f>D351+E351</f>
        <v>934.0181136</v>
      </c>
      <c r="G351" s="225">
        <v>0</v>
      </c>
      <c r="H351" s="225">
        <f>F351*(($H$271)+1)+(IF(G351&lt;101,G351,IF(G351&lt;201,G351/2,IF(G351&lt;=301,G351/3,G351/4))))</f>
        <v>1401.0271704</v>
      </c>
      <c r="J351" s="207"/>
    </row>
    <row r="352" s="26" customFormat="1" customHeight="1" spans="1:20">
      <c r="A352" s="214">
        <f>A351+1</f>
        <v>2</v>
      </c>
      <c r="B352" s="215"/>
      <c r="C352" s="225" t="s">
        <v>330</v>
      </c>
      <c r="D352" s="205">
        <f>(82.15)*10.764</f>
        <v>884.2626</v>
      </c>
      <c r="E352" s="205">
        <f>(2.13*1.08+2.15*1.08)*10.764</f>
        <v>49.7555136</v>
      </c>
      <c r="F352" s="225">
        <f>D352+E352</f>
        <v>934.0181136</v>
      </c>
      <c r="G352" s="225">
        <v>0</v>
      </c>
      <c r="H352" s="225">
        <f>F352*(($H$271)+1)+(IF(G352&lt;101,G352,IF(G352&lt;201,G352/2,IF(G352&lt;=301,G352/3,G352/4))))</f>
        <v>1401.0271704</v>
      </c>
      <c r="I352" s="207"/>
      <c r="N352" s="207"/>
      <c r="T352" s="28"/>
    </row>
    <row r="353" s="26" customFormat="1" customHeight="1" spans="1:14">
      <c r="A353" s="214">
        <f>A352+1</f>
        <v>3</v>
      </c>
      <c r="B353" s="215"/>
      <c r="C353" s="225" t="s">
        <v>328</v>
      </c>
      <c r="D353" s="205">
        <f>(53.45)*10.764</f>
        <v>575.3358</v>
      </c>
      <c r="E353" s="205">
        <f>(2.25*1.06)*10.764</f>
        <v>25.67214</v>
      </c>
      <c r="F353" s="225">
        <f>D353+E353</f>
        <v>601.00794</v>
      </c>
      <c r="G353" s="225">
        <v>0</v>
      </c>
      <c r="H353" s="225">
        <f>F353*(($H$271)+1)+(IF(G353&lt;101,G353,IF(G353&lt;201,G353/2,IF(G353&lt;=301,G353/3,G353/4))))</f>
        <v>901.51191</v>
      </c>
      <c r="I353" s="207"/>
      <c r="N353" s="207"/>
    </row>
    <row r="354" s="26" customFormat="1" customHeight="1" spans="1:14">
      <c r="A354" s="214">
        <f>A353+1</f>
        <v>4</v>
      </c>
      <c r="B354" s="215"/>
      <c r="C354" s="216" t="s">
        <v>327</v>
      </c>
      <c r="D354" s="217"/>
      <c r="E354" s="217"/>
      <c r="F354" s="217"/>
      <c r="G354" s="217"/>
      <c r="H354" s="218"/>
      <c r="I354" s="207"/>
      <c r="N354" s="207"/>
    </row>
    <row r="355" s="26" customFormat="1" customHeight="1" spans="1:14">
      <c r="A355" s="214">
        <f>A354+1</f>
        <v>5</v>
      </c>
      <c r="B355" s="215"/>
      <c r="C355" s="222"/>
      <c r="D355" s="223"/>
      <c r="E355" s="223"/>
      <c r="F355" s="223"/>
      <c r="G355" s="223"/>
      <c r="H355" s="224"/>
      <c r="I355" s="207"/>
      <c r="N355" s="207"/>
    </row>
    <row r="356" s="26" customFormat="1" customHeight="1" spans="1:14">
      <c r="A356" s="214">
        <f>A355+1</f>
        <v>6</v>
      </c>
      <c r="B356" s="215"/>
      <c r="C356" s="225" t="s">
        <v>342</v>
      </c>
      <c r="D356" s="205">
        <f>(37.91)*10.764</f>
        <v>408.06324</v>
      </c>
      <c r="E356" s="205">
        <f>(2.44*0.95)*10.764</f>
        <v>24.950952</v>
      </c>
      <c r="F356" s="225">
        <f>D356+E356</f>
        <v>433.014192</v>
      </c>
      <c r="G356" s="225">
        <v>0</v>
      </c>
      <c r="H356" s="225">
        <f>F356*(($H$271)+1)+(IF(G356&lt;101,G356,IF(G356&lt;201,G356/2,IF(G356&lt;=301,G356/3,G356/4))))</f>
        <v>649.521288</v>
      </c>
      <c r="I356" s="207"/>
      <c r="N356" s="207"/>
    </row>
    <row r="357" s="26" customFormat="1" customHeight="1" spans="1:14">
      <c r="A357" s="211" t="s">
        <v>331</v>
      </c>
      <c r="B357" s="212"/>
      <c r="C357" s="212"/>
      <c r="D357" s="212"/>
      <c r="E357" s="212"/>
      <c r="F357" s="212"/>
      <c r="G357" s="212"/>
      <c r="H357" s="213"/>
      <c r="I357" s="207"/>
      <c r="N357" s="207"/>
    </row>
    <row r="358" s="26" customFormat="1" ht="15.6" customHeight="1" spans="1:10">
      <c r="A358" s="214">
        <v>1</v>
      </c>
      <c r="B358" s="215"/>
      <c r="C358" s="225" t="s">
        <v>330</v>
      </c>
      <c r="D358" s="205">
        <f>(82.15)*10.764</f>
        <v>884.2626</v>
      </c>
      <c r="E358" s="205">
        <f>(2.13*1.08+2.15*1.08)*10.764</f>
        <v>49.7555136</v>
      </c>
      <c r="F358" s="225">
        <f>D358+E358</f>
        <v>934.0181136</v>
      </c>
      <c r="G358" s="225">
        <v>0</v>
      </c>
      <c r="H358" s="225">
        <f>F358*(($H$271)+1)+(IF(G358&lt;101,G358,IF(G358&lt;201,G358/2,IF(G358&lt;=301,G358/3,G358/4))))</f>
        <v>1401.0271704</v>
      </c>
      <c r="J358" s="207"/>
    </row>
    <row r="359" s="26" customFormat="1" customHeight="1" spans="1:20">
      <c r="A359" s="214">
        <f>A358+1</f>
        <v>2</v>
      </c>
      <c r="B359" s="215"/>
      <c r="C359" s="225" t="s">
        <v>330</v>
      </c>
      <c r="D359" s="205">
        <f>(82.15)*10.764</f>
        <v>884.2626</v>
      </c>
      <c r="E359" s="205">
        <f>(2.13*1.08+2.15*1.08)*10.764</f>
        <v>49.7555136</v>
      </c>
      <c r="F359" s="225">
        <f>D359+E359</f>
        <v>934.0181136</v>
      </c>
      <c r="G359" s="225">
        <v>0</v>
      </c>
      <c r="H359" s="225">
        <f>F359*(($H$271)+1)+(IF(G359&lt;101,G359,IF(G359&lt;201,G359/2,IF(G359&lt;=301,G359/3,G359/4))))</f>
        <v>1401.0271704</v>
      </c>
      <c r="I359" s="207"/>
      <c r="N359" s="207"/>
      <c r="T359" s="28"/>
    </row>
    <row r="360" s="26" customFormat="1" customHeight="1" spans="1:14">
      <c r="A360" s="214">
        <f>A359+1</f>
        <v>3</v>
      </c>
      <c r="B360" s="215"/>
      <c r="C360" s="225" t="s">
        <v>328</v>
      </c>
      <c r="D360" s="205">
        <f>(53.45)*10.764</f>
        <v>575.3358</v>
      </c>
      <c r="E360" s="205">
        <f>(2.25*1.06)*10.764</f>
        <v>25.67214</v>
      </c>
      <c r="F360" s="225">
        <f>D360+E360</f>
        <v>601.00794</v>
      </c>
      <c r="G360" s="225">
        <v>0</v>
      </c>
      <c r="H360" s="225">
        <f>F360*(($H$271)+1)+(IF(G360&lt;101,G360,IF(G360&lt;201,G360/2,IF(G360&lt;=301,G360/3,G360/4))))</f>
        <v>901.51191</v>
      </c>
      <c r="I360" s="207"/>
      <c r="N360" s="207"/>
    </row>
    <row r="361" s="26" customFormat="1" customHeight="1" spans="1:14">
      <c r="A361" s="214">
        <f>A360+1</f>
        <v>4</v>
      </c>
      <c r="B361" s="215"/>
      <c r="C361" s="216" t="s">
        <v>327</v>
      </c>
      <c r="D361" s="217"/>
      <c r="E361" s="217"/>
      <c r="F361" s="217"/>
      <c r="G361" s="217"/>
      <c r="H361" s="218"/>
      <c r="I361" s="207"/>
      <c r="N361" s="207"/>
    </row>
    <row r="362" s="26" customFormat="1" customHeight="1" spans="1:14">
      <c r="A362" s="214">
        <f>A361+1</f>
        <v>5</v>
      </c>
      <c r="B362" s="215"/>
      <c r="C362" s="222"/>
      <c r="D362" s="223"/>
      <c r="E362" s="223"/>
      <c r="F362" s="223"/>
      <c r="G362" s="223"/>
      <c r="H362" s="224"/>
      <c r="I362" s="207"/>
      <c r="N362" s="207"/>
    </row>
    <row r="363" s="26" customFormat="1" customHeight="1" spans="1:14">
      <c r="A363" s="214">
        <f>A362+1</f>
        <v>6</v>
      </c>
      <c r="B363" s="215"/>
      <c r="C363" s="225" t="s">
        <v>342</v>
      </c>
      <c r="D363" s="205">
        <f>(37.91)*10.764</f>
        <v>408.06324</v>
      </c>
      <c r="E363" s="205">
        <f>(2.44*0.95)*10.764</f>
        <v>24.950952</v>
      </c>
      <c r="F363" s="225">
        <f>D363+E363</f>
        <v>433.014192</v>
      </c>
      <c r="G363" s="225">
        <v>0</v>
      </c>
      <c r="H363" s="225">
        <f>F363*(($H$271)+1)+(IF(G363&lt;101,G363,IF(G363&lt;201,G363/2,IF(G363&lt;=301,G363/3,G363/4))))</f>
        <v>649.521288</v>
      </c>
      <c r="I363" s="207"/>
      <c r="N363" s="207"/>
    </row>
    <row r="364" s="26" customFormat="1" customHeight="1" spans="1:14">
      <c r="A364" s="211" t="s">
        <v>332</v>
      </c>
      <c r="B364" s="212"/>
      <c r="C364" s="212"/>
      <c r="D364" s="212"/>
      <c r="E364" s="212"/>
      <c r="F364" s="212"/>
      <c r="G364" s="212"/>
      <c r="H364" s="213"/>
      <c r="I364" s="207"/>
      <c r="N364" s="207"/>
    </row>
    <row r="365" s="26" customFormat="1" ht="15.6" customHeight="1" spans="1:10">
      <c r="A365" s="214">
        <v>1</v>
      </c>
      <c r="B365" s="215"/>
      <c r="C365" s="225" t="s">
        <v>330</v>
      </c>
      <c r="D365" s="205">
        <f>(82.15)*10.764</f>
        <v>884.2626</v>
      </c>
      <c r="E365" s="205">
        <f>(2.13*1.08+2.15*1.08)*10.764</f>
        <v>49.7555136</v>
      </c>
      <c r="F365" s="225">
        <f>D365+E365</f>
        <v>934.0181136</v>
      </c>
      <c r="G365" s="225">
        <v>0</v>
      </c>
      <c r="H365" s="225">
        <f>F365*(($H$271)+1)+(IF(G365&lt;101,G365,IF(G365&lt;201,G365/2,IF(G365&lt;=301,G365/3,G365/4))))</f>
        <v>1401.0271704</v>
      </c>
      <c r="J365" s="207"/>
    </row>
    <row r="366" s="26" customFormat="1" customHeight="1" spans="1:20">
      <c r="A366" s="214">
        <f>A365+1</f>
        <v>2</v>
      </c>
      <c r="B366" s="215"/>
      <c r="C366" s="225" t="s">
        <v>330</v>
      </c>
      <c r="D366" s="205">
        <f>(82.15)*10.764</f>
        <v>884.2626</v>
      </c>
      <c r="E366" s="205">
        <f>(2.13*1.08+2.15*1.08)*10.764</f>
        <v>49.7555136</v>
      </c>
      <c r="F366" s="225">
        <f>D366+E366</f>
        <v>934.0181136</v>
      </c>
      <c r="G366" s="225">
        <v>0</v>
      </c>
      <c r="H366" s="225">
        <f>F366*(($H$271)+1)+(IF(G366&lt;101,G366,IF(G366&lt;201,G366/2,IF(G366&lt;=301,G366/3,G366/4))))</f>
        <v>1401.0271704</v>
      </c>
      <c r="I366" s="207"/>
      <c r="J366" s="207">
        <f>45800000/H447</f>
        <v>37720.5044101087</v>
      </c>
      <c r="N366" s="207"/>
      <c r="T366" s="28"/>
    </row>
    <row r="367" s="26" customFormat="1" customHeight="1" spans="1:14">
      <c r="A367" s="214">
        <f>A366+1</f>
        <v>3</v>
      </c>
      <c r="B367" s="215"/>
      <c r="C367" s="225" t="s">
        <v>328</v>
      </c>
      <c r="D367" s="205">
        <f>(53.45)*10.764</f>
        <v>575.3358</v>
      </c>
      <c r="E367" s="205">
        <f>(2.25*1.06)*10.764</f>
        <v>25.67214</v>
      </c>
      <c r="F367" s="225">
        <f>D367+E367</f>
        <v>601.00794</v>
      </c>
      <c r="G367" s="225">
        <v>0</v>
      </c>
      <c r="H367" s="225">
        <f>F367*(($H$271)+1)+(IF(G367&lt;101,G367,IF(G367&lt;201,G367/2,IF(G367&lt;=301,G367/3,G367/4))))</f>
        <v>901.51191</v>
      </c>
      <c r="I367" s="207"/>
      <c r="N367" s="207"/>
    </row>
    <row r="368" s="26" customFormat="1" customHeight="1" spans="1:14">
      <c r="A368" s="214">
        <f>A367+1</f>
        <v>4</v>
      </c>
      <c r="B368" s="215"/>
      <c r="C368" s="216" t="s">
        <v>327</v>
      </c>
      <c r="D368" s="217"/>
      <c r="E368" s="217"/>
      <c r="F368" s="217"/>
      <c r="G368" s="217"/>
      <c r="H368" s="218"/>
      <c r="I368" s="207"/>
      <c r="N368" s="207"/>
    </row>
    <row r="369" s="26" customFormat="1" customHeight="1" spans="1:14">
      <c r="A369" s="214">
        <f>A368+1</f>
        <v>5</v>
      </c>
      <c r="B369" s="215"/>
      <c r="C369" s="222"/>
      <c r="D369" s="223"/>
      <c r="E369" s="223"/>
      <c r="F369" s="223"/>
      <c r="G369" s="223"/>
      <c r="H369" s="224"/>
      <c r="I369" s="207"/>
      <c r="N369" s="207"/>
    </row>
    <row r="370" s="26" customFormat="1" customHeight="1" spans="1:14">
      <c r="A370" s="214">
        <f>A369+1</f>
        <v>6</v>
      </c>
      <c r="B370" s="215"/>
      <c r="C370" s="225" t="s">
        <v>342</v>
      </c>
      <c r="D370" s="205">
        <f>(37.91)*10.764</f>
        <v>408.06324</v>
      </c>
      <c r="E370" s="205">
        <f>(2.44*0.95)*10.764</f>
        <v>24.950952</v>
      </c>
      <c r="F370" s="225">
        <f>D370+E370</f>
        <v>433.014192</v>
      </c>
      <c r="G370" s="225">
        <v>0</v>
      </c>
      <c r="H370" s="225">
        <f>F370*(($H$271)+1)+(IF(G370&lt;101,G370,IF(G370&lt;201,G370/2,IF(G370&lt;=301,G370/3,G370/4))))</f>
        <v>649.521288</v>
      </c>
      <c r="I370" s="207"/>
      <c r="N370" s="207"/>
    </row>
    <row r="371" s="26" customFormat="1" ht="15.6" customHeight="1" spans="1:10">
      <c r="A371" s="211" t="s">
        <v>333</v>
      </c>
      <c r="B371" s="212"/>
      <c r="C371" s="212"/>
      <c r="D371" s="212"/>
      <c r="E371" s="212"/>
      <c r="F371" s="212"/>
      <c r="G371" s="212"/>
      <c r="H371" s="213"/>
      <c r="J371" s="207"/>
    </row>
    <row r="372" s="26" customFormat="1" customHeight="1" spans="1:20">
      <c r="A372" s="214">
        <v>1</v>
      </c>
      <c r="B372" s="215"/>
      <c r="C372" s="225" t="s">
        <v>330</v>
      </c>
      <c r="D372" s="205">
        <f>(82.15)*10.764</f>
        <v>884.2626</v>
      </c>
      <c r="E372" s="205">
        <f>(2.13*1.08+2.15*1.08)*10.764</f>
        <v>49.7555136</v>
      </c>
      <c r="F372" s="225">
        <f>D372+E372</f>
        <v>934.0181136</v>
      </c>
      <c r="G372" s="225">
        <v>0</v>
      </c>
      <c r="H372" s="225">
        <f>F372*(($H$271)+1)+(IF(G372&lt;101,G372,IF(G372&lt;201,G372/2,IF(G372&lt;=301,G372/3,G372/4))))</f>
        <v>1401.0271704</v>
      </c>
      <c r="I372" s="207"/>
      <c r="J372" s="207">
        <f>45900000/H453</f>
        <v>37802.8635900434</v>
      </c>
      <c r="N372" s="207"/>
      <c r="T372" s="28"/>
    </row>
    <row r="373" s="26" customFormat="1" customHeight="1" spans="1:14">
      <c r="A373" s="214">
        <f>A372+1</f>
        <v>2</v>
      </c>
      <c r="B373" s="215"/>
      <c r="C373" s="225" t="s">
        <v>330</v>
      </c>
      <c r="D373" s="205">
        <f>(82.15)*10.764</f>
        <v>884.2626</v>
      </c>
      <c r="E373" s="205">
        <f>(2.13*1.08+2.15*1.08)*10.764</f>
        <v>49.7555136</v>
      </c>
      <c r="F373" s="225">
        <f>D373+E373</f>
        <v>934.0181136</v>
      </c>
      <c r="G373" s="225">
        <v>0</v>
      </c>
      <c r="H373" s="225">
        <f>F373*(($H$271)+1)+(IF(G373&lt;101,G373,IF(G373&lt;201,G373/2,IF(G373&lt;=301,G373/3,G373/4))))</f>
        <v>1401.0271704</v>
      </c>
      <c r="I373" s="207"/>
      <c r="N373" s="207"/>
    </row>
    <row r="374" s="26" customFormat="1" customHeight="1" spans="1:14">
      <c r="A374" s="214">
        <f>A373+1</f>
        <v>3</v>
      </c>
      <c r="B374" s="215"/>
      <c r="C374" s="225" t="s">
        <v>328</v>
      </c>
      <c r="D374" s="205">
        <f>(53.45)*10.764</f>
        <v>575.3358</v>
      </c>
      <c r="E374" s="205">
        <f>(2.25*1.06)*10.764</f>
        <v>25.67214</v>
      </c>
      <c r="F374" s="225">
        <f>D374+E374</f>
        <v>601.00794</v>
      </c>
      <c r="G374" s="225">
        <v>0</v>
      </c>
      <c r="H374" s="225">
        <f>F374*(($H$271)+1)+(IF(G374&lt;101,G374,IF(G374&lt;201,G374/2,IF(G374&lt;=301,G374/3,G374/4))))</f>
        <v>901.51191</v>
      </c>
      <c r="I374" s="207"/>
      <c r="N374" s="207"/>
    </row>
    <row r="375" s="26" customFormat="1" customHeight="1" spans="1:14">
      <c r="A375" s="214">
        <f>A374+1</f>
        <v>4</v>
      </c>
      <c r="B375" s="215"/>
      <c r="C375" s="216" t="s">
        <v>334</v>
      </c>
      <c r="D375" s="217"/>
      <c r="E375" s="217"/>
      <c r="F375" s="217"/>
      <c r="G375" s="217"/>
      <c r="H375" s="218"/>
      <c r="I375" s="207"/>
      <c r="N375" s="207"/>
    </row>
    <row r="376" s="26" customFormat="1" customHeight="1" spans="1:14">
      <c r="A376" s="214">
        <f>A375+1</f>
        <v>5</v>
      </c>
      <c r="B376" s="215"/>
      <c r="C376" s="222"/>
      <c r="D376" s="223"/>
      <c r="E376" s="223"/>
      <c r="F376" s="223"/>
      <c r="G376" s="223"/>
      <c r="H376" s="224"/>
      <c r="I376" s="207"/>
      <c r="N376" s="207"/>
    </row>
    <row r="377" s="26" customFormat="1" spans="1:10">
      <c r="A377" s="214">
        <f>A376+1</f>
        <v>6</v>
      </c>
      <c r="B377" s="215"/>
      <c r="C377" s="225" t="s">
        <v>342</v>
      </c>
      <c r="D377" s="205">
        <f>(37.91)*10.764</f>
        <v>408.06324</v>
      </c>
      <c r="E377" s="205">
        <f>(2.44*0.95)*10.764</f>
        <v>24.950952</v>
      </c>
      <c r="F377" s="225">
        <f>D377+E377</f>
        <v>433.014192</v>
      </c>
      <c r="G377" s="225">
        <v>0</v>
      </c>
      <c r="H377" s="225">
        <f>F377*(($H$271)+1)+(IF(G377&lt;101,G377,IF(G377&lt;201,G377/2,IF(G377&lt;=301,G377/3,G377/4))))</f>
        <v>649.521288</v>
      </c>
      <c r="J377" s="207"/>
    </row>
    <row r="378" s="26" customFormat="1" customHeight="1" spans="1:20">
      <c r="A378" s="211" t="s">
        <v>343</v>
      </c>
      <c r="B378" s="212"/>
      <c r="C378" s="212"/>
      <c r="D378" s="212"/>
      <c r="E378" s="212"/>
      <c r="F378" s="212"/>
      <c r="G378" s="212"/>
      <c r="H378" s="213"/>
      <c r="I378" s="207"/>
      <c r="N378" s="207"/>
      <c r="T378" s="28"/>
    </row>
    <row r="379" s="26" customFormat="1" customHeight="1" spans="1:14">
      <c r="A379" s="214">
        <v>1</v>
      </c>
      <c r="B379" s="215"/>
      <c r="C379" s="225" t="s">
        <v>330</v>
      </c>
      <c r="D379" s="205">
        <f>(82.15)*10.764</f>
        <v>884.2626</v>
      </c>
      <c r="E379" s="205">
        <f>(2.13*1.08+2.15*1.08)*10.764</f>
        <v>49.7555136</v>
      </c>
      <c r="F379" s="225">
        <f>D379+E379</f>
        <v>934.0181136</v>
      </c>
      <c r="G379" s="225">
        <v>0</v>
      </c>
      <c r="H379" s="225">
        <f>F379*(($H$271)+1)+(IF(G379&lt;101,G379,IF(G379&lt;201,G379/2,IF(G379&lt;=301,G379/3,G379/4))))</f>
        <v>1401.0271704</v>
      </c>
      <c r="I379" s="207"/>
      <c r="N379" s="207"/>
    </row>
    <row r="380" s="26" customFormat="1" customHeight="1" spans="1:14">
      <c r="A380" s="214">
        <f>A379+1</f>
        <v>2</v>
      </c>
      <c r="B380" s="215"/>
      <c r="C380" s="225" t="s">
        <v>330</v>
      </c>
      <c r="D380" s="205">
        <f>(82.15)*10.764</f>
        <v>884.2626</v>
      </c>
      <c r="E380" s="205">
        <f>(2.13*1.08+2.15*1.08)*10.764</f>
        <v>49.7555136</v>
      </c>
      <c r="F380" s="225">
        <f>D380+E380</f>
        <v>934.0181136</v>
      </c>
      <c r="G380" s="225">
        <v>0</v>
      </c>
      <c r="H380" s="225">
        <f>F380*(($H$271)+1)+(IF(G380&lt;101,G380,IF(G380&lt;201,G380/2,IF(G380&lt;=301,G380/3,G380/4))))</f>
        <v>1401.0271704</v>
      </c>
      <c r="I380" s="207"/>
      <c r="N380" s="207"/>
    </row>
    <row r="381" s="26" customFormat="1" customHeight="1" spans="1:14">
      <c r="A381" s="214">
        <f>A380+1</f>
        <v>3</v>
      </c>
      <c r="B381" s="215"/>
      <c r="C381" s="225" t="s">
        <v>328</v>
      </c>
      <c r="D381" s="205">
        <f>(53.45)*10.764</f>
        <v>575.3358</v>
      </c>
      <c r="E381" s="205">
        <f>(2.25*1.06)*10.764</f>
        <v>25.67214</v>
      </c>
      <c r="F381" s="225">
        <f>D381+E381</f>
        <v>601.00794</v>
      </c>
      <c r="G381" s="225">
        <v>0</v>
      </c>
      <c r="H381" s="225">
        <f>F381*(($H$271)+1)+(IF(G381&lt;101,G381,IF(G381&lt;201,G381/2,IF(G381&lt;=301,G381/3,G381/4))))</f>
        <v>901.51191</v>
      </c>
      <c r="I381" s="207"/>
      <c r="N381" s="207"/>
    </row>
    <row r="382" s="26" customFormat="1" spans="1:9">
      <c r="A382" s="214">
        <f>A381+1</f>
        <v>4</v>
      </c>
      <c r="B382" s="215"/>
      <c r="C382" s="225" t="s">
        <v>328</v>
      </c>
      <c r="D382" s="205">
        <f>(53.45)*10.764</f>
        <v>575.3358</v>
      </c>
      <c r="E382" s="205">
        <f>(2.25*1.06)*10.764</f>
        <v>25.67214</v>
      </c>
      <c r="F382" s="225">
        <f>D382+E382</f>
        <v>601.00794</v>
      </c>
      <c r="G382" s="225">
        <v>0</v>
      </c>
      <c r="H382" s="225">
        <f>F382*(($H$271)+1)+(IF(G382&lt;101,G382,IF(G382&lt;201,G382/2,IF(G382&lt;=301,G382/3,G382/4))))</f>
        <v>901.51191</v>
      </c>
      <c r="I382" s="207"/>
    </row>
    <row r="383" s="26" customFormat="1" spans="1:14">
      <c r="A383" s="214">
        <f>A382+1</f>
        <v>5</v>
      </c>
      <c r="B383" s="215"/>
      <c r="C383" s="216" t="s">
        <v>337</v>
      </c>
      <c r="D383" s="217"/>
      <c r="E383" s="217"/>
      <c r="F383" s="217"/>
      <c r="G383" s="217"/>
      <c r="H383" s="218"/>
      <c r="I383" s="207"/>
      <c r="N383" s="207"/>
    </row>
    <row r="384" s="26" customFormat="1" spans="1:14">
      <c r="A384" s="214">
        <f>A383+1</f>
        <v>6</v>
      </c>
      <c r="B384" s="215"/>
      <c r="C384" s="222"/>
      <c r="D384" s="223"/>
      <c r="E384" s="223"/>
      <c r="F384" s="223"/>
      <c r="G384" s="223"/>
      <c r="H384" s="224"/>
      <c r="I384" s="207"/>
      <c r="N384" s="207"/>
    </row>
    <row r="385" s="26" customFormat="1" spans="1:14">
      <c r="A385" s="211" t="s">
        <v>344</v>
      </c>
      <c r="B385" s="212"/>
      <c r="C385" s="212"/>
      <c r="D385" s="212"/>
      <c r="E385" s="212"/>
      <c r="F385" s="212"/>
      <c r="G385" s="212"/>
      <c r="H385" s="213"/>
      <c r="I385" s="207"/>
      <c r="N385" s="207"/>
    </row>
    <row r="386" s="26" customFormat="1" customHeight="1" spans="1:14">
      <c r="A386" s="214">
        <v>1</v>
      </c>
      <c r="B386" s="215"/>
      <c r="C386" s="225" t="s">
        <v>330</v>
      </c>
      <c r="D386" s="205">
        <f>(82.15)*10.764</f>
        <v>884.2626</v>
      </c>
      <c r="E386" s="205">
        <f>(2.13*1.08+2.15*1.08)*10.764</f>
        <v>49.7555136</v>
      </c>
      <c r="F386" s="225">
        <f>D386+E386</f>
        <v>934.0181136</v>
      </c>
      <c r="G386" s="225">
        <v>0</v>
      </c>
      <c r="H386" s="225">
        <f>F386*(($H$271)+1)+(IF(G386&lt;101,G386,IF(G386&lt;201,G386/2,IF(G386&lt;=301,G386/3,G386/4))))</f>
        <v>1401.0271704</v>
      </c>
      <c r="I386" s="207"/>
      <c r="N386" s="207"/>
    </row>
    <row r="387" s="26" customFormat="1" customHeight="1" spans="1:14">
      <c r="A387" s="214">
        <f>A386+1</f>
        <v>2</v>
      </c>
      <c r="B387" s="215"/>
      <c r="C387" s="225" t="s">
        <v>330</v>
      </c>
      <c r="D387" s="205">
        <f>(82.15)*10.764</f>
        <v>884.2626</v>
      </c>
      <c r="E387" s="205">
        <f>(2.13*1.08+2.15*1.08)*10.764</f>
        <v>49.7555136</v>
      </c>
      <c r="F387" s="225">
        <f>D387+E387</f>
        <v>934.0181136</v>
      </c>
      <c r="G387" s="225">
        <v>0</v>
      </c>
      <c r="H387" s="225">
        <f>F387*(($H$271)+1)+(IF(G387&lt;101,G387,IF(G387&lt;201,G387/2,IF(G387&lt;=301,G387/3,G387/4))))</f>
        <v>1401.0271704</v>
      </c>
      <c r="I387" s="207"/>
      <c r="N387" s="207"/>
    </row>
    <row r="388" s="26" customFormat="1" customHeight="1" spans="1:9">
      <c r="A388" s="214">
        <f>A387+1</f>
        <v>3</v>
      </c>
      <c r="B388" s="215"/>
      <c r="C388" s="216" t="s">
        <v>336</v>
      </c>
      <c r="D388" s="217"/>
      <c r="E388" s="217"/>
      <c r="F388" s="217"/>
      <c r="G388" s="217"/>
      <c r="H388" s="218"/>
      <c r="I388" s="207"/>
    </row>
    <row r="389" s="26" customFormat="1" customHeight="1" spans="1:9">
      <c r="A389" s="214">
        <f>A388+1</f>
        <v>4</v>
      </c>
      <c r="B389" s="215"/>
      <c r="C389" s="222"/>
      <c r="D389" s="223"/>
      <c r="E389" s="223"/>
      <c r="F389" s="223"/>
      <c r="G389" s="223"/>
      <c r="H389" s="224"/>
      <c r="I389" s="207"/>
    </row>
    <row r="390" s="26" customFormat="1" customHeight="1" spans="1:9">
      <c r="A390" s="214">
        <f>A389+1</f>
        <v>5</v>
      </c>
      <c r="B390" s="215"/>
      <c r="C390" s="225" t="s">
        <v>342</v>
      </c>
      <c r="D390" s="205">
        <f>(37.91)*10.764</f>
        <v>408.06324</v>
      </c>
      <c r="E390" s="205">
        <f>(2.44*0.95)*10.764</f>
        <v>24.950952</v>
      </c>
      <c r="F390" s="225">
        <f>D390+E390</f>
        <v>433.014192</v>
      </c>
      <c r="G390" s="225">
        <v>0</v>
      </c>
      <c r="H390" s="225">
        <f>F390*(($H$271)+1)+(IF(G390&lt;101,G390,IF(G390&lt;201,G390/2,IF(G390&lt;=301,G390/3,G390/4))))</f>
        <v>649.521288</v>
      </c>
      <c r="I390" s="207"/>
    </row>
    <row r="391" s="26" customFormat="1" customHeight="1" spans="1:9">
      <c r="A391" s="214">
        <f>A390+1</f>
        <v>6</v>
      </c>
      <c r="B391" s="215"/>
      <c r="C391" s="225" t="s">
        <v>342</v>
      </c>
      <c r="D391" s="205">
        <f>(37.91)*10.764</f>
        <v>408.06324</v>
      </c>
      <c r="E391" s="205">
        <f>(2.44*0.95)*10.764</f>
        <v>24.950952</v>
      </c>
      <c r="F391" s="225">
        <f>D391+E391</f>
        <v>433.014192</v>
      </c>
      <c r="G391" s="225">
        <v>0</v>
      </c>
      <c r="H391" s="225">
        <f>F391*(($H$271)+1)+(IF(G391&lt;101,G391,IF(G391&lt;201,G391/2,IF(G391&lt;=301,G391/3,G391/4))))</f>
        <v>649.521288</v>
      </c>
      <c r="I391" s="207"/>
    </row>
    <row r="392" s="26" customFormat="1" customHeight="1" spans="1:9">
      <c r="A392" s="211" t="s">
        <v>345</v>
      </c>
      <c r="B392" s="212"/>
      <c r="C392" s="212"/>
      <c r="D392" s="212"/>
      <c r="E392" s="212"/>
      <c r="F392" s="212"/>
      <c r="G392" s="212"/>
      <c r="H392" s="213"/>
      <c r="I392" s="207"/>
    </row>
    <row r="393" s="26" customFormat="1" customHeight="1" spans="1:9">
      <c r="A393" s="214">
        <v>1</v>
      </c>
      <c r="B393" s="215"/>
      <c r="C393" s="225" t="s">
        <v>330</v>
      </c>
      <c r="D393" s="205">
        <f>(82.15)*10.764</f>
        <v>884.2626</v>
      </c>
      <c r="E393" s="205">
        <f>(2.13*1.08+2.15*1.08)*10.764</f>
        <v>49.7555136</v>
      </c>
      <c r="F393" s="225">
        <f>D393+E393</f>
        <v>934.0181136</v>
      </c>
      <c r="G393" s="225">
        <v>0</v>
      </c>
      <c r="H393" s="225">
        <f t="shared" ref="H393:H398" si="25">F393*(($H$271)+1)+(IF(G393&lt;101,G393,IF(G393&lt;201,G393/2,IF(G393&lt;=301,G393/3,G393/4))))</f>
        <v>1401.0271704</v>
      </c>
      <c r="I393" s="207"/>
    </row>
    <row r="394" s="26" customFormat="1" spans="1:9">
      <c r="A394" s="214">
        <f>A393+1</f>
        <v>2</v>
      </c>
      <c r="B394" s="215"/>
      <c r="C394" s="225" t="s">
        <v>330</v>
      </c>
      <c r="D394" s="205">
        <f>(82.15)*10.764</f>
        <v>884.2626</v>
      </c>
      <c r="E394" s="205">
        <f>(2.13*1.08+2.15*1.08)*10.764</f>
        <v>49.7555136</v>
      </c>
      <c r="F394" s="225">
        <f>D394+E394</f>
        <v>934.0181136</v>
      </c>
      <c r="G394" s="225">
        <v>0</v>
      </c>
      <c r="H394" s="225">
        <f t="shared" si="25"/>
        <v>1401.0271704</v>
      </c>
      <c r="I394" s="207"/>
    </row>
    <row r="395" s="26" customFormat="1" customHeight="1" spans="1:9">
      <c r="A395" s="214">
        <f>A394+1</f>
        <v>3</v>
      </c>
      <c r="B395" s="215"/>
      <c r="C395" s="225" t="s">
        <v>328</v>
      </c>
      <c r="D395" s="205">
        <f>(53.36)*10.764</f>
        <v>574.36704</v>
      </c>
      <c r="E395" s="205">
        <f>(2.25*1.06)*10.764</f>
        <v>25.67214</v>
      </c>
      <c r="F395" s="225">
        <f>D395+E395</f>
        <v>600.03918</v>
      </c>
      <c r="G395" s="225">
        <v>0</v>
      </c>
      <c r="H395" s="225">
        <f t="shared" si="25"/>
        <v>900.05877</v>
      </c>
      <c r="I395" s="207"/>
    </row>
    <row r="396" s="26" customFormat="1" customHeight="1" spans="1:9">
      <c r="A396" s="214">
        <f>A395+1</f>
        <v>4</v>
      </c>
      <c r="B396" s="215"/>
      <c r="C396" s="225" t="s">
        <v>328</v>
      </c>
      <c r="D396" s="205">
        <f>(53.36)*10.764</f>
        <v>574.36704</v>
      </c>
      <c r="E396" s="205">
        <f>(2.25*1.06)*10.764</f>
        <v>25.67214</v>
      </c>
      <c r="F396" s="225">
        <f t="shared" ref="F396:F398" si="26">D396+E396</f>
        <v>600.03918</v>
      </c>
      <c r="G396" s="225">
        <v>0</v>
      </c>
      <c r="H396" s="225">
        <f t="shared" si="25"/>
        <v>900.05877</v>
      </c>
      <c r="I396" s="207"/>
    </row>
    <row r="397" s="26" customFormat="1" customHeight="1" spans="1:9">
      <c r="A397" s="214">
        <f>A396+1</f>
        <v>5</v>
      </c>
      <c r="B397" s="215"/>
      <c r="C397" s="225" t="s">
        <v>342</v>
      </c>
      <c r="D397" s="205">
        <f>(37.91)*10.764</f>
        <v>408.06324</v>
      </c>
      <c r="E397" s="205">
        <f>(2.44*0.95)*10.764</f>
        <v>24.950952</v>
      </c>
      <c r="F397" s="225">
        <f t="shared" si="26"/>
        <v>433.014192</v>
      </c>
      <c r="G397" s="225">
        <v>0</v>
      </c>
      <c r="H397" s="225">
        <f t="shared" si="25"/>
        <v>649.521288</v>
      </c>
      <c r="I397" s="207"/>
    </row>
    <row r="398" s="26" customFormat="1" customHeight="1" spans="1:9">
      <c r="A398" s="214">
        <f>A397+1</f>
        <v>6</v>
      </c>
      <c r="B398" s="215"/>
      <c r="C398" s="225" t="s">
        <v>342</v>
      </c>
      <c r="D398" s="205">
        <f>(37.91)*10.764</f>
        <v>408.06324</v>
      </c>
      <c r="E398" s="205">
        <f>(2.44*0.95)*10.764</f>
        <v>24.950952</v>
      </c>
      <c r="F398" s="225">
        <f t="shared" si="26"/>
        <v>433.014192</v>
      </c>
      <c r="G398" s="225">
        <v>0</v>
      </c>
      <c r="H398" s="225">
        <f t="shared" si="25"/>
        <v>649.521288</v>
      </c>
      <c r="I398" s="207"/>
    </row>
    <row r="399" s="26" customFormat="1" customHeight="1" spans="1:9">
      <c r="A399" s="227" t="s">
        <v>295</v>
      </c>
      <c r="B399" s="228"/>
      <c r="C399" s="228"/>
      <c r="D399" s="228"/>
      <c r="E399" s="228"/>
      <c r="F399" s="228"/>
      <c r="G399" s="228"/>
      <c r="H399" s="229"/>
      <c r="I399" s="207"/>
    </row>
    <row r="400" s="26" customFormat="1" spans="1:9">
      <c r="A400" s="211" t="s">
        <v>323</v>
      </c>
      <c r="B400" s="212"/>
      <c r="C400" s="212"/>
      <c r="D400" s="212"/>
      <c r="E400" s="212"/>
      <c r="F400" s="212"/>
      <c r="G400" s="212"/>
      <c r="H400" s="213"/>
      <c r="I400" s="207"/>
    </row>
    <row r="401" s="26" customFormat="1" customHeight="1" spans="1:9">
      <c r="A401" s="211" t="s">
        <v>324</v>
      </c>
      <c r="B401" s="212"/>
      <c r="C401" s="212"/>
      <c r="D401" s="212"/>
      <c r="E401" s="212"/>
      <c r="F401" s="212"/>
      <c r="G401" s="212"/>
      <c r="H401" s="213"/>
      <c r="I401" s="207"/>
    </row>
    <row r="402" s="26" customFormat="1" customHeight="1" spans="1:9">
      <c r="A402" s="211" t="s">
        <v>341</v>
      </c>
      <c r="B402" s="212"/>
      <c r="C402" s="212"/>
      <c r="D402" s="212"/>
      <c r="E402" s="212"/>
      <c r="F402" s="212"/>
      <c r="G402" s="212"/>
      <c r="H402" s="213"/>
      <c r="I402" s="207"/>
    </row>
    <row r="403" s="26" customFormat="1" customHeight="1" spans="1:9">
      <c r="A403" s="214">
        <v>1</v>
      </c>
      <c r="B403" s="215"/>
      <c r="C403" s="216" t="s">
        <v>334</v>
      </c>
      <c r="D403" s="217"/>
      <c r="E403" s="217"/>
      <c r="F403" s="217"/>
      <c r="G403" s="217"/>
      <c r="H403" s="218"/>
      <c r="I403" s="207"/>
    </row>
    <row r="404" s="26" customFormat="1" customHeight="1" spans="1:9">
      <c r="A404" s="214">
        <f>A403+1</f>
        <v>2</v>
      </c>
      <c r="B404" s="215"/>
      <c r="C404" s="219"/>
      <c r="D404" s="220"/>
      <c r="E404" s="220"/>
      <c r="F404" s="220"/>
      <c r="G404" s="220"/>
      <c r="H404" s="221"/>
      <c r="I404" s="207"/>
    </row>
    <row r="405" s="26" customFormat="1" customHeight="1" spans="1:9">
      <c r="A405" s="214">
        <v>3</v>
      </c>
      <c r="B405" s="215"/>
      <c r="C405" s="225" t="s">
        <v>328</v>
      </c>
      <c r="D405" s="205">
        <f>(70.6)*10.764</f>
        <v>759.9384</v>
      </c>
      <c r="E405" s="205">
        <f>(2.13*1.08+2.15*1.07)*10.764</f>
        <v>49.5240876</v>
      </c>
      <c r="F405" s="225">
        <f>D405+E405</f>
        <v>809.4624876</v>
      </c>
      <c r="G405" s="225">
        <v>0</v>
      </c>
      <c r="H405" s="225">
        <f>F405*(($H$271)+1)+(IF(G405&lt;101,G405,IF(G405&lt;201,G405/2,IF(G405&lt;=301,G405/3,G405/4))))</f>
        <v>1214.1937314</v>
      </c>
      <c r="I405" s="207"/>
    </row>
    <row r="406" s="25" customFormat="1" spans="1:20">
      <c r="A406" s="214">
        <f>A405+1</f>
        <v>4</v>
      </c>
      <c r="B406" s="215"/>
      <c r="C406" s="225" t="s">
        <v>328</v>
      </c>
      <c r="D406" s="205">
        <f>(67.28)*10.764</f>
        <v>724.20192</v>
      </c>
      <c r="E406" s="205">
        <f>(2.15*1.07+2.13*1.08)*10.764</f>
        <v>49.5240876</v>
      </c>
      <c r="F406" s="225">
        <f>D406+E406</f>
        <v>773.7260076</v>
      </c>
      <c r="G406" s="225">
        <v>0</v>
      </c>
      <c r="H406" s="225">
        <f>F406*(($H$271)+1)+(IF(G406&lt;101,G406,IF(G406&lt;201,G406/2,IF(G406&lt;=301,G406/3,G406/4))))</f>
        <v>1160.5890114</v>
      </c>
      <c r="T406" s="26"/>
    </row>
    <row r="407" s="25" customFormat="1" spans="1:20">
      <c r="A407" s="214">
        <f>A406+1</f>
        <v>5</v>
      </c>
      <c r="B407" s="215"/>
      <c r="C407" s="214" t="s">
        <v>327</v>
      </c>
      <c r="D407" s="226"/>
      <c r="E407" s="226"/>
      <c r="F407" s="226"/>
      <c r="G407" s="226"/>
      <c r="H407" s="215"/>
      <c r="T407" s="26"/>
    </row>
    <row r="408" s="25" customFormat="1" spans="1:20">
      <c r="A408" s="211" t="s">
        <v>326</v>
      </c>
      <c r="B408" s="212"/>
      <c r="C408" s="212"/>
      <c r="D408" s="212"/>
      <c r="E408" s="212"/>
      <c r="F408" s="212"/>
      <c r="G408" s="212"/>
      <c r="H408" s="213"/>
      <c r="T408" s="26"/>
    </row>
    <row r="409" s="25" customFormat="1" customHeight="1" spans="1:8">
      <c r="A409" s="214">
        <v>1</v>
      </c>
      <c r="B409" s="215"/>
      <c r="C409" s="216" t="s">
        <v>334</v>
      </c>
      <c r="D409" s="217"/>
      <c r="E409" s="217"/>
      <c r="F409" s="217"/>
      <c r="G409" s="217"/>
      <c r="H409" s="218"/>
    </row>
    <row r="410" s="25" customFormat="1" spans="1:8">
      <c r="A410" s="214">
        <f>A409+1</f>
        <v>2</v>
      </c>
      <c r="B410" s="215"/>
      <c r="C410" s="219"/>
      <c r="D410" s="220"/>
      <c r="E410" s="220"/>
      <c r="F410" s="220"/>
      <c r="G410" s="220"/>
      <c r="H410" s="221"/>
    </row>
    <row r="411" s="25" customFormat="1" ht="30" customHeight="1" spans="1:8">
      <c r="A411" s="214">
        <v>3</v>
      </c>
      <c r="B411" s="215"/>
      <c r="C411" s="225" t="s">
        <v>328</v>
      </c>
      <c r="D411" s="205">
        <f>(70.6)*10.764</f>
        <v>759.9384</v>
      </c>
      <c r="E411" s="205">
        <f>(2.13*1.08+2.15*1.07)*10.764</f>
        <v>49.5240876</v>
      </c>
      <c r="F411" s="225">
        <f>D411+E411</f>
        <v>809.4624876</v>
      </c>
      <c r="G411" s="225">
        <v>0</v>
      </c>
      <c r="H411" s="225">
        <f>F411*(($H$271)+1)+(IF(G411&lt;101,G411,IF(G411&lt;201,G411/2,IF(G411&lt;=301,G411/3,G411/4))))</f>
        <v>1214.1937314</v>
      </c>
    </row>
    <row r="412" s="25" customFormat="1" customHeight="1" spans="1:8">
      <c r="A412" s="214">
        <f>A411+1</f>
        <v>4</v>
      </c>
      <c r="B412" s="215"/>
      <c r="C412" s="225" t="s">
        <v>328</v>
      </c>
      <c r="D412" s="205">
        <f>(67.28)*10.764</f>
        <v>724.20192</v>
      </c>
      <c r="E412" s="205">
        <f>(2.15*1.07+2.13*1.08)*10.764</f>
        <v>49.5240876</v>
      </c>
      <c r="F412" s="225">
        <f>D412+E412</f>
        <v>773.7260076</v>
      </c>
      <c r="G412" s="225">
        <v>0</v>
      </c>
      <c r="H412" s="225">
        <f>F412*(($H$271)+1)+(IF(G412&lt;101,G412,IF(G412&lt;201,G412/2,IF(G412&lt;=301,G412/3,G412/4))))</f>
        <v>1160.5890114</v>
      </c>
    </row>
    <row r="413" s="25" customFormat="1" customHeight="1" spans="1:8">
      <c r="A413" s="214">
        <f>A412+1</f>
        <v>5</v>
      </c>
      <c r="B413" s="215"/>
      <c r="C413" s="214" t="s">
        <v>327</v>
      </c>
      <c r="D413" s="226"/>
      <c r="E413" s="226"/>
      <c r="F413" s="226"/>
      <c r="G413" s="226"/>
      <c r="H413" s="215"/>
    </row>
    <row r="414" s="25" customFormat="1" spans="1:8">
      <c r="A414" s="211" t="s">
        <v>329</v>
      </c>
      <c r="B414" s="212"/>
      <c r="C414" s="212"/>
      <c r="D414" s="212"/>
      <c r="E414" s="212"/>
      <c r="F414" s="212"/>
      <c r="G414" s="212"/>
      <c r="H414" s="213"/>
    </row>
    <row r="415" s="25" customFormat="1" customHeight="1" spans="1:8">
      <c r="A415" s="214">
        <v>1</v>
      </c>
      <c r="B415" s="215"/>
      <c r="C415" s="216" t="s">
        <v>334</v>
      </c>
      <c r="D415" s="217"/>
      <c r="E415" s="217"/>
      <c r="F415" s="217"/>
      <c r="G415" s="217"/>
      <c r="H415" s="218"/>
    </row>
    <row r="416" s="25" customFormat="1" spans="1:8">
      <c r="A416" s="214">
        <f>A415+1</f>
        <v>2</v>
      </c>
      <c r="B416" s="215"/>
      <c r="C416" s="219"/>
      <c r="D416" s="220"/>
      <c r="E416" s="220"/>
      <c r="F416" s="220"/>
      <c r="G416" s="220"/>
      <c r="H416" s="221"/>
    </row>
    <row r="417" s="25" customFormat="1" customHeight="1" spans="1:15">
      <c r="A417" s="214">
        <v>3</v>
      </c>
      <c r="B417" s="215"/>
      <c r="C417" s="225" t="s">
        <v>328</v>
      </c>
      <c r="D417" s="205">
        <f>(70.6)*10.764</f>
        <v>759.9384</v>
      </c>
      <c r="E417" s="205">
        <f>(2.13*1.08+2.15*1.07)*10.764</f>
        <v>49.5240876</v>
      </c>
      <c r="F417" s="225">
        <f>D417+E417</f>
        <v>809.4624876</v>
      </c>
      <c r="G417" s="225">
        <v>0</v>
      </c>
      <c r="H417" s="225">
        <f>F417*(($H$271)+1)+(IF(G417&lt;101,G417,IF(G417&lt;201,G417/2,IF(G417&lt;=301,G417/3,G417/4))))</f>
        <v>1214.1937314</v>
      </c>
      <c r="I417" s="230" t="s">
        <v>346</v>
      </c>
      <c r="J417" s="231"/>
      <c r="K417" s="231"/>
      <c r="L417" s="231"/>
      <c r="M417" s="231"/>
      <c r="N417" s="231"/>
      <c r="O417" s="232"/>
    </row>
    <row r="418" s="25" customFormat="1" spans="1:8">
      <c r="A418" s="214">
        <f>A417+1</f>
        <v>4</v>
      </c>
      <c r="B418" s="215"/>
      <c r="C418" s="225" t="s">
        <v>328</v>
      </c>
      <c r="D418" s="205">
        <f>(67.28)*10.764</f>
        <v>724.20192</v>
      </c>
      <c r="E418" s="205">
        <f>(2.15*1.07+2.13*1.08)*10.764</f>
        <v>49.5240876</v>
      </c>
      <c r="F418" s="225">
        <f>D418+E418</f>
        <v>773.7260076</v>
      </c>
      <c r="G418" s="225">
        <v>0</v>
      </c>
      <c r="H418" s="225">
        <f>F418*(($H$271)+1)+(IF(G418&lt;101,G418,IF(G418&lt;201,G418/2,IF(G418&lt;=301,G418/3,G418/4))))</f>
        <v>1160.5890114</v>
      </c>
    </row>
    <row r="419" customHeight="1" spans="1:20">
      <c r="A419" s="214">
        <f>A418+1</f>
        <v>5</v>
      </c>
      <c r="B419" s="215"/>
      <c r="C419" s="214" t="s">
        <v>327</v>
      </c>
      <c r="D419" s="226"/>
      <c r="E419" s="226"/>
      <c r="F419" s="226"/>
      <c r="G419" s="226"/>
      <c r="H419" s="215"/>
      <c r="T419" s="25"/>
    </row>
    <row r="420" spans="1:20">
      <c r="A420" s="211" t="s">
        <v>331</v>
      </c>
      <c r="B420" s="212"/>
      <c r="C420" s="212"/>
      <c r="D420" s="212"/>
      <c r="E420" s="212"/>
      <c r="F420" s="212"/>
      <c r="G420" s="212"/>
      <c r="H420" s="213"/>
      <c r="T420" s="25"/>
    </row>
    <row r="421" customHeight="1" spans="1:20">
      <c r="A421" s="214">
        <v>1</v>
      </c>
      <c r="B421" s="215"/>
      <c r="C421" s="216" t="s">
        <v>334</v>
      </c>
      <c r="D421" s="217"/>
      <c r="E421" s="217"/>
      <c r="F421" s="217"/>
      <c r="G421" s="217"/>
      <c r="H421" s="218"/>
      <c r="T421" s="25"/>
    </row>
    <row r="422" customHeight="1" spans="1:8">
      <c r="A422" s="214">
        <f>A421+1</f>
        <v>2</v>
      </c>
      <c r="B422" s="215"/>
      <c r="C422" s="219"/>
      <c r="D422" s="220"/>
      <c r="E422" s="220"/>
      <c r="F422" s="220"/>
      <c r="G422" s="220"/>
      <c r="H422" s="221"/>
    </row>
    <row r="423" customHeight="1" spans="1:8">
      <c r="A423" s="214">
        <v>3</v>
      </c>
      <c r="B423" s="215"/>
      <c r="C423" s="225" t="s">
        <v>328</v>
      </c>
      <c r="D423" s="205">
        <f>(70.6)*10.764</f>
        <v>759.9384</v>
      </c>
      <c r="E423" s="205">
        <f>(2.13*1.08+2.15*1.07)*10.764</f>
        <v>49.5240876</v>
      </c>
      <c r="F423" s="225">
        <f>D423+E423</f>
        <v>809.4624876</v>
      </c>
      <c r="G423" s="225">
        <v>0</v>
      </c>
      <c r="H423" s="225">
        <f>F423*(($H$271)+1)+(IF(G423&lt;101,G423,IF(G423&lt;201,G423/2,IF(G423&lt;=301,G423/3,G423/4))))</f>
        <v>1214.1937314</v>
      </c>
    </row>
    <row r="424" customHeight="1" spans="1:8">
      <c r="A424" s="214">
        <f>A423+1</f>
        <v>4</v>
      </c>
      <c r="B424" s="215"/>
      <c r="C424" s="225" t="s">
        <v>328</v>
      </c>
      <c r="D424" s="205">
        <f>(67.28)*10.764</f>
        <v>724.20192</v>
      </c>
      <c r="E424" s="205">
        <f>(2.15*1.07+2.13*1.08)*10.764</f>
        <v>49.5240876</v>
      </c>
      <c r="F424" s="225">
        <f>D424+E424</f>
        <v>773.7260076</v>
      </c>
      <c r="G424" s="225">
        <v>0</v>
      </c>
      <c r="H424" s="225">
        <f>F424*(($H$271)+1)+(IF(G424&lt;101,G424,IF(G424&lt;201,G424/2,IF(G424&lt;=301,G424/3,G424/4))))</f>
        <v>1160.5890114</v>
      </c>
    </row>
    <row r="425" spans="1:8">
      <c r="A425" s="214">
        <f>A424+1</f>
        <v>5</v>
      </c>
      <c r="B425" s="215"/>
      <c r="C425" s="214" t="s">
        <v>327</v>
      </c>
      <c r="D425" s="226"/>
      <c r="E425" s="226"/>
      <c r="F425" s="226"/>
      <c r="G425" s="226"/>
      <c r="H425" s="215"/>
    </row>
    <row r="426" spans="1:8">
      <c r="A426" s="211" t="s">
        <v>332</v>
      </c>
      <c r="B426" s="212"/>
      <c r="C426" s="212"/>
      <c r="D426" s="212"/>
      <c r="E426" s="212"/>
      <c r="F426" s="212"/>
      <c r="G426" s="212"/>
      <c r="H426" s="213"/>
    </row>
    <row r="427" customHeight="1" spans="1:8">
      <c r="A427" s="214">
        <v>1</v>
      </c>
      <c r="B427" s="215"/>
      <c r="C427" s="216" t="s">
        <v>334</v>
      </c>
      <c r="D427" s="217"/>
      <c r="E427" s="217"/>
      <c r="F427" s="217"/>
      <c r="G427" s="217"/>
      <c r="H427" s="218"/>
    </row>
    <row r="428" spans="1:8">
      <c r="A428" s="214">
        <f>A427+1</f>
        <v>2</v>
      </c>
      <c r="B428" s="215"/>
      <c r="C428" s="219"/>
      <c r="D428" s="220"/>
      <c r="E428" s="220"/>
      <c r="F428" s="220"/>
      <c r="G428" s="220"/>
      <c r="H428" s="221"/>
    </row>
    <row r="429" spans="1:8">
      <c r="A429" s="214">
        <v>3</v>
      </c>
      <c r="B429" s="215"/>
      <c r="C429" s="225" t="s">
        <v>328</v>
      </c>
      <c r="D429" s="205">
        <f>(70.6)*10.764</f>
        <v>759.9384</v>
      </c>
      <c r="E429" s="205">
        <f>(2.13*1.08+2.15*1.07)*10.764</f>
        <v>49.5240876</v>
      </c>
      <c r="F429" s="225">
        <f>D429+E429</f>
        <v>809.4624876</v>
      </c>
      <c r="G429" s="225">
        <v>0</v>
      </c>
      <c r="H429" s="225">
        <f>F429*(($H$271)+1)+(IF(G429&lt;101,G429,IF(G429&lt;201,G429/2,IF(G429&lt;=301,G429/3,G429/4))))</f>
        <v>1214.1937314</v>
      </c>
    </row>
    <row r="430" spans="1:8">
      <c r="A430" s="214">
        <f>A429+1</f>
        <v>4</v>
      </c>
      <c r="B430" s="215"/>
      <c r="C430" s="225" t="s">
        <v>328</v>
      </c>
      <c r="D430" s="205">
        <f>(67.28)*10.764</f>
        <v>724.20192</v>
      </c>
      <c r="E430" s="205">
        <f>(2.15*1.07+2.13*1.08)*10.764</f>
        <v>49.5240876</v>
      </c>
      <c r="F430" s="225">
        <f>D430+E430</f>
        <v>773.7260076</v>
      </c>
      <c r="G430" s="225">
        <v>0</v>
      </c>
      <c r="H430" s="225">
        <f>F430*(($H$271)+1)+(IF(G430&lt;101,G430,IF(G430&lt;201,G430/2,IF(G430&lt;=301,G430/3,G430/4))))</f>
        <v>1160.5890114</v>
      </c>
    </row>
    <row r="431" customHeight="1" spans="1:8">
      <c r="A431" s="214">
        <f>A430+1</f>
        <v>5</v>
      </c>
      <c r="B431" s="215"/>
      <c r="C431" s="214" t="s">
        <v>327</v>
      </c>
      <c r="D431" s="226"/>
      <c r="E431" s="226"/>
      <c r="F431" s="226"/>
      <c r="G431" s="226"/>
      <c r="H431" s="215"/>
    </row>
    <row r="432" spans="1:8">
      <c r="A432" s="211" t="s">
        <v>333</v>
      </c>
      <c r="B432" s="212"/>
      <c r="C432" s="212"/>
      <c r="D432" s="212"/>
      <c r="E432" s="212"/>
      <c r="F432" s="212"/>
      <c r="G432" s="212"/>
      <c r="H432" s="213"/>
    </row>
    <row r="433" customHeight="1" spans="1:8">
      <c r="A433" s="214">
        <v>1</v>
      </c>
      <c r="B433" s="215"/>
      <c r="C433" s="216" t="s">
        <v>334</v>
      </c>
      <c r="D433" s="217"/>
      <c r="E433" s="217"/>
      <c r="F433" s="217"/>
      <c r="G433" s="217"/>
      <c r="H433" s="218"/>
    </row>
    <row r="434" customHeight="1" spans="1:8">
      <c r="A434" s="214">
        <f>A433+1</f>
        <v>2</v>
      </c>
      <c r="B434" s="215"/>
      <c r="C434" s="219"/>
      <c r="D434" s="220"/>
      <c r="E434" s="220"/>
      <c r="F434" s="220"/>
      <c r="G434" s="220"/>
      <c r="H434" s="221"/>
    </row>
    <row r="435" spans="1:8">
      <c r="A435" s="214">
        <v>3</v>
      </c>
      <c r="B435" s="215"/>
      <c r="C435" s="225" t="s">
        <v>328</v>
      </c>
      <c r="D435" s="205">
        <f>(70.6)*10.764</f>
        <v>759.9384</v>
      </c>
      <c r="E435" s="205">
        <f>(2.13*1.08+2.15*1.07)*10.764</f>
        <v>49.5240876</v>
      </c>
      <c r="F435" s="225">
        <f>D435+E435</f>
        <v>809.4624876</v>
      </c>
      <c r="G435" s="225">
        <v>0</v>
      </c>
      <c r="H435" s="225">
        <f>F435*(($H$271)+1)+(IF(G435&lt;101,G435,IF(G435&lt;201,G435/2,IF(G435&lt;=301,G435/3,G435/4))))</f>
        <v>1214.1937314</v>
      </c>
    </row>
    <row r="436" spans="1:8">
      <c r="A436" s="214">
        <f>A435+1</f>
        <v>4</v>
      </c>
      <c r="B436" s="215"/>
      <c r="C436" s="225" t="s">
        <v>328</v>
      </c>
      <c r="D436" s="205">
        <f>(67.28)*10.764</f>
        <v>724.20192</v>
      </c>
      <c r="E436" s="205">
        <f>(2.15*1.07+2.13*1.08)*10.764</f>
        <v>49.5240876</v>
      </c>
      <c r="F436" s="225">
        <f>D436+E436</f>
        <v>773.7260076</v>
      </c>
      <c r="G436" s="225">
        <v>0</v>
      </c>
      <c r="H436" s="225">
        <f>F436*(($H$271)+1)+(IF(G436&lt;101,G436,IF(G436&lt;201,G436/2,IF(G436&lt;=301,G436/3,G436/4))))</f>
        <v>1160.5890114</v>
      </c>
    </row>
    <row r="437" spans="1:8">
      <c r="A437" s="214">
        <f>A436+1</f>
        <v>5</v>
      </c>
      <c r="B437" s="215"/>
      <c r="C437" s="214" t="s">
        <v>334</v>
      </c>
      <c r="D437" s="226"/>
      <c r="E437" s="226"/>
      <c r="F437" s="226"/>
      <c r="G437" s="226"/>
      <c r="H437" s="215"/>
    </row>
    <row r="438" spans="1:8">
      <c r="A438" s="211" t="s">
        <v>347</v>
      </c>
      <c r="B438" s="212"/>
      <c r="C438" s="212"/>
      <c r="D438" s="212"/>
      <c r="E438" s="212"/>
      <c r="F438" s="212"/>
      <c r="G438" s="212"/>
      <c r="H438" s="213"/>
    </row>
    <row r="439" customHeight="1" spans="1:8">
      <c r="A439" s="214">
        <v>1</v>
      </c>
      <c r="B439" s="215"/>
      <c r="C439" s="225" t="s">
        <v>334</v>
      </c>
      <c r="D439" s="225"/>
      <c r="E439" s="225"/>
      <c r="F439" s="225"/>
      <c r="G439" s="225"/>
      <c r="H439" s="213" t="s">
        <v>348</v>
      </c>
    </row>
    <row r="440" spans="1:8">
      <c r="A440" s="214">
        <v>2</v>
      </c>
      <c r="B440" s="215"/>
      <c r="C440" s="225" t="s">
        <v>328</v>
      </c>
      <c r="D440" s="205">
        <f>(71.02)*10.764</f>
        <v>764.45928</v>
      </c>
      <c r="E440" s="205">
        <f>(2.15*1.07+2.13*1.08)*10.764</f>
        <v>49.5240876</v>
      </c>
      <c r="F440" s="225">
        <f>D440+E440</f>
        <v>813.9833676</v>
      </c>
      <c r="G440" s="225">
        <v>0</v>
      </c>
      <c r="H440" s="225">
        <f>F440*(($H$271)+1)+(IF(G440&lt;101,G440,IF(G440&lt;201,G440/2,IF(G440&lt;=301,G440/3,G440/4))))</f>
        <v>1220.9750514</v>
      </c>
    </row>
    <row r="441" customHeight="1" spans="1:8">
      <c r="A441" s="214">
        <f>A440+1</f>
        <v>3</v>
      </c>
      <c r="B441" s="215"/>
      <c r="C441" s="225" t="s">
        <v>328</v>
      </c>
      <c r="D441" s="205">
        <f>(70.6)*10.764</f>
        <v>759.9384</v>
      </c>
      <c r="E441" s="205">
        <f>(2.15*1.07+2.13*1.08)*10.764</f>
        <v>49.5240876</v>
      </c>
      <c r="F441" s="225">
        <f>D441+E441</f>
        <v>809.4624876</v>
      </c>
      <c r="G441" s="225">
        <v>0</v>
      </c>
      <c r="H441" s="225">
        <f>F441*(($H$271)+1)+(IF(G441&lt;101,G441,IF(G441&lt;201,G441/2,IF(G441&lt;=301,G441/3,G441/4))))</f>
        <v>1214.1937314</v>
      </c>
    </row>
    <row r="442" spans="1:8">
      <c r="A442" s="214">
        <f>A441+1</f>
        <v>4</v>
      </c>
      <c r="B442" s="215"/>
      <c r="C442" s="225" t="s">
        <v>328</v>
      </c>
      <c r="D442" s="205">
        <f>(67.28)*10.764</f>
        <v>724.20192</v>
      </c>
      <c r="E442" s="205">
        <f>(2.15*1.07+2.13*1.08)*10.764</f>
        <v>49.5240876</v>
      </c>
      <c r="F442" s="225">
        <f>D442+E442</f>
        <v>773.7260076</v>
      </c>
      <c r="G442" s="225">
        <v>0</v>
      </c>
      <c r="H442" s="225">
        <f>F442*(($H$271)+1)+(IF(G442&lt;101,G442,IF(G442&lt;201,G442/2,IF(G442&lt;=301,G442/3,G442/4))))</f>
        <v>1160.5890114</v>
      </c>
    </row>
    <row r="443" spans="1:8">
      <c r="A443" s="214">
        <f>A442+1</f>
        <v>5</v>
      </c>
      <c r="B443" s="215"/>
      <c r="C443" s="225" t="s">
        <v>328</v>
      </c>
      <c r="D443" s="205">
        <f>(67.28)*10.764</f>
        <v>724.20192</v>
      </c>
      <c r="E443" s="205">
        <f>(2.15*1.07+2.13*1.08)*10.764</f>
        <v>49.5240876</v>
      </c>
      <c r="F443" s="225">
        <f>D443+E443</f>
        <v>773.7260076</v>
      </c>
      <c r="G443" s="225">
        <v>0</v>
      </c>
      <c r="H443" s="225">
        <f>F443*(($H$271)+1)+(IF(G443&lt;101,G443,IF(G443&lt;201,G443/2,IF(G443&lt;=301,G443/3,G443/4))))</f>
        <v>1160.5890114</v>
      </c>
    </row>
    <row r="444" spans="1:8">
      <c r="A444" s="211" t="s">
        <v>344</v>
      </c>
      <c r="B444" s="212"/>
      <c r="C444" s="212"/>
      <c r="D444" s="212"/>
      <c r="E444" s="212"/>
      <c r="F444" s="212"/>
      <c r="G444" s="212"/>
      <c r="H444" s="213"/>
    </row>
    <row r="445" customHeight="1" spans="1:8">
      <c r="A445" s="214">
        <v>1</v>
      </c>
      <c r="B445" s="215"/>
      <c r="C445" s="225" t="s">
        <v>349</v>
      </c>
      <c r="D445" s="205">
        <f>(134.71)*10.764</f>
        <v>1450.01844</v>
      </c>
      <c r="E445" s="205">
        <f>(3.4*1.23+3.96*1.23+3.4*1.23)*10.764</f>
        <v>142.4593872</v>
      </c>
      <c r="F445" s="225">
        <f>D445+E445</f>
        <v>1592.4778272</v>
      </c>
      <c r="G445" s="225">
        <v>0</v>
      </c>
      <c r="H445" s="225">
        <f>F445*(($H$271)+1)+(IF(G445&lt;101,G445,IF(G445&lt;201,G445/2,IF(G445&lt;=301,G445/3,G445/4))))</f>
        <v>2388.7167408</v>
      </c>
    </row>
    <row r="446" spans="1:8">
      <c r="A446" s="214">
        <v>2</v>
      </c>
      <c r="B446" s="215"/>
      <c r="C446" s="225" t="s">
        <v>328</v>
      </c>
      <c r="D446" s="205">
        <f>(71.02)*10.764</f>
        <v>764.45928</v>
      </c>
      <c r="E446" s="205">
        <f>(2.15*1.07+2.13*1.08)*10.764</f>
        <v>49.5240876</v>
      </c>
      <c r="F446" s="225">
        <f>D446+E446</f>
        <v>813.9833676</v>
      </c>
      <c r="G446" s="225">
        <v>0</v>
      </c>
      <c r="H446" s="225">
        <f>F446*(($H$271)+1)+(IF(G446&lt;101,G446,IF(G446&lt;201,G446/2,IF(G446&lt;=301,G446/3,G446/4))))</f>
        <v>1220.9750514</v>
      </c>
    </row>
    <row r="447" customHeight="1" spans="1:8">
      <c r="A447" s="214">
        <f>A446+1</f>
        <v>3</v>
      </c>
      <c r="B447" s="215"/>
      <c r="C447" s="225" t="s">
        <v>328</v>
      </c>
      <c r="D447" s="205">
        <f>(70.6)*10.764</f>
        <v>759.9384</v>
      </c>
      <c r="E447" s="205">
        <f>(2.15*1.07+2.13*1.08)*10.764</f>
        <v>49.5240876</v>
      </c>
      <c r="F447" s="225">
        <f>D447+E447</f>
        <v>809.4624876</v>
      </c>
      <c r="G447" s="225">
        <v>0</v>
      </c>
      <c r="H447" s="225">
        <f>F447*(($H$271)+1)+(IF(G447&lt;101,G447,IF(G447&lt;201,G447/2,IF(G447&lt;=301,G447/3,G447/4))))</f>
        <v>1214.1937314</v>
      </c>
    </row>
    <row r="448" spans="1:8">
      <c r="A448" s="214">
        <f>A447+1</f>
        <v>4</v>
      </c>
      <c r="B448" s="215"/>
      <c r="C448" s="216" t="s">
        <v>336</v>
      </c>
      <c r="D448" s="217"/>
      <c r="E448" s="217"/>
      <c r="F448" s="217"/>
      <c r="G448" s="217"/>
      <c r="H448" s="218"/>
    </row>
    <row r="449" spans="1:8">
      <c r="A449" s="214">
        <f>A448+1</f>
        <v>5</v>
      </c>
      <c r="B449" s="215"/>
      <c r="C449" s="222"/>
      <c r="D449" s="223"/>
      <c r="E449" s="223"/>
      <c r="F449" s="223"/>
      <c r="G449" s="223"/>
      <c r="H449" s="224"/>
    </row>
    <row r="450" spans="1:8">
      <c r="A450" s="211" t="s">
        <v>350</v>
      </c>
      <c r="B450" s="212"/>
      <c r="C450" s="212"/>
      <c r="D450" s="212"/>
      <c r="E450" s="212"/>
      <c r="F450" s="212"/>
      <c r="G450" s="212"/>
      <c r="H450" s="213"/>
    </row>
    <row r="451" spans="1:8">
      <c r="A451" s="214">
        <v>1</v>
      </c>
      <c r="B451" s="215"/>
      <c r="C451" s="225" t="s">
        <v>349</v>
      </c>
      <c r="D451" s="205">
        <f>(134.71)*10.764</f>
        <v>1450.01844</v>
      </c>
      <c r="E451" s="205">
        <f>(3.4*1.23+3.96*1.23+3.4*1.23)*10.764</f>
        <v>142.4593872</v>
      </c>
      <c r="F451" s="225">
        <f>D451+E451</f>
        <v>1592.4778272</v>
      </c>
      <c r="G451" s="225">
        <v>0</v>
      </c>
      <c r="H451" s="225">
        <f>F451*(($H$271)+1)+(IF(G451&lt;101,G451,IF(G451&lt;201,G451/2,IF(G451&lt;=301,G451/3,G451/4))))</f>
        <v>2388.7167408</v>
      </c>
    </row>
    <row r="452" spans="1:8">
      <c r="A452" s="214">
        <v>2</v>
      </c>
      <c r="B452" s="215"/>
      <c r="C452" s="225" t="s">
        <v>328</v>
      </c>
      <c r="D452" s="205">
        <f>(71.02)*10.764</f>
        <v>764.45928</v>
      </c>
      <c r="E452" s="205">
        <f>(2.15*1.07+2.13*1.08)*10.764</f>
        <v>49.5240876</v>
      </c>
      <c r="F452" s="225">
        <f>D452+E452</f>
        <v>813.9833676</v>
      </c>
      <c r="G452" s="225">
        <v>0</v>
      </c>
      <c r="H452" s="225">
        <f>F452*(($H$271)+1)+(IF(G452&lt;101,G452,IF(G452&lt;201,G452/2,IF(G452&lt;=301,G452/3,G452/4))))</f>
        <v>1220.9750514</v>
      </c>
    </row>
    <row r="453" spans="1:8">
      <c r="A453" s="214">
        <f>A452+1</f>
        <v>3</v>
      </c>
      <c r="B453" s="215"/>
      <c r="C453" s="225" t="s">
        <v>328</v>
      </c>
      <c r="D453" s="205">
        <f>(70.6)*10.764</f>
        <v>759.9384</v>
      </c>
      <c r="E453" s="205">
        <f>(2.15*1.07+2.13*1.08)*10.764</f>
        <v>49.5240876</v>
      </c>
      <c r="F453" s="225">
        <f>D453+E453</f>
        <v>809.4624876</v>
      </c>
      <c r="G453" s="225">
        <v>0</v>
      </c>
      <c r="H453" s="225">
        <f>F453*(($H$271)+1)+(IF(G453&lt;101,G453,IF(G453&lt;201,G453/2,IF(G453&lt;=301,G453/3,G453/4))))</f>
        <v>1214.1937314</v>
      </c>
    </row>
    <row r="454" spans="1:8">
      <c r="A454" s="214">
        <f>A453+1</f>
        <v>4</v>
      </c>
      <c r="B454" s="215"/>
      <c r="C454" s="225" t="s">
        <v>328</v>
      </c>
      <c r="D454" s="205">
        <f>(67.28)*10.764</f>
        <v>724.20192</v>
      </c>
      <c r="E454" s="205">
        <f>(2.15*1.07+2.13*1.08)*10.764</f>
        <v>49.5240876</v>
      </c>
      <c r="F454" s="225">
        <f>D454+E454</f>
        <v>773.7260076</v>
      </c>
      <c r="G454" s="225">
        <v>0</v>
      </c>
      <c r="H454" s="225">
        <f>F454*(($H$271)+1)+(IF(G454&lt;101,G454,IF(G454&lt;201,G454/2,IF(G454&lt;=301,G454/3,G454/4))))</f>
        <v>1160.5890114</v>
      </c>
    </row>
    <row r="455" spans="1:8">
      <c r="A455" s="214">
        <f>A454+1</f>
        <v>5</v>
      </c>
      <c r="B455" s="215"/>
      <c r="C455" s="225" t="s">
        <v>328</v>
      </c>
      <c r="D455" s="205">
        <f>(67.28)*10.764</f>
        <v>724.20192</v>
      </c>
      <c r="E455" s="205">
        <f>(2.15*1.07+2.13*1.08)*10.764</f>
        <v>49.5240876</v>
      </c>
      <c r="F455" s="225">
        <f>D455+E455</f>
        <v>773.7260076</v>
      </c>
      <c r="G455" s="225">
        <v>0</v>
      </c>
      <c r="H455" s="225">
        <f>F455*(($H$271)+1)+(IF(G455&lt;101,G455,IF(G455&lt;201,G455/2,IF(G455&lt;=301,G455/3,G455/4))))</f>
        <v>1160.5890114</v>
      </c>
    </row>
    <row r="456" spans="1:8">
      <c r="A456" s="193" t="s">
        <v>312</v>
      </c>
      <c r="B456" s="194"/>
      <c r="C456" s="194"/>
      <c r="D456" s="194"/>
      <c r="E456" s="194"/>
      <c r="F456" s="194"/>
      <c r="G456" s="194"/>
      <c r="H456" s="195"/>
    </row>
    <row r="457" spans="1:8">
      <c r="A457" s="227" t="s">
        <v>297</v>
      </c>
      <c r="B457" s="228"/>
      <c r="C457" s="228"/>
      <c r="D457" s="228"/>
      <c r="E457" s="228"/>
      <c r="F457" s="228"/>
      <c r="G457" s="228"/>
      <c r="H457" s="229"/>
    </row>
    <row r="458" spans="1:8">
      <c r="A458" s="211" t="s">
        <v>323</v>
      </c>
      <c r="B458" s="212"/>
      <c r="C458" s="212"/>
      <c r="D458" s="212"/>
      <c r="E458" s="212"/>
      <c r="F458" s="212"/>
      <c r="G458" s="212"/>
      <c r="H458" s="213"/>
    </row>
    <row r="459" spans="1:8">
      <c r="A459" s="211" t="s">
        <v>324</v>
      </c>
      <c r="B459" s="212"/>
      <c r="C459" s="212"/>
      <c r="D459" s="212"/>
      <c r="E459" s="212"/>
      <c r="F459" s="212"/>
      <c r="G459" s="212"/>
      <c r="H459" s="213"/>
    </row>
    <row r="460" spans="1:8">
      <c r="A460" s="211" t="s">
        <v>341</v>
      </c>
      <c r="B460" s="212"/>
      <c r="C460" s="212"/>
      <c r="D460" s="212"/>
      <c r="E460" s="212"/>
      <c r="F460" s="212"/>
      <c r="G460" s="212"/>
      <c r="H460" s="213"/>
    </row>
    <row r="461" spans="1:8">
      <c r="A461" s="214">
        <v>1</v>
      </c>
      <c r="B461" s="215"/>
      <c r="C461" s="216" t="s">
        <v>334</v>
      </c>
      <c r="D461" s="217"/>
      <c r="E461" s="217"/>
      <c r="F461" s="217"/>
      <c r="G461" s="217"/>
      <c r="H461" s="218"/>
    </row>
    <row r="462" spans="1:8">
      <c r="A462" s="214">
        <f>A461+1</f>
        <v>2</v>
      </c>
      <c r="B462" s="215"/>
      <c r="C462" s="219"/>
      <c r="D462" s="220"/>
      <c r="E462" s="220"/>
      <c r="F462" s="220"/>
      <c r="G462" s="220"/>
      <c r="H462" s="221"/>
    </row>
    <row r="463" spans="1:8">
      <c r="A463" s="214">
        <v>3</v>
      </c>
      <c r="B463" s="215"/>
      <c r="C463" s="225" t="s">
        <v>328</v>
      </c>
      <c r="D463" s="205">
        <f>(70.6)*10.764</f>
        <v>759.9384</v>
      </c>
      <c r="E463" s="205">
        <f>(2.13*1.08+2.15*1.07)*10.764</f>
        <v>49.5240876</v>
      </c>
      <c r="F463" s="225">
        <f>D463+E463</f>
        <v>809.4624876</v>
      </c>
      <c r="G463" s="225">
        <v>0</v>
      </c>
      <c r="H463" s="225">
        <f>F463*(($H$271)+1)+(IF(G463&lt;101,G463,IF(G463&lt;201,G463/2,IF(G463&lt;=301,G463/3,G463/4))))</f>
        <v>1214.1937314</v>
      </c>
    </row>
    <row r="464" spans="1:9">
      <c r="A464" s="214">
        <f>A463+1</f>
        <v>4</v>
      </c>
      <c r="B464" s="215"/>
      <c r="C464" s="225" t="s">
        <v>328</v>
      </c>
      <c r="D464" s="205">
        <f>(67.28)*10.764</f>
        <v>724.20192</v>
      </c>
      <c r="E464" s="205">
        <f>(2.15*1.07+2.13*1.08)*10.764</f>
        <v>49.5240876</v>
      </c>
      <c r="F464" s="225">
        <f>D464+E464</f>
        <v>773.7260076</v>
      </c>
      <c r="G464" s="225">
        <v>0</v>
      </c>
      <c r="H464" s="225">
        <f>F464*(($H$271)+1)+(IF(G464&lt;101,G464,IF(G464&lt;201,G464/2,IF(G464&lt;=301,G464/3,G464/4))))</f>
        <v>1160.5890114</v>
      </c>
      <c r="I464" s="205">
        <f>(1.38*1.37+2.75*1.17+3.17*3.8+2.36*3.1+3.36*2.44+3.5*3.05+1.52*0.6+3.97*3.2+1*1.07+1.48*0.95+1.37*2.28+2.13*1.37)*10.764</f>
        <v>704.7965808</v>
      </c>
    </row>
    <row r="465" spans="1:9">
      <c r="A465" s="214">
        <f>A464+1</f>
        <v>5</v>
      </c>
      <c r="B465" s="215"/>
      <c r="C465" s="214" t="s">
        <v>327</v>
      </c>
      <c r="D465" s="226"/>
      <c r="E465" s="226"/>
      <c r="F465" s="226"/>
      <c r="G465" s="226"/>
      <c r="H465" s="215"/>
      <c r="I465" s="205">
        <f>(1.49*1.32+3.2*3.8+3.36*2.44+2.37*3.1+3.5*3.05+1.52*0.6+3.97*3.2+2.13*1.38+1.37*2.28+1.7*0.6+0.95*1.47+1*1.08)*10.764</f>
        <v>683.7583428</v>
      </c>
    </row>
    <row r="466" spans="1:8">
      <c r="A466" s="211" t="s">
        <v>326</v>
      </c>
      <c r="B466" s="212"/>
      <c r="C466" s="212"/>
      <c r="D466" s="212"/>
      <c r="E466" s="212"/>
      <c r="F466" s="212"/>
      <c r="G466" s="212"/>
      <c r="H466" s="213"/>
    </row>
    <row r="467" spans="1:8">
      <c r="A467" s="214">
        <v>1</v>
      </c>
      <c r="B467" s="215"/>
      <c r="C467" s="216" t="s">
        <v>334</v>
      </c>
      <c r="D467" s="217"/>
      <c r="E467" s="217"/>
      <c r="F467" s="217"/>
      <c r="G467" s="217"/>
      <c r="H467" s="218"/>
    </row>
    <row r="468" spans="1:8">
      <c r="A468" s="214">
        <f>A467+1</f>
        <v>2</v>
      </c>
      <c r="B468" s="215"/>
      <c r="C468" s="219"/>
      <c r="D468" s="220"/>
      <c r="E468" s="220"/>
      <c r="F468" s="220"/>
      <c r="G468" s="220"/>
      <c r="H468" s="221"/>
    </row>
    <row r="469" spans="1:8">
      <c r="A469" s="214">
        <v>3</v>
      </c>
      <c r="B469" s="215"/>
      <c r="C469" s="225" t="s">
        <v>328</v>
      </c>
      <c r="D469" s="205">
        <f>(70.6)*10.764</f>
        <v>759.9384</v>
      </c>
      <c r="E469" s="205">
        <f>(2.13*1.08+2.15*1.07)*10.764</f>
        <v>49.5240876</v>
      </c>
      <c r="F469" s="225">
        <f>D469+E469</f>
        <v>809.4624876</v>
      </c>
      <c r="G469" s="225">
        <v>0</v>
      </c>
      <c r="H469" s="225">
        <f>F469*(($H$271)+1)+(IF(G469&lt;101,G469,IF(G469&lt;201,G469/2,IF(G469&lt;=301,G469/3,G469/4))))</f>
        <v>1214.1937314</v>
      </c>
    </row>
    <row r="470" spans="1:8">
      <c r="A470" s="214">
        <f>A469+1</f>
        <v>4</v>
      </c>
      <c r="B470" s="215"/>
      <c r="C470" s="225" t="s">
        <v>328</v>
      </c>
      <c r="D470" s="205">
        <f>(67.28)*10.764</f>
        <v>724.20192</v>
      </c>
      <c r="E470" s="205">
        <f>(2.15*1.07+2.13*1.08)*10.764</f>
        <v>49.5240876</v>
      </c>
      <c r="F470" s="225">
        <f>D470+E470</f>
        <v>773.7260076</v>
      </c>
      <c r="G470" s="225">
        <v>0</v>
      </c>
      <c r="H470" s="225">
        <f>F470*(($H$271)+1)+(IF(G470&lt;101,G470,IF(G470&lt;201,G470/2,IF(G470&lt;=301,G470/3,G470/4))))</f>
        <v>1160.5890114</v>
      </c>
    </row>
    <row r="471" spans="1:8">
      <c r="A471" s="214">
        <f>A470+1</f>
        <v>5</v>
      </c>
      <c r="B471" s="215"/>
      <c r="C471" s="214" t="s">
        <v>327</v>
      </c>
      <c r="D471" s="226"/>
      <c r="E471" s="226"/>
      <c r="F471" s="226"/>
      <c r="G471" s="226"/>
      <c r="H471" s="215"/>
    </row>
    <row r="472" spans="1:8">
      <c r="A472" s="211" t="s">
        <v>329</v>
      </c>
      <c r="B472" s="212"/>
      <c r="C472" s="212"/>
      <c r="D472" s="212"/>
      <c r="E472" s="212"/>
      <c r="F472" s="212"/>
      <c r="G472" s="212"/>
      <c r="H472" s="213"/>
    </row>
    <row r="473" spans="1:8">
      <c r="A473" s="214">
        <v>1</v>
      </c>
      <c r="B473" s="215"/>
      <c r="C473" s="216" t="s">
        <v>334</v>
      </c>
      <c r="D473" s="217"/>
      <c r="E473" s="217"/>
      <c r="F473" s="217"/>
      <c r="G473" s="217"/>
      <c r="H473" s="218"/>
    </row>
    <row r="474" spans="1:8">
      <c r="A474" s="214">
        <f>A473+1</f>
        <v>2</v>
      </c>
      <c r="B474" s="215"/>
      <c r="C474" s="219"/>
      <c r="D474" s="220"/>
      <c r="E474" s="220"/>
      <c r="F474" s="220"/>
      <c r="G474" s="220"/>
      <c r="H474" s="221"/>
    </row>
    <row r="475" spans="1:8">
      <c r="A475" s="214">
        <v>3</v>
      </c>
      <c r="B475" s="215"/>
      <c r="C475" s="225" t="s">
        <v>328</v>
      </c>
      <c r="D475" s="205">
        <f>(70.6)*10.764</f>
        <v>759.9384</v>
      </c>
      <c r="E475" s="205">
        <f>(2.13*1.08+2.15*1.07)*10.764</f>
        <v>49.5240876</v>
      </c>
      <c r="F475" s="225">
        <f>D475+E475</f>
        <v>809.4624876</v>
      </c>
      <c r="G475" s="225">
        <v>0</v>
      </c>
      <c r="H475" s="225">
        <f>F475*(($H$271)+1)+(IF(G475&lt;101,G475,IF(G475&lt;201,G475/2,IF(G475&lt;=301,G475/3,G475/4))))</f>
        <v>1214.1937314</v>
      </c>
    </row>
    <row r="476" spans="1:8">
      <c r="A476" s="214">
        <f>A475+1</f>
        <v>4</v>
      </c>
      <c r="B476" s="215"/>
      <c r="C476" s="225" t="s">
        <v>328</v>
      </c>
      <c r="D476" s="205">
        <f>(67.28)*10.764</f>
        <v>724.20192</v>
      </c>
      <c r="E476" s="205">
        <f>(2.15*1.07+2.13*1.08)*10.764</f>
        <v>49.5240876</v>
      </c>
      <c r="F476" s="225">
        <f>D476+E476</f>
        <v>773.7260076</v>
      </c>
      <c r="G476" s="225">
        <v>0</v>
      </c>
      <c r="H476" s="225">
        <f>F476*(($H$271)+1)+(IF(G476&lt;101,G476,IF(G476&lt;201,G476/2,IF(G476&lt;=301,G476/3,G476/4))))</f>
        <v>1160.5890114</v>
      </c>
    </row>
    <row r="477" spans="1:8">
      <c r="A477" s="214">
        <f>A476+1</f>
        <v>5</v>
      </c>
      <c r="B477" s="215"/>
      <c r="C477" s="214" t="s">
        <v>327</v>
      </c>
      <c r="D477" s="226"/>
      <c r="E477" s="226"/>
      <c r="F477" s="226"/>
      <c r="G477" s="226"/>
      <c r="H477" s="215"/>
    </row>
    <row r="478" spans="1:8">
      <c r="A478" s="211" t="s">
        <v>331</v>
      </c>
      <c r="B478" s="212"/>
      <c r="C478" s="212"/>
      <c r="D478" s="212"/>
      <c r="E478" s="212"/>
      <c r="F478" s="212"/>
      <c r="G478" s="212"/>
      <c r="H478" s="213"/>
    </row>
    <row r="479" spans="1:8">
      <c r="A479" s="214">
        <v>1</v>
      </c>
      <c r="B479" s="215"/>
      <c r="C479" s="216" t="s">
        <v>334</v>
      </c>
      <c r="D479" s="217"/>
      <c r="E479" s="217"/>
      <c r="F479" s="217"/>
      <c r="G479" s="217"/>
      <c r="H479" s="218"/>
    </row>
    <row r="480" spans="1:8">
      <c r="A480" s="214">
        <f>A479+1</f>
        <v>2</v>
      </c>
      <c r="B480" s="215"/>
      <c r="C480" s="219"/>
      <c r="D480" s="220"/>
      <c r="E480" s="220"/>
      <c r="F480" s="220"/>
      <c r="G480" s="220"/>
      <c r="H480" s="221"/>
    </row>
    <row r="481" spans="1:8">
      <c r="A481" s="214">
        <v>3</v>
      </c>
      <c r="B481" s="215"/>
      <c r="C481" s="225" t="s">
        <v>328</v>
      </c>
      <c r="D481" s="205">
        <f>(70.6)*10.764</f>
        <v>759.9384</v>
      </c>
      <c r="E481" s="205">
        <f>(2.13*1.08+2.15*1.07)*10.764</f>
        <v>49.5240876</v>
      </c>
      <c r="F481" s="225">
        <f>D481+E481</f>
        <v>809.4624876</v>
      </c>
      <c r="G481" s="225">
        <v>0</v>
      </c>
      <c r="H481" s="225">
        <f>F481*(($H$271)+1)+(IF(G481&lt;101,G481,IF(G481&lt;201,G481/2,IF(G481&lt;=301,G481/3,G481/4))))</f>
        <v>1214.1937314</v>
      </c>
    </row>
    <row r="482" spans="1:8">
      <c r="A482" s="214">
        <f>A481+1</f>
        <v>4</v>
      </c>
      <c r="B482" s="215"/>
      <c r="C482" s="225" t="s">
        <v>328</v>
      </c>
      <c r="D482" s="205">
        <f>(67.28)*10.764</f>
        <v>724.20192</v>
      </c>
      <c r="E482" s="205">
        <f>(2.15*1.07+2.13*1.08)*10.764</f>
        <v>49.5240876</v>
      </c>
      <c r="F482" s="225">
        <f>D482+E482</f>
        <v>773.7260076</v>
      </c>
      <c r="G482" s="225">
        <v>0</v>
      </c>
      <c r="H482" s="225">
        <f>F482*(($H$271)+1)+(IF(G482&lt;101,G482,IF(G482&lt;201,G482/2,IF(G482&lt;=301,G482/3,G482/4))))</f>
        <v>1160.5890114</v>
      </c>
    </row>
    <row r="483" spans="1:8">
      <c r="A483" s="214">
        <f>A482+1</f>
        <v>5</v>
      </c>
      <c r="B483" s="215"/>
      <c r="C483" s="214" t="s">
        <v>327</v>
      </c>
      <c r="D483" s="226"/>
      <c r="E483" s="226"/>
      <c r="F483" s="226"/>
      <c r="G483" s="226"/>
      <c r="H483" s="215"/>
    </row>
    <row r="484" spans="1:8">
      <c r="A484" s="211" t="s">
        <v>332</v>
      </c>
      <c r="B484" s="212"/>
      <c r="C484" s="212"/>
      <c r="D484" s="212"/>
      <c r="E484" s="212"/>
      <c r="F484" s="212"/>
      <c r="G484" s="212"/>
      <c r="H484" s="213"/>
    </row>
    <row r="485" customHeight="1" spans="1:9">
      <c r="A485" s="214">
        <v>1</v>
      </c>
      <c r="B485" s="215"/>
      <c r="C485" s="216" t="s">
        <v>334</v>
      </c>
      <c r="D485" s="217"/>
      <c r="E485" s="217"/>
      <c r="F485" s="217"/>
      <c r="G485" s="217"/>
      <c r="H485" s="218"/>
      <c r="I485" s="28">
        <f>1.37*2.28+3.97*3.2+1.7*0.6+1*1.07+2.12*1.38+1.47*0.95+3.51*3.05+1.53*0.6+3.1*0.7+5.56*3.1+2.65*1.17+1.38*1.27+3.35*2.44</f>
        <v>66.2963</v>
      </c>
    </row>
    <row r="486" spans="1:8">
      <c r="A486" s="214">
        <f>A485+1</f>
        <v>2</v>
      </c>
      <c r="B486" s="215"/>
      <c r="C486" s="219"/>
      <c r="D486" s="220"/>
      <c r="E486" s="220"/>
      <c r="F486" s="220"/>
      <c r="G486" s="220"/>
      <c r="H486" s="221"/>
    </row>
    <row r="487" spans="1:8">
      <c r="A487" s="214">
        <v>3</v>
      </c>
      <c r="B487" s="215"/>
      <c r="C487" s="225" t="s">
        <v>328</v>
      </c>
      <c r="D487" s="205">
        <f>(70.6)*10.764</f>
        <v>759.9384</v>
      </c>
      <c r="E487" s="205">
        <f>(2.13*1.08+2.15*1.07)*10.764</f>
        <v>49.5240876</v>
      </c>
      <c r="F487" s="225">
        <f>D487+E487</f>
        <v>809.4624876</v>
      </c>
      <c r="G487" s="225">
        <v>0</v>
      </c>
      <c r="H487" s="225">
        <f>F487*(($H$271)+1)+(IF(G487&lt;101,G487,IF(G487&lt;201,G487/2,IF(G487&lt;=301,G487/3,G487/4))))</f>
        <v>1214.1937314</v>
      </c>
    </row>
    <row r="488" spans="1:8">
      <c r="A488" s="214">
        <f>A487+1</f>
        <v>4</v>
      </c>
      <c r="B488" s="215"/>
      <c r="C488" s="225" t="s">
        <v>328</v>
      </c>
      <c r="D488" s="205">
        <f>(67.28)*10.764</f>
        <v>724.20192</v>
      </c>
      <c r="E488" s="205">
        <f>(2.15*1.07+2.13*1.08)*10.764</f>
        <v>49.5240876</v>
      </c>
      <c r="F488" s="225">
        <f>D488+E488</f>
        <v>773.7260076</v>
      </c>
      <c r="G488" s="225">
        <v>0</v>
      </c>
      <c r="H488" s="225">
        <f>F488*(($H$271)+1)+(IF(G488&lt;101,G488,IF(G488&lt;201,G488/2,IF(G488&lt;=301,G488/3,G488/4))))</f>
        <v>1160.5890114</v>
      </c>
    </row>
    <row r="489" spans="1:10">
      <c r="A489" s="214">
        <f>A488+1</f>
        <v>5</v>
      </c>
      <c r="B489" s="215"/>
      <c r="C489" s="214" t="s">
        <v>327</v>
      </c>
      <c r="D489" s="226"/>
      <c r="E489" s="226"/>
      <c r="F489" s="226"/>
      <c r="G489" s="226"/>
      <c r="H489" s="215"/>
      <c r="I489" s="28">
        <f>1.38*1.37+2.75*1.17+3.17*3.8+2.36*3.1+3.36*2.44+3.5*3.05+1.52*0.6+3.97*3.2+1*1.07+1.48*0.95+1.37*2.28+2.13*1.37</f>
        <v>65.4772</v>
      </c>
      <c r="J489" s="205">
        <f>(1.38*1.37+2.75*1.17+3.17*3.8+2.36*3.1+3.36*2.44+3.5*3.05+1.52*0.6+3.97*3.2+1*1.07+1.48*0.95+1.37*2.28+2.13*1.37)*10.764</f>
        <v>704.7965808</v>
      </c>
    </row>
    <row r="490" spans="1:10">
      <c r="A490" s="211" t="s">
        <v>333</v>
      </c>
      <c r="B490" s="212"/>
      <c r="C490" s="212"/>
      <c r="D490" s="212"/>
      <c r="E490" s="212"/>
      <c r="F490" s="212"/>
      <c r="G490" s="212"/>
      <c r="H490" s="213"/>
      <c r="I490" s="88">
        <f>4.97*2.75+2.44*3.39+1.28*1.37+3.8*0.45+3.1*2.37+3.05*3.51+3.2*2.93+4.27*1+2.28*1.38+1.7*0.6+1.07*1+1.48*0.95+1.38*2.13</f>
        <v>66.683</v>
      </c>
      <c r="J490" s="205">
        <f>(1.38*1.37+2.75*1.17+3.17*3.8+2.36*3.1+3.36*2.44+3.5*3.05+1.52*0.6+3.97*3.2+1*1.07+1.48*0.95+1.37*2.28+2.13*1.37)*10.764</f>
        <v>704.7965808</v>
      </c>
    </row>
    <row r="491" spans="1:9">
      <c r="A491" s="214">
        <v>1</v>
      </c>
      <c r="B491" s="215"/>
      <c r="C491" s="216" t="s">
        <v>334</v>
      </c>
      <c r="D491" s="217"/>
      <c r="E491" s="217"/>
      <c r="F491" s="217"/>
      <c r="G491" s="217"/>
      <c r="H491" s="218"/>
      <c r="I491" s="28">
        <f>1.82*1.38+3.35*2.44+2.65*1.26+2.75*3+2.82*3.1+3.21*0.7+3.51*3.05+0.6*1.53+2.13*1.37+0.95*1.47+1*1.07+0.6*1.7+1.38*2.27+3.97*3.2+1.07*2.13</f>
        <v>69.4074</v>
      </c>
    </row>
    <row r="492" spans="1:8">
      <c r="A492" s="214">
        <f>A491+1</f>
        <v>2</v>
      </c>
      <c r="B492" s="215"/>
      <c r="C492" s="219"/>
      <c r="D492" s="220"/>
      <c r="E492" s="220"/>
      <c r="F492" s="220"/>
      <c r="G492" s="220"/>
      <c r="H492" s="221"/>
    </row>
    <row r="493" spans="1:8">
      <c r="A493" s="214">
        <v>3</v>
      </c>
      <c r="B493" s="215"/>
      <c r="C493" s="225" t="s">
        <v>328</v>
      </c>
      <c r="D493" s="205">
        <f>(70.6)*10.764</f>
        <v>759.9384</v>
      </c>
      <c r="E493" s="205">
        <f>(2.13*1.08+2.15*1.07)*10.764</f>
        <v>49.5240876</v>
      </c>
      <c r="F493" s="225">
        <f>D493+E493</f>
        <v>809.4624876</v>
      </c>
      <c r="G493" s="225">
        <v>0</v>
      </c>
      <c r="H493" s="225">
        <f>F493*(($H$271)+1)+(IF(G493&lt;101,G493,IF(G493&lt;201,G493/2,IF(G493&lt;=301,G493/3,G493/4))))</f>
        <v>1214.1937314</v>
      </c>
    </row>
    <row r="494" spans="1:8">
      <c r="A494" s="214">
        <f>A493+1</f>
        <v>4</v>
      </c>
      <c r="B494" s="215"/>
      <c r="C494" s="225" t="s">
        <v>328</v>
      </c>
      <c r="D494" s="205">
        <f>(67.28)*10.764</f>
        <v>724.20192</v>
      </c>
      <c r="E494" s="205">
        <f>(2.15*1.07+2.13*1.08)*10.764</f>
        <v>49.5240876</v>
      </c>
      <c r="F494" s="225">
        <f>D494+E494</f>
        <v>773.7260076</v>
      </c>
      <c r="G494" s="225">
        <v>0</v>
      </c>
      <c r="H494" s="225">
        <f>F494*(($H$271)+1)+(IF(G494&lt;101,G494,IF(G494&lt;201,G494/2,IF(G494&lt;=301,G494/3,G494/4))))</f>
        <v>1160.5890114</v>
      </c>
    </row>
    <row r="495" spans="1:8">
      <c r="A495" s="214">
        <f>A494+1</f>
        <v>5</v>
      </c>
      <c r="B495" s="215"/>
      <c r="C495" s="214" t="s">
        <v>334</v>
      </c>
      <c r="D495" s="226"/>
      <c r="E495" s="226"/>
      <c r="F495" s="226"/>
      <c r="G495" s="226"/>
      <c r="H495" s="215"/>
    </row>
    <row r="496" spans="1:8">
      <c r="A496" s="211" t="s">
        <v>347</v>
      </c>
      <c r="B496" s="212"/>
      <c r="C496" s="212"/>
      <c r="D496" s="212"/>
      <c r="E496" s="212"/>
      <c r="F496" s="212"/>
      <c r="G496" s="212"/>
      <c r="H496" s="213"/>
    </row>
    <row r="497" spans="1:8">
      <c r="A497" s="214">
        <v>1</v>
      </c>
      <c r="B497" s="215"/>
      <c r="C497" s="225" t="s">
        <v>334</v>
      </c>
      <c r="D497" s="225"/>
      <c r="E497" s="225"/>
      <c r="F497" s="225"/>
      <c r="G497" s="225"/>
      <c r="H497" s="213" t="s">
        <v>348</v>
      </c>
    </row>
    <row r="498" spans="1:8">
      <c r="A498" s="214">
        <v>2</v>
      </c>
      <c r="B498" s="215"/>
      <c r="C498" s="225" t="s">
        <v>328</v>
      </c>
      <c r="D498" s="205">
        <f>(71.02)*10.764</f>
        <v>764.45928</v>
      </c>
      <c r="E498" s="205">
        <f>(2.15*1.07+2.13*1.08)*10.764</f>
        <v>49.5240876</v>
      </c>
      <c r="F498" s="225">
        <f>D498+E498</f>
        <v>813.9833676</v>
      </c>
      <c r="G498" s="225">
        <v>0</v>
      </c>
      <c r="H498" s="225">
        <f>F498*(($H$271)+1)+(IF(G498&lt;101,G498,IF(G498&lt;201,G498/2,IF(G498&lt;=301,G498/3,G498/4))))</f>
        <v>1220.9750514</v>
      </c>
    </row>
    <row r="499" spans="1:8">
      <c r="A499" s="214">
        <f>A498+1</f>
        <v>3</v>
      </c>
      <c r="B499" s="215"/>
      <c r="C499" s="225" t="s">
        <v>328</v>
      </c>
      <c r="D499" s="205">
        <f>(70.6)*10.764</f>
        <v>759.9384</v>
      </c>
      <c r="E499" s="205">
        <f>(2.15*1.07+2.13*1.08)*10.764</f>
        <v>49.5240876</v>
      </c>
      <c r="F499" s="225">
        <f>D499+E499</f>
        <v>809.4624876</v>
      </c>
      <c r="G499" s="225">
        <v>0</v>
      </c>
      <c r="H499" s="225">
        <f>F499*(($H$271)+1)+(IF(G499&lt;101,G499,IF(G499&lt;201,G499/2,IF(G499&lt;=301,G499/3,G499/4))))</f>
        <v>1214.1937314</v>
      </c>
    </row>
    <row r="500" spans="1:8">
      <c r="A500" s="214">
        <f>A499+1</f>
        <v>4</v>
      </c>
      <c r="B500" s="215"/>
      <c r="C500" s="225" t="s">
        <v>328</v>
      </c>
      <c r="D500" s="205">
        <f>(67.28)*10.764</f>
        <v>724.20192</v>
      </c>
      <c r="E500" s="205">
        <f>(2.15*1.07+2.13*1.08)*10.764</f>
        <v>49.5240876</v>
      </c>
      <c r="F500" s="225">
        <f>D500+E500</f>
        <v>773.7260076</v>
      </c>
      <c r="G500" s="225">
        <v>0</v>
      </c>
      <c r="H500" s="225">
        <f>F500*(($H$271)+1)+(IF(G500&lt;101,G500,IF(G500&lt;201,G500/2,IF(G500&lt;=301,G500/3,G500/4))))</f>
        <v>1160.5890114</v>
      </c>
    </row>
    <row r="501" spans="1:9">
      <c r="A501" s="214">
        <f>A500+1</f>
        <v>5</v>
      </c>
      <c r="B501" s="215"/>
      <c r="C501" s="225" t="s">
        <v>328</v>
      </c>
      <c r="D501" s="205">
        <f>(67.28)*10.764</f>
        <v>724.20192</v>
      </c>
      <c r="E501" s="205">
        <f>(2.15*1.07+2.13*1.08)*10.764</f>
        <v>49.5240876</v>
      </c>
      <c r="F501" s="225">
        <f>D501+E501</f>
        <v>773.7260076</v>
      </c>
      <c r="G501" s="225">
        <v>0</v>
      </c>
      <c r="H501" s="225">
        <f>F501*(($H$271)+1)+(IF(G501&lt;101,G501,IF(G501&lt;201,G501/2,IF(G501&lt;=301,G501/3,G501/4))))</f>
        <v>1160.5890114</v>
      </c>
      <c r="I501" s="88">
        <f>4.97*2.75+2.44*3.39+1.28*1.37+3.8*0.45+3.1*2.37+3.05*3.51+3.2*2.93+4.27*1+2.28*1.38+1.7*0.6+1.07*1+1.48*0.95+1.38*2.13</f>
        <v>66.683</v>
      </c>
    </row>
    <row r="502" spans="1:9">
      <c r="A502" s="211" t="s">
        <v>344</v>
      </c>
      <c r="B502" s="212"/>
      <c r="C502" s="212"/>
      <c r="D502" s="212"/>
      <c r="E502" s="212"/>
      <c r="F502" s="212"/>
      <c r="G502" s="212"/>
      <c r="H502" s="213"/>
      <c r="I502" s="88"/>
    </row>
    <row r="503" spans="1:9">
      <c r="A503" s="214">
        <v>1</v>
      </c>
      <c r="B503" s="215"/>
      <c r="C503" s="225" t="s">
        <v>349</v>
      </c>
      <c r="D503" s="205">
        <f>(134.71)*10.764</f>
        <v>1450.01844</v>
      </c>
      <c r="E503" s="205">
        <f>(3.4*1.23+3.96*1.23+3.4*1.23)*10.764</f>
        <v>142.4593872</v>
      </c>
      <c r="F503" s="225">
        <f>D503+E503</f>
        <v>1592.4778272</v>
      </c>
      <c r="G503" s="225">
        <v>0</v>
      </c>
      <c r="H503" s="225">
        <f>F503*(($H$271)+1)+(IF(G503&lt;101,G503,IF(G503&lt;201,G503/2,IF(G503&lt;=301,G503/3,G503/4))))</f>
        <v>2388.7167408</v>
      </c>
      <c r="I503" s="88">
        <f>1.39*1.3+2.44*3.31+2.34*0.04+3.87*0.03+3.8*3.18+3.1*2.32+2.95*0.04+1.38*2.13+1.48*0.93+3.05*3.51+1.52*0.6+1.7*0.6+1.06*1+2.28*1.38+3.2*3.93+2.98*0.04</f>
        <v>63.342</v>
      </c>
    </row>
    <row r="504" spans="1:8">
      <c r="A504" s="214">
        <v>2</v>
      </c>
      <c r="B504" s="215"/>
      <c r="C504" s="225" t="s">
        <v>328</v>
      </c>
      <c r="D504" s="205">
        <f>(71.02)*10.764</f>
        <v>764.45928</v>
      </c>
      <c r="E504" s="205">
        <f>(2.15*1.07+2.13*1.08)*10.764</f>
        <v>49.5240876</v>
      </c>
      <c r="F504" s="225">
        <f>D504+E504</f>
        <v>813.9833676</v>
      </c>
      <c r="G504" s="225">
        <v>0</v>
      </c>
      <c r="H504" s="225">
        <f>F504*(($H$271)+1)+(IF(G504&lt;101,G504,IF(G504&lt;201,G504/2,IF(G504&lt;=301,G504/3,G504/4))))</f>
        <v>1220.9750514</v>
      </c>
    </row>
    <row r="505" spans="1:8">
      <c r="A505" s="214">
        <f>A504+1</f>
        <v>3</v>
      </c>
      <c r="B505" s="215"/>
      <c r="C505" s="225" t="s">
        <v>328</v>
      </c>
      <c r="D505" s="205">
        <f>(70.6)*10.764</f>
        <v>759.9384</v>
      </c>
      <c r="E505" s="205">
        <f>(2.15*1.07+2.13*1.08)*10.764</f>
        <v>49.5240876</v>
      </c>
      <c r="F505" s="225">
        <f>D505+E505</f>
        <v>809.4624876</v>
      </c>
      <c r="G505" s="225">
        <v>0</v>
      </c>
      <c r="H505" s="225">
        <f>F505*(($H$271)+1)+(IF(G505&lt;101,G505,IF(G505&lt;201,G505/2,IF(G505&lt;=301,G505/3,G505/4))))</f>
        <v>1214.1937314</v>
      </c>
    </row>
    <row r="506" spans="1:8">
      <c r="A506" s="214">
        <f>A505+1</f>
        <v>4</v>
      </c>
      <c r="B506" s="215"/>
      <c r="C506" s="216" t="s">
        <v>336</v>
      </c>
      <c r="D506" s="217"/>
      <c r="E506" s="217"/>
      <c r="F506" s="217"/>
      <c r="G506" s="217"/>
      <c r="H506" s="218"/>
    </row>
    <row r="507" spans="1:8">
      <c r="A507" s="214">
        <f>A506+1</f>
        <v>5</v>
      </c>
      <c r="B507" s="215"/>
      <c r="C507" s="222"/>
      <c r="D507" s="223"/>
      <c r="E507" s="223"/>
      <c r="F507" s="223"/>
      <c r="G507" s="223"/>
      <c r="H507" s="224"/>
    </row>
    <row r="508" spans="1:8">
      <c r="A508" s="211" t="s">
        <v>350</v>
      </c>
      <c r="B508" s="212"/>
      <c r="C508" s="212"/>
      <c r="D508" s="212"/>
      <c r="E508" s="212"/>
      <c r="F508" s="212"/>
      <c r="G508" s="212"/>
      <c r="H508" s="213"/>
    </row>
    <row r="509" spans="1:8">
      <c r="A509" s="214">
        <v>1</v>
      </c>
      <c r="B509" s="215"/>
      <c r="C509" s="225" t="s">
        <v>349</v>
      </c>
      <c r="D509" s="205">
        <f>(134.71)*10.764</f>
        <v>1450.01844</v>
      </c>
      <c r="E509" s="205">
        <f>(3.4*1.23+3.96*1.23+3.4*1.23)*10.764</f>
        <v>142.4593872</v>
      </c>
      <c r="F509" s="225">
        <f>D509+E509</f>
        <v>1592.4778272</v>
      </c>
      <c r="G509" s="225">
        <v>0</v>
      </c>
      <c r="H509" s="225">
        <f>F509*(($H$271)+1)+(IF(G509&lt;101,G509,IF(G509&lt;201,G509/2,IF(G509&lt;=301,G509/3,G509/4))))</f>
        <v>2388.7167408</v>
      </c>
    </row>
    <row r="510" spans="1:8">
      <c r="A510" s="214">
        <v>2</v>
      </c>
      <c r="B510" s="215"/>
      <c r="C510" s="225" t="s">
        <v>328</v>
      </c>
      <c r="D510" s="205">
        <f>(71.02)*10.764</f>
        <v>764.45928</v>
      </c>
      <c r="E510" s="205">
        <f>(2.15*1.07+2.13*1.08)*10.764</f>
        <v>49.5240876</v>
      </c>
      <c r="F510" s="225">
        <f>D510+E510</f>
        <v>813.9833676</v>
      </c>
      <c r="G510" s="225">
        <v>0</v>
      </c>
      <c r="H510" s="225">
        <f>F510*(($H$271)+1)+(IF(G510&lt;101,G510,IF(G510&lt;201,G510/2,IF(G510&lt;=301,G510/3,G510/4))))</f>
        <v>1220.9750514</v>
      </c>
    </row>
    <row r="511" spans="1:8">
      <c r="A511" s="214">
        <f>A510+1</f>
        <v>3</v>
      </c>
      <c r="B511" s="215"/>
      <c r="C511" s="225" t="s">
        <v>328</v>
      </c>
      <c r="D511" s="205">
        <f>(70.6)*10.764</f>
        <v>759.9384</v>
      </c>
      <c r="E511" s="205">
        <f>(2.15*1.07+2.13*1.08)*10.764</f>
        <v>49.5240876</v>
      </c>
      <c r="F511" s="225">
        <f>D511+E511</f>
        <v>809.4624876</v>
      </c>
      <c r="G511" s="225">
        <v>0</v>
      </c>
      <c r="H511" s="225">
        <f>F511*(($H$271)+1)+(IF(G511&lt;101,G511,IF(G511&lt;201,G511/2,IF(G511&lt;=301,G511/3,G511/4))))</f>
        <v>1214.1937314</v>
      </c>
    </row>
    <row r="512" spans="1:8">
      <c r="A512" s="214">
        <f>A511+1</f>
        <v>4</v>
      </c>
      <c r="B512" s="215"/>
      <c r="C512" s="225" t="s">
        <v>328</v>
      </c>
      <c r="D512" s="205">
        <f>(67.28)*10.764</f>
        <v>724.20192</v>
      </c>
      <c r="E512" s="205">
        <f>(2.15*1.07+2.13*1.08)*10.764</f>
        <v>49.5240876</v>
      </c>
      <c r="F512" s="225">
        <f>D512+E512</f>
        <v>773.7260076</v>
      </c>
      <c r="G512" s="225">
        <v>0</v>
      </c>
      <c r="H512" s="225">
        <f>F512*(($H$271)+1)+(IF(G512&lt;101,G512,IF(G512&lt;201,G512/2,IF(G512&lt;=301,G512/3,G512/4))))</f>
        <v>1160.5890114</v>
      </c>
    </row>
    <row r="513" spans="1:8">
      <c r="A513" s="214">
        <f>A512+1</f>
        <v>5</v>
      </c>
      <c r="B513" s="215"/>
      <c r="C513" s="225" t="s">
        <v>328</v>
      </c>
      <c r="D513" s="205">
        <f>(67.28)*10.764</f>
        <v>724.20192</v>
      </c>
      <c r="E513" s="205">
        <f>(2.15*1.07+2.13*1.08)*10.764</f>
        <v>49.5240876</v>
      </c>
      <c r="F513" s="225">
        <f>D513+E513</f>
        <v>773.7260076</v>
      </c>
      <c r="G513" s="225">
        <v>0</v>
      </c>
      <c r="H513" s="225">
        <f>F513*(($H$271)+1)+(IF(G513&lt;101,G513,IF(G513&lt;201,G513/2,IF(G513&lt;=301,G513/3,G513/4))))</f>
        <v>1160.5890114</v>
      </c>
    </row>
    <row r="514" spans="1:8">
      <c r="A514" s="196" t="s">
        <v>298</v>
      </c>
      <c r="B514" s="197"/>
      <c r="C514" s="197"/>
      <c r="D514" s="197"/>
      <c r="E514" s="197"/>
      <c r="F514" s="197"/>
      <c r="G514" s="197"/>
      <c r="H514" s="198"/>
    </row>
    <row r="515" spans="1:8">
      <c r="A515" s="211" t="s">
        <v>323</v>
      </c>
      <c r="B515" s="212"/>
      <c r="C515" s="212"/>
      <c r="D515" s="212"/>
      <c r="E515" s="212"/>
      <c r="F515" s="212"/>
      <c r="G515" s="212"/>
      <c r="H515" s="213"/>
    </row>
    <row r="516" spans="1:8">
      <c r="A516" s="199" t="s">
        <v>340</v>
      </c>
      <c r="B516" s="200"/>
      <c r="C516" s="200"/>
      <c r="D516" s="200"/>
      <c r="E516" s="200"/>
      <c r="F516" s="200"/>
      <c r="G516" s="200"/>
      <c r="H516" s="201"/>
    </row>
    <row r="517" spans="1:8">
      <c r="A517" s="211" t="s">
        <v>341</v>
      </c>
      <c r="B517" s="212"/>
      <c r="C517" s="212"/>
      <c r="D517" s="212"/>
      <c r="E517" s="212"/>
      <c r="F517" s="212"/>
      <c r="G517" s="212"/>
      <c r="H517" s="213"/>
    </row>
    <row r="518" spans="1:8">
      <c r="A518" s="214">
        <v>1</v>
      </c>
      <c r="B518" s="215"/>
      <c r="C518" s="225" t="s">
        <v>330</v>
      </c>
      <c r="D518" s="205">
        <f>(82.15)*10.764</f>
        <v>884.2626</v>
      </c>
      <c r="E518" s="205">
        <f>(2.13*1.08+2.15*1.08)*10.764</f>
        <v>49.7555136</v>
      </c>
      <c r="F518" s="225">
        <f>D518+E518</f>
        <v>934.0181136</v>
      </c>
      <c r="G518" s="225">
        <v>0</v>
      </c>
      <c r="H518" s="225">
        <f>F518*(($H$271)+1)+(IF(G518&lt;101,G518,IF(G518&lt;201,G518/2,IF(G518&lt;=301,G518/3,G518/4))))</f>
        <v>1401.0271704</v>
      </c>
    </row>
    <row r="519" spans="1:8">
      <c r="A519" s="214">
        <f>A518+1</f>
        <v>2</v>
      </c>
      <c r="B519" s="215"/>
      <c r="C519" s="225" t="s">
        <v>330</v>
      </c>
      <c r="D519" s="205">
        <f>(82.15)*10.764</f>
        <v>884.2626</v>
      </c>
      <c r="E519" s="205">
        <f>(2.13*1.08+2.15*1.08)*10.764</f>
        <v>49.7555136</v>
      </c>
      <c r="F519" s="225">
        <f>D519+E519</f>
        <v>934.0181136</v>
      </c>
      <c r="G519" s="225">
        <v>0</v>
      </c>
      <c r="H519" s="225">
        <f>F519*(($H$271)+1)+(IF(G519&lt;101,G519,IF(G519&lt;201,G519/2,IF(G519&lt;=301,G519/3,G519/4))))</f>
        <v>1401.0271704</v>
      </c>
    </row>
    <row r="520" spans="1:8">
      <c r="A520" s="214">
        <f>A519+1</f>
        <v>3</v>
      </c>
      <c r="B520" s="215"/>
      <c r="C520" s="216" t="s">
        <v>327</v>
      </c>
      <c r="D520" s="217"/>
      <c r="E520" s="217"/>
      <c r="F520" s="217"/>
      <c r="G520" s="217"/>
      <c r="H520" s="218"/>
    </row>
    <row r="521" spans="1:8">
      <c r="A521" s="214">
        <f>A520+1</f>
        <v>4</v>
      </c>
      <c r="B521" s="215"/>
      <c r="C521" s="219"/>
      <c r="D521" s="220"/>
      <c r="E521" s="220"/>
      <c r="F521" s="220"/>
      <c r="G521" s="220"/>
      <c r="H521" s="221"/>
    </row>
    <row r="522" spans="1:8">
      <c r="A522" s="214">
        <f>A521+1</f>
        <v>5</v>
      </c>
      <c r="B522" s="215"/>
      <c r="C522" s="219"/>
      <c r="D522" s="220"/>
      <c r="E522" s="220"/>
      <c r="F522" s="220"/>
      <c r="G522" s="220"/>
      <c r="H522" s="221"/>
    </row>
    <row r="523" spans="1:8">
      <c r="A523" s="214">
        <f>A522+1</f>
        <v>6</v>
      </c>
      <c r="B523" s="215"/>
      <c r="C523" s="222"/>
      <c r="D523" s="223"/>
      <c r="E523" s="223"/>
      <c r="F523" s="223"/>
      <c r="G523" s="223"/>
      <c r="H523" s="224"/>
    </row>
    <row r="524" spans="1:8">
      <c r="A524" s="211" t="s">
        <v>326</v>
      </c>
      <c r="B524" s="212"/>
      <c r="C524" s="212"/>
      <c r="D524" s="212"/>
      <c r="E524" s="212"/>
      <c r="F524" s="212"/>
      <c r="G524" s="212"/>
      <c r="H524" s="213"/>
    </row>
    <row r="525" spans="1:8">
      <c r="A525" s="214">
        <v>1</v>
      </c>
      <c r="B525" s="215"/>
      <c r="C525" s="225" t="s">
        <v>330</v>
      </c>
      <c r="D525" s="205">
        <f>(82.15)*10.764</f>
        <v>884.2626</v>
      </c>
      <c r="E525" s="205">
        <f>(2.13*1.08+2.15*1.08)*10.764</f>
        <v>49.7555136</v>
      </c>
      <c r="F525" s="225">
        <f>D525+E525</f>
        <v>934.0181136</v>
      </c>
      <c r="G525" s="225">
        <v>0</v>
      </c>
      <c r="H525" s="225">
        <f>F525*(($H$271)+1)+(IF(G525&lt;101,G525,IF(G525&lt;201,G525/2,IF(G525&lt;=301,G525/3,G525/4))))</f>
        <v>1401.0271704</v>
      </c>
    </row>
    <row r="526" spans="1:8">
      <c r="A526" s="214">
        <f>A525+1</f>
        <v>2</v>
      </c>
      <c r="B526" s="215"/>
      <c r="C526" s="225" t="s">
        <v>330</v>
      </c>
      <c r="D526" s="205">
        <f>(82.15)*10.764</f>
        <v>884.2626</v>
      </c>
      <c r="E526" s="205">
        <f>(2.13*1.08+2.15*1.08)*10.764</f>
        <v>49.7555136</v>
      </c>
      <c r="F526" s="225">
        <f>D526+E526</f>
        <v>934.0181136</v>
      </c>
      <c r="G526" s="225">
        <v>0</v>
      </c>
      <c r="H526" s="225">
        <f>F526*(($H$271)+1)+(IF(G526&lt;101,G526,IF(G526&lt;201,G526/2,IF(G526&lt;=301,G526/3,G526/4))))</f>
        <v>1401.0271704</v>
      </c>
    </row>
    <row r="527" spans="1:8">
      <c r="A527" s="214">
        <f>A526+1</f>
        <v>3</v>
      </c>
      <c r="B527" s="215"/>
      <c r="C527" s="225" t="s">
        <v>328</v>
      </c>
      <c r="D527" s="205">
        <f>(53.45)*10.764</f>
        <v>575.3358</v>
      </c>
      <c r="E527" s="205">
        <f>(2.25*1.06)*10.764</f>
        <v>25.67214</v>
      </c>
      <c r="F527" s="225">
        <f>D527+E527</f>
        <v>601.00794</v>
      </c>
      <c r="G527" s="225">
        <v>0</v>
      </c>
      <c r="H527" s="225">
        <f>F527*(($H$271)+1)+(IF(G527&lt;101,G527,IF(G527&lt;201,G527/2,IF(G527&lt;=301,G527/3,G527/4))))</f>
        <v>901.51191</v>
      </c>
    </row>
    <row r="528" spans="1:8">
      <c r="A528" s="214">
        <f>A527+1</f>
        <v>4</v>
      </c>
      <c r="B528" s="215"/>
      <c r="C528" s="216" t="s">
        <v>327</v>
      </c>
      <c r="D528" s="217"/>
      <c r="E528" s="217"/>
      <c r="F528" s="217"/>
      <c r="G528" s="217"/>
      <c r="H528" s="218"/>
    </row>
    <row r="529" spans="1:8">
      <c r="A529" s="214">
        <f>A528+1</f>
        <v>5</v>
      </c>
      <c r="B529" s="215"/>
      <c r="C529" s="222"/>
      <c r="D529" s="223"/>
      <c r="E529" s="223"/>
      <c r="F529" s="223"/>
      <c r="G529" s="223"/>
      <c r="H529" s="224"/>
    </row>
    <row r="530" spans="1:8">
      <c r="A530" s="214">
        <f>A529+1</f>
        <v>6</v>
      </c>
      <c r="B530" s="215"/>
      <c r="C530" s="225" t="s">
        <v>342</v>
      </c>
      <c r="D530" s="205">
        <f>(37.91)*10.764</f>
        <v>408.06324</v>
      </c>
      <c r="E530" s="205">
        <f>(2.44*0.95)*10.764</f>
        <v>24.950952</v>
      </c>
      <c r="F530" s="225">
        <f>D530+E530</f>
        <v>433.014192</v>
      </c>
      <c r="G530" s="225">
        <v>0</v>
      </c>
      <c r="H530" s="225">
        <f>F530*(($H$271)+1)+(IF(G530&lt;101,G530,IF(G530&lt;201,G530/2,IF(G530&lt;=301,G530/3,G530/4))))</f>
        <v>649.521288</v>
      </c>
    </row>
    <row r="531" spans="1:8">
      <c r="A531" s="211" t="s">
        <v>329</v>
      </c>
      <c r="B531" s="212"/>
      <c r="C531" s="212"/>
      <c r="D531" s="212"/>
      <c r="E531" s="212"/>
      <c r="F531" s="212"/>
      <c r="G531" s="212"/>
      <c r="H531" s="213"/>
    </row>
    <row r="532" spans="1:8">
      <c r="A532" s="214">
        <v>1</v>
      </c>
      <c r="B532" s="215"/>
      <c r="C532" s="225" t="s">
        <v>330</v>
      </c>
      <c r="D532" s="205">
        <f>(82.15)*10.764</f>
        <v>884.2626</v>
      </c>
      <c r="E532" s="205">
        <f>(2.13*1.08+2.15*1.08)*10.764</f>
        <v>49.7555136</v>
      </c>
      <c r="F532" s="225">
        <f>D532+E532</f>
        <v>934.0181136</v>
      </c>
      <c r="G532" s="225">
        <v>0</v>
      </c>
      <c r="H532" s="225">
        <f>F532*(($H$271)+1)+(IF(G532&lt;101,G532,IF(G532&lt;201,G532/2,IF(G532&lt;=301,G532/3,G532/4))))</f>
        <v>1401.0271704</v>
      </c>
    </row>
    <row r="533" spans="1:8">
      <c r="A533" s="214">
        <f>A532+1</f>
        <v>2</v>
      </c>
      <c r="B533" s="215"/>
      <c r="C533" s="225" t="s">
        <v>330</v>
      </c>
      <c r="D533" s="205">
        <f>(82.15)*10.764</f>
        <v>884.2626</v>
      </c>
      <c r="E533" s="205">
        <f>(2.13*1.08+2.15*1.08)*10.764</f>
        <v>49.7555136</v>
      </c>
      <c r="F533" s="225">
        <f>D533+E533</f>
        <v>934.0181136</v>
      </c>
      <c r="G533" s="225">
        <v>0</v>
      </c>
      <c r="H533" s="225">
        <f>F533*(($H$271)+1)+(IF(G533&lt;101,G533,IF(G533&lt;201,G533/2,IF(G533&lt;=301,G533/3,G533/4))))</f>
        <v>1401.0271704</v>
      </c>
    </row>
    <row r="534" spans="1:8">
      <c r="A534" s="214">
        <f>A533+1</f>
        <v>3</v>
      </c>
      <c r="B534" s="215"/>
      <c r="C534" s="225" t="s">
        <v>328</v>
      </c>
      <c r="D534" s="205">
        <f>(53.45)*10.764</f>
        <v>575.3358</v>
      </c>
      <c r="E534" s="205">
        <f>(2.25*1.06)*10.764</f>
        <v>25.67214</v>
      </c>
      <c r="F534" s="225">
        <f>D534+E534</f>
        <v>601.00794</v>
      </c>
      <c r="G534" s="225">
        <v>0</v>
      </c>
      <c r="H534" s="225">
        <f>F534*(($H$271)+1)+(IF(G534&lt;101,G534,IF(G534&lt;201,G534/2,IF(G534&lt;=301,G534/3,G534/4))))</f>
        <v>901.51191</v>
      </c>
    </row>
    <row r="535" spans="1:8">
      <c r="A535" s="214">
        <f>A534+1</f>
        <v>4</v>
      </c>
      <c r="B535" s="215"/>
      <c r="C535" s="216" t="s">
        <v>327</v>
      </c>
      <c r="D535" s="217"/>
      <c r="E535" s="217"/>
      <c r="F535" s="217"/>
      <c r="G535" s="217"/>
      <c r="H535" s="218"/>
    </row>
    <row r="536" spans="1:8">
      <c r="A536" s="214">
        <f>A535+1</f>
        <v>5</v>
      </c>
      <c r="B536" s="215"/>
      <c r="C536" s="222"/>
      <c r="D536" s="223"/>
      <c r="E536" s="223"/>
      <c r="F536" s="223"/>
      <c r="G536" s="223"/>
      <c r="H536" s="224"/>
    </row>
    <row r="537" spans="1:8">
      <c r="A537" s="214">
        <f>A536+1</f>
        <v>6</v>
      </c>
      <c r="B537" s="215"/>
      <c r="C537" s="225" t="s">
        <v>342</v>
      </c>
      <c r="D537" s="205">
        <f>(37.91)*10.764</f>
        <v>408.06324</v>
      </c>
      <c r="E537" s="205">
        <f>(2.44*0.95)*10.764</f>
        <v>24.950952</v>
      </c>
      <c r="F537" s="225">
        <f>D537+E537</f>
        <v>433.014192</v>
      </c>
      <c r="G537" s="225">
        <v>0</v>
      </c>
      <c r="H537" s="225">
        <f>F537*(($H$271)+1)+(IF(G537&lt;101,G537,IF(G537&lt;201,G537/2,IF(G537&lt;=301,G537/3,G537/4))))</f>
        <v>649.521288</v>
      </c>
    </row>
    <row r="538" spans="1:8">
      <c r="A538" s="211" t="s">
        <v>331</v>
      </c>
      <c r="B538" s="212"/>
      <c r="C538" s="212"/>
      <c r="D538" s="212"/>
      <c r="E538" s="212"/>
      <c r="F538" s="212"/>
      <c r="G538" s="212"/>
      <c r="H538" s="213"/>
    </row>
    <row r="539" spans="1:8">
      <c r="A539" s="214">
        <v>1</v>
      </c>
      <c r="B539" s="215"/>
      <c r="C539" s="225" t="s">
        <v>330</v>
      </c>
      <c r="D539" s="205">
        <f>(82.15)*10.764</f>
        <v>884.2626</v>
      </c>
      <c r="E539" s="205">
        <f>(2.13*1.08+2.15*1.08)*10.764</f>
        <v>49.7555136</v>
      </c>
      <c r="F539" s="225">
        <f>D539+E539</f>
        <v>934.0181136</v>
      </c>
      <c r="G539" s="225">
        <v>0</v>
      </c>
      <c r="H539" s="225">
        <f>F539*(($H$271)+1)+(IF(G539&lt;101,G539,IF(G539&lt;201,G539/2,IF(G539&lt;=301,G539/3,G539/4))))</f>
        <v>1401.0271704</v>
      </c>
    </row>
    <row r="540" spans="1:8">
      <c r="A540" s="214">
        <f>A539+1</f>
        <v>2</v>
      </c>
      <c r="B540" s="215"/>
      <c r="C540" s="225" t="s">
        <v>330</v>
      </c>
      <c r="D540" s="205">
        <f>(82.15)*10.764</f>
        <v>884.2626</v>
      </c>
      <c r="E540" s="205">
        <f>(2.13*1.08+2.15*1.08)*10.764</f>
        <v>49.7555136</v>
      </c>
      <c r="F540" s="225">
        <f>D540+E540</f>
        <v>934.0181136</v>
      </c>
      <c r="G540" s="225">
        <v>0</v>
      </c>
      <c r="H540" s="225">
        <f>F540*(($H$271)+1)+(IF(G540&lt;101,G540,IF(G540&lt;201,G540/2,IF(G540&lt;=301,G540/3,G540/4))))</f>
        <v>1401.0271704</v>
      </c>
    </row>
    <row r="541" spans="1:8">
      <c r="A541" s="214">
        <f>A540+1</f>
        <v>3</v>
      </c>
      <c r="B541" s="215"/>
      <c r="C541" s="225" t="s">
        <v>328</v>
      </c>
      <c r="D541" s="205">
        <f>(53.45)*10.764</f>
        <v>575.3358</v>
      </c>
      <c r="E541" s="205">
        <f>(2.25*1.06)*10.764</f>
        <v>25.67214</v>
      </c>
      <c r="F541" s="225">
        <f>D541+E541</f>
        <v>601.00794</v>
      </c>
      <c r="G541" s="225">
        <v>0</v>
      </c>
      <c r="H541" s="225">
        <f>F541*(($H$271)+1)+(IF(G541&lt;101,G541,IF(G541&lt;201,G541/2,IF(G541&lt;=301,G541/3,G541/4))))</f>
        <v>901.51191</v>
      </c>
    </row>
    <row r="542" spans="1:8">
      <c r="A542" s="214">
        <f>A541+1</f>
        <v>4</v>
      </c>
      <c r="B542" s="215"/>
      <c r="C542" s="216" t="s">
        <v>327</v>
      </c>
      <c r="D542" s="217"/>
      <c r="E542" s="217"/>
      <c r="F542" s="217"/>
      <c r="G542" s="217"/>
      <c r="H542" s="218"/>
    </row>
    <row r="543" spans="1:8">
      <c r="A543" s="214">
        <f>A542+1</f>
        <v>5</v>
      </c>
      <c r="B543" s="215"/>
      <c r="C543" s="222"/>
      <c r="D543" s="223"/>
      <c r="E543" s="223"/>
      <c r="F543" s="223"/>
      <c r="G543" s="223"/>
      <c r="H543" s="224"/>
    </row>
    <row r="544" spans="1:8">
      <c r="A544" s="214">
        <f>A543+1</f>
        <v>6</v>
      </c>
      <c r="B544" s="215"/>
      <c r="C544" s="225" t="s">
        <v>342</v>
      </c>
      <c r="D544" s="205">
        <f>(37.91)*10.764</f>
        <v>408.06324</v>
      </c>
      <c r="E544" s="205">
        <f>(2.44*0.95)*10.764</f>
        <v>24.950952</v>
      </c>
      <c r="F544" s="225">
        <f>D544+E544</f>
        <v>433.014192</v>
      </c>
      <c r="G544" s="225">
        <v>0</v>
      </c>
      <c r="H544" s="225">
        <f>F544*(($H$271)+1)+(IF(G544&lt;101,G544,IF(G544&lt;201,G544/2,IF(G544&lt;=301,G544/3,G544/4))))</f>
        <v>649.521288</v>
      </c>
    </row>
    <row r="545" spans="1:8">
      <c r="A545" s="211" t="s">
        <v>332</v>
      </c>
      <c r="B545" s="212"/>
      <c r="C545" s="212"/>
      <c r="D545" s="212"/>
      <c r="E545" s="212"/>
      <c r="F545" s="212"/>
      <c r="G545" s="212"/>
      <c r="H545" s="213"/>
    </row>
    <row r="546" spans="1:8">
      <c r="A546" s="214">
        <v>1</v>
      </c>
      <c r="B546" s="215"/>
      <c r="C546" s="225" t="s">
        <v>330</v>
      </c>
      <c r="D546" s="205">
        <f>(82.15)*10.764</f>
        <v>884.2626</v>
      </c>
      <c r="E546" s="205">
        <f>(2.13*1.08+2.15*1.08)*10.764</f>
        <v>49.7555136</v>
      </c>
      <c r="F546" s="225">
        <f>D546+E546</f>
        <v>934.0181136</v>
      </c>
      <c r="G546" s="225">
        <v>0</v>
      </c>
      <c r="H546" s="225">
        <f>F546*(($H$271)+1)+(IF(G546&lt;101,G546,IF(G546&lt;201,G546/2,IF(G546&lt;=301,G546/3,G546/4))))</f>
        <v>1401.0271704</v>
      </c>
    </row>
    <row r="547" spans="1:8">
      <c r="A547" s="214">
        <f>A546+1</f>
        <v>2</v>
      </c>
      <c r="B547" s="215"/>
      <c r="C547" s="225" t="s">
        <v>330</v>
      </c>
      <c r="D547" s="205">
        <f>(82.15)*10.764</f>
        <v>884.2626</v>
      </c>
      <c r="E547" s="205">
        <f>(2.13*1.08+2.15*1.08)*10.764</f>
        <v>49.7555136</v>
      </c>
      <c r="F547" s="225">
        <f>D547+E547</f>
        <v>934.0181136</v>
      </c>
      <c r="G547" s="225">
        <v>0</v>
      </c>
      <c r="H547" s="225">
        <f>F547*(($H$271)+1)+(IF(G547&lt;101,G547,IF(G547&lt;201,G547/2,IF(G547&lt;=301,G547/3,G547/4))))</f>
        <v>1401.0271704</v>
      </c>
    </row>
    <row r="548" spans="1:8">
      <c r="A548" s="214">
        <f>A547+1</f>
        <v>3</v>
      </c>
      <c r="B548" s="215"/>
      <c r="C548" s="225" t="s">
        <v>328</v>
      </c>
      <c r="D548" s="205">
        <f>(53.45)*10.764</f>
        <v>575.3358</v>
      </c>
      <c r="E548" s="205">
        <f>(2.25*1.06)*10.764</f>
        <v>25.67214</v>
      </c>
      <c r="F548" s="225">
        <f>D548+E548</f>
        <v>601.00794</v>
      </c>
      <c r="G548" s="225">
        <v>0</v>
      </c>
      <c r="H548" s="225">
        <f>F548*(($H$271)+1)+(IF(G548&lt;101,G548,IF(G548&lt;201,G548/2,IF(G548&lt;=301,G548/3,G548/4))))</f>
        <v>901.51191</v>
      </c>
    </row>
    <row r="549" spans="1:8">
      <c r="A549" s="214">
        <f>A548+1</f>
        <v>4</v>
      </c>
      <c r="B549" s="215"/>
      <c r="C549" s="216" t="s">
        <v>327</v>
      </c>
      <c r="D549" s="217"/>
      <c r="E549" s="217"/>
      <c r="F549" s="217"/>
      <c r="G549" s="217"/>
      <c r="H549" s="218"/>
    </row>
    <row r="550" spans="1:8">
      <c r="A550" s="214">
        <f>A549+1</f>
        <v>5</v>
      </c>
      <c r="B550" s="215"/>
      <c r="C550" s="222"/>
      <c r="D550" s="223"/>
      <c r="E550" s="223"/>
      <c r="F550" s="223"/>
      <c r="G550" s="223"/>
      <c r="H550" s="224"/>
    </row>
    <row r="551" spans="1:8">
      <c r="A551" s="214">
        <f>A550+1</f>
        <v>6</v>
      </c>
      <c r="B551" s="215"/>
      <c r="C551" s="225" t="s">
        <v>342</v>
      </c>
      <c r="D551" s="205">
        <f>(37.91)*10.764</f>
        <v>408.06324</v>
      </c>
      <c r="E551" s="205">
        <f>(2.44*0.95)*10.764</f>
        <v>24.950952</v>
      </c>
      <c r="F551" s="225">
        <f>D551+E551</f>
        <v>433.014192</v>
      </c>
      <c r="G551" s="225">
        <v>0</v>
      </c>
      <c r="H551" s="225">
        <f>F551*(($H$271)+1)+(IF(G551&lt;101,G551,IF(G551&lt;201,G551/2,IF(G551&lt;=301,G551/3,G551/4))))</f>
        <v>649.521288</v>
      </c>
    </row>
    <row r="552" spans="1:8">
      <c r="A552" s="211" t="s">
        <v>333</v>
      </c>
      <c r="B552" s="212"/>
      <c r="C552" s="212"/>
      <c r="D552" s="212"/>
      <c r="E552" s="212"/>
      <c r="F552" s="212"/>
      <c r="G552" s="212"/>
      <c r="H552" s="213"/>
    </row>
    <row r="553" spans="1:8">
      <c r="A553" s="214">
        <v>1</v>
      </c>
      <c r="B553" s="215"/>
      <c r="C553" s="225" t="s">
        <v>330</v>
      </c>
      <c r="D553" s="205">
        <f>(82.15)*10.764</f>
        <v>884.2626</v>
      </c>
      <c r="E553" s="205">
        <f>(2.13*1.08+2.15*1.08)*10.764</f>
        <v>49.7555136</v>
      </c>
      <c r="F553" s="225">
        <f>D553+E553</f>
        <v>934.0181136</v>
      </c>
      <c r="G553" s="225">
        <v>0</v>
      </c>
      <c r="H553" s="225">
        <f>F553*(($H$271)+1)+(IF(G553&lt;101,G553,IF(G553&lt;201,G553/2,IF(G553&lt;=301,G553/3,G553/4))))</f>
        <v>1401.0271704</v>
      </c>
    </row>
    <row r="554" spans="1:8">
      <c r="A554" s="214">
        <f>A553+1</f>
        <v>2</v>
      </c>
      <c r="B554" s="215"/>
      <c r="C554" s="225" t="s">
        <v>330</v>
      </c>
      <c r="D554" s="205">
        <f>(82.15)*10.764</f>
        <v>884.2626</v>
      </c>
      <c r="E554" s="205">
        <f>(2.13*1.08+2.15*1.08)*10.764</f>
        <v>49.7555136</v>
      </c>
      <c r="F554" s="225">
        <f>D554+E554</f>
        <v>934.0181136</v>
      </c>
      <c r="G554" s="225">
        <v>0</v>
      </c>
      <c r="H554" s="225">
        <f>F554*(($H$271)+1)+(IF(G554&lt;101,G554,IF(G554&lt;201,G554/2,IF(G554&lt;=301,G554/3,G554/4))))</f>
        <v>1401.0271704</v>
      </c>
    </row>
    <row r="555" spans="1:8">
      <c r="A555" s="214">
        <f>A554+1</f>
        <v>3</v>
      </c>
      <c r="B555" s="215"/>
      <c r="C555" s="225" t="s">
        <v>328</v>
      </c>
      <c r="D555" s="205">
        <f>(53.45)*10.764</f>
        <v>575.3358</v>
      </c>
      <c r="E555" s="205">
        <f>(2.25*1.06)*10.764</f>
        <v>25.67214</v>
      </c>
      <c r="F555" s="225">
        <f>D555+E555</f>
        <v>601.00794</v>
      </c>
      <c r="G555" s="225">
        <v>0</v>
      </c>
      <c r="H555" s="225">
        <f>F555*(($H$271)+1)+(IF(G555&lt;101,G555,IF(G555&lt;201,G555/2,IF(G555&lt;=301,G555/3,G555/4))))</f>
        <v>901.51191</v>
      </c>
    </row>
    <row r="556" spans="1:8">
      <c r="A556" s="214">
        <f>A555+1</f>
        <v>4</v>
      </c>
      <c r="B556" s="215"/>
      <c r="C556" s="216" t="s">
        <v>334</v>
      </c>
      <c r="D556" s="217"/>
      <c r="E556" s="217"/>
      <c r="F556" s="217"/>
      <c r="G556" s="217"/>
      <c r="H556" s="218"/>
    </row>
    <row r="557" spans="1:8">
      <c r="A557" s="214">
        <f>A556+1</f>
        <v>5</v>
      </c>
      <c r="B557" s="215"/>
      <c r="C557" s="222"/>
      <c r="D557" s="223"/>
      <c r="E557" s="223"/>
      <c r="F557" s="223"/>
      <c r="G557" s="223"/>
      <c r="H557" s="224"/>
    </row>
    <row r="558" spans="1:8">
      <c r="A558" s="214">
        <f>A557+1</f>
        <v>6</v>
      </c>
      <c r="B558" s="215"/>
      <c r="C558" s="225" t="s">
        <v>342</v>
      </c>
      <c r="D558" s="205">
        <f>(37.91)*10.764</f>
        <v>408.06324</v>
      </c>
      <c r="E558" s="205">
        <f>(2.44*0.95)*10.764</f>
        <v>24.950952</v>
      </c>
      <c r="F558" s="225">
        <f>D558+E558</f>
        <v>433.014192</v>
      </c>
      <c r="G558" s="225">
        <v>0</v>
      </c>
      <c r="H558" s="225">
        <f>F558*(($H$271)+1)+(IF(G558&lt;101,G558,IF(G558&lt;201,G558/2,IF(G558&lt;=301,G558/3,G558/4))))</f>
        <v>649.521288</v>
      </c>
    </row>
    <row r="559" spans="1:8">
      <c r="A559" s="211" t="s">
        <v>343</v>
      </c>
      <c r="B559" s="212"/>
      <c r="C559" s="212"/>
      <c r="D559" s="212"/>
      <c r="E559" s="212"/>
      <c r="F559" s="212"/>
      <c r="G559" s="212"/>
      <c r="H559" s="213"/>
    </row>
    <row r="560" spans="1:8">
      <c r="A560" s="214">
        <v>1</v>
      </c>
      <c r="B560" s="215"/>
      <c r="C560" s="225" t="s">
        <v>330</v>
      </c>
      <c r="D560" s="205">
        <f>(82.15)*10.764</f>
        <v>884.2626</v>
      </c>
      <c r="E560" s="205">
        <f>(2.13*1.08+2.15*1.08)*10.764</f>
        <v>49.7555136</v>
      </c>
      <c r="F560" s="225">
        <f>D560+E560</f>
        <v>934.0181136</v>
      </c>
      <c r="G560" s="225">
        <v>0</v>
      </c>
      <c r="H560" s="225">
        <f>F560*(($H$271)+1)+(IF(G560&lt;101,G560,IF(G560&lt;201,G560/2,IF(G560&lt;=301,G560/3,G560/4))))</f>
        <v>1401.0271704</v>
      </c>
    </row>
    <row r="561" spans="1:8">
      <c r="A561" s="214">
        <f>A560+1</f>
        <v>2</v>
      </c>
      <c r="B561" s="215"/>
      <c r="C561" s="225" t="s">
        <v>330</v>
      </c>
      <c r="D561" s="205">
        <f>(82.15)*10.764</f>
        <v>884.2626</v>
      </c>
      <c r="E561" s="205">
        <f>(2.13*1.08+2.15*1.08)*10.764</f>
        <v>49.7555136</v>
      </c>
      <c r="F561" s="225">
        <f>D561+E561</f>
        <v>934.0181136</v>
      </c>
      <c r="G561" s="225">
        <v>0</v>
      </c>
      <c r="H561" s="225">
        <f>F561*(($H$271)+1)+(IF(G561&lt;101,G561,IF(G561&lt;201,G561/2,IF(G561&lt;=301,G561/3,G561/4))))</f>
        <v>1401.0271704</v>
      </c>
    </row>
    <row r="562" spans="1:8">
      <c r="A562" s="214">
        <f>A561+1</f>
        <v>3</v>
      </c>
      <c r="B562" s="215"/>
      <c r="C562" s="225" t="s">
        <v>328</v>
      </c>
      <c r="D562" s="205">
        <f>(53.45)*10.764</f>
        <v>575.3358</v>
      </c>
      <c r="E562" s="205">
        <f>(2.25*1.06)*10.764</f>
        <v>25.67214</v>
      </c>
      <c r="F562" s="225">
        <f>D562+E562</f>
        <v>601.00794</v>
      </c>
      <c r="G562" s="225">
        <v>0</v>
      </c>
      <c r="H562" s="225">
        <f>F562*(($H$271)+1)+(IF(G562&lt;101,G562,IF(G562&lt;201,G562/2,IF(G562&lt;=301,G562/3,G562/4))))</f>
        <v>901.51191</v>
      </c>
    </row>
    <row r="563" spans="1:8">
      <c r="A563" s="214">
        <f>A562+1</f>
        <v>4</v>
      </c>
      <c r="B563" s="215"/>
      <c r="C563" s="225" t="s">
        <v>328</v>
      </c>
      <c r="D563" s="205">
        <f>(53.45)*10.764</f>
        <v>575.3358</v>
      </c>
      <c r="E563" s="205">
        <f>(2.25*1.06)*10.764</f>
        <v>25.67214</v>
      </c>
      <c r="F563" s="225">
        <f>D563+E563</f>
        <v>601.00794</v>
      </c>
      <c r="G563" s="225">
        <v>0</v>
      </c>
      <c r="H563" s="225">
        <f>F563*(($H$271)+1)+(IF(G563&lt;101,G563,IF(G563&lt;201,G563/2,IF(G563&lt;=301,G563/3,G563/4))))</f>
        <v>901.51191</v>
      </c>
    </row>
    <row r="564" spans="1:8">
      <c r="A564" s="214">
        <f>A563+1</f>
        <v>5</v>
      </c>
      <c r="B564" s="215"/>
      <c r="C564" s="216" t="s">
        <v>337</v>
      </c>
      <c r="D564" s="217"/>
      <c r="E564" s="217"/>
      <c r="F564" s="217"/>
      <c r="G564" s="217"/>
      <c r="H564" s="218"/>
    </row>
    <row r="565" spans="1:8">
      <c r="A565" s="214">
        <f>A564+1</f>
        <v>6</v>
      </c>
      <c r="B565" s="215"/>
      <c r="C565" s="222"/>
      <c r="D565" s="223"/>
      <c r="E565" s="223"/>
      <c r="F565" s="223"/>
      <c r="G565" s="223"/>
      <c r="H565" s="224"/>
    </row>
    <row r="566" spans="1:8">
      <c r="A566" s="211" t="s">
        <v>344</v>
      </c>
      <c r="B566" s="212"/>
      <c r="C566" s="212"/>
      <c r="D566" s="212"/>
      <c r="E566" s="212"/>
      <c r="F566" s="212"/>
      <c r="G566" s="212"/>
      <c r="H566" s="213"/>
    </row>
    <row r="567" spans="1:8">
      <c r="A567" s="214">
        <v>1</v>
      </c>
      <c r="B567" s="215"/>
      <c r="C567" s="225" t="s">
        <v>330</v>
      </c>
      <c r="D567" s="205">
        <f>(82.15)*10.764</f>
        <v>884.2626</v>
      </c>
      <c r="E567" s="205">
        <f>(2.13*1.08+2.15*1.08)*10.764</f>
        <v>49.7555136</v>
      </c>
      <c r="F567" s="225">
        <f>D567+E567</f>
        <v>934.0181136</v>
      </c>
      <c r="G567" s="225">
        <v>0</v>
      </c>
      <c r="H567" s="225">
        <f>F567*(($H$271)+1)+(IF(G567&lt;101,G567,IF(G567&lt;201,G567/2,IF(G567&lt;=301,G567/3,G567/4))))</f>
        <v>1401.0271704</v>
      </c>
    </row>
    <row r="568" spans="1:8">
      <c r="A568" s="214">
        <f>A567+1</f>
        <v>2</v>
      </c>
      <c r="B568" s="215"/>
      <c r="C568" s="225" t="s">
        <v>330</v>
      </c>
      <c r="D568" s="205">
        <f>(82.15)*10.764</f>
        <v>884.2626</v>
      </c>
      <c r="E568" s="205">
        <f>(2.13*1.08+2.15*1.08)*10.764</f>
        <v>49.7555136</v>
      </c>
      <c r="F568" s="225">
        <f>D568+E568</f>
        <v>934.0181136</v>
      </c>
      <c r="G568" s="225">
        <v>0</v>
      </c>
      <c r="H568" s="225">
        <f>F568*(($H$271)+1)+(IF(G568&lt;101,G568,IF(G568&lt;201,G568/2,IF(G568&lt;=301,G568/3,G568/4))))</f>
        <v>1401.0271704</v>
      </c>
    </row>
    <row r="569" spans="1:8">
      <c r="A569" s="214">
        <f>A568+1</f>
        <v>3</v>
      </c>
      <c r="B569" s="215"/>
      <c r="C569" s="216" t="s">
        <v>336</v>
      </c>
      <c r="D569" s="217"/>
      <c r="E569" s="217"/>
      <c r="F569" s="217"/>
      <c r="G569" s="217"/>
      <c r="H569" s="218"/>
    </row>
    <row r="570" spans="1:8">
      <c r="A570" s="214">
        <f>A569+1</f>
        <v>4</v>
      </c>
      <c r="B570" s="215"/>
      <c r="C570" s="222"/>
      <c r="D570" s="223"/>
      <c r="E570" s="223"/>
      <c r="F570" s="223"/>
      <c r="G570" s="223"/>
      <c r="H570" s="224"/>
    </row>
    <row r="571" spans="1:8">
      <c r="A571" s="214">
        <f>A570+1</f>
        <v>5</v>
      </c>
      <c r="B571" s="215"/>
      <c r="C571" s="225" t="s">
        <v>342</v>
      </c>
      <c r="D571" s="205">
        <f>(37.91)*10.764</f>
        <v>408.06324</v>
      </c>
      <c r="E571" s="205">
        <f>(2.44*0.95)*10.764</f>
        <v>24.950952</v>
      </c>
      <c r="F571" s="225">
        <f>D571+E571</f>
        <v>433.014192</v>
      </c>
      <c r="G571" s="225">
        <v>0</v>
      </c>
      <c r="H571" s="225">
        <f>F571*(($H$271)+1)+(IF(G571&lt;101,G571,IF(G571&lt;201,G571/2,IF(G571&lt;=301,G571/3,G571/4))))</f>
        <v>649.521288</v>
      </c>
    </row>
    <row r="572" spans="1:8">
      <c r="A572" s="214">
        <f>A571+1</f>
        <v>6</v>
      </c>
      <c r="B572" s="215"/>
      <c r="C572" s="225" t="s">
        <v>342</v>
      </c>
      <c r="D572" s="205">
        <f>(37.91)*10.764</f>
        <v>408.06324</v>
      </c>
      <c r="E572" s="205">
        <f>(2.44*0.95)*10.764</f>
        <v>24.950952</v>
      </c>
      <c r="F572" s="225">
        <f>D572+E572</f>
        <v>433.014192</v>
      </c>
      <c r="G572" s="225">
        <v>0</v>
      </c>
      <c r="H572" s="225">
        <f>F572*(($H$271)+1)+(IF(G572&lt;101,G572,IF(G572&lt;201,G572/2,IF(G572&lt;=301,G572/3,G572/4))))</f>
        <v>649.521288</v>
      </c>
    </row>
    <row r="573" spans="1:8">
      <c r="A573" s="211" t="s">
        <v>345</v>
      </c>
      <c r="B573" s="212"/>
      <c r="C573" s="212"/>
      <c r="D573" s="212"/>
      <c r="E573" s="212"/>
      <c r="F573" s="212"/>
      <c r="G573" s="212"/>
      <c r="H573" s="213"/>
    </row>
    <row r="574" spans="1:8">
      <c r="A574" s="214">
        <v>1</v>
      </c>
      <c r="B574" s="215"/>
      <c r="C574" s="225" t="s">
        <v>330</v>
      </c>
      <c r="D574" s="205">
        <f>(82.15)*10.764</f>
        <v>884.2626</v>
      </c>
      <c r="E574" s="205">
        <f>(2.13*1.08+2.15*1.08)*10.764</f>
        <v>49.7555136</v>
      </c>
      <c r="F574" s="225">
        <f>D574+E574</f>
        <v>934.0181136</v>
      </c>
      <c r="G574" s="225">
        <v>0</v>
      </c>
      <c r="H574" s="225">
        <f t="shared" ref="H574:H579" si="27">F574*(($H$271)+1)+(IF(G574&lt;101,G574,IF(G574&lt;201,G574/2,IF(G574&lt;=301,G574/3,G574/4))))</f>
        <v>1401.0271704</v>
      </c>
    </row>
    <row r="575" spans="1:8">
      <c r="A575" s="214">
        <f>A574+1</f>
        <v>2</v>
      </c>
      <c r="B575" s="215"/>
      <c r="C575" s="225" t="s">
        <v>330</v>
      </c>
      <c r="D575" s="205">
        <f>(82.15)*10.764</f>
        <v>884.2626</v>
      </c>
      <c r="E575" s="205">
        <f>(2.13*1.08+2.15*1.08)*10.764</f>
        <v>49.7555136</v>
      </c>
      <c r="F575" s="225">
        <f>D575+E575</f>
        <v>934.0181136</v>
      </c>
      <c r="G575" s="225">
        <v>0</v>
      </c>
      <c r="H575" s="225">
        <f t="shared" si="27"/>
        <v>1401.0271704</v>
      </c>
    </row>
    <row r="576" spans="1:8">
      <c r="A576" s="214">
        <f>A575+1</f>
        <v>3</v>
      </c>
      <c r="B576" s="215"/>
      <c r="C576" s="225" t="s">
        <v>328</v>
      </c>
      <c r="D576" s="205">
        <f>(53.36)*10.764</f>
        <v>574.36704</v>
      </c>
      <c r="E576" s="205">
        <f>(2.25*1.06)*10.764</f>
        <v>25.67214</v>
      </c>
      <c r="F576" s="225">
        <f>D576+E576</f>
        <v>600.03918</v>
      </c>
      <c r="G576" s="225">
        <v>0</v>
      </c>
      <c r="H576" s="225">
        <f t="shared" si="27"/>
        <v>900.05877</v>
      </c>
    </row>
    <row r="577" spans="1:8">
      <c r="A577" s="214">
        <f>A576+1</f>
        <v>4</v>
      </c>
      <c r="B577" s="215"/>
      <c r="C577" s="225" t="s">
        <v>328</v>
      </c>
      <c r="D577" s="205">
        <f>(53.36)*10.764</f>
        <v>574.36704</v>
      </c>
      <c r="E577" s="205">
        <f>(2.25*1.06)*10.764</f>
        <v>25.67214</v>
      </c>
      <c r="F577" s="225">
        <f t="shared" ref="F577:F579" si="28">D577+E577</f>
        <v>600.03918</v>
      </c>
      <c r="G577" s="225">
        <v>0</v>
      </c>
      <c r="H577" s="225">
        <f t="shared" si="27"/>
        <v>900.05877</v>
      </c>
    </row>
    <row r="578" spans="1:8">
      <c r="A578" s="214">
        <f>A577+1</f>
        <v>5</v>
      </c>
      <c r="B578" s="215"/>
      <c r="C578" s="225" t="s">
        <v>342</v>
      </c>
      <c r="D578" s="205">
        <f>(37.91)*10.764</f>
        <v>408.06324</v>
      </c>
      <c r="E578" s="205">
        <f>(2.44*0.95)*10.764</f>
        <v>24.950952</v>
      </c>
      <c r="F578" s="225">
        <f t="shared" si="28"/>
        <v>433.014192</v>
      </c>
      <c r="G578" s="225">
        <v>0</v>
      </c>
      <c r="H578" s="225">
        <f t="shared" si="27"/>
        <v>649.521288</v>
      </c>
    </row>
    <row r="579" spans="1:8">
      <c r="A579" s="214">
        <f>A578+1</f>
        <v>6</v>
      </c>
      <c r="B579" s="215"/>
      <c r="C579" s="225" t="s">
        <v>342</v>
      </c>
      <c r="D579" s="205">
        <f>(37.91)*10.764</f>
        <v>408.06324</v>
      </c>
      <c r="E579" s="205">
        <f>(2.44*0.95)*10.764</f>
        <v>24.950952</v>
      </c>
      <c r="F579" s="225">
        <f t="shared" si="28"/>
        <v>433.014192</v>
      </c>
      <c r="G579" s="225">
        <v>0</v>
      </c>
      <c r="H579" s="225">
        <f t="shared" si="27"/>
        <v>649.521288</v>
      </c>
    </row>
    <row r="580" spans="1:8">
      <c r="A580" s="196" t="s">
        <v>299</v>
      </c>
      <c r="B580" s="197"/>
      <c r="C580" s="197"/>
      <c r="D580" s="197"/>
      <c r="E580" s="197"/>
      <c r="F580" s="197"/>
      <c r="G580" s="197"/>
      <c r="H580" s="198"/>
    </row>
    <row r="581" spans="1:8">
      <c r="A581" s="199" t="s">
        <v>323</v>
      </c>
      <c r="B581" s="200"/>
      <c r="C581" s="200"/>
      <c r="D581" s="200"/>
      <c r="E581" s="200"/>
      <c r="F581" s="200"/>
      <c r="G581" s="200"/>
      <c r="H581" s="201"/>
    </row>
    <row r="582" spans="1:8">
      <c r="A582" s="199" t="s">
        <v>324</v>
      </c>
      <c r="B582" s="200"/>
      <c r="C582" s="200"/>
      <c r="D582" s="200"/>
      <c r="E582" s="200"/>
      <c r="F582" s="200"/>
      <c r="G582" s="200"/>
      <c r="H582" s="201"/>
    </row>
    <row r="583" spans="1:8">
      <c r="A583" s="199" t="s">
        <v>325</v>
      </c>
      <c r="B583" s="200"/>
      <c r="C583" s="200"/>
      <c r="D583" s="200"/>
      <c r="E583" s="200"/>
      <c r="F583" s="200"/>
      <c r="G583" s="200"/>
      <c r="H583" s="201"/>
    </row>
    <row r="584" spans="1:8">
      <c r="A584" s="211" t="s">
        <v>326</v>
      </c>
      <c r="B584" s="212"/>
      <c r="C584" s="212"/>
      <c r="D584" s="212"/>
      <c r="E584" s="212"/>
      <c r="F584" s="212"/>
      <c r="G584" s="212"/>
      <c r="H584" s="213"/>
    </row>
    <row r="585" spans="1:8">
      <c r="A585" s="214">
        <v>1</v>
      </c>
      <c r="B585" s="215"/>
      <c r="C585" s="216" t="s">
        <v>327</v>
      </c>
      <c r="D585" s="217"/>
      <c r="E585" s="217"/>
      <c r="F585" s="217"/>
      <c r="G585" s="217"/>
      <c r="H585" s="218"/>
    </row>
    <row r="586" spans="1:8">
      <c r="A586" s="214">
        <f>A585+1</f>
        <v>2</v>
      </c>
      <c r="B586" s="215"/>
      <c r="C586" s="219"/>
      <c r="D586" s="220"/>
      <c r="E586" s="220"/>
      <c r="F586" s="220"/>
      <c r="G586" s="220"/>
      <c r="H586" s="221"/>
    </row>
    <row r="587" spans="1:8">
      <c r="A587" s="214">
        <f>A586+1</f>
        <v>3</v>
      </c>
      <c r="B587" s="215"/>
      <c r="C587" s="219"/>
      <c r="D587" s="220"/>
      <c r="E587" s="220"/>
      <c r="F587" s="220"/>
      <c r="G587" s="220"/>
      <c r="H587" s="221"/>
    </row>
    <row r="588" spans="1:8">
      <c r="A588" s="214">
        <f>A587+1</f>
        <v>4</v>
      </c>
      <c r="B588" s="215"/>
      <c r="C588" s="222"/>
      <c r="D588" s="223"/>
      <c r="E588" s="223"/>
      <c r="F588" s="223"/>
      <c r="G588" s="223"/>
      <c r="H588" s="224"/>
    </row>
    <row r="589" spans="1:8">
      <c r="A589" s="214">
        <f>A588+1</f>
        <v>5</v>
      </c>
      <c r="B589" s="215"/>
      <c r="C589" s="225" t="s">
        <v>328</v>
      </c>
      <c r="D589" s="205">
        <f>(58.32)*10.764</f>
        <v>627.75648</v>
      </c>
      <c r="E589" s="205">
        <f>(2.2*1.06)*10.764</f>
        <v>25.101648</v>
      </c>
      <c r="F589" s="225">
        <f>D589+E589</f>
        <v>652.858128</v>
      </c>
      <c r="G589" s="225">
        <v>0</v>
      </c>
      <c r="H589" s="225">
        <f>F589*(($H$271)+1)+(IF(G589&lt;101,G589,IF(G589&lt;201,G589/2,IF(G589&lt;=301,G589/3,G589/4))))</f>
        <v>979.287192</v>
      </c>
    </row>
    <row r="590" spans="1:8">
      <c r="A590" s="214">
        <f>A589+1</f>
        <v>6</v>
      </c>
      <c r="B590" s="215"/>
      <c r="C590" s="214" t="s">
        <v>327</v>
      </c>
      <c r="D590" s="226"/>
      <c r="E590" s="226"/>
      <c r="F590" s="226"/>
      <c r="G590" s="226"/>
      <c r="H590" s="215"/>
    </row>
    <row r="591" spans="1:8">
      <c r="A591" s="211" t="s">
        <v>329</v>
      </c>
      <c r="B591" s="212"/>
      <c r="C591" s="212"/>
      <c r="D591" s="212"/>
      <c r="E591" s="212"/>
      <c r="F591" s="212"/>
      <c r="G591" s="212"/>
      <c r="H591" s="213"/>
    </row>
    <row r="592" spans="1:8">
      <c r="A592" s="214">
        <v>1</v>
      </c>
      <c r="B592" s="215"/>
      <c r="C592" s="214" t="s">
        <v>327</v>
      </c>
      <c r="D592" s="226"/>
      <c r="E592" s="226"/>
      <c r="F592" s="226"/>
      <c r="G592" s="226"/>
      <c r="H592" s="215"/>
    </row>
    <row r="593" spans="1:8">
      <c r="A593" s="214">
        <f>A592+1</f>
        <v>2</v>
      </c>
      <c r="B593" s="215"/>
      <c r="C593" s="225" t="s">
        <v>330</v>
      </c>
      <c r="D593" s="205">
        <f>(93.41)*10.764</f>
        <v>1005.46524</v>
      </c>
      <c r="E593" s="205">
        <f>(2.47*1.1+2.5*1.05)*10.764</f>
        <v>57.501288</v>
      </c>
      <c r="F593" s="225">
        <f>D593+E593</f>
        <v>1062.966528</v>
      </c>
      <c r="G593" s="225">
        <v>0</v>
      </c>
      <c r="H593" s="225">
        <f>F593*(($H$271)+1)+(IF(G593&lt;101,G593,IF(G593&lt;201,G593/2,IF(G593&lt;=301,G593/3,G593/4))))</f>
        <v>1594.449792</v>
      </c>
    </row>
    <row r="594" spans="1:8">
      <c r="A594" s="214">
        <f>A593+1</f>
        <v>3</v>
      </c>
      <c r="B594" s="215"/>
      <c r="C594" s="225" t="s">
        <v>328</v>
      </c>
      <c r="D594" s="205">
        <f>(58.35)*10.764</f>
        <v>628.0794</v>
      </c>
      <c r="E594" s="205">
        <f>(2.2*1.06)*10.764</f>
        <v>25.101648</v>
      </c>
      <c r="F594" s="225">
        <f>D594+E594</f>
        <v>653.181048</v>
      </c>
      <c r="G594" s="225">
        <v>0</v>
      </c>
      <c r="H594" s="225">
        <f>F594*(($H$271)+1)+(IF(G594&lt;101,G594,IF(G594&lt;201,G594/2,IF(G594&lt;=301,G594/3,G594/4))))</f>
        <v>979.771572</v>
      </c>
    </row>
    <row r="595" spans="1:8">
      <c r="A595" s="214">
        <f>A594+1</f>
        <v>4</v>
      </c>
      <c r="B595" s="215"/>
      <c r="C595" s="225" t="s">
        <v>328</v>
      </c>
      <c r="D595" s="205">
        <f>(58.35)*10.764</f>
        <v>628.0794</v>
      </c>
      <c r="E595" s="205">
        <f>(2.2*1.06)*10.764</f>
        <v>25.101648</v>
      </c>
      <c r="F595" s="225">
        <f>D595+E595</f>
        <v>653.181048</v>
      </c>
      <c r="G595" s="225">
        <v>0</v>
      </c>
      <c r="H595" s="225">
        <f>F595*(($H$271)+1)+(IF(G595&lt;101,G595,IF(G595&lt;201,G595/2,IF(G595&lt;=301,G595/3,G595/4))))</f>
        <v>979.771572</v>
      </c>
    </row>
    <row r="596" spans="1:8">
      <c r="A596" s="214">
        <f>A595+1</f>
        <v>5</v>
      </c>
      <c r="B596" s="215"/>
      <c r="C596" s="225" t="s">
        <v>328</v>
      </c>
      <c r="D596" s="205">
        <f>(58.32)*10.764</f>
        <v>627.75648</v>
      </c>
      <c r="E596" s="205">
        <f>(2.2*1.06)*10.764</f>
        <v>25.101648</v>
      </c>
      <c r="F596" s="225">
        <f>D596+E596</f>
        <v>652.858128</v>
      </c>
      <c r="G596" s="225">
        <v>0</v>
      </c>
      <c r="H596" s="225">
        <f>F596*(($H$271)+1)+(IF(G596&lt;101,G596,IF(G596&lt;201,G596/2,IF(G596&lt;=301,G596/3,G596/4))))</f>
        <v>979.287192</v>
      </c>
    </row>
    <row r="597" spans="1:8">
      <c r="A597" s="214">
        <f>A596+1</f>
        <v>6</v>
      </c>
      <c r="B597" s="215"/>
      <c r="C597" s="214" t="s">
        <v>327</v>
      </c>
      <c r="D597" s="226"/>
      <c r="E597" s="226"/>
      <c r="F597" s="226"/>
      <c r="G597" s="226"/>
      <c r="H597" s="215"/>
    </row>
    <row r="598" spans="1:8">
      <c r="A598" s="211" t="s">
        <v>331</v>
      </c>
      <c r="B598" s="212"/>
      <c r="C598" s="212"/>
      <c r="D598" s="212"/>
      <c r="E598" s="212"/>
      <c r="F598" s="212"/>
      <c r="G598" s="212"/>
      <c r="H598" s="213"/>
    </row>
    <row r="599" spans="1:8">
      <c r="A599" s="214">
        <v>1</v>
      </c>
      <c r="B599" s="215"/>
      <c r="C599" s="214" t="s">
        <v>327</v>
      </c>
      <c r="D599" s="226"/>
      <c r="E599" s="226"/>
      <c r="F599" s="226"/>
      <c r="G599" s="226"/>
      <c r="H599" s="215"/>
    </row>
    <row r="600" spans="1:8">
      <c r="A600" s="214">
        <f>A599+1</f>
        <v>2</v>
      </c>
      <c r="B600" s="215"/>
      <c r="C600" s="225" t="s">
        <v>330</v>
      </c>
      <c r="D600" s="205">
        <f>(93.41)*10.764</f>
        <v>1005.46524</v>
      </c>
      <c r="E600" s="205">
        <f>(2.47*1.1+2.5*1.05)*10.764</f>
        <v>57.501288</v>
      </c>
      <c r="F600" s="225">
        <f>D600+E600</f>
        <v>1062.966528</v>
      </c>
      <c r="G600" s="225">
        <v>0</v>
      </c>
      <c r="H600" s="225">
        <f>F600*(($H$271)+1)+(IF(G600&lt;101,G600,IF(G600&lt;201,G600/2,IF(G600&lt;=301,G600/3,G600/4))))</f>
        <v>1594.449792</v>
      </c>
    </row>
    <row r="601" spans="1:8">
      <c r="A601" s="214">
        <f>A600+1</f>
        <v>3</v>
      </c>
      <c r="B601" s="215"/>
      <c r="C601" s="225" t="s">
        <v>328</v>
      </c>
      <c r="D601" s="205">
        <f>(58.35)*10.764</f>
        <v>628.0794</v>
      </c>
      <c r="E601" s="205">
        <f>(2.2*1.06)*10.764</f>
        <v>25.101648</v>
      </c>
      <c r="F601" s="225">
        <f>D601+E601</f>
        <v>653.181048</v>
      </c>
      <c r="G601" s="225">
        <v>0</v>
      </c>
      <c r="H601" s="225">
        <f>F601*(($H$271)+1)+(IF(G601&lt;101,G601,IF(G601&lt;201,G601/2,IF(G601&lt;=301,G601/3,G601/4))))</f>
        <v>979.771572</v>
      </c>
    </row>
    <row r="602" spans="1:8">
      <c r="A602" s="214">
        <f>A601+1</f>
        <v>4</v>
      </c>
      <c r="B602" s="215"/>
      <c r="C602" s="225" t="s">
        <v>328</v>
      </c>
      <c r="D602" s="205">
        <f>(58.35)*10.764</f>
        <v>628.0794</v>
      </c>
      <c r="E602" s="205">
        <f>(2.2*1.06)*10.764</f>
        <v>25.101648</v>
      </c>
      <c r="F602" s="225">
        <f>D602+E602</f>
        <v>653.181048</v>
      </c>
      <c r="G602" s="225">
        <v>0</v>
      </c>
      <c r="H602" s="225">
        <f>F602*(($H$271)+1)+(IF(G602&lt;101,G602,IF(G602&lt;201,G602/2,IF(G602&lt;=301,G602/3,G602/4))))</f>
        <v>979.771572</v>
      </c>
    </row>
    <row r="603" spans="1:8">
      <c r="A603" s="214">
        <f>A602+1</f>
        <v>5</v>
      </c>
      <c r="B603" s="215"/>
      <c r="C603" s="225" t="s">
        <v>328</v>
      </c>
      <c r="D603" s="205">
        <f>(58.32)*10.764</f>
        <v>627.75648</v>
      </c>
      <c r="E603" s="205">
        <f>(2.2*1.06)*10.764</f>
        <v>25.101648</v>
      </c>
      <c r="F603" s="225">
        <f>D603+E603</f>
        <v>652.858128</v>
      </c>
      <c r="G603" s="225">
        <v>0</v>
      </c>
      <c r="H603" s="225">
        <f>F603*(($H$271)+1)+(IF(G603&lt;101,G603,IF(G603&lt;201,G603/2,IF(G603&lt;=301,G603/3,G603/4))))</f>
        <v>979.287192</v>
      </c>
    </row>
    <row r="604" spans="1:8">
      <c r="A604" s="214">
        <f>A603+1</f>
        <v>6</v>
      </c>
      <c r="B604" s="215"/>
      <c r="C604" s="214" t="s">
        <v>327</v>
      </c>
      <c r="D604" s="226"/>
      <c r="E604" s="226"/>
      <c r="F604" s="226"/>
      <c r="G604" s="226"/>
      <c r="H604" s="215"/>
    </row>
    <row r="605" spans="1:8">
      <c r="A605" s="211" t="s">
        <v>332</v>
      </c>
      <c r="B605" s="212"/>
      <c r="C605" s="212"/>
      <c r="D605" s="212"/>
      <c r="E605" s="212"/>
      <c r="F605" s="212"/>
      <c r="G605" s="212"/>
      <c r="H605" s="213"/>
    </row>
    <row r="606" customHeight="1" spans="1:8">
      <c r="A606" s="214">
        <v>1</v>
      </c>
      <c r="B606" s="215"/>
      <c r="C606" s="214" t="s">
        <v>327</v>
      </c>
      <c r="D606" s="226"/>
      <c r="E606" s="226"/>
      <c r="F606" s="226"/>
      <c r="G606" s="226"/>
      <c r="H606" s="215"/>
    </row>
    <row r="607" spans="1:8">
      <c r="A607" s="214">
        <f>A606+1</f>
        <v>2</v>
      </c>
      <c r="B607" s="215"/>
      <c r="C607" s="225" t="s">
        <v>330</v>
      </c>
      <c r="D607" s="205">
        <f>(93.41)*10.764</f>
        <v>1005.46524</v>
      </c>
      <c r="E607" s="205">
        <f>(2.47*1.1+2.5*1.05)*10.764</f>
        <v>57.501288</v>
      </c>
      <c r="F607" s="225">
        <f>D607+E607</f>
        <v>1062.966528</v>
      </c>
      <c r="G607" s="225">
        <v>0</v>
      </c>
      <c r="H607" s="225">
        <f>F607*(($H$271)+1)+(IF(G607&lt;101,G607,IF(G607&lt;201,G607/2,IF(G607&lt;=301,G607/3,G607/4))))</f>
        <v>1594.449792</v>
      </c>
    </row>
    <row r="608" spans="1:8">
      <c r="A608" s="214">
        <f>A607+1</f>
        <v>3</v>
      </c>
      <c r="B608" s="215"/>
      <c r="C608" s="225" t="s">
        <v>328</v>
      </c>
      <c r="D608" s="205">
        <f>(58.35)*10.764</f>
        <v>628.0794</v>
      </c>
      <c r="E608" s="205">
        <f>(2.2*1.06)*10.764</f>
        <v>25.101648</v>
      </c>
      <c r="F608" s="225">
        <f>D608+E608</f>
        <v>653.181048</v>
      </c>
      <c r="G608" s="225">
        <v>0</v>
      </c>
      <c r="H608" s="225">
        <f>F608*(($H$271)+1)+(IF(G608&lt;101,G608,IF(G608&lt;201,G608/2,IF(G608&lt;=301,G608/3,G608/4))))</f>
        <v>979.771572</v>
      </c>
    </row>
    <row r="609" spans="1:8">
      <c r="A609" s="214">
        <f>A608+1</f>
        <v>4</v>
      </c>
      <c r="B609" s="215"/>
      <c r="C609" s="225" t="s">
        <v>328</v>
      </c>
      <c r="D609" s="205">
        <f>(58.35)*10.764</f>
        <v>628.0794</v>
      </c>
      <c r="E609" s="205">
        <f>(2.2*1.06)*10.764</f>
        <v>25.101648</v>
      </c>
      <c r="F609" s="225">
        <f>D609+E609</f>
        <v>653.181048</v>
      </c>
      <c r="G609" s="225">
        <v>0</v>
      </c>
      <c r="H609" s="225">
        <f>F609*(($H$271)+1)+(IF(G609&lt;101,G609,IF(G609&lt;201,G609/2,IF(G609&lt;=301,G609/3,G609/4))))</f>
        <v>979.771572</v>
      </c>
    </row>
    <row r="610" spans="1:8">
      <c r="A610" s="214">
        <f>A609+1</f>
        <v>5</v>
      </c>
      <c r="B610" s="215"/>
      <c r="C610" s="225" t="s">
        <v>328</v>
      </c>
      <c r="D610" s="205">
        <f>(58.32)*10.764</f>
        <v>627.75648</v>
      </c>
      <c r="E610" s="205">
        <f>(2.2*1.06)*10.764</f>
        <v>25.101648</v>
      </c>
      <c r="F610" s="225">
        <f>D610+E610</f>
        <v>652.858128</v>
      </c>
      <c r="G610" s="225">
        <v>0</v>
      </c>
      <c r="H610" s="225">
        <f>F610*(($H$271)+1)+(IF(G610&lt;101,G610,IF(G610&lt;201,G610/2,IF(G610&lt;=301,G610/3,G610/4))))</f>
        <v>979.287192</v>
      </c>
    </row>
    <row r="611" spans="1:8">
      <c r="A611" s="214">
        <f>A610+1</f>
        <v>6</v>
      </c>
      <c r="B611" s="215"/>
      <c r="C611" s="214" t="s">
        <v>327</v>
      </c>
      <c r="D611" s="226"/>
      <c r="E611" s="226"/>
      <c r="F611" s="226"/>
      <c r="G611" s="226"/>
      <c r="H611" s="215"/>
    </row>
    <row r="612" spans="1:8">
      <c r="A612" s="211" t="s">
        <v>333</v>
      </c>
      <c r="B612" s="212"/>
      <c r="C612" s="212"/>
      <c r="D612" s="212"/>
      <c r="E612" s="212"/>
      <c r="F612" s="212"/>
      <c r="G612" s="212"/>
      <c r="H612" s="213"/>
    </row>
    <row r="613" spans="1:8">
      <c r="A613" s="214">
        <v>1</v>
      </c>
      <c r="B613" s="215"/>
      <c r="C613" s="214" t="s">
        <v>334</v>
      </c>
      <c r="D613" s="226"/>
      <c r="E613" s="226"/>
      <c r="F613" s="226"/>
      <c r="G613" s="226"/>
      <c r="H613" s="215"/>
    </row>
    <row r="614" spans="1:8">
      <c r="A614" s="214">
        <f>A613+1</f>
        <v>2</v>
      </c>
      <c r="B614" s="215"/>
      <c r="C614" s="225" t="s">
        <v>330</v>
      </c>
      <c r="D614" s="205">
        <f>(93.41)*10.764</f>
        <v>1005.46524</v>
      </c>
      <c r="E614" s="205">
        <f>(2.47*1.1+2.5*1.05)*10.764</f>
        <v>57.501288</v>
      </c>
      <c r="F614" s="225">
        <f>D614+E614</f>
        <v>1062.966528</v>
      </c>
      <c r="G614" s="225">
        <v>0</v>
      </c>
      <c r="H614" s="225">
        <f>F614*(($H$271)+1)+(IF(G614&lt;101,G614,IF(G614&lt;201,G614/2,IF(G614&lt;=301,G614/3,G614/4))))</f>
        <v>1594.449792</v>
      </c>
    </row>
    <row r="615" spans="1:8">
      <c r="A615" s="214">
        <f>A614+1</f>
        <v>3</v>
      </c>
      <c r="B615" s="215"/>
      <c r="C615" s="225" t="s">
        <v>328</v>
      </c>
      <c r="D615" s="205">
        <f>(58.35)*10.764</f>
        <v>628.0794</v>
      </c>
      <c r="E615" s="205">
        <f>(2.2*1.06)*10.764</f>
        <v>25.101648</v>
      </c>
      <c r="F615" s="225">
        <f>D615+E615</f>
        <v>653.181048</v>
      </c>
      <c r="G615" s="225">
        <v>0</v>
      </c>
      <c r="H615" s="225">
        <f>F615*(($H$271)+1)+(IF(G615&lt;101,G615,IF(G615&lt;201,G615/2,IF(G615&lt;=301,G615/3,G615/4))))</f>
        <v>979.771572</v>
      </c>
    </row>
    <row r="616" spans="1:8">
      <c r="A616" s="214">
        <f>A615+1</f>
        <v>4</v>
      </c>
      <c r="B616" s="215"/>
      <c r="C616" s="225" t="s">
        <v>328</v>
      </c>
      <c r="D616" s="205">
        <f>(58.35)*10.764</f>
        <v>628.0794</v>
      </c>
      <c r="E616" s="205">
        <f>(2.2*1.06)*10.764</f>
        <v>25.101648</v>
      </c>
      <c r="F616" s="225">
        <f>D616+E616</f>
        <v>653.181048</v>
      </c>
      <c r="G616" s="225">
        <v>0</v>
      </c>
      <c r="H616" s="225">
        <f>F616*(($H$271)+1)+(IF(G616&lt;101,G616,IF(G616&lt;201,G616/2,IF(G616&lt;=301,G616/3,G616/4))))</f>
        <v>979.771572</v>
      </c>
    </row>
    <row r="617" spans="1:8">
      <c r="A617" s="214">
        <f>A616+1</f>
        <v>5</v>
      </c>
      <c r="B617" s="215"/>
      <c r="C617" s="225" t="s">
        <v>328</v>
      </c>
      <c r="D617" s="205">
        <f>(58.32)*10.764</f>
        <v>627.75648</v>
      </c>
      <c r="E617" s="205">
        <f>(2.2*1.06)*10.764</f>
        <v>25.101648</v>
      </c>
      <c r="F617" s="225">
        <f>D617+E617</f>
        <v>652.858128</v>
      </c>
      <c r="G617" s="225">
        <v>0</v>
      </c>
      <c r="H617" s="225">
        <f>F617*(($H$271)+1)+(IF(G617&lt;101,G617,IF(G617&lt;201,G617/2,IF(G617&lt;=301,G617/3,G617/4))))</f>
        <v>979.287192</v>
      </c>
    </row>
    <row r="618" spans="1:8">
      <c r="A618" s="214">
        <f>A617+1</f>
        <v>6</v>
      </c>
      <c r="B618" s="215"/>
      <c r="C618" s="214" t="s">
        <v>334</v>
      </c>
      <c r="D618" s="226"/>
      <c r="E618" s="226"/>
      <c r="F618" s="226"/>
      <c r="G618" s="226"/>
      <c r="H618" s="215"/>
    </row>
    <row r="619" spans="1:8">
      <c r="A619" s="211" t="s">
        <v>335</v>
      </c>
      <c r="B619" s="212"/>
      <c r="C619" s="212"/>
      <c r="D619" s="212"/>
      <c r="E619" s="212"/>
      <c r="F619" s="212"/>
      <c r="G619" s="212"/>
      <c r="H619" s="213"/>
    </row>
    <row r="620" spans="1:8">
      <c r="A620" s="214">
        <v>1</v>
      </c>
      <c r="B620" s="215"/>
      <c r="C620" s="225" t="s">
        <v>330</v>
      </c>
      <c r="D620" s="205">
        <f>(93.41)*10.764</f>
        <v>1005.46524</v>
      </c>
      <c r="E620" s="205">
        <f>(2.47*1.1+2.5*1.05)*10.764</f>
        <v>57.501288</v>
      </c>
      <c r="F620" s="225">
        <f>D620+E620</f>
        <v>1062.966528</v>
      </c>
      <c r="G620" s="225">
        <v>0</v>
      </c>
      <c r="H620" s="225">
        <f>F620*(($H$271)+1)+(IF(G620&lt;101,G620,IF(G620&lt;201,G620/2,IF(G620&lt;=301,G620/3,G620/4))))</f>
        <v>1594.449792</v>
      </c>
    </row>
    <row r="621" spans="1:8">
      <c r="A621" s="214">
        <f>A620+1</f>
        <v>2</v>
      </c>
      <c r="B621" s="215"/>
      <c r="C621" s="225" t="s">
        <v>330</v>
      </c>
      <c r="D621" s="205">
        <f>(93.41)*10.764</f>
        <v>1005.46524</v>
      </c>
      <c r="E621" s="205">
        <f>(2.47*1.1+2.5*1.05)*10.764</f>
        <v>57.501288</v>
      </c>
      <c r="F621" s="225">
        <f>D621+E621</f>
        <v>1062.966528</v>
      </c>
      <c r="G621" s="225">
        <v>0</v>
      </c>
      <c r="H621" s="225">
        <f>F621*(($H$271)+1)+(IF(G621&lt;101,G621,IF(G621&lt;201,G621/2,IF(G621&lt;=301,G621/3,G621/4))))</f>
        <v>1594.449792</v>
      </c>
    </row>
    <row r="622" spans="1:8">
      <c r="A622" s="214">
        <f>A621+1</f>
        <v>3</v>
      </c>
      <c r="B622" s="215"/>
      <c r="C622" s="216" t="s">
        <v>336</v>
      </c>
      <c r="D622" s="217"/>
      <c r="E622" s="217"/>
      <c r="F622" s="217"/>
      <c r="G622" s="217"/>
      <c r="H622" s="218"/>
    </row>
    <row r="623" spans="1:8">
      <c r="A623" s="214">
        <f>A622+1</f>
        <v>4</v>
      </c>
      <c r="B623" s="215"/>
      <c r="C623" s="222"/>
      <c r="D623" s="223"/>
      <c r="E623" s="223"/>
      <c r="F623" s="223"/>
      <c r="G623" s="223"/>
      <c r="H623" s="224"/>
    </row>
    <row r="624" spans="1:8">
      <c r="A624" s="214">
        <f>A623+1</f>
        <v>5</v>
      </c>
      <c r="B624" s="215"/>
      <c r="C624" s="216" t="s">
        <v>337</v>
      </c>
      <c r="D624" s="217"/>
      <c r="E624" s="217"/>
      <c r="F624" s="217"/>
      <c r="G624" s="217"/>
      <c r="H624" s="218"/>
    </row>
    <row r="625" spans="1:8">
      <c r="A625" s="214">
        <f>A624+1</f>
        <v>6</v>
      </c>
      <c r="B625" s="215"/>
      <c r="C625" s="222"/>
      <c r="D625" s="223"/>
      <c r="E625" s="223"/>
      <c r="F625" s="223"/>
      <c r="G625" s="223"/>
      <c r="H625" s="224"/>
    </row>
    <row r="626" spans="1:8">
      <c r="A626" s="211" t="s">
        <v>338</v>
      </c>
      <c r="B626" s="212"/>
      <c r="C626" s="212"/>
      <c r="D626" s="212"/>
      <c r="E626" s="212"/>
      <c r="F626" s="212"/>
      <c r="G626" s="212"/>
      <c r="H626" s="213"/>
    </row>
    <row r="627" spans="1:8">
      <c r="A627" s="214">
        <v>1</v>
      </c>
      <c r="B627" s="215"/>
      <c r="C627" s="225" t="s">
        <v>330</v>
      </c>
      <c r="D627" s="205">
        <f>(93.41)*10.764</f>
        <v>1005.46524</v>
      </c>
      <c r="E627" s="205">
        <f>(2.47*1.1+2.5*1.05)*10.764</f>
        <v>57.501288</v>
      </c>
      <c r="F627" s="225">
        <f t="shared" ref="F627:F632" si="29">D627+E627</f>
        <v>1062.966528</v>
      </c>
      <c r="G627" s="225">
        <v>0</v>
      </c>
      <c r="H627" s="225">
        <f t="shared" ref="H627:H632" si="30">F627*(($H$271)+1)+(IF(G627&lt;101,G627,IF(G627&lt;201,G627/2,IF(G627&lt;=301,G627/3,G627/4))))</f>
        <v>1594.449792</v>
      </c>
    </row>
    <row r="628" spans="1:8">
      <c r="A628" s="214">
        <f>A627+1</f>
        <v>2</v>
      </c>
      <c r="B628" s="215"/>
      <c r="C628" s="225" t="s">
        <v>330</v>
      </c>
      <c r="D628" s="205">
        <f>(93.41)*10.764</f>
        <v>1005.46524</v>
      </c>
      <c r="E628" s="205">
        <f>(2.47*1.1+2.5*1.05)*10.764</f>
        <v>57.501288</v>
      </c>
      <c r="F628" s="225">
        <f t="shared" si="29"/>
        <v>1062.966528</v>
      </c>
      <c r="G628" s="225">
        <v>0</v>
      </c>
      <c r="H628" s="225">
        <f t="shared" si="30"/>
        <v>1594.449792</v>
      </c>
    </row>
    <row r="629" spans="1:8">
      <c r="A629" s="214">
        <f>A628+1</f>
        <v>3</v>
      </c>
      <c r="B629" s="215"/>
      <c r="C629" s="225" t="s">
        <v>328</v>
      </c>
      <c r="D629" s="205">
        <f>(58.35)*10.764</f>
        <v>628.0794</v>
      </c>
      <c r="E629" s="205">
        <f>(2.2*1.06)*10.764</f>
        <v>25.101648</v>
      </c>
      <c r="F629" s="225">
        <f t="shared" si="29"/>
        <v>653.181048</v>
      </c>
      <c r="G629" s="225">
        <v>0</v>
      </c>
      <c r="H629" s="225">
        <f t="shared" si="30"/>
        <v>979.771572</v>
      </c>
    </row>
    <row r="630" spans="1:8">
      <c r="A630" s="214">
        <f>A629+1</f>
        <v>4</v>
      </c>
      <c r="B630" s="215"/>
      <c r="C630" s="225" t="s">
        <v>328</v>
      </c>
      <c r="D630" s="205">
        <f>(58.35)*10.764</f>
        <v>628.0794</v>
      </c>
      <c r="E630" s="205">
        <f>(2.2*1.06)*10.764</f>
        <v>25.101648</v>
      </c>
      <c r="F630" s="225">
        <f t="shared" si="29"/>
        <v>653.181048</v>
      </c>
      <c r="G630" s="225">
        <v>0</v>
      </c>
      <c r="H630" s="225">
        <f t="shared" si="30"/>
        <v>979.771572</v>
      </c>
    </row>
    <row r="631" spans="1:8">
      <c r="A631" s="214">
        <f>A630+1</f>
        <v>5</v>
      </c>
      <c r="B631" s="215"/>
      <c r="C631" s="225" t="s">
        <v>328</v>
      </c>
      <c r="D631" s="205">
        <f>(58.32)*10.764</f>
        <v>627.75648</v>
      </c>
      <c r="E631" s="205">
        <f>(2.2*1.06)*10.764</f>
        <v>25.101648</v>
      </c>
      <c r="F631" s="225">
        <f t="shared" si="29"/>
        <v>652.858128</v>
      </c>
      <c r="G631" s="225">
        <v>0</v>
      </c>
      <c r="H631" s="225">
        <f t="shared" si="30"/>
        <v>979.287192</v>
      </c>
    </row>
    <row r="632" spans="1:8">
      <c r="A632" s="214">
        <f>A631+1</f>
        <v>6</v>
      </c>
      <c r="B632" s="215"/>
      <c r="C632" s="225" t="s">
        <v>328</v>
      </c>
      <c r="D632" s="205">
        <f>(66.85)*10.764</f>
        <v>719.5734</v>
      </c>
      <c r="E632" s="205">
        <f>(1.07*2.15+2.14*1.07)*10.764</f>
        <v>49.4099892</v>
      </c>
      <c r="F632" s="225">
        <f t="shared" si="29"/>
        <v>768.9833892</v>
      </c>
      <c r="G632" s="225">
        <v>0</v>
      </c>
      <c r="H632" s="225">
        <f t="shared" si="30"/>
        <v>1153.4750838</v>
      </c>
    </row>
    <row r="633" spans="1:8">
      <c r="A633" s="211" t="s">
        <v>339</v>
      </c>
      <c r="B633" s="212"/>
      <c r="C633" s="212"/>
      <c r="D633" s="212"/>
      <c r="E633" s="212"/>
      <c r="F633" s="212"/>
      <c r="G633" s="212"/>
      <c r="H633" s="213"/>
    </row>
    <row r="634" spans="1:8">
      <c r="A634" s="214">
        <v>1</v>
      </c>
      <c r="B634" s="215"/>
      <c r="C634" s="225" t="s">
        <v>330</v>
      </c>
      <c r="D634" s="205">
        <f>(93.41)*10.764</f>
        <v>1005.46524</v>
      </c>
      <c r="E634" s="205">
        <f>(2.47*1.1+2.5*1.05)*10.764</f>
        <v>57.501288</v>
      </c>
      <c r="F634" s="225">
        <f>D634+E634</f>
        <v>1062.966528</v>
      </c>
      <c r="G634" s="225">
        <v>0</v>
      </c>
      <c r="H634" s="225">
        <f>F634*(($H$271)+1)+(IF(G634&lt;101,G634,IF(G634&lt;201,G634/2,IF(G634&lt;=301,G634/3,G634/4))))</f>
        <v>1594.449792</v>
      </c>
    </row>
    <row r="635" spans="1:8">
      <c r="A635" s="214">
        <f>A634+1</f>
        <v>2</v>
      </c>
      <c r="B635" s="215"/>
      <c r="C635" s="225" t="s">
        <v>330</v>
      </c>
      <c r="D635" s="205">
        <f>(93.41)*10.764</f>
        <v>1005.46524</v>
      </c>
      <c r="E635" s="205">
        <f>(2.47*1.1+2.5*1.05)*10.764</f>
        <v>57.501288</v>
      </c>
      <c r="F635" s="225">
        <f>D635+E635</f>
        <v>1062.966528</v>
      </c>
      <c r="G635" s="225">
        <v>0</v>
      </c>
      <c r="H635" s="225">
        <f>F635*(($H$271)+1)+(IF(G635&lt;101,G635,IF(G635&lt;201,G635/2,IF(G635&lt;=301,G635/3,G635/4))))</f>
        <v>1594.449792</v>
      </c>
    </row>
    <row r="636" spans="1:8">
      <c r="A636" s="214">
        <f>A635+1</f>
        <v>3</v>
      </c>
      <c r="B636" s="215"/>
      <c r="C636" s="216" t="s">
        <v>336</v>
      </c>
      <c r="D636" s="217"/>
      <c r="E636" s="217"/>
      <c r="F636" s="217"/>
      <c r="G636" s="217"/>
      <c r="H636" s="218"/>
    </row>
    <row r="637" spans="1:8">
      <c r="A637" s="214">
        <f>A636+1</f>
        <v>4</v>
      </c>
      <c r="B637" s="215"/>
      <c r="C637" s="222"/>
      <c r="D637" s="223"/>
      <c r="E637" s="223"/>
      <c r="F637" s="223"/>
      <c r="G637" s="223"/>
      <c r="H637" s="224"/>
    </row>
    <row r="638" spans="1:8">
      <c r="A638" s="214">
        <f>A637+1</f>
        <v>5</v>
      </c>
      <c r="B638" s="215"/>
      <c r="C638" s="225" t="s">
        <v>328</v>
      </c>
      <c r="D638" s="205">
        <f>(58.32)*10.764</f>
        <v>627.75648</v>
      </c>
      <c r="E638" s="205">
        <f>(2.2*1.06)*10.764</f>
        <v>25.101648</v>
      </c>
      <c r="F638" s="225">
        <f>D638+E638</f>
        <v>652.858128</v>
      </c>
      <c r="G638" s="225">
        <v>0</v>
      </c>
      <c r="H638" s="225">
        <f>F638*(($H$271)+1)+(IF(G638&lt;101,G638,IF(G638&lt;201,G638/2,IF(G638&lt;=301,G638/3,G638/4))))</f>
        <v>979.287192</v>
      </c>
    </row>
    <row r="639" spans="1:8">
      <c r="A639" s="214">
        <f>A638+1</f>
        <v>6</v>
      </c>
      <c r="B639" s="215"/>
      <c r="C639" s="225" t="s">
        <v>328</v>
      </c>
      <c r="D639" s="205">
        <f>(66.85)*10.764</f>
        <v>719.5734</v>
      </c>
      <c r="E639" s="205">
        <f>(1.07*2.15+2.14*1.07)*10.764</f>
        <v>49.4099892</v>
      </c>
      <c r="F639" s="225">
        <f>D639+E639</f>
        <v>768.9833892</v>
      </c>
      <c r="G639" s="225">
        <v>0</v>
      </c>
      <c r="H639" s="225">
        <f>F639*(($H$271)+1)+(IF(G639&lt;101,G639,IF(G639&lt;201,G639/2,IF(G639&lt;=301,G639/3,G639/4))))</f>
        <v>1153.4750838</v>
      </c>
    </row>
    <row r="640" spans="1:8">
      <c r="A640" s="233" t="s">
        <v>351</v>
      </c>
      <c r="B640" s="234"/>
      <c r="C640" s="234"/>
      <c r="D640" s="234"/>
      <c r="E640" s="234"/>
      <c r="F640" s="234"/>
      <c r="G640" s="234"/>
      <c r="H640" s="235"/>
    </row>
    <row r="641" ht="33.75" customHeight="1" spans="1:8">
      <c r="A641" s="168" t="s">
        <v>352</v>
      </c>
      <c r="B641" s="236" t="s">
        <v>353</v>
      </c>
      <c r="C641" s="237"/>
      <c r="D641" s="237"/>
      <c r="E641" s="237"/>
      <c r="F641" s="237"/>
      <c r="G641" s="237"/>
      <c r="H641" s="238"/>
    </row>
    <row r="642" spans="1:8">
      <c r="A642" s="168" t="s">
        <v>352</v>
      </c>
      <c r="B642" s="236" t="str">
        <f>(IF(H270="Saleable area Loading :","We have considered Saleable area of Flats as per our Calculation.","We considered Saleable area of Flat as per Builder area Sheet."))</f>
        <v>We have considered Saleable area of Flats as per our Calculation.</v>
      </c>
      <c r="C642" s="237"/>
      <c r="D642" s="237"/>
      <c r="E642" s="237"/>
      <c r="F642" s="237"/>
      <c r="G642" s="237"/>
      <c r="H642" s="238"/>
    </row>
    <row r="643" spans="1:8">
      <c r="A643" s="168" t="s">
        <v>352</v>
      </c>
      <c r="B643" s="236" t="str">
        <f>(IF(H199="Saleable area Loading :","We have considered Saleable area of Commercial as per our Calculation.","We considered Saleable area of Commercial as per Builder area Sheet."))</f>
        <v>We have considered Saleable area of Commercial as per our Calculation.</v>
      </c>
      <c r="C643" s="237"/>
      <c r="D643" s="237"/>
      <c r="E643" s="237"/>
      <c r="F643" s="237"/>
      <c r="G643" s="237"/>
      <c r="H643" s="238"/>
    </row>
    <row r="644" spans="1:8">
      <c r="A644" s="168" t="s">
        <v>352</v>
      </c>
      <c r="B644" s="230" t="s">
        <v>354</v>
      </c>
      <c r="C644" s="231"/>
      <c r="D644" s="231"/>
      <c r="E644" s="231"/>
      <c r="F644" s="231"/>
      <c r="G644" s="231"/>
      <c r="H644" s="232"/>
    </row>
    <row r="645" spans="1:8">
      <c r="A645" s="168" t="s">
        <v>352</v>
      </c>
      <c r="B645" s="230" t="s">
        <v>355</v>
      </c>
      <c r="C645" s="231"/>
      <c r="D645" s="231"/>
      <c r="E645" s="231"/>
      <c r="F645" s="231"/>
      <c r="G645" s="231"/>
      <c r="H645" s="232"/>
    </row>
    <row r="646" spans="1:8">
      <c r="A646" s="168" t="s">
        <v>352</v>
      </c>
      <c r="B646" s="230" t="s">
        <v>356</v>
      </c>
      <c r="C646" s="231"/>
      <c r="D646" s="231"/>
      <c r="E646" s="231"/>
      <c r="F646" s="231"/>
      <c r="G646" s="231"/>
      <c r="H646" s="232"/>
    </row>
    <row r="647" spans="1:8">
      <c r="A647" s="168" t="s">
        <v>352</v>
      </c>
      <c r="B647" s="230" t="s">
        <v>357</v>
      </c>
      <c r="C647" s="231"/>
      <c r="D647" s="231"/>
      <c r="E647" s="231"/>
      <c r="F647" s="231"/>
      <c r="G647" s="231"/>
      <c r="H647" s="232"/>
    </row>
    <row r="648" spans="1:8">
      <c r="A648" s="168" t="s">
        <v>352</v>
      </c>
      <c r="B648" s="230" t="s">
        <v>358</v>
      </c>
      <c r="C648" s="231"/>
      <c r="D648" s="231"/>
      <c r="E648" s="231"/>
      <c r="F648" s="231"/>
      <c r="G648" s="231"/>
      <c r="H648" s="232"/>
    </row>
    <row r="649" spans="1:8">
      <c r="A649" s="168" t="s">
        <v>352</v>
      </c>
      <c r="B649" s="230" t="s">
        <v>359</v>
      </c>
      <c r="C649" s="231"/>
      <c r="D649" s="231"/>
      <c r="E649" s="231"/>
      <c r="F649" s="231"/>
      <c r="G649" s="231"/>
      <c r="H649" s="232"/>
    </row>
    <row r="650" spans="1:8">
      <c r="A650" s="168" t="s">
        <v>352</v>
      </c>
      <c r="B650" s="236" t="s">
        <v>360</v>
      </c>
      <c r="C650" s="237"/>
      <c r="D650" s="237"/>
      <c r="E650" s="237"/>
      <c r="F650" s="237"/>
      <c r="G650" s="237"/>
      <c r="H650" s="238"/>
    </row>
    <row r="651" ht="32.25" customHeight="1" spans="1:8">
      <c r="A651" s="168" t="s">
        <v>352</v>
      </c>
      <c r="B651" s="230" t="s">
        <v>361</v>
      </c>
      <c r="C651" s="231"/>
      <c r="D651" s="231"/>
      <c r="E651" s="231"/>
      <c r="F651" s="231"/>
      <c r="G651" s="231"/>
      <c r="H651" s="232"/>
    </row>
    <row r="652" spans="1:8">
      <c r="A652" s="168" t="s">
        <v>352</v>
      </c>
      <c r="B652" s="236" t="s">
        <v>362</v>
      </c>
      <c r="C652" s="237"/>
      <c r="D652" s="237"/>
      <c r="E652" s="237"/>
      <c r="F652" s="237"/>
      <c r="G652" s="237"/>
      <c r="H652" s="238"/>
    </row>
    <row r="653" spans="1:8">
      <c r="A653" s="168" t="s">
        <v>352</v>
      </c>
      <c r="B653" s="236" t="s">
        <v>363</v>
      </c>
      <c r="C653" s="237"/>
      <c r="D653" s="237"/>
      <c r="E653" s="237"/>
      <c r="F653" s="237"/>
      <c r="G653" s="237"/>
      <c r="H653" s="238"/>
    </row>
    <row r="654" spans="1:8">
      <c r="A654" s="168" t="s">
        <v>352</v>
      </c>
      <c r="B654" s="236" t="s">
        <v>364</v>
      </c>
      <c r="C654" s="237"/>
      <c r="D654" s="237"/>
      <c r="E654" s="237"/>
      <c r="F654" s="237"/>
      <c r="G654" s="237"/>
      <c r="H654" s="238"/>
    </row>
    <row r="655" spans="1:8">
      <c r="A655" s="168" t="s">
        <v>352</v>
      </c>
      <c r="B655" s="230" t="s">
        <v>365</v>
      </c>
      <c r="C655" s="231"/>
      <c r="D655" s="231"/>
      <c r="E655" s="231"/>
      <c r="F655" s="231"/>
      <c r="G655" s="231"/>
      <c r="H655" s="232"/>
    </row>
    <row r="656" ht="33.75" customHeight="1" spans="1:8">
      <c r="A656" s="168" t="s">
        <v>352</v>
      </c>
      <c r="B656" s="239" t="s">
        <v>366</v>
      </c>
      <c r="C656" s="240"/>
      <c r="D656" s="240"/>
      <c r="E656" s="240"/>
      <c r="F656" s="240"/>
      <c r="G656" s="240"/>
      <c r="H656" s="241"/>
    </row>
    <row r="657" spans="1:8">
      <c r="A657" s="242" t="s">
        <v>367</v>
      </c>
      <c r="B657" s="243"/>
      <c r="C657" s="243"/>
      <c r="D657" s="243"/>
      <c r="E657" s="243"/>
      <c r="F657" s="243"/>
      <c r="G657" s="243"/>
      <c r="H657" s="244"/>
    </row>
    <row r="658" spans="1:8">
      <c r="A658" s="245" t="s">
        <v>368</v>
      </c>
      <c r="B658" s="246"/>
      <c r="C658" s="246"/>
      <c r="D658" s="246"/>
      <c r="E658" s="246"/>
      <c r="F658" s="246"/>
      <c r="G658" s="246"/>
      <c r="H658" s="247"/>
    </row>
    <row r="659" spans="1:8">
      <c r="A659" s="248" t="s">
        <v>369</v>
      </c>
      <c r="B659" s="249"/>
      <c r="C659" s="249"/>
      <c r="D659" s="249"/>
      <c r="E659" s="249"/>
      <c r="F659" s="249"/>
      <c r="G659" s="249"/>
      <c r="H659" s="250"/>
    </row>
    <row r="660" spans="1:8">
      <c r="A660" s="245" t="s">
        <v>370</v>
      </c>
      <c r="B660" s="246"/>
      <c r="C660" s="246"/>
      <c r="D660" s="246"/>
      <c r="E660" s="246"/>
      <c r="F660" s="246"/>
      <c r="G660" s="246"/>
      <c r="H660" s="247"/>
    </row>
    <row r="661" spans="1:8">
      <c r="A661" s="245" t="s">
        <v>371</v>
      </c>
      <c r="B661" s="246"/>
      <c r="C661" s="246"/>
      <c r="D661" s="246"/>
      <c r="E661" s="246"/>
      <c r="F661" s="246"/>
      <c r="G661" s="246"/>
      <c r="H661" s="247"/>
    </row>
    <row r="662" spans="1:8">
      <c r="A662" s="245" t="s">
        <v>372</v>
      </c>
      <c r="B662" s="246"/>
      <c r="C662" s="246"/>
      <c r="D662" s="246"/>
      <c r="E662" s="246"/>
      <c r="F662" s="246"/>
      <c r="G662" s="246"/>
      <c r="H662" s="247"/>
    </row>
    <row r="663" spans="1:8">
      <c r="A663" s="59" t="s">
        <v>373</v>
      </c>
      <c r="B663" s="64"/>
      <c r="C663" s="64"/>
      <c r="D663" s="64"/>
      <c r="E663" s="64"/>
      <c r="F663" s="64"/>
      <c r="G663" s="64"/>
      <c r="H663" s="60"/>
    </row>
    <row r="664" spans="1:8">
      <c r="A664" s="251" t="s">
        <v>374</v>
      </c>
      <c r="B664" s="251"/>
      <c r="C664" s="251" t="s">
        <v>375</v>
      </c>
      <c r="D664" s="251"/>
      <c r="E664" s="252" t="s">
        <v>376</v>
      </c>
      <c r="F664" s="253"/>
      <c r="G664" s="251" t="s">
        <v>377</v>
      </c>
      <c r="H664" s="251"/>
    </row>
    <row r="665" spans="1:8">
      <c r="A665" s="254" t="s">
        <v>378</v>
      </c>
      <c r="B665" s="255"/>
      <c r="C665" s="255"/>
      <c r="D665" s="255"/>
      <c r="E665" s="255"/>
      <c r="F665" s="255"/>
      <c r="G665" s="255"/>
      <c r="H665" s="256"/>
    </row>
    <row r="666" spans="1:8">
      <c r="A666" s="257"/>
      <c r="B666" s="258"/>
      <c r="C666" s="258"/>
      <c r="D666" s="258"/>
      <c r="E666" s="258"/>
      <c r="F666" s="258"/>
      <c r="G666" s="258"/>
      <c r="H666" s="259"/>
    </row>
    <row r="667" spans="1:8">
      <c r="A667" s="257"/>
      <c r="B667" s="258"/>
      <c r="C667" s="258"/>
      <c r="D667" s="258"/>
      <c r="E667" s="258"/>
      <c r="F667" s="258"/>
      <c r="G667" s="258"/>
      <c r="H667" s="259"/>
    </row>
    <row r="668" spans="1:8">
      <c r="A668" s="260"/>
      <c r="B668" s="261"/>
      <c r="C668" s="261"/>
      <c r="D668" s="261"/>
      <c r="E668" s="261"/>
      <c r="F668" s="261"/>
      <c r="G668" s="261"/>
      <c r="H668" s="262"/>
    </row>
    <row r="669" spans="1:8">
      <c r="A669" s="263" t="s">
        <v>379</v>
      </c>
      <c r="B669" s="264"/>
      <c r="C669" s="264"/>
      <c r="D669" s="263" t="str">
        <f>E9</f>
        <v>Mahindra Vista Phase 1 &amp; 2</v>
      </c>
      <c r="F669" s="264"/>
      <c r="G669" s="264"/>
      <c r="H669" s="264"/>
    </row>
    <row r="670" spans="1:8">
      <c r="A670" s="264"/>
      <c r="B670" s="264"/>
      <c r="C670" s="264"/>
      <c r="D670" s="264"/>
      <c r="E670" s="264"/>
      <c r="F670" s="264"/>
      <c r="G670" s="264"/>
      <c r="H670" s="264"/>
    </row>
    <row r="671" spans="1:8">
      <c r="A671" s="264"/>
      <c r="B671" s="264"/>
      <c r="C671" s="264"/>
      <c r="D671" s="264"/>
      <c r="E671" s="264"/>
      <c r="F671" s="264"/>
      <c r="G671" s="264"/>
      <c r="H671" s="264"/>
    </row>
    <row r="707" hidden="1"/>
    <row r="708" hidden="1"/>
    <row r="709" hidden="1"/>
    <row r="710" hidden="1"/>
    <row r="712" spans="1:1">
      <c r="A712" s="265" t="s">
        <v>380</v>
      </c>
    </row>
    <row r="755" spans="1:1">
      <c r="A755" s="265" t="s">
        <v>381</v>
      </c>
    </row>
  </sheetData>
  <mergeCells count="1070">
    <mergeCell ref="A1:H1"/>
    <mergeCell ref="A2:H2"/>
    <mergeCell ref="A3:D3"/>
    <mergeCell ref="E3:H3"/>
    <mergeCell ref="A4:D4"/>
    <mergeCell ref="E4:H4"/>
    <mergeCell ref="A5:D5"/>
    <mergeCell ref="E5:H5"/>
    <mergeCell ref="A6:D6"/>
    <mergeCell ref="E6:H6"/>
    <mergeCell ref="A7:D7"/>
    <mergeCell ref="E7:H7"/>
    <mergeCell ref="A8:D8"/>
    <mergeCell ref="E8:H8"/>
    <mergeCell ref="A9:D9"/>
    <mergeCell ref="E9:H9"/>
    <mergeCell ref="A10:D10"/>
    <mergeCell ref="E10:H10"/>
    <mergeCell ref="A11:D11"/>
    <mergeCell ref="E11:H11"/>
    <mergeCell ref="A12:D12"/>
    <mergeCell ref="E12:H12"/>
    <mergeCell ref="A13:D13"/>
    <mergeCell ref="E13:H13"/>
    <mergeCell ref="A14:D14"/>
    <mergeCell ref="E14:H14"/>
    <mergeCell ref="E15:F15"/>
    <mergeCell ref="G15:H15"/>
    <mergeCell ref="I15:P15"/>
    <mergeCell ref="E16:F16"/>
    <mergeCell ref="G16:H16"/>
    <mergeCell ref="A17:B17"/>
    <mergeCell ref="C17:H17"/>
    <mergeCell ref="A18:B18"/>
    <mergeCell ref="C18:H18"/>
    <mergeCell ref="A19:B19"/>
    <mergeCell ref="C19:H19"/>
    <mergeCell ref="A20:B20"/>
    <mergeCell ref="C20:D20"/>
    <mergeCell ref="E20:F20"/>
    <mergeCell ref="G20:H20"/>
    <mergeCell ref="A21:B21"/>
    <mergeCell ref="C21:D21"/>
    <mergeCell ref="E21:F21"/>
    <mergeCell ref="G21:H21"/>
    <mergeCell ref="A22:B22"/>
    <mergeCell ref="C22:D22"/>
    <mergeCell ref="E22:F22"/>
    <mergeCell ref="G22:H22"/>
    <mergeCell ref="A23:B23"/>
    <mergeCell ref="C23:D23"/>
    <mergeCell ref="E23:F23"/>
    <mergeCell ref="G23:H23"/>
    <mergeCell ref="A26:D26"/>
    <mergeCell ref="E26:H26"/>
    <mergeCell ref="A27:D27"/>
    <mergeCell ref="E27:H27"/>
    <mergeCell ref="A28:D28"/>
    <mergeCell ref="E28:H28"/>
    <mergeCell ref="A29:D29"/>
    <mergeCell ref="E29:H29"/>
    <mergeCell ref="A30:D30"/>
    <mergeCell ref="E30:H30"/>
    <mergeCell ref="A31:D31"/>
    <mergeCell ref="E31:H31"/>
    <mergeCell ref="A32:D32"/>
    <mergeCell ref="E32:H32"/>
    <mergeCell ref="A33:D33"/>
    <mergeCell ref="E33:H33"/>
    <mergeCell ref="A34:B34"/>
    <mergeCell ref="C34:E34"/>
    <mergeCell ref="F34:H34"/>
    <mergeCell ref="A35:B35"/>
    <mergeCell ref="C35:E35"/>
    <mergeCell ref="F35:H35"/>
    <mergeCell ref="A36:B36"/>
    <mergeCell ref="C36:E36"/>
    <mergeCell ref="F36:H36"/>
    <mergeCell ref="A37:B37"/>
    <mergeCell ref="C37:E37"/>
    <mergeCell ref="F37:H37"/>
    <mergeCell ref="A38:B38"/>
    <mergeCell ref="C38:E38"/>
    <mergeCell ref="F38:H38"/>
    <mergeCell ref="A39:H39"/>
    <mergeCell ref="A40:B40"/>
    <mergeCell ref="C40:H40"/>
    <mergeCell ref="A41:B41"/>
    <mergeCell ref="C41:H41"/>
    <mergeCell ref="A42:H42"/>
    <mergeCell ref="A43:D43"/>
    <mergeCell ref="E43:H43"/>
    <mergeCell ref="A44:D44"/>
    <mergeCell ref="E44:H44"/>
    <mergeCell ref="A45:D45"/>
    <mergeCell ref="E45:H45"/>
    <mergeCell ref="A46:D46"/>
    <mergeCell ref="E46:H46"/>
    <mergeCell ref="A47:D47"/>
    <mergeCell ref="E47:H47"/>
    <mergeCell ref="A48:D48"/>
    <mergeCell ref="E48:H48"/>
    <mergeCell ref="A49:H49"/>
    <mergeCell ref="A50:B50"/>
    <mergeCell ref="C50:H50"/>
    <mergeCell ref="A51:B51"/>
    <mergeCell ref="C51:E51"/>
    <mergeCell ref="G51:H51"/>
    <mergeCell ref="A52:B52"/>
    <mergeCell ref="C52:E52"/>
    <mergeCell ref="G52:H52"/>
    <mergeCell ref="C53:E53"/>
    <mergeCell ref="G53:H53"/>
    <mergeCell ref="C54:E54"/>
    <mergeCell ref="G54:H54"/>
    <mergeCell ref="C55:E55"/>
    <mergeCell ref="G55:H55"/>
    <mergeCell ref="C56:E56"/>
    <mergeCell ref="G56:H56"/>
    <mergeCell ref="C57:E57"/>
    <mergeCell ref="G57:H57"/>
    <mergeCell ref="C58:H58"/>
    <mergeCell ref="C59:E59"/>
    <mergeCell ref="G59:H59"/>
    <mergeCell ref="C60:H60"/>
    <mergeCell ref="C61:E61"/>
    <mergeCell ref="G61:H61"/>
    <mergeCell ref="C62:E62"/>
    <mergeCell ref="G62:H62"/>
    <mergeCell ref="A63:B63"/>
    <mergeCell ref="C63:E63"/>
    <mergeCell ref="G63:H63"/>
    <mergeCell ref="A64:H64"/>
    <mergeCell ref="A65:C65"/>
    <mergeCell ref="D65:H65"/>
    <mergeCell ref="A66:C66"/>
    <mergeCell ref="D66:H66"/>
    <mergeCell ref="A67:C67"/>
    <mergeCell ref="D67:H67"/>
    <mergeCell ref="D68:H68"/>
    <mergeCell ref="D69:H69"/>
    <mergeCell ref="D70:H70"/>
    <mergeCell ref="D71:H71"/>
    <mergeCell ref="D72:H72"/>
    <mergeCell ref="D73:H73"/>
    <mergeCell ref="A74:C74"/>
    <mergeCell ref="D74:H74"/>
    <mergeCell ref="A75:C75"/>
    <mergeCell ref="D75:H75"/>
    <mergeCell ref="A76:C76"/>
    <mergeCell ref="D76:H76"/>
    <mergeCell ref="A77:C77"/>
    <mergeCell ref="D77:H77"/>
    <mergeCell ref="A78:C78"/>
    <mergeCell ref="D78:H78"/>
    <mergeCell ref="A79:C79"/>
    <mergeCell ref="D79:H79"/>
    <mergeCell ref="A80:C80"/>
    <mergeCell ref="D80:H80"/>
    <mergeCell ref="A81:B81"/>
    <mergeCell ref="C81:H81"/>
    <mergeCell ref="A83:B83"/>
    <mergeCell ref="C83:H83"/>
    <mergeCell ref="A84:B84"/>
    <mergeCell ref="E84:F84"/>
    <mergeCell ref="G84:H84"/>
    <mergeCell ref="A85:B85"/>
    <mergeCell ref="A86:B86"/>
    <mergeCell ref="A87:B87"/>
    <mergeCell ref="A88:B88"/>
    <mergeCell ref="A89:B89"/>
    <mergeCell ref="A90:B90"/>
    <mergeCell ref="A91:B91"/>
    <mergeCell ref="A92:B92"/>
    <mergeCell ref="A93:B93"/>
    <mergeCell ref="A94:B94"/>
    <mergeCell ref="A95:B95"/>
    <mergeCell ref="C95:H95"/>
    <mergeCell ref="A97:B97"/>
    <mergeCell ref="C97:H97"/>
    <mergeCell ref="A98:B98"/>
    <mergeCell ref="E98:F98"/>
    <mergeCell ref="G98:H98"/>
    <mergeCell ref="A99:B99"/>
    <mergeCell ref="A100:B100"/>
    <mergeCell ref="A101:B101"/>
    <mergeCell ref="A102:B102"/>
    <mergeCell ref="A103:B103"/>
    <mergeCell ref="A104:B104"/>
    <mergeCell ref="A105:B105"/>
    <mergeCell ref="A106:B106"/>
    <mergeCell ref="A107:B107"/>
    <mergeCell ref="A108:B108"/>
    <mergeCell ref="A109:B109"/>
    <mergeCell ref="C109:H109"/>
    <mergeCell ref="A111:B111"/>
    <mergeCell ref="C111:H111"/>
    <mergeCell ref="A112:B112"/>
    <mergeCell ref="E112:F112"/>
    <mergeCell ref="G112:H112"/>
    <mergeCell ref="A113:B113"/>
    <mergeCell ref="A114:B114"/>
    <mergeCell ref="A115:B115"/>
    <mergeCell ref="A116:B116"/>
    <mergeCell ref="A117:B117"/>
    <mergeCell ref="A118:B118"/>
    <mergeCell ref="A119:B119"/>
    <mergeCell ref="A120:B120"/>
    <mergeCell ref="A121:B121"/>
    <mergeCell ref="A122:B122"/>
    <mergeCell ref="A123:B123"/>
    <mergeCell ref="C123:H123"/>
    <mergeCell ref="A125:B125"/>
    <mergeCell ref="C125:H125"/>
    <mergeCell ref="A126:B126"/>
    <mergeCell ref="E126:F126"/>
    <mergeCell ref="G126:H126"/>
    <mergeCell ref="A127:B127"/>
    <mergeCell ref="A128:B128"/>
    <mergeCell ref="A129:B129"/>
    <mergeCell ref="A130:B130"/>
    <mergeCell ref="A131:B131"/>
    <mergeCell ref="A132:B132"/>
    <mergeCell ref="A133:B133"/>
    <mergeCell ref="A134:B134"/>
    <mergeCell ref="A135:B135"/>
    <mergeCell ref="A136:B136"/>
    <mergeCell ref="A137:B137"/>
    <mergeCell ref="C137:H137"/>
    <mergeCell ref="A139:B139"/>
    <mergeCell ref="C139:H139"/>
    <mergeCell ref="A140:B140"/>
    <mergeCell ref="E140:F140"/>
    <mergeCell ref="G140:H140"/>
    <mergeCell ref="A141:B141"/>
    <mergeCell ref="A142:B142"/>
    <mergeCell ref="A143:B143"/>
    <mergeCell ref="A144:B144"/>
    <mergeCell ref="A145:B145"/>
    <mergeCell ref="A146:B146"/>
    <mergeCell ref="A147:B147"/>
    <mergeCell ref="A148:B148"/>
    <mergeCell ref="A149:B149"/>
    <mergeCell ref="A150:B150"/>
    <mergeCell ref="A151:B151"/>
    <mergeCell ref="C151:H151"/>
    <mergeCell ref="A153:B153"/>
    <mergeCell ref="C153:H153"/>
    <mergeCell ref="A154:B154"/>
    <mergeCell ref="E154:F154"/>
    <mergeCell ref="G154:H154"/>
    <mergeCell ref="A155:B155"/>
    <mergeCell ref="A156:B156"/>
    <mergeCell ref="A157:B157"/>
    <mergeCell ref="A158:B158"/>
    <mergeCell ref="A159:B159"/>
    <mergeCell ref="A160:B160"/>
    <mergeCell ref="A161:B161"/>
    <mergeCell ref="A162:B162"/>
    <mergeCell ref="A163:B163"/>
    <mergeCell ref="A164:B164"/>
    <mergeCell ref="A165:E165"/>
    <mergeCell ref="F165:H165"/>
    <mergeCell ref="A166:E166"/>
    <mergeCell ref="F166:H166"/>
    <mergeCell ref="A167:E167"/>
    <mergeCell ref="F167:H167"/>
    <mergeCell ref="A168:E168"/>
    <mergeCell ref="F168:H168"/>
    <mergeCell ref="A169:E169"/>
    <mergeCell ref="F169:H169"/>
    <mergeCell ref="A170:E170"/>
    <mergeCell ref="F170:H170"/>
    <mergeCell ref="A171:E171"/>
    <mergeCell ref="F171:H171"/>
    <mergeCell ref="A172:E172"/>
    <mergeCell ref="F172:H172"/>
    <mergeCell ref="A173:E173"/>
    <mergeCell ref="F173:H173"/>
    <mergeCell ref="A174:E174"/>
    <mergeCell ref="F174:H174"/>
    <mergeCell ref="A175:E175"/>
    <mergeCell ref="F175:H175"/>
    <mergeCell ref="A176:E176"/>
    <mergeCell ref="F176:H176"/>
    <mergeCell ref="A177:E177"/>
    <mergeCell ref="F177:H177"/>
    <mergeCell ref="A178:H178"/>
    <mergeCell ref="A179:B179"/>
    <mergeCell ref="C179:D179"/>
    <mergeCell ref="E179:F179"/>
    <mergeCell ref="G179:H179"/>
    <mergeCell ref="C180:D180"/>
    <mergeCell ref="E180:F180"/>
    <mergeCell ref="G180:H180"/>
    <mergeCell ref="A181:B181"/>
    <mergeCell ref="C181:D181"/>
    <mergeCell ref="E181:F181"/>
    <mergeCell ref="G181:H181"/>
    <mergeCell ref="A182:H182"/>
    <mergeCell ref="A183:B183"/>
    <mergeCell ref="C183:D183"/>
    <mergeCell ref="E183:F183"/>
    <mergeCell ref="G183:H183"/>
    <mergeCell ref="C184:D184"/>
    <mergeCell ref="E184:F184"/>
    <mergeCell ref="G184:H184"/>
    <mergeCell ref="C185:D185"/>
    <mergeCell ref="E185:F185"/>
    <mergeCell ref="G185:H185"/>
    <mergeCell ref="C186:D186"/>
    <mergeCell ref="E186:F186"/>
    <mergeCell ref="G186:H186"/>
    <mergeCell ref="C187:D187"/>
    <mergeCell ref="E187:F187"/>
    <mergeCell ref="G187:H187"/>
    <mergeCell ref="C188:D188"/>
    <mergeCell ref="E188:F188"/>
    <mergeCell ref="G188:H188"/>
    <mergeCell ref="C189:D189"/>
    <mergeCell ref="E189:F189"/>
    <mergeCell ref="G189:H189"/>
    <mergeCell ref="A190:B190"/>
    <mergeCell ref="C190:D190"/>
    <mergeCell ref="E190:F190"/>
    <mergeCell ref="G190:H190"/>
    <mergeCell ref="A191:H191"/>
    <mergeCell ref="A192:B192"/>
    <mergeCell ref="C192:D192"/>
    <mergeCell ref="E192:F192"/>
    <mergeCell ref="G192:H192"/>
    <mergeCell ref="C193:D193"/>
    <mergeCell ref="E193:F193"/>
    <mergeCell ref="G193:H193"/>
    <mergeCell ref="C194:D194"/>
    <mergeCell ref="E194:F194"/>
    <mergeCell ref="G194:H194"/>
    <mergeCell ref="L194:M194"/>
    <mergeCell ref="A195:B195"/>
    <mergeCell ref="C195:D195"/>
    <mergeCell ref="E195:F195"/>
    <mergeCell ref="G195:H195"/>
    <mergeCell ref="L195:M195"/>
    <mergeCell ref="A196:B196"/>
    <mergeCell ref="C196:D196"/>
    <mergeCell ref="E196:F196"/>
    <mergeCell ref="G196:H196"/>
    <mergeCell ref="A197:H197"/>
    <mergeCell ref="L197:M197"/>
    <mergeCell ref="A198:H198"/>
    <mergeCell ref="A201:H201"/>
    <mergeCell ref="A202:H202"/>
    <mergeCell ref="A203:H203"/>
    <mergeCell ref="A204:B204"/>
    <mergeCell ref="A205:B205"/>
    <mergeCell ref="A206:B206"/>
    <mergeCell ref="L206:M206"/>
    <mergeCell ref="A207:B207"/>
    <mergeCell ref="L207:M207"/>
    <mergeCell ref="A208:B208"/>
    <mergeCell ref="A209:B209"/>
    <mergeCell ref="L209:M209"/>
    <mergeCell ref="A210:B210"/>
    <mergeCell ref="L210:M210"/>
    <mergeCell ref="A211:B211"/>
    <mergeCell ref="L211:M211"/>
    <mergeCell ref="A212:B212"/>
    <mergeCell ref="L212:M212"/>
    <mergeCell ref="A213:B213"/>
    <mergeCell ref="L213:M213"/>
    <mergeCell ref="A214:B214"/>
    <mergeCell ref="L214:M214"/>
    <mergeCell ref="A215:B215"/>
    <mergeCell ref="L215:M215"/>
    <mergeCell ref="A216:B216"/>
    <mergeCell ref="L216:M216"/>
    <mergeCell ref="A217:B217"/>
    <mergeCell ref="A218:B218"/>
    <mergeCell ref="L218:M218"/>
    <mergeCell ref="A219:B219"/>
    <mergeCell ref="L219:M219"/>
    <mergeCell ref="A220:B220"/>
    <mergeCell ref="L220:M220"/>
    <mergeCell ref="A221:B221"/>
    <mergeCell ref="L221:M221"/>
    <mergeCell ref="A222:B222"/>
    <mergeCell ref="L222:M222"/>
    <mergeCell ref="A223:B223"/>
    <mergeCell ref="L223:M223"/>
    <mergeCell ref="A224:B224"/>
    <mergeCell ref="L224:M224"/>
    <mergeCell ref="A225:B225"/>
    <mergeCell ref="L225:M225"/>
    <mergeCell ref="A226:H226"/>
    <mergeCell ref="L226:M226"/>
    <mergeCell ref="A227:B227"/>
    <mergeCell ref="A228:B228"/>
    <mergeCell ref="L228:M228"/>
    <mergeCell ref="A229:B229"/>
    <mergeCell ref="L229:M229"/>
    <mergeCell ref="A230:B230"/>
    <mergeCell ref="L230:M230"/>
    <mergeCell ref="A231:B231"/>
    <mergeCell ref="L231:M231"/>
    <mergeCell ref="A232:B232"/>
    <mergeCell ref="L232:M232"/>
    <mergeCell ref="A233:B233"/>
    <mergeCell ref="A234:B234"/>
    <mergeCell ref="L234:M234"/>
    <mergeCell ref="A235:B235"/>
    <mergeCell ref="L235:M235"/>
    <mergeCell ref="A236:B236"/>
    <mergeCell ref="L236:M236"/>
    <mergeCell ref="A237:B237"/>
    <mergeCell ref="L237:M237"/>
    <mergeCell ref="A238:B238"/>
    <mergeCell ref="L238:M238"/>
    <mergeCell ref="A239:B239"/>
    <mergeCell ref="L239:M239"/>
    <mergeCell ref="A240:B240"/>
    <mergeCell ref="A241:B241"/>
    <mergeCell ref="L241:M241"/>
    <mergeCell ref="A242:B242"/>
    <mergeCell ref="L242:M242"/>
    <mergeCell ref="A243:B243"/>
    <mergeCell ref="L243:M243"/>
    <mergeCell ref="A244:B244"/>
    <mergeCell ref="L244:M244"/>
    <mergeCell ref="A245:B245"/>
    <mergeCell ref="A246:H246"/>
    <mergeCell ref="L246:M246"/>
    <mergeCell ref="A247:H247"/>
    <mergeCell ref="L247:M247"/>
    <mergeCell ref="A248:B248"/>
    <mergeCell ref="L248:M248"/>
    <mergeCell ref="A249:B249"/>
    <mergeCell ref="L249:M249"/>
    <mergeCell ref="A250:B250"/>
    <mergeCell ref="L250:M250"/>
    <mergeCell ref="A251:B251"/>
    <mergeCell ref="L251:M251"/>
    <mergeCell ref="A252:B252"/>
    <mergeCell ref="A253:B253"/>
    <mergeCell ref="A254:B254"/>
    <mergeCell ref="A255:B255"/>
    <mergeCell ref="A256:B256"/>
    <mergeCell ref="L256:M256"/>
    <mergeCell ref="A257:B257"/>
    <mergeCell ref="L257:M257"/>
    <mergeCell ref="A258:B258"/>
    <mergeCell ref="L258:M258"/>
    <mergeCell ref="A259:B259"/>
    <mergeCell ref="L259:M259"/>
    <mergeCell ref="A260:B260"/>
    <mergeCell ref="L260:M260"/>
    <mergeCell ref="A261:B261"/>
    <mergeCell ref="L261:M261"/>
    <mergeCell ref="A262:B262"/>
    <mergeCell ref="A263:B263"/>
    <mergeCell ref="L263:M263"/>
    <mergeCell ref="A264:B264"/>
    <mergeCell ref="L264:M264"/>
    <mergeCell ref="A265:B265"/>
    <mergeCell ref="L265:M265"/>
    <mergeCell ref="A266:B266"/>
    <mergeCell ref="L266:M266"/>
    <mergeCell ref="A267:B267"/>
    <mergeCell ref="L267:M267"/>
    <mergeCell ref="A268:B268"/>
    <mergeCell ref="L268:M268"/>
    <mergeCell ref="A269:H269"/>
    <mergeCell ref="L270:M270"/>
    <mergeCell ref="L271:M271"/>
    <mergeCell ref="A272:H272"/>
    <mergeCell ref="L272:M272"/>
    <mergeCell ref="A273:H273"/>
    <mergeCell ref="L273:M273"/>
    <mergeCell ref="A274:H274"/>
    <mergeCell ref="L274:M274"/>
    <mergeCell ref="A275:H275"/>
    <mergeCell ref="L275:M275"/>
    <mergeCell ref="A276:H276"/>
    <mergeCell ref="A277:H277"/>
    <mergeCell ref="L277:M277"/>
    <mergeCell ref="A278:B278"/>
    <mergeCell ref="L278:M278"/>
    <mergeCell ref="A279:B279"/>
    <mergeCell ref="L279:M279"/>
    <mergeCell ref="A280:B280"/>
    <mergeCell ref="L280:M280"/>
    <mergeCell ref="A281:B281"/>
    <mergeCell ref="L281:M281"/>
    <mergeCell ref="A282:B282"/>
    <mergeCell ref="L282:M282"/>
    <mergeCell ref="A283:B283"/>
    <mergeCell ref="C283:H283"/>
    <mergeCell ref="A284:H284"/>
    <mergeCell ref="L284:M284"/>
    <mergeCell ref="A285:B285"/>
    <mergeCell ref="C285:H285"/>
    <mergeCell ref="L285:M285"/>
    <mergeCell ref="A286:B286"/>
    <mergeCell ref="L286:M286"/>
    <mergeCell ref="A287:B287"/>
    <mergeCell ref="L287:M287"/>
    <mergeCell ref="A288:B288"/>
    <mergeCell ref="L288:M288"/>
    <mergeCell ref="A289:B289"/>
    <mergeCell ref="L289:M289"/>
    <mergeCell ref="A290:B290"/>
    <mergeCell ref="C290:H290"/>
    <mergeCell ref="A291:H291"/>
    <mergeCell ref="L291:M291"/>
    <mergeCell ref="A292:B292"/>
    <mergeCell ref="C292:H292"/>
    <mergeCell ref="L292:M292"/>
    <mergeCell ref="A293:B293"/>
    <mergeCell ref="L293:M293"/>
    <mergeCell ref="A294:B294"/>
    <mergeCell ref="L294:M294"/>
    <mergeCell ref="A295:B295"/>
    <mergeCell ref="L295:M295"/>
    <mergeCell ref="A296:B296"/>
    <mergeCell ref="L296:M296"/>
    <mergeCell ref="A297:B297"/>
    <mergeCell ref="C297:H297"/>
    <mergeCell ref="A298:H298"/>
    <mergeCell ref="L298:M298"/>
    <mergeCell ref="A299:B299"/>
    <mergeCell ref="C299:H299"/>
    <mergeCell ref="L299:M299"/>
    <mergeCell ref="A300:B300"/>
    <mergeCell ref="L300:M300"/>
    <mergeCell ref="A301:B301"/>
    <mergeCell ref="L301:M301"/>
    <mergeCell ref="A302:B302"/>
    <mergeCell ref="L302:M302"/>
    <mergeCell ref="A303:B303"/>
    <mergeCell ref="L303:M303"/>
    <mergeCell ref="A304:B304"/>
    <mergeCell ref="C304:H304"/>
    <mergeCell ref="A305:H305"/>
    <mergeCell ref="L305:M305"/>
    <mergeCell ref="A306:B306"/>
    <mergeCell ref="C306:H306"/>
    <mergeCell ref="L306:M306"/>
    <mergeCell ref="A307:B307"/>
    <mergeCell ref="L307:M307"/>
    <mergeCell ref="A308:B308"/>
    <mergeCell ref="L308:M308"/>
    <mergeCell ref="A309:B309"/>
    <mergeCell ref="L309:M309"/>
    <mergeCell ref="A310:B310"/>
    <mergeCell ref="L310:M310"/>
    <mergeCell ref="A311:B311"/>
    <mergeCell ref="C311:H311"/>
    <mergeCell ref="A312:H312"/>
    <mergeCell ref="L312:M312"/>
    <mergeCell ref="A313:B313"/>
    <mergeCell ref="L313:M313"/>
    <mergeCell ref="A314:B314"/>
    <mergeCell ref="L314:M314"/>
    <mergeCell ref="A315:B315"/>
    <mergeCell ref="L315:M315"/>
    <mergeCell ref="A316:B316"/>
    <mergeCell ref="L316:M316"/>
    <mergeCell ref="A317:B317"/>
    <mergeCell ref="L317:M317"/>
    <mergeCell ref="A318:B318"/>
    <mergeCell ref="A319:H319"/>
    <mergeCell ref="A320:B320"/>
    <mergeCell ref="A321:B321"/>
    <mergeCell ref="A322:B322"/>
    <mergeCell ref="L322:M322"/>
    <mergeCell ref="A323:B323"/>
    <mergeCell ref="L323:M323"/>
    <mergeCell ref="A324:B324"/>
    <mergeCell ref="L324:M324"/>
    <mergeCell ref="A325:B325"/>
    <mergeCell ref="L325:M325"/>
    <mergeCell ref="A326:H326"/>
    <mergeCell ref="L326:M326"/>
    <mergeCell ref="A327:B327"/>
    <mergeCell ref="A328:B328"/>
    <mergeCell ref="L328:M328"/>
    <mergeCell ref="A329:B329"/>
    <mergeCell ref="L329:M329"/>
    <mergeCell ref="A330:B330"/>
    <mergeCell ref="L330:M330"/>
    <mergeCell ref="A331:B331"/>
    <mergeCell ref="L331:M331"/>
    <mergeCell ref="A332:B332"/>
    <mergeCell ref="L332:M332"/>
    <mergeCell ref="A333:H333"/>
    <mergeCell ref="A334:H334"/>
    <mergeCell ref="L334:M334"/>
    <mergeCell ref="A335:H335"/>
    <mergeCell ref="L335:M335"/>
    <mergeCell ref="A336:H336"/>
    <mergeCell ref="L336:M336"/>
    <mergeCell ref="A337:B337"/>
    <mergeCell ref="L337:M337"/>
    <mergeCell ref="A338:B338"/>
    <mergeCell ref="L338:M338"/>
    <mergeCell ref="A339:B339"/>
    <mergeCell ref="A340:B340"/>
    <mergeCell ref="L340:M340"/>
    <mergeCell ref="A341:B341"/>
    <mergeCell ref="L341:M341"/>
    <mergeCell ref="A342:B342"/>
    <mergeCell ref="L342:M342"/>
    <mergeCell ref="A343:H343"/>
    <mergeCell ref="L343:M343"/>
    <mergeCell ref="A344:B344"/>
    <mergeCell ref="L344:M344"/>
    <mergeCell ref="A345:B345"/>
    <mergeCell ref="A346:B346"/>
    <mergeCell ref="L346:M346"/>
    <mergeCell ref="A347:B347"/>
    <mergeCell ref="L347:M347"/>
    <mergeCell ref="A348:B348"/>
    <mergeCell ref="L348:M348"/>
    <mergeCell ref="A349:B349"/>
    <mergeCell ref="L349:M349"/>
    <mergeCell ref="A350:H350"/>
    <mergeCell ref="L350:M350"/>
    <mergeCell ref="A351:B351"/>
    <mergeCell ref="A352:B352"/>
    <mergeCell ref="L352:M352"/>
    <mergeCell ref="A353:B353"/>
    <mergeCell ref="L353:M353"/>
    <mergeCell ref="A354:B354"/>
    <mergeCell ref="L354:M354"/>
    <mergeCell ref="A355:B355"/>
    <mergeCell ref="L355:M355"/>
    <mergeCell ref="A356:B356"/>
    <mergeCell ref="L356:M356"/>
    <mergeCell ref="A357:H357"/>
    <mergeCell ref="L357:M357"/>
    <mergeCell ref="A358:B358"/>
    <mergeCell ref="A359:B359"/>
    <mergeCell ref="L359:M359"/>
    <mergeCell ref="A360:B360"/>
    <mergeCell ref="L360:M360"/>
    <mergeCell ref="A361:B361"/>
    <mergeCell ref="L361:M361"/>
    <mergeCell ref="A362:B362"/>
    <mergeCell ref="L362:M362"/>
    <mergeCell ref="A363:B363"/>
    <mergeCell ref="L363:M363"/>
    <mergeCell ref="A364:H364"/>
    <mergeCell ref="L364:M364"/>
    <mergeCell ref="A365:B365"/>
    <mergeCell ref="A366:B366"/>
    <mergeCell ref="L366:M366"/>
    <mergeCell ref="A367:B367"/>
    <mergeCell ref="L367:M367"/>
    <mergeCell ref="A368:B368"/>
    <mergeCell ref="L368:M368"/>
    <mergeCell ref="A369:B369"/>
    <mergeCell ref="L369:M369"/>
    <mergeCell ref="A370:B370"/>
    <mergeCell ref="L370:M370"/>
    <mergeCell ref="A371:H371"/>
    <mergeCell ref="A372:B372"/>
    <mergeCell ref="L372:M372"/>
    <mergeCell ref="A373:B373"/>
    <mergeCell ref="L373:M373"/>
    <mergeCell ref="A374:B374"/>
    <mergeCell ref="L374:M374"/>
    <mergeCell ref="A375:B375"/>
    <mergeCell ref="L375:M375"/>
    <mergeCell ref="A376:B376"/>
    <mergeCell ref="L376:M376"/>
    <mergeCell ref="A377:B377"/>
    <mergeCell ref="A378:H378"/>
    <mergeCell ref="L378:M378"/>
    <mergeCell ref="A379:B379"/>
    <mergeCell ref="L379:M379"/>
    <mergeCell ref="A380:B380"/>
    <mergeCell ref="L380:M380"/>
    <mergeCell ref="A381:B381"/>
    <mergeCell ref="L381:M381"/>
    <mergeCell ref="A382:B382"/>
    <mergeCell ref="L382:M382"/>
    <mergeCell ref="A383:B383"/>
    <mergeCell ref="A384:B384"/>
    <mergeCell ref="A385:H385"/>
    <mergeCell ref="A386:B386"/>
    <mergeCell ref="A387:B387"/>
    <mergeCell ref="A388:B388"/>
    <mergeCell ref="A389:B389"/>
    <mergeCell ref="A390:B390"/>
    <mergeCell ref="A391:B391"/>
    <mergeCell ref="A392:H392"/>
    <mergeCell ref="A393:B393"/>
    <mergeCell ref="A394:B394"/>
    <mergeCell ref="A395:B395"/>
    <mergeCell ref="A396:B396"/>
    <mergeCell ref="A397:B397"/>
    <mergeCell ref="A398:B398"/>
    <mergeCell ref="A399:H399"/>
    <mergeCell ref="A400:H400"/>
    <mergeCell ref="A401:H401"/>
    <mergeCell ref="A402:H402"/>
    <mergeCell ref="A403:B403"/>
    <mergeCell ref="A404:B404"/>
    <mergeCell ref="A405:B405"/>
    <mergeCell ref="A406:B406"/>
    <mergeCell ref="A407:B407"/>
    <mergeCell ref="C407:H407"/>
    <mergeCell ref="A408:H408"/>
    <mergeCell ref="A409:B409"/>
    <mergeCell ref="A410:B410"/>
    <mergeCell ref="A411:B411"/>
    <mergeCell ref="A412:B412"/>
    <mergeCell ref="A413:B413"/>
    <mergeCell ref="C413:H413"/>
    <mergeCell ref="A414:H414"/>
    <mergeCell ref="A415:B415"/>
    <mergeCell ref="A416:B416"/>
    <mergeCell ref="A417:B417"/>
    <mergeCell ref="I417:O417"/>
    <mergeCell ref="A418:B418"/>
    <mergeCell ref="A419:B419"/>
    <mergeCell ref="C419:H419"/>
    <mergeCell ref="A420:H420"/>
    <mergeCell ref="A421:B421"/>
    <mergeCell ref="A422:B422"/>
    <mergeCell ref="A423:B423"/>
    <mergeCell ref="A424:B424"/>
    <mergeCell ref="A425:B425"/>
    <mergeCell ref="C425:H425"/>
    <mergeCell ref="A426:H426"/>
    <mergeCell ref="A427:B427"/>
    <mergeCell ref="A428:B428"/>
    <mergeCell ref="A429:B429"/>
    <mergeCell ref="A430:B430"/>
    <mergeCell ref="A431:B431"/>
    <mergeCell ref="C431:H431"/>
    <mergeCell ref="A432:H432"/>
    <mergeCell ref="A433:B433"/>
    <mergeCell ref="A434:B434"/>
    <mergeCell ref="A435:B435"/>
    <mergeCell ref="A436:B436"/>
    <mergeCell ref="A437:B437"/>
    <mergeCell ref="C437:H437"/>
    <mergeCell ref="A438:H438"/>
    <mergeCell ref="A439:B439"/>
    <mergeCell ref="C439:G439"/>
    <mergeCell ref="A440:B440"/>
    <mergeCell ref="A441:B441"/>
    <mergeCell ref="A442:B442"/>
    <mergeCell ref="A443:B443"/>
    <mergeCell ref="A444:H444"/>
    <mergeCell ref="A445:B445"/>
    <mergeCell ref="A446:B446"/>
    <mergeCell ref="A447:B447"/>
    <mergeCell ref="A448:B448"/>
    <mergeCell ref="A449:B449"/>
    <mergeCell ref="A450:H450"/>
    <mergeCell ref="A451:B451"/>
    <mergeCell ref="A452:B452"/>
    <mergeCell ref="A453:B453"/>
    <mergeCell ref="A454:B454"/>
    <mergeCell ref="A455:B455"/>
    <mergeCell ref="A456:H456"/>
    <mergeCell ref="A457:H457"/>
    <mergeCell ref="A458:H458"/>
    <mergeCell ref="A459:H459"/>
    <mergeCell ref="A460:H460"/>
    <mergeCell ref="A461:B461"/>
    <mergeCell ref="A462:B462"/>
    <mergeCell ref="A463:B463"/>
    <mergeCell ref="A464:B464"/>
    <mergeCell ref="A465:B465"/>
    <mergeCell ref="C465:H465"/>
    <mergeCell ref="A466:H466"/>
    <mergeCell ref="A467:B467"/>
    <mergeCell ref="A468:B468"/>
    <mergeCell ref="A469:B469"/>
    <mergeCell ref="A470:B470"/>
    <mergeCell ref="A471:B471"/>
    <mergeCell ref="C471:H471"/>
    <mergeCell ref="A472:H472"/>
    <mergeCell ref="A473:B473"/>
    <mergeCell ref="A474:B474"/>
    <mergeCell ref="A475:B475"/>
    <mergeCell ref="A476:B476"/>
    <mergeCell ref="A477:B477"/>
    <mergeCell ref="C477:H477"/>
    <mergeCell ref="A478:H478"/>
    <mergeCell ref="A479:B479"/>
    <mergeCell ref="A480:B480"/>
    <mergeCell ref="A481:B481"/>
    <mergeCell ref="A482:B482"/>
    <mergeCell ref="A483:B483"/>
    <mergeCell ref="C483:H483"/>
    <mergeCell ref="A484:H484"/>
    <mergeCell ref="A485:B485"/>
    <mergeCell ref="A486:B486"/>
    <mergeCell ref="A487:B487"/>
    <mergeCell ref="A488:B488"/>
    <mergeCell ref="A489:B489"/>
    <mergeCell ref="C489:H489"/>
    <mergeCell ref="A490:H490"/>
    <mergeCell ref="A491:B491"/>
    <mergeCell ref="A492:B492"/>
    <mergeCell ref="A493:B493"/>
    <mergeCell ref="A494:B494"/>
    <mergeCell ref="A495:B495"/>
    <mergeCell ref="C495:H495"/>
    <mergeCell ref="A496:H496"/>
    <mergeCell ref="A497:B497"/>
    <mergeCell ref="C497:G497"/>
    <mergeCell ref="A498:B498"/>
    <mergeCell ref="A499:B499"/>
    <mergeCell ref="A500:B500"/>
    <mergeCell ref="A501:B501"/>
    <mergeCell ref="A502:H502"/>
    <mergeCell ref="A503:B503"/>
    <mergeCell ref="A504:B504"/>
    <mergeCell ref="A505:B505"/>
    <mergeCell ref="A506:B506"/>
    <mergeCell ref="A507:B507"/>
    <mergeCell ref="A508:H508"/>
    <mergeCell ref="A509:B509"/>
    <mergeCell ref="A510:B510"/>
    <mergeCell ref="A511:B511"/>
    <mergeCell ref="A512:B512"/>
    <mergeCell ref="A513:B513"/>
    <mergeCell ref="A514:H514"/>
    <mergeCell ref="A515:H515"/>
    <mergeCell ref="A516:H516"/>
    <mergeCell ref="A517:H517"/>
    <mergeCell ref="A518:B518"/>
    <mergeCell ref="A519:B519"/>
    <mergeCell ref="A520:B520"/>
    <mergeCell ref="A521:B521"/>
    <mergeCell ref="A522:B522"/>
    <mergeCell ref="A523:B523"/>
    <mergeCell ref="A524:H524"/>
    <mergeCell ref="A525:B525"/>
    <mergeCell ref="A526:B526"/>
    <mergeCell ref="A527:B527"/>
    <mergeCell ref="A528:B528"/>
    <mergeCell ref="A529:B529"/>
    <mergeCell ref="A530:B530"/>
    <mergeCell ref="A531:H531"/>
    <mergeCell ref="A532:B532"/>
    <mergeCell ref="A533:B533"/>
    <mergeCell ref="A534:B534"/>
    <mergeCell ref="A535:B535"/>
    <mergeCell ref="A536:B536"/>
    <mergeCell ref="A537:B537"/>
    <mergeCell ref="A538:H538"/>
    <mergeCell ref="A539:B539"/>
    <mergeCell ref="A540:B540"/>
    <mergeCell ref="A541:B541"/>
    <mergeCell ref="A542:B542"/>
    <mergeCell ref="A543:B543"/>
    <mergeCell ref="A544:B544"/>
    <mergeCell ref="A545:H545"/>
    <mergeCell ref="A546:B546"/>
    <mergeCell ref="A547:B547"/>
    <mergeCell ref="A548:B548"/>
    <mergeCell ref="A549:B549"/>
    <mergeCell ref="A550:B550"/>
    <mergeCell ref="A551:B551"/>
    <mergeCell ref="A552:H552"/>
    <mergeCell ref="A553:B553"/>
    <mergeCell ref="A554:B554"/>
    <mergeCell ref="A555:B555"/>
    <mergeCell ref="A556:B556"/>
    <mergeCell ref="A557:B557"/>
    <mergeCell ref="A558:B558"/>
    <mergeCell ref="A559:H559"/>
    <mergeCell ref="A560:B560"/>
    <mergeCell ref="A561:B561"/>
    <mergeCell ref="A562:B562"/>
    <mergeCell ref="A563:B563"/>
    <mergeCell ref="A564:B564"/>
    <mergeCell ref="A565:B565"/>
    <mergeCell ref="A566:H566"/>
    <mergeCell ref="A567:B567"/>
    <mergeCell ref="A568:B568"/>
    <mergeCell ref="A569:B569"/>
    <mergeCell ref="A570:B570"/>
    <mergeCell ref="A571:B571"/>
    <mergeCell ref="A572:B572"/>
    <mergeCell ref="A573:H573"/>
    <mergeCell ref="A574:B574"/>
    <mergeCell ref="A575:B575"/>
    <mergeCell ref="A576:B576"/>
    <mergeCell ref="A577:B577"/>
    <mergeCell ref="A578:B578"/>
    <mergeCell ref="A579:B579"/>
    <mergeCell ref="A580:H580"/>
    <mergeCell ref="A581:H581"/>
    <mergeCell ref="A582:H582"/>
    <mergeCell ref="A583:H583"/>
    <mergeCell ref="A584:H584"/>
    <mergeCell ref="A585:B585"/>
    <mergeCell ref="A586:B586"/>
    <mergeCell ref="A587:B587"/>
    <mergeCell ref="A588:B588"/>
    <mergeCell ref="A589:B589"/>
    <mergeCell ref="A590:B590"/>
    <mergeCell ref="C590:H590"/>
    <mergeCell ref="A591:H591"/>
    <mergeCell ref="A592:B592"/>
    <mergeCell ref="C592:H592"/>
    <mergeCell ref="A593:B593"/>
    <mergeCell ref="A594:B594"/>
    <mergeCell ref="A595:B595"/>
    <mergeCell ref="A596:B596"/>
    <mergeCell ref="A597:B597"/>
    <mergeCell ref="C597:H597"/>
    <mergeCell ref="A598:H598"/>
    <mergeCell ref="A599:B599"/>
    <mergeCell ref="C599:H599"/>
    <mergeCell ref="A600:B600"/>
    <mergeCell ref="A601:B601"/>
    <mergeCell ref="A602:B602"/>
    <mergeCell ref="A603:B603"/>
    <mergeCell ref="A604:B604"/>
    <mergeCell ref="C604:H604"/>
    <mergeCell ref="A605:H605"/>
    <mergeCell ref="A606:B606"/>
    <mergeCell ref="C606:H606"/>
    <mergeCell ref="A607:B607"/>
    <mergeCell ref="A608:B608"/>
    <mergeCell ref="A609:B609"/>
    <mergeCell ref="A610:B610"/>
    <mergeCell ref="A611:B611"/>
    <mergeCell ref="C611:H611"/>
    <mergeCell ref="A612:H612"/>
    <mergeCell ref="A613:B613"/>
    <mergeCell ref="C613:H613"/>
    <mergeCell ref="A614:B614"/>
    <mergeCell ref="A615:B615"/>
    <mergeCell ref="A616:B616"/>
    <mergeCell ref="A617:B617"/>
    <mergeCell ref="A618:B618"/>
    <mergeCell ref="C618:H618"/>
    <mergeCell ref="A619:H619"/>
    <mergeCell ref="A620:B620"/>
    <mergeCell ref="A621:B621"/>
    <mergeCell ref="A622:B622"/>
    <mergeCell ref="A623:B623"/>
    <mergeCell ref="A624:B624"/>
    <mergeCell ref="A625:B625"/>
    <mergeCell ref="A626:H626"/>
    <mergeCell ref="A627:B627"/>
    <mergeCell ref="A628:B628"/>
    <mergeCell ref="A629:B629"/>
    <mergeCell ref="A630:B630"/>
    <mergeCell ref="A631:B631"/>
    <mergeCell ref="A632:B632"/>
    <mergeCell ref="A633:H633"/>
    <mergeCell ref="A634:B634"/>
    <mergeCell ref="A635:B635"/>
    <mergeCell ref="A636:B636"/>
    <mergeCell ref="A637:B637"/>
    <mergeCell ref="A638:B638"/>
    <mergeCell ref="A639:B639"/>
    <mergeCell ref="A640:H640"/>
    <mergeCell ref="B641:H641"/>
    <mergeCell ref="B642:H642"/>
    <mergeCell ref="B643:H643"/>
    <mergeCell ref="B644:H644"/>
    <mergeCell ref="B645:H645"/>
    <mergeCell ref="B646:H646"/>
    <mergeCell ref="B647:H647"/>
    <mergeCell ref="B648:H648"/>
    <mergeCell ref="B649:H649"/>
    <mergeCell ref="B650:H650"/>
    <mergeCell ref="B651:H651"/>
    <mergeCell ref="B652:H652"/>
    <mergeCell ref="B653:H653"/>
    <mergeCell ref="B654:H654"/>
    <mergeCell ref="B655:H655"/>
    <mergeCell ref="B656:H656"/>
    <mergeCell ref="A657:H657"/>
    <mergeCell ref="A658:H658"/>
    <mergeCell ref="A659:H659"/>
    <mergeCell ref="A660:H660"/>
    <mergeCell ref="A661:H661"/>
    <mergeCell ref="A662:H662"/>
    <mergeCell ref="A663:H663"/>
    <mergeCell ref="A664:B664"/>
    <mergeCell ref="C664:D664"/>
    <mergeCell ref="E664:F664"/>
    <mergeCell ref="G664:H664"/>
    <mergeCell ref="A184:A186"/>
    <mergeCell ref="A187:A189"/>
    <mergeCell ref="A199:A200"/>
    <mergeCell ref="A270:A271"/>
    <mergeCell ref="B199:B200"/>
    <mergeCell ref="B270:B271"/>
    <mergeCell ref="C199:C200"/>
    <mergeCell ref="C270:C271"/>
    <mergeCell ref="D199:D200"/>
    <mergeCell ref="D270:D271"/>
    <mergeCell ref="E199:E200"/>
    <mergeCell ref="E270:E271"/>
    <mergeCell ref="F199:F200"/>
    <mergeCell ref="F270:F271"/>
    <mergeCell ref="G199:G200"/>
    <mergeCell ref="G270:G271"/>
    <mergeCell ref="C569:H570"/>
    <mergeCell ref="C564:H565"/>
    <mergeCell ref="C556:H557"/>
    <mergeCell ref="C549:H550"/>
    <mergeCell ref="C535:H536"/>
    <mergeCell ref="C542:H543"/>
    <mergeCell ref="C528:H529"/>
    <mergeCell ref="C448:H449"/>
    <mergeCell ref="C506:H507"/>
    <mergeCell ref="C491:H492"/>
    <mergeCell ref="C479:H480"/>
    <mergeCell ref="C485:H486"/>
    <mergeCell ref="C473:H474"/>
    <mergeCell ref="C461:H462"/>
    <mergeCell ref="C467:H468"/>
    <mergeCell ref="C403:H404"/>
    <mergeCell ref="C409:H410"/>
    <mergeCell ref="C415:H416"/>
    <mergeCell ref="C421:H422"/>
    <mergeCell ref="C427:H428"/>
    <mergeCell ref="C433:H434"/>
    <mergeCell ref="E155:F164"/>
    <mergeCell ref="G155:H164"/>
    <mergeCell ref="E141:F150"/>
    <mergeCell ref="G141:H150"/>
    <mergeCell ref="E127:F136"/>
    <mergeCell ref="G127:H136"/>
    <mergeCell ref="A68:C73"/>
    <mergeCell ref="E113:F122"/>
    <mergeCell ref="G113:H122"/>
    <mergeCell ref="A15:D16"/>
    <mergeCell ref="A55:B56"/>
    <mergeCell ref="E99:F108"/>
    <mergeCell ref="G99:H108"/>
    <mergeCell ref="E85:F94"/>
    <mergeCell ref="G85:H94"/>
    <mergeCell ref="A24:D25"/>
    <mergeCell ref="E24:H25"/>
    <mergeCell ref="A665:H668"/>
    <mergeCell ref="A57:B58"/>
    <mergeCell ref="A53:B54"/>
    <mergeCell ref="A59:B60"/>
    <mergeCell ref="A61:B62"/>
    <mergeCell ref="C354:H355"/>
    <mergeCell ref="C317:H318"/>
    <mergeCell ref="C347:H348"/>
    <mergeCell ref="C315:H316"/>
    <mergeCell ref="C375:H376"/>
    <mergeCell ref="C368:H369"/>
    <mergeCell ref="C340:H342"/>
    <mergeCell ref="C361:H362"/>
    <mergeCell ref="C329:H330"/>
    <mergeCell ref="C388:H389"/>
    <mergeCell ref="C383:H384"/>
    <mergeCell ref="C624:H625"/>
    <mergeCell ref="C622:H623"/>
    <mergeCell ref="C636:H637"/>
    <mergeCell ref="C585:H588"/>
    <mergeCell ref="C520:H523"/>
    <mergeCell ref="C278:H281"/>
  </mergeCells>
  <dataValidations count="16">
    <dataValidation type="list" allowBlank="1" showInputMessage="1" showErrorMessage="1" sqref="E4:H4">
      <formula1>$L$3:$P$3</formula1>
    </dataValidation>
    <dataValidation type="list" allowBlank="1" showInputMessage="1" showErrorMessage="1" sqref="E5:H5">
      <formula1>OFFSET($L$3,1,MATCH($E4,$L$3:$P$3,0)-1,10,1)</formula1>
    </dataValidation>
    <dataValidation type="list" allowBlank="1" showInputMessage="1" showErrorMessage="1" sqref="Y13">
      <formula1>$D$5:$H$5</formula1>
    </dataValidation>
    <dataValidation type="list" allowBlank="1" showInputMessage="1" showErrorMessage="1" sqref="A18:B18">
      <formula1>"CTS No,Survey No,Plot No,Gut No,FP No,"</formula1>
    </dataValidation>
    <dataValidation type="list" allowBlank="1" showInputMessage="1" showErrorMessage="1" sqref="G21:H21">
      <formula1>$S$13:$W$13</formula1>
    </dataValidation>
    <dataValidation type="list" allowBlank="1" showInputMessage="1" showErrorMessage="1" sqref="C22:D22">
      <formula1>OFFSET($S$13,1,MATCH($G21,$S$13:$W$13,0)-1,15,1)</formula1>
    </dataValidation>
    <dataValidation type="list" allowBlank="1" showInputMessage="1" showErrorMessage="1" sqref="C50:H50">
      <formula1>OFFSET($S$49,1,MATCH($G21,$S$49:$W$49,0)-1,15,1)</formula1>
    </dataValidation>
    <dataValidation type="whole" operator="between" allowBlank="1" showInputMessage="1" showErrorMessage="1" sqref="C90">
      <formula1>0</formula1>
      <formula2>H82</formula2>
    </dataValidation>
    <dataValidation type="list" allowBlank="1" showInputMessage="1" showErrorMessage="1" sqref="F165:H165">
      <formula1>"On Saleable Area,On Builtup Area,On Carpet Area,On Plot Area"</formula1>
    </dataValidation>
    <dataValidation type="list" allowBlank="1" showInputMessage="1" showErrorMessage="1" sqref="F176:H176">
      <formula1>OFFSET($S$105,1,MATCH($G21,$S$105:$W$105,0)-1,15,1)</formula1>
    </dataValidation>
    <dataValidation type="list" allowBlank="1" showInputMessage="1" showErrorMessage="1" sqref="H200 H271">
      <formula1>".45,.50,.55,.60"</formula1>
    </dataValidation>
    <dataValidation type="list" allowBlank="1" showInputMessage="1" showErrorMessage="1" sqref="G664:H664">
      <formula1>"Kunal Kadam,Shruti Tathare,Pranita Mhatre,Shruti Fule,Pooja Kawale,Mansee Mohite,Anjali Kamble, Hitakshi Mhatre, Sachin Sawant"</formula1>
    </dataValidation>
    <dataValidation type="list" allowBlank="1" showInputMessage="1" showErrorMessage="1" sqref="B199:B200">
      <formula1>"Shop No. (Sale Plan),Sale / Rehab,Sale / Mhada"</formula1>
    </dataValidation>
    <dataValidation type="list" allowBlank="1" showInputMessage="1" showErrorMessage="1" sqref="B270:B271">
      <formula1>"Flat No. (Sale Plan),Sale / Rehab,Sale / Mhada"</formula1>
    </dataValidation>
    <dataValidation type="list" allowBlank="1" showInputMessage="1" showErrorMessage="1" sqref="E199:E200">
      <formula1>"Attached Loft area,Attached Otla area,Attached Mezzanine area"</formula1>
    </dataValidation>
    <dataValidation type="list" allowBlank="1" showInputMessage="1" showErrorMessage="1" sqref="E270:E271">
      <formula1>"Fungible area,Deck Area,Chajja Area,Cornice Area,AP Area,WS Area"</formula1>
    </dataValidation>
  </dataValidations>
  <hyperlinks>
    <hyperlink ref="C41" r:id="rId5" display="https://maps.app.goo.gl/jwRSNy8a4uZibM9k6"/>
  </hyperlinks>
  <printOptions horizontalCentered="1"/>
  <pageMargins left="0.393700787401575" right="0.393700787401575" top="0.826771653543307" bottom="0.78740157480315" header="0.15748031496063" footer="0.196850393700787"/>
  <pageSetup paperSize="9" fitToHeight="0" orientation="portrait"/>
  <headerFooter>
    <oddHeader>&amp;C&amp;G</oddHeader>
    <oddFooter>&amp;L&amp;"Times New Roman,Bold"&amp;12Ref No: &amp;F&amp;C&amp;G&amp;R&amp;"Times New Roman,Bold"&amp;12&amp;P</oddFooter>
  </headerFooter>
  <rowBreaks count="8" manualBreakCount="8">
    <brk id="150" max="7" man="1"/>
    <brk id="196" max="7" man="1"/>
    <brk id="332" max="7" man="1"/>
    <brk id="471" max="7" man="1"/>
    <brk id="611" max="7" man="1"/>
    <brk id="668" max="7" man="1"/>
    <brk id="711" max="7" man="1"/>
    <brk id="754" max="7" man="1"/>
  </rowBreaks>
  <drawing r:id="rId2"/>
  <legacyDrawing r:id="rId3"/>
  <legacyDrawingHF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16"/>
  <sheetViews>
    <sheetView zoomScale="85" zoomScaleNormal="85" workbookViewId="0">
      <selection activeCell="C9" sqref="C9"/>
    </sheetView>
  </sheetViews>
  <sheetFormatPr defaultColWidth="8.71428571428571" defaultRowHeight="15"/>
  <cols>
    <col min="1" max="1" width="8.71428571428571" style="8"/>
    <col min="2" max="2" width="22.1428571428571" style="8" customWidth="1"/>
    <col min="3" max="3" width="37" style="8" customWidth="1"/>
    <col min="4" max="5" width="11.4285714285714" style="8" customWidth="1"/>
    <col min="6" max="6" width="14" style="8" customWidth="1"/>
    <col min="7" max="7" width="20" style="8" customWidth="1"/>
    <col min="8" max="8" width="16.4285714285714" style="8" customWidth="1"/>
    <col min="9" max="16384" width="8.71428571428571" style="8"/>
  </cols>
  <sheetData>
    <row r="1" customHeight="1"/>
    <row r="2" customHeight="1" spans="1:8">
      <c r="A2" s="9"/>
      <c r="B2" s="9"/>
      <c r="C2" s="9"/>
      <c r="D2" s="9"/>
      <c r="E2" s="9"/>
      <c r="F2" s="9"/>
      <c r="G2" s="9"/>
      <c r="H2" s="9"/>
    </row>
    <row r="3" ht="15.75" customHeight="1" spans="1:8">
      <c r="A3" s="9"/>
      <c r="B3" s="10" t="s">
        <v>382</v>
      </c>
      <c r="C3" s="10"/>
      <c r="D3" s="10"/>
      <c r="E3" s="10"/>
      <c r="F3" s="10"/>
      <c r="G3" s="10"/>
      <c r="H3" s="10"/>
    </row>
    <row r="4" spans="1:8">
      <c r="A4" s="9"/>
      <c r="B4" s="11" t="s">
        <v>383</v>
      </c>
      <c r="C4" s="11" t="s">
        <v>384</v>
      </c>
      <c r="D4" s="11" t="s">
        <v>385</v>
      </c>
      <c r="E4" s="11" t="s">
        <v>386</v>
      </c>
      <c r="F4" s="11" t="s">
        <v>387</v>
      </c>
      <c r="G4" s="11" t="s">
        <v>388</v>
      </c>
      <c r="H4" s="11" t="s">
        <v>389</v>
      </c>
    </row>
    <row r="5" customHeight="1" spans="1:8">
      <c r="A5" s="9"/>
      <c r="B5" s="12" t="s">
        <v>390</v>
      </c>
      <c r="C5" s="13"/>
      <c r="D5" s="12"/>
      <c r="E5" s="12"/>
      <c r="F5" s="14">
        <f>E5*1.6</f>
        <v>0</v>
      </c>
      <c r="G5" s="14" t="e">
        <f>H5/F5</f>
        <v>#DIV/0!</v>
      </c>
      <c r="H5" s="15"/>
    </row>
    <row r="6" spans="1:8">
      <c r="A6" s="9"/>
      <c r="B6" s="12" t="s">
        <v>390</v>
      </c>
      <c r="C6" s="16"/>
      <c r="D6" s="12"/>
      <c r="E6" s="12"/>
      <c r="F6" s="14">
        <f t="shared" ref="F6:F11" si="0">E6*1.6</f>
        <v>0</v>
      </c>
      <c r="G6" s="14" t="e">
        <f t="shared" ref="G6:G11" si="1">H6/F6</f>
        <v>#DIV/0!</v>
      </c>
      <c r="H6" s="15"/>
    </row>
    <row r="7" customHeight="1" spans="1:8">
      <c r="A7" s="9"/>
      <c r="B7" s="12" t="s">
        <v>390</v>
      </c>
      <c r="C7" s="13"/>
      <c r="D7" s="12"/>
      <c r="E7" s="12"/>
      <c r="F7" s="14">
        <f t="shared" si="0"/>
        <v>0</v>
      </c>
      <c r="G7" s="14" t="e">
        <f t="shared" si="1"/>
        <v>#DIV/0!</v>
      </c>
      <c r="H7" s="15"/>
    </row>
    <row r="8" spans="1:8">
      <c r="A8" s="9"/>
      <c r="B8" s="12" t="s">
        <v>390</v>
      </c>
      <c r="C8" s="16"/>
      <c r="D8" s="12"/>
      <c r="E8" s="12"/>
      <c r="F8" s="14">
        <f t="shared" si="0"/>
        <v>0</v>
      </c>
      <c r="G8" s="14" t="e">
        <f t="shared" si="1"/>
        <v>#DIV/0!</v>
      </c>
      <c r="H8" s="15"/>
    </row>
    <row r="9" customHeight="1" spans="1:8">
      <c r="A9" s="9"/>
      <c r="B9" s="12" t="s">
        <v>390</v>
      </c>
      <c r="C9" s="16"/>
      <c r="D9" s="12"/>
      <c r="E9" s="12"/>
      <c r="F9" s="14">
        <f t="shared" si="0"/>
        <v>0</v>
      </c>
      <c r="G9" s="14" t="e">
        <f t="shared" si="1"/>
        <v>#DIV/0!</v>
      </c>
      <c r="H9" s="15"/>
    </row>
    <row r="10" customHeight="1" spans="1:8">
      <c r="A10" s="9"/>
      <c r="B10" s="12" t="s">
        <v>391</v>
      </c>
      <c r="C10" s="13"/>
      <c r="D10" s="12"/>
      <c r="E10" s="12"/>
      <c r="F10" s="14">
        <f t="shared" si="0"/>
        <v>0</v>
      </c>
      <c r="G10" s="14" t="e">
        <f t="shared" si="1"/>
        <v>#DIV/0!</v>
      </c>
      <c r="H10" s="15"/>
    </row>
    <row r="11" customHeight="1" spans="1:8">
      <c r="A11" s="9"/>
      <c r="B11" s="12" t="s">
        <v>391</v>
      </c>
      <c r="C11" s="13"/>
      <c r="D11" s="12"/>
      <c r="E11" s="12"/>
      <c r="F11" s="14">
        <f t="shared" si="0"/>
        <v>0</v>
      </c>
      <c r="G11" s="14" t="e">
        <f t="shared" si="1"/>
        <v>#DIV/0!</v>
      </c>
      <c r="H11" s="15"/>
    </row>
    <row r="12" customHeight="1" spans="1:8">
      <c r="A12" s="9"/>
      <c r="B12" s="17" t="s">
        <v>392</v>
      </c>
      <c r="C12" s="12"/>
      <c r="D12" s="12"/>
      <c r="E12" s="12"/>
      <c r="F12" s="12"/>
      <c r="G12" s="18" t="e">
        <f>AVERAGE(G5:G11)</f>
        <v>#DIV/0!</v>
      </c>
      <c r="H12" s="12"/>
    </row>
    <row r="13" customHeight="1" spans="2:9">
      <c r="B13" s="17" t="s">
        <v>393</v>
      </c>
      <c r="C13" s="12"/>
      <c r="D13" s="12"/>
      <c r="E13" s="12"/>
      <c r="F13" s="19"/>
      <c r="G13" s="17"/>
      <c r="H13" s="17"/>
      <c r="I13" s="20"/>
    </row>
    <row r="14" customHeight="1"/>
    <row r="15" customHeight="1"/>
    <row r="16" customHeight="1"/>
  </sheetData>
  <mergeCells count="1">
    <mergeCell ref="B3:H3"/>
  </mergeCells>
  <pageMargins left="0.7" right="0.7" top="0.75" bottom="0.75" header="0.3" footer="0.3"/>
  <pageSetup paperSize="1" orientation="portrait" horizontalDpi="300" verticalDpi="300"/>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B3:K69"/>
  <sheetViews>
    <sheetView zoomScale="130" zoomScaleNormal="130" topLeftCell="A55" workbookViewId="0">
      <selection activeCell="C43" sqref="C43:D69"/>
    </sheetView>
  </sheetViews>
  <sheetFormatPr defaultColWidth="9" defaultRowHeight="15"/>
  <cols>
    <col min="4" max="4" width="13.8571428571429" customWidth="1"/>
    <col min="5" max="5" width="10.4285714285714" customWidth="1"/>
    <col min="6" max="6" width="12.4285714285714" customWidth="1"/>
    <col min="7" max="7" width="18.1428571428571" customWidth="1"/>
    <col min="8" max="8" width="10.5714285714286" customWidth="1"/>
  </cols>
  <sheetData>
    <row r="3" spans="10:11">
      <c r="J3">
        <v>1</v>
      </c>
      <c r="K3">
        <v>2</v>
      </c>
    </row>
    <row r="4" spans="2:11">
      <c r="B4" s="5"/>
      <c r="C4" s="5" t="s">
        <v>94</v>
      </c>
      <c r="D4" s="6" t="s">
        <v>40</v>
      </c>
      <c r="E4" s="6" t="s">
        <v>41</v>
      </c>
      <c r="F4" s="6" t="s">
        <v>42</v>
      </c>
      <c r="G4" s="6" t="s">
        <v>43</v>
      </c>
      <c r="H4" s="6" t="s">
        <v>44</v>
      </c>
      <c r="J4" t="s">
        <v>43</v>
      </c>
      <c r="K4" t="s">
        <v>57</v>
      </c>
    </row>
    <row r="5" spans="2:8">
      <c r="B5" s="5"/>
      <c r="C5" s="5"/>
      <c r="D5" s="6" t="s">
        <v>47</v>
      </c>
      <c r="E5" s="6" t="s">
        <v>48</v>
      </c>
      <c r="F5" s="6" t="s">
        <v>49</v>
      </c>
      <c r="G5" s="6" t="s">
        <v>50</v>
      </c>
      <c r="H5" s="6" t="s">
        <v>51</v>
      </c>
    </row>
    <row r="6" spans="2:8">
      <c r="B6" s="5"/>
      <c r="C6" s="5"/>
      <c r="D6" s="6" t="s">
        <v>55</v>
      </c>
      <c r="E6" s="6" t="s">
        <v>56</v>
      </c>
      <c r="F6" s="6" t="s">
        <v>57</v>
      </c>
      <c r="G6" s="6" t="s">
        <v>58</v>
      </c>
      <c r="H6" s="6" t="s">
        <v>59</v>
      </c>
    </row>
    <row r="7" spans="2:8">
      <c r="B7" s="5"/>
      <c r="C7" s="5"/>
      <c r="D7" s="6" t="s">
        <v>63</v>
      </c>
      <c r="E7" s="6" t="s">
        <v>64</v>
      </c>
      <c r="F7" s="6" t="s">
        <v>65</v>
      </c>
      <c r="G7" s="6" t="s">
        <v>66</v>
      </c>
      <c r="H7" s="6" t="s">
        <v>67</v>
      </c>
    </row>
    <row r="8" spans="2:8">
      <c r="B8" s="5"/>
      <c r="C8" s="5"/>
      <c r="D8" s="6" t="s">
        <v>69</v>
      </c>
      <c r="E8" s="6" t="s">
        <v>70</v>
      </c>
      <c r="F8" s="6"/>
      <c r="G8" s="6" t="s">
        <v>71</v>
      </c>
      <c r="H8" s="6" t="s">
        <v>72</v>
      </c>
    </row>
    <row r="9" spans="2:8">
      <c r="B9" s="5"/>
      <c r="C9" s="5"/>
      <c r="D9" s="6" t="s">
        <v>75</v>
      </c>
      <c r="E9" s="6" t="s">
        <v>41</v>
      </c>
      <c r="F9" s="6"/>
      <c r="G9" s="6" t="s">
        <v>76</v>
      </c>
      <c r="H9" s="6" t="s">
        <v>77</v>
      </c>
    </row>
    <row r="10" spans="2:8">
      <c r="B10" s="5"/>
      <c r="C10" s="5"/>
      <c r="D10" s="6" t="s">
        <v>80</v>
      </c>
      <c r="E10" s="6" t="s">
        <v>81</v>
      </c>
      <c r="F10" s="6"/>
      <c r="G10" s="6" t="s">
        <v>82</v>
      </c>
      <c r="H10" s="6" t="s">
        <v>83</v>
      </c>
    </row>
    <row r="11" spans="2:8">
      <c r="B11" s="5"/>
      <c r="C11" s="5"/>
      <c r="D11" s="6" t="s">
        <v>88</v>
      </c>
      <c r="E11" s="6" t="s">
        <v>89</v>
      </c>
      <c r="F11" s="6"/>
      <c r="G11" s="6" t="s">
        <v>90</v>
      </c>
      <c r="H11" s="6" t="s">
        <v>91</v>
      </c>
    </row>
    <row r="12" spans="2:8">
      <c r="B12" s="5"/>
      <c r="C12" s="5"/>
      <c r="D12" s="6"/>
      <c r="E12" s="6"/>
      <c r="F12" s="6"/>
      <c r="G12" s="6" t="s">
        <v>95</v>
      </c>
      <c r="H12" s="6" t="s">
        <v>96</v>
      </c>
    </row>
    <row r="13" spans="2:8">
      <c r="B13" s="5"/>
      <c r="C13" s="5"/>
      <c r="D13" s="6"/>
      <c r="E13" s="6"/>
      <c r="F13" s="6"/>
      <c r="G13" s="6" t="s">
        <v>99</v>
      </c>
      <c r="H13" s="6" t="s">
        <v>100</v>
      </c>
    </row>
    <row r="14" spans="2:8">
      <c r="B14" s="5"/>
      <c r="C14" s="5"/>
      <c r="D14" s="6"/>
      <c r="E14" s="6"/>
      <c r="F14" s="6"/>
      <c r="G14" s="6" t="s">
        <v>105</v>
      </c>
      <c r="H14" s="6" t="s">
        <v>106</v>
      </c>
    </row>
    <row r="15" spans="2:8">
      <c r="B15" s="5"/>
      <c r="C15" s="5"/>
      <c r="D15" s="6"/>
      <c r="E15" s="6"/>
      <c r="F15" s="6"/>
      <c r="G15" s="6" t="s">
        <v>109</v>
      </c>
      <c r="H15" s="6" t="s">
        <v>110</v>
      </c>
    </row>
    <row r="16" spans="2:8">
      <c r="B16" s="5"/>
      <c r="C16" s="5"/>
      <c r="D16" s="6"/>
      <c r="E16" s="6"/>
      <c r="F16" s="6"/>
      <c r="G16" s="6" t="s">
        <v>111</v>
      </c>
      <c r="H16" s="6" t="s">
        <v>112</v>
      </c>
    </row>
    <row r="17" spans="2:8">
      <c r="B17" s="5"/>
      <c r="C17" s="5"/>
      <c r="D17" s="6"/>
      <c r="E17" s="6"/>
      <c r="F17" s="6"/>
      <c r="G17" s="6" t="s">
        <v>115</v>
      </c>
      <c r="H17" s="6" t="s">
        <v>116</v>
      </c>
    </row>
    <row r="18" spans="2:8">
      <c r="B18" s="5"/>
      <c r="C18" s="5"/>
      <c r="D18" s="6"/>
      <c r="E18" s="6"/>
      <c r="F18" s="6"/>
      <c r="G18" s="6" t="s">
        <v>118</v>
      </c>
      <c r="H18" s="6" t="s">
        <v>119</v>
      </c>
    </row>
    <row r="24" spans="3:3">
      <c r="C24" t="s">
        <v>394</v>
      </c>
    </row>
    <row r="25" spans="3:3">
      <c r="C25" t="s">
        <v>46</v>
      </c>
    </row>
    <row r="26" spans="3:3">
      <c r="C26" t="s">
        <v>395</v>
      </c>
    </row>
    <row r="27" spans="3:3">
      <c r="C27" t="s">
        <v>396</v>
      </c>
    </row>
    <row r="28" spans="3:3">
      <c r="C28" t="s">
        <v>397</v>
      </c>
    </row>
    <row r="29" spans="3:3">
      <c r="C29" t="s">
        <v>398</v>
      </c>
    </row>
    <row r="30" spans="3:3">
      <c r="C30" t="s">
        <v>394</v>
      </c>
    </row>
    <row r="33" spans="10:11">
      <c r="J33">
        <v>1</v>
      </c>
      <c r="K33">
        <v>2</v>
      </c>
    </row>
    <row r="34" spans="3:11">
      <c r="C34" s="7" t="s">
        <v>3</v>
      </c>
      <c r="D34" s="6" t="s">
        <v>4</v>
      </c>
      <c r="E34" s="6" t="s">
        <v>5</v>
      </c>
      <c r="F34" s="6" t="s">
        <v>6</v>
      </c>
      <c r="G34" s="6" t="s">
        <v>7</v>
      </c>
      <c r="H34" s="6" t="s">
        <v>8</v>
      </c>
      <c r="J34" t="s">
        <v>43</v>
      </c>
      <c r="K34" t="s">
        <v>57</v>
      </c>
    </row>
    <row r="35" spans="3:8">
      <c r="C35" s="5" t="s">
        <v>10</v>
      </c>
      <c r="D35" s="6" t="s">
        <v>11</v>
      </c>
      <c r="E35" s="6" t="s">
        <v>12</v>
      </c>
      <c r="F35" s="6" t="s">
        <v>13</v>
      </c>
      <c r="G35" s="6" t="s">
        <v>14</v>
      </c>
      <c r="H35" s="6"/>
    </row>
    <row r="36" spans="3:8">
      <c r="C36" s="5"/>
      <c r="D36" s="6" t="s">
        <v>16</v>
      </c>
      <c r="E36" s="6" t="s">
        <v>17</v>
      </c>
      <c r="F36" s="6" t="s">
        <v>18</v>
      </c>
      <c r="G36" s="6" t="s">
        <v>19</v>
      </c>
      <c r="H36" s="6"/>
    </row>
    <row r="37" spans="3:8">
      <c r="C37" s="5"/>
      <c r="D37" s="6" t="s">
        <v>22</v>
      </c>
      <c r="E37" s="6"/>
      <c r="F37" s="6"/>
      <c r="G37" s="6" t="s">
        <v>23</v>
      </c>
      <c r="H37" s="6"/>
    </row>
    <row r="38" spans="3:8">
      <c r="C38" s="5"/>
      <c r="D38" s="6" t="s">
        <v>26</v>
      </c>
      <c r="E38" s="6"/>
      <c r="F38" s="6"/>
      <c r="G38" s="6" t="s">
        <v>23</v>
      </c>
      <c r="H38" s="6"/>
    </row>
    <row r="39" spans="3:8">
      <c r="C39" s="5"/>
      <c r="D39" s="6"/>
      <c r="E39" s="6"/>
      <c r="F39" s="6"/>
      <c r="G39" s="6" t="s">
        <v>28</v>
      </c>
      <c r="H39" s="6"/>
    </row>
    <row r="40" spans="3:8">
      <c r="C40" s="5"/>
      <c r="D40" s="6"/>
      <c r="E40" s="6"/>
      <c r="F40" s="6"/>
      <c r="G40" s="6" t="s">
        <v>31</v>
      </c>
      <c r="H40" s="6"/>
    </row>
    <row r="41" spans="3:8">
      <c r="C41" s="5"/>
      <c r="D41" s="6"/>
      <c r="E41" s="6"/>
      <c r="F41" s="6"/>
      <c r="G41" s="6"/>
      <c r="H41" s="6"/>
    </row>
    <row r="43" spans="3:3">
      <c r="C43" t="s">
        <v>156</v>
      </c>
    </row>
    <row r="44" spans="3:4">
      <c r="C44" t="s">
        <v>42</v>
      </c>
      <c r="D44" t="s">
        <v>159</v>
      </c>
    </row>
    <row r="45" spans="4:4">
      <c r="D45" t="s">
        <v>158</v>
      </c>
    </row>
    <row r="46" spans="4:4">
      <c r="D46" t="s">
        <v>177</v>
      </c>
    </row>
    <row r="47" spans="4:4">
      <c r="D47" t="s">
        <v>171</v>
      </c>
    </row>
    <row r="48" spans="4:4">
      <c r="D48" t="s">
        <v>179</v>
      </c>
    </row>
    <row r="49" spans="3:4">
      <c r="C49" t="s">
        <v>40</v>
      </c>
      <c r="D49" t="s">
        <v>160</v>
      </c>
    </row>
    <row r="50" spans="4:4">
      <c r="D50" t="s">
        <v>167</v>
      </c>
    </row>
    <row r="51" spans="4:4">
      <c r="D51" t="s">
        <v>178</v>
      </c>
    </row>
    <row r="52" spans="4:4">
      <c r="D52" t="s">
        <v>172</v>
      </c>
    </row>
    <row r="53" spans="4:4">
      <c r="D53" t="s">
        <v>184</v>
      </c>
    </row>
    <row r="54" spans="4:4">
      <c r="D54" t="s">
        <v>188</v>
      </c>
    </row>
    <row r="55" spans="4:4">
      <c r="D55" t="s">
        <v>192</v>
      </c>
    </row>
    <row r="56" spans="4:4">
      <c r="D56" t="s">
        <v>195</v>
      </c>
    </row>
    <row r="57" spans="4:4">
      <c r="D57" t="s">
        <v>197</v>
      </c>
    </row>
    <row r="58" spans="4:4">
      <c r="D58" t="s">
        <v>199</v>
      </c>
    </row>
    <row r="59" spans="4:4">
      <c r="D59" t="s">
        <v>200</v>
      </c>
    </row>
    <row r="60" spans="3:4">
      <c r="C60" t="s">
        <v>43</v>
      </c>
      <c r="D60" t="s">
        <v>161</v>
      </c>
    </row>
    <row r="61" spans="4:4">
      <c r="D61" t="s">
        <v>168</v>
      </c>
    </row>
    <row r="62" spans="4:4">
      <c r="D62" t="s">
        <v>179</v>
      </c>
    </row>
    <row r="63" spans="4:4">
      <c r="D63" t="s">
        <v>173</v>
      </c>
    </row>
    <row r="64" spans="4:4">
      <c r="D64" t="s">
        <v>185</v>
      </c>
    </row>
    <row r="65" spans="4:4">
      <c r="D65" t="s">
        <v>189</v>
      </c>
    </row>
    <row r="66" spans="4:4">
      <c r="D66" t="s">
        <v>193</v>
      </c>
    </row>
    <row r="67" spans="3:4">
      <c r="C67" t="s">
        <v>41</v>
      </c>
      <c r="D67" t="s">
        <v>162</v>
      </c>
    </row>
    <row r="68" spans="4:4">
      <c r="D68" t="s">
        <v>169</v>
      </c>
    </row>
    <row r="69" spans="4:4">
      <c r="D69" t="s">
        <v>180</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paperSize="1"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C16"/>
  <sheetViews>
    <sheetView workbookViewId="0">
      <selection activeCell="C22" sqref="C22"/>
    </sheetView>
  </sheetViews>
  <sheetFormatPr defaultColWidth="9" defaultRowHeight="15" outlineLevelCol="2"/>
  <cols>
    <col min="2" max="2" width="3" customWidth="1"/>
    <col min="3" max="3" width="130" customWidth="1"/>
  </cols>
  <sheetData>
    <row r="2" customHeight="1" spans="2:3">
      <c r="B2" s="1">
        <v>1</v>
      </c>
      <c r="C2" s="2" t="s">
        <v>399</v>
      </c>
    </row>
    <row r="3" spans="2:3">
      <c r="B3" s="1">
        <v>2</v>
      </c>
      <c r="C3" s="3" t="s">
        <v>400</v>
      </c>
    </row>
    <row r="4" spans="2:3">
      <c r="B4" s="1">
        <v>3</v>
      </c>
      <c r="C4" s="4" t="s">
        <v>401</v>
      </c>
    </row>
    <row r="5" ht="30" spans="2:3">
      <c r="B5" s="1">
        <v>4</v>
      </c>
      <c r="C5" s="3" t="s">
        <v>402</v>
      </c>
    </row>
    <row r="6" spans="2:3">
      <c r="B6" s="1">
        <v>5</v>
      </c>
      <c r="C6" s="4" t="s">
        <v>403</v>
      </c>
    </row>
    <row r="7" ht="30" spans="2:3">
      <c r="B7" s="1">
        <v>6</v>
      </c>
      <c r="C7" s="3" t="s">
        <v>404</v>
      </c>
    </row>
    <row r="8" ht="90" spans="2:3">
      <c r="B8" s="1">
        <v>7</v>
      </c>
      <c r="C8" s="3" t="s">
        <v>405</v>
      </c>
    </row>
    <row r="9" spans="2:3">
      <c r="B9" s="1">
        <v>8</v>
      </c>
      <c r="C9" s="4" t="s">
        <v>406</v>
      </c>
    </row>
    <row r="10" spans="2:3">
      <c r="B10" s="1">
        <v>9</v>
      </c>
      <c r="C10" s="4" t="s">
        <v>407</v>
      </c>
    </row>
    <row r="11" spans="2:3">
      <c r="B11" s="1">
        <v>10</v>
      </c>
      <c r="C11" s="4" t="s">
        <v>408</v>
      </c>
    </row>
    <row r="12" spans="2:3">
      <c r="B12" s="1">
        <v>11</v>
      </c>
      <c r="C12" s="4" t="s">
        <v>409</v>
      </c>
    </row>
    <row r="13" spans="2:3">
      <c r="B13" s="1">
        <v>12</v>
      </c>
      <c r="C13" s="4" t="s">
        <v>410</v>
      </c>
    </row>
    <row r="14" spans="2:3">
      <c r="B14" s="1">
        <v>13</v>
      </c>
      <c r="C14" s="4" t="s">
        <v>411</v>
      </c>
    </row>
    <row r="15" spans="2:3">
      <c r="B15" s="1">
        <v>14</v>
      </c>
      <c r="C15" s="4"/>
    </row>
    <row r="16" spans="2:3">
      <c r="B16" s="1">
        <v>15</v>
      </c>
      <c r="C16" s="4"/>
    </row>
  </sheetData>
  <pageMargins left="0.7" right="0.7" top="0.75" bottom="0.75" header="0.3" footer="0.3"/>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Report</vt:lpstr>
      <vt:lpstr>valuation</vt:lpstr>
      <vt:lpstr>Research</vt:lpstr>
      <vt:lpstr>Remarks</vt:lpstr>
      <vt:lpstr>Area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smart</cp:lastModifiedBy>
  <dcterms:created xsi:type="dcterms:W3CDTF">2019-07-16T09:29:00Z</dcterms:created>
  <cp:lastPrinted>2025-08-31T09:41:00Z</cp:lastPrinted>
  <dcterms:modified xsi:type="dcterms:W3CDTF">2025-08-31T10:26:48Z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9E4EB5FBA0CC458281324B9942AEF3EA_12</vt:lpwstr>
  </property>
  <property fmtid="{D5CDD505-2E9C-101B-9397-08002B2CF9AE}" pid="3" name="KSOProductBuildVer">
    <vt:lpwstr>1033-12.2.0.21931</vt:lpwstr>
  </property>
</Properties>
</file>