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Note" sheetId="4" r:id="rId3"/>
  </sheets>
  <definedNames>
    <definedName name="_xlnm.Print_Area" localSheetId="0">Report!$A$1:$H$453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2" i="1" l="1"/>
  <c r="C91" i="1"/>
  <c r="D208" i="1" l="1"/>
  <c r="D207" i="1"/>
  <c r="D227" i="1"/>
  <c r="D226" i="1"/>
  <c r="D188" i="1"/>
  <c r="D187" i="1"/>
  <c r="C116" i="1" l="1"/>
  <c r="C115" i="1"/>
  <c r="G251" i="1"/>
  <c r="G266" i="1"/>
  <c r="D292" i="1"/>
  <c r="K292" i="1"/>
  <c r="L292" i="1"/>
  <c r="D283" i="1"/>
  <c r="D286" i="1"/>
  <c r="K286" i="1"/>
  <c r="J286" i="1"/>
  <c r="D290" i="1"/>
  <c r="D288" i="1"/>
  <c r="D287" i="1"/>
  <c r="D285" i="1"/>
  <c r="D261" i="1"/>
  <c r="D282" i="1"/>
  <c r="D281" i="1"/>
  <c r="D280" i="1"/>
  <c r="D278" i="1"/>
  <c r="D277" i="1"/>
  <c r="D276" i="1"/>
  <c r="D275" i="1"/>
  <c r="D272" i="1"/>
  <c r="D271" i="1"/>
  <c r="D273" i="1"/>
  <c r="F273" i="1" s="1"/>
  <c r="K273" i="1"/>
  <c r="L273" i="1"/>
  <c r="D268" i="1"/>
  <c r="D267" i="1"/>
  <c r="D266" i="1"/>
  <c r="D256" i="1"/>
  <c r="D251" i="1"/>
  <c r="D246" i="1"/>
  <c r="D241" i="1"/>
  <c r="D236" i="1"/>
  <c r="E116" i="1" s="1"/>
  <c r="K236" i="1"/>
  <c r="J261" i="1"/>
  <c r="D264" i="1"/>
  <c r="D263" i="1"/>
  <c r="D262" i="1"/>
  <c r="D259" i="1"/>
  <c r="D258" i="1"/>
  <c r="D257" i="1"/>
  <c r="D254" i="1"/>
  <c r="D253" i="1"/>
  <c r="D252" i="1"/>
  <c r="D248" i="1"/>
  <c r="D247" i="1"/>
  <c r="D244" i="1"/>
  <c r="D243" i="1"/>
  <c r="D242" i="1"/>
  <c r="D239" i="1"/>
  <c r="D238" i="1"/>
  <c r="D237" i="1"/>
  <c r="J235" i="1"/>
  <c r="L238" i="1"/>
  <c r="L237" i="1"/>
  <c r="L236" i="1"/>
  <c r="K239" i="1"/>
  <c r="K238" i="1"/>
  <c r="K237" i="1"/>
  <c r="L239" i="1"/>
  <c r="D228" i="1"/>
  <c r="D224" i="1"/>
  <c r="D223" i="1"/>
  <c r="D222" i="1"/>
  <c r="D195" i="1"/>
  <c r="D194" i="1"/>
  <c r="D193" i="1"/>
  <c r="D192" i="1"/>
  <c r="D220" i="1"/>
  <c r="D219" i="1"/>
  <c r="D218" i="1"/>
  <c r="D217" i="1"/>
  <c r="D215" i="1"/>
  <c r="D214" i="1"/>
  <c r="D213" i="1"/>
  <c r="D212" i="1"/>
  <c r="D200" i="1"/>
  <c r="D199" i="1"/>
  <c r="D198" i="1"/>
  <c r="D197" i="1"/>
  <c r="D205" i="1"/>
  <c r="D204" i="1"/>
  <c r="D203" i="1"/>
  <c r="D202" i="1"/>
  <c r="D185" i="1"/>
  <c r="D184" i="1"/>
  <c r="D183" i="1"/>
  <c r="D182" i="1"/>
  <c r="D180" i="1"/>
  <c r="D179" i="1"/>
  <c r="D178" i="1"/>
  <c r="D177" i="1"/>
  <c r="J170" i="1"/>
  <c r="I181" i="1"/>
  <c r="E115" i="1" l="1"/>
  <c r="I176" i="1"/>
  <c r="I172" i="1"/>
  <c r="K233" i="1"/>
  <c r="K234" i="1"/>
  <c r="L234" i="1"/>
  <c r="L233" i="1"/>
  <c r="L232" i="1"/>
  <c r="K232" i="1"/>
  <c r="G231" i="1"/>
  <c r="D234" i="1"/>
  <c r="F234" i="1" s="1"/>
  <c r="D233" i="1"/>
  <c r="F233" i="1" s="1"/>
  <c r="D232" i="1"/>
  <c r="F232" i="1" s="1"/>
  <c r="L175" i="1"/>
  <c r="K175" i="1"/>
  <c r="L173" i="1"/>
  <c r="K173" i="1"/>
  <c r="D175" i="1"/>
  <c r="F175" i="1" s="1"/>
  <c r="G173" i="1"/>
  <c r="D173" i="1"/>
  <c r="F173" i="1" s="1"/>
  <c r="D137" i="1" l="1"/>
  <c r="F137" i="1" s="1"/>
  <c r="D136" i="1"/>
  <c r="F136" i="1" s="1"/>
  <c r="D133" i="1"/>
  <c r="F133" i="1" s="1"/>
  <c r="D132" i="1"/>
  <c r="F132" i="1" s="1"/>
  <c r="D131" i="1"/>
  <c r="F131" i="1" s="1"/>
  <c r="D130" i="1"/>
  <c r="F130" i="1" s="1"/>
  <c r="D129" i="1"/>
  <c r="D128" i="1"/>
  <c r="D127" i="1"/>
  <c r="D126" i="1"/>
  <c r="F126" i="1" s="1"/>
  <c r="D125" i="1"/>
  <c r="F125" i="1" s="1"/>
  <c r="D124" i="1"/>
  <c r="D134" i="1"/>
  <c r="F134" i="1" s="1"/>
  <c r="A134" i="1"/>
  <c r="F129" i="1"/>
  <c r="F128" i="1"/>
  <c r="F127" i="1"/>
  <c r="G124" i="1"/>
  <c r="L278" i="1"/>
  <c r="K278" i="1"/>
  <c r="F278" i="1"/>
  <c r="L277" i="1"/>
  <c r="K277" i="1"/>
  <c r="F277" i="1"/>
  <c r="L276" i="1"/>
  <c r="K276" i="1"/>
  <c r="F276" i="1"/>
  <c r="L275" i="1"/>
  <c r="K275" i="1"/>
  <c r="G275" i="1"/>
  <c r="F275" i="1"/>
  <c r="L269" i="1"/>
  <c r="K269" i="1"/>
  <c r="L268" i="1"/>
  <c r="K268" i="1"/>
  <c r="F268" i="1"/>
  <c r="L267" i="1"/>
  <c r="K267" i="1"/>
  <c r="F267" i="1"/>
  <c r="L266" i="1"/>
  <c r="K266" i="1"/>
  <c r="F266" i="1"/>
  <c r="F208" i="1"/>
  <c r="G207" i="1"/>
  <c r="F207" i="1"/>
  <c r="L249" i="1"/>
  <c r="K249" i="1"/>
  <c r="L248" i="1"/>
  <c r="K248" i="1"/>
  <c r="F248" i="1"/>
  <c r="L247" i="1"/>
  <c r="K247" i="1"/>
  <c r="F247" i="1"/>
  <c r="L246" i="1"/>
  <c r="K246" i="1"/>
  <c r="G246" i="1"/>
  <c r="F246" i="1"/>
  <c r="F188" i="1"/>
  <c r="G187" i="1"/>
  <c r="F187" i="1"/>
  <c r="K291" i="1"/>
  <c r="L293" i="1"/>
  <c r="K293" i="1"/>
  <c r="D293" i="1"/>
  <c r="F293" i="1" s="1"/>
  <c r="F292" i="1"/>
  <c r="L291" i="1"/>
  <c r="L290" i="1"/>
  <c r="K290" i="1"/>
  <c r="G290" i="1"/>
  <c r="F290" i="1"/>
  <c r="L286" i="1"/>
  <c r="L288" i="1"/>
  <c r="K288" i="1"/>
  <c r="F288" i="1"/>
  <c r="L287" i="1"/>
  <c r="K287" i="1"/>
  <c r="F287" i="1"/>
  <c r="F286" i="1"/>
  <c r="L285" i="1"/>
  <c r="K285" i="1"/>
  <c r="G285" i="1"/>
  <c r="F285" i="1"/>
  <c r="L254" i="1"/>
  <c r="K254" i="1"/>
  <c r="F254" i="1"/>
  <c r="L253" i="1"/>
  <c r="K253" i="1"/>
  <c r="F253" i="1"/>
  <c r="L252" i="1"/>
  <c r="K252" i="1"/>
  <c r="F252" i="1"/>
  <c r="L251" i="1"/>
  <c r="K251" i="1"/>
  <c r="F251" i="1"/>
  <c r="L283" i="1"/>
  <c r="K283" i="1"/>
  <c r="F283" i="1"/>
  <c r="L282" i="1"/>
  <c r="K282" i="1"/>
  <c r="F282" i="1"/>
  <c r="L281" i="1"/>
  <c r="K281" i="1"/>
  <c r="F281" i="1"/>
  <c r="L280" i="1"/>
  <c r="K280" i="1"/>
  <c r="G280" i="1"/>
  <c r="F280" i="1"/>
  <c r="L261" i="1"/>
  <c r="M261" i="1"/>
  <c r="F261" i="1"/>
  <c r="L262" i="1"/>
  <c r="K262" i="1"/>
  <c r="F228" i="1"/>
  <c r="L272" i="1"/>
  <c r="K272" i="1"/>
  <c r="F272" i="1"/>
  <c r="L271" i="1"/>
  <c r="K271" i="1"/>
  <c r="G271" i="1"/>
  <c r="F271" i="1"/>
  <c r="G261" i="1"/>
  <c r="L264" i="1"/>
  <c r="K264" i="1"/>
  <c r="F264" i="1"/>
  <c r="L263" i="1"/>
  <c r="K263" i="1"/>
  <c r="F263" i="1"/>
  <c r="F262" i="1"/>
  <c r="L259" i="1"/>
  <c r="K259" i="1"/>
  <c r="F259" i="1"/>
  <c r="L258" i="1"/>
  <c r="K258" i="1"/>
  <c r="F258" i="1"/>
  <c r="L257" i="1"/>
  <c r="K257" i="1"/>
  <c r="F257" i="1"/>
  <c r="L256" i="1"/>
  <c r="K256" i="1"/>
  <c r="G256" i="1"/>
  <c r="F256" i="1"/>
  <c r="L244" i="1"/>
  <c r="K244" i="1"/>
  <c r="L243" i="1"/>
  <c r="K243" i="1"/>
  <c r="L242" i="1"/>
  <c r="K242" i="1"/>
  <c r="L241" i="1"/>
  <c r="K241" i="1"/>
  <c r="F227" i="1"/>
  <c r="G226" i="1"/>
  <c r="F226" i="1"/>
  <c r="F224" i="1"/>
  <c r="F223" i="1"/>
  <c r="G222" i="1"/>
  <c r="F222" i="1"/>
  <c r="F124" i="1" l="1"/>
  <c r="F195" i="1"/>
  <c r="F194" i="1"/>
  <c r="F193" i="1"/>
  <c r="G192" i="1"/>
  <c r="F192" i="1"/>
  <c r="F220" i="1"/>
  <c r="F219" i="1"/>
  <c r="F218" i="1"/>
  <c r="G217" i="1"/>
  <c r="F217" i="1"/>
  <c r="F215" i="1"/>
  <c r="F214" i="1"/>
  <c r="F213" i="1"/>
  <c r="G212" i="1"/>
  <c r="F212" i="1"/>
  <c r="F200" i="1"/>
  <c r="F199" i="1"/>
  <c r="F198" i="1"/>
  <c r="G197" i="1"/>
  <c r="F197" i="1"/>
  <c r="F205" i="1"/>
  <c r="F204" i="1"/>
  <c r="F203" i="1"/>
  <c r="G202" i="1"/>
  <c r="F202" i="1"/>
  <c r="G136" i="1"/>
  <c r="D138" i="1"/>
  <c r="D148" i="1"/>
  <c r="F148" i="1" s="1"/>
  <c r="D147" i="1"/>
  <c r="F147" i="1" s="1"/>
  <c r="D146" i="1"/>
  <c r="F146" i="1" s="1"/>
  <c r="D145" i="1"/>
  <c r="F145" i="1" s="1"/>
  <c r="D144" i="1"/>
  <c r="F144" i="1" s="1"/>
  <c r="D143" i="1"/>
  <c r="F143" i="1" s="1"/>
  <c r="D142" i="1"/>
  <c r="F142" i="1" s="1"/>
  <c r="D141" i="1"/>
  <c r="F141" i="1" s="1"/>
  <c r="D140" i="1"/>
  <c r="F140" i="1" s="1"/>
  <c r="D139" i="1"/>
  <c r="F139" i="1" s="1"/>
  <c r="A146" i="1"/>
  <c r="A147" i="1" s="1"/>
  <c r="A148" i="1" s="1"/>
  <c r="D160" i="1"/>
  <c r="F160" i="1" s="1"/>
  <c r="D159" i="1"/>
  <c r="F159" i="1" s="1"/>
  <c r="D158" i="1"/>
  <c r="F158" i="1" s="1"/>
  <c r="D157" i="1"/>
  <c r="F157" i="1" s="1"/>
  <c r="D156" i="1"/>
  <c r="F156" i="1" s="1"/>
  <c r="D155" i="1"/>
  <c r="F155" i="1" s="1"/>
  <c r="D154" i="1"/>
  <c r="F154" i="1" s="1"/>
  <c r="D153" i="1"/>
  <c r="D152" i="1"/>
  <c r="D151" i="1"/>
  <c r="D150" i="1"/>
  <c r="A160" i="1"/>
  <c r="C111" i="1" l="1"/>
  <c r="C112" i="1" s="1"/>
  <c r="E111" i="1"/>
  <c r="E112" i="1" s="1"/>
  <c r="F138" i="1"/>
  <c r="F177" i="1"/>
  <c r="G177" i="1"/>
  <c r="F178" i="1"/>
  <c r="F179" i="1"/>
  <c r="F180" i="1"/>
  <c r="F182" i="1"/>
  <c r="G182" i="1"/>
  <c r="F183" i="1"/>
  <c r="F184" i="1"/>
  <c r="F185" i="1"/>
  <c r="G236" i="1"/>
  <c r="F237" i="1"/>
  <c r="F238" i="1"/>
  <c r="F239" i="1"/>
  <c r="F241" i="1"/>
  <c r="G241" i="1"/>
  <c r="F242" i="1"/>
  <c r="F243" i="1"/>
  <c r="F244" i="1"/>
  <c r="G115" i="1" l="1"/>
  <c r="F236" i="1"/>
  <c r="G116" i="1" s="1"/>
  <c r="M90" i="1"/>
  <c r="N90" i="1" s="1"/>
  <c r="M88" i="1"/>
  <c r="E117" i="1" l="1"/>
  <c r="E118" i="1" s="1"/>
  <c r="G117" i="1"/>
  <c r="C117" i="1"/>
  <c r="C118" i="1" s="1"/>
  <c r="C90" i="1"/>
  <c r="C76" i="1"/>
  <c r="K75" i="1"/>
  <c r="C77" i="1" l="1"/>
  <c r="C78" i="1"/>
  <c r="C83" i="1"/>
  <c r="J95" i="1"/>
  <c r="J94" i="1"/>
  <c r="J93" i="1"/>
  <c r="E3" i="1" l="1"/>
  <c r="I97" i="1" l="1"/>
  <c r="M97" i="1"/>
  <c r="J97" i="1" l="1"/>
  <c r="G49" i="1" l="1"/>
  <c r="E29" i="1" l="1"/>
  <c r="F108" i="1" l="1"/>
  <c r="F151" i="1" l="1"/>
  <c r="F152" i="1"/>
  <c r="F153" i="1"/>
  <c r="F150" i="1"/>
  <c r="G111" i="1" l="1"/>
  <c r="G112" i="1" s="1"/>
  <c r="G118" i="1" s="1"/>
  <c r="B296" i="1"/>
  <c r="C15" i="1" l="1"/>
  <c r="B297" i="1" l="1"/>
  <c r="F11" i="5" l="1"/>
  <c r="G11" i="5" s="1"/>
  <c r="F10" i="5"/>
  <c r="G10" i="5" s="1"/>
  <c r="F9" i="5"/>
  <c r="G9" i="5" s="1"/>
  <c r="F8" i="5"/>
  <c r="G8" i="5" s="1"/>
  <c r="F7" i="5"/>
  <c r="G7" i="5" s="1"/>
  <c r="F6" i="5"/>
  <c r="G6" i="5" s="1"/>
  <c r="F5" i="5"/>
  <c r="G5" i="5" s="1"/>
  <c r="G12" i="5" s="1"/>
  <c r="D330" i="1"/>
  <c r="G150" i="1"/>
  <c r="J80" i="1"/>
  <c r="C69" i="1"/>
  <c r="D56" i="1"/>
  <c r="C49" i="1"/>
  <c r="E42" i="1"/>
  <c r="E43" i="1" s="1"/>
  <c r="E26" i="1"/>
  <c r="E24" i="1"/>
  <c r="E7" i="1"/>
  <c r="H70" i="1"/>
  <c r="D63" i="1" l="1"/>
  <c r="D82" i="1"/>
  <c r="D80" i="1"/>
  <c r="D79" i="1"/>
  <c r="D78" i="1"/>
  <c r="D76" i="1"/>
  <c r="D75" i="1"/>
  <c r="D81" i="1"/>
  <c r="D77" i="1"/>
  <c r="J73" i="1"/>
  <c r="J74" i="1"/>
  <c r="C73" i="1" s="1"/>
  <c r="J72" i="1"/>
  <c r="J75" i="1"/>
  <c r="H84" i="1"/>
  <c r="D96" i="1" l="1"/>
  <c r="D92" i="1"/>
  <c r="D95" i="1"/>
  <c r="J87" i="1"/>
  <c r="D89" i="1"/>
  <c r="J86" i="1"/>
  <c r="D91" i="1"/>
  <c r="J89" i="1"/>
  <c r="J90" i="1" s="1"/>
  <c r="D93" i="1"/>
  <c r="J88" i="1"/>
  <c r="C87" i="1" s="1"/>
  <c r="D87" i="1" s="1"/>
  <c r="D94" i="1"/>
  <c r="D90" i="1"/>
  <c r="J76" i="1"/>
  <c r="J81" i="1" s="1"/>
  <c r="D73" i="1"/>
  <c r="J91" i="1" l="1"/>
  <c r="J92" i="1" s="1"/>
  <c r="J77" i="1"/>
  <c r="J78" i="1" s="1"/>
  <c r="J79" i="1" s="1"/>
  <c r="J96" i="1" l="1"/>
  <c r="C88" i="1" s="1"/>
  <c r="J82" i="1"/>
  <c r="C74" i="1" s="1"/>
  <c r="E73" i="1" s="1"/>
  <c r="E87" i="1" l="1"/>
  <c r="I83" i="1" s="1"/>
  <c r="C85" i="1" s="1"/>
  <c r="G87" i="1"/>
  <c r="D88" i="1"/>
  <c r="D74" i="1"/>
  <c r="I69" i="1"/>
  <c r="C71" i="1" s="1"/>
  <c r="G73" i="1"/>
  <c r="D67" i="1" s="1"/>
  <c r="F68" i="1" l="1"/>
  <c r="D68" i="1"/>
</calcChain>
</file>

<file path=xl/sharedStrings.xml><?xml version="1.0" encoding="utf-8"?>
<sst xmlns="http://schemas.openxmlformats.org/spreadsheetml/2006/main" count="517" uniqueCount="294">
  <si>
    <t xml:space="preserve">Valuation Report </t>
  </si>
  <si>
    <t>Date:</t>
  </si>
  <si>
    <t>CPC Name:</t>
  </si>
  <si>
    <t>Date Of Property Visit</t>
  </si>
  <si>
    <t>Name of the builder group</t>
  </si>
  <si>
    <t>Name of the builder company</t>
  </si>
  <si>
    <t>Name of the Project</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</si>
  <si>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</si>
  <si>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</si>
  <si>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</si>
  <si>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</si>
  <si>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</si>
  <si>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</si>
  <si>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</si>
  <si>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</si>
  <si>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</si>
  <si>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</si>
  <si>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</si>
  <si>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</si>
  <si>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</si>
  <si>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</si>
  <si>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</si>
  <si>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</si>
  <si>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</si>
  <si>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</si>
  <si>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</si>
  <si>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</si>
  <si>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</si>
  <si>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</si>
  <si>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</si>
  <si>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</si>
  <si>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</si>
  <si>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</si>
  <si>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</si>
  <si>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</si>
  <si>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</si>
  <si>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</si>
  <si>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</si>
  <si>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</si>
  <si>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</si>
  <si>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</si>
  <si>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</si>
  <si>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</si>
  <si>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</si>
  <si>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</si>
  <si>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</si>
  <si>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</si>
  <si>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</si>
  <si>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</si>
  <si>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</si>
  <si>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</si>
  <si>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</si>
  <si>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</si>
  <si>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</si>
  <si>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</si>
  <si>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</si>
  <si>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</si>
  <si>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</si>
  <si>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</si>
  <si>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</si>
  <si>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</si>
  <si>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</si>
  <si>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</si>
  <si>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</si>
  <si>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</si>
  <si>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</si>
  <si>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</si>
  <si>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</si>
  <si>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</si>
  <si>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</si>
  <si>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</si>
  <si>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</si>
  <si>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</si>
  <si>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</si>
  <si>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</si>
  <si>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</si>
  <si>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</si>
  <si>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</si>
  <si>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</si>
  <si>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</si>
  <si>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</si>
  <si>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</si>
  <si>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</si>
  <si>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</si>
  <si>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</si>
  <si>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</si>
  <si>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</si>
  <si>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</si>
  <si>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</si>
  <si>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</si>
  <si>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</si>
  <si>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</si>
  <si>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</si>
  <si>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</si>
  <si>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</si>
  <si>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</si>
  <si>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</si>
  <si>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</si>
  <si>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</si>
  <si>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</si>
  <si>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</si>
  <si>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</si>
  <si>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</si>
  <si>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</si>
  <si>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</si>
  <si>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</si>
  <si>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</si>
  <si>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</si>
  <si>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</si>
  <si>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</si>
  <si>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</si>
  <si>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</si>
  <si>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</si>
  <si>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</si>
  <si>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</si>
  <si>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</si>
  <si>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</si>
  <si>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</si>
  <si>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</si>
  <si>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</si>
  <si>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</si>
  <si>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</si>
  <si>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</si>
  <si>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</si>
  <si>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</si>
  <si>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</si>
  <si>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</si>
  <si>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</si>
  <si>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</si>
  <si>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</si>
  <si>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</si>
  <si>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</si>
  <si>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</si>
  <si>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</si>
  <si>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</si>
  <si>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</si>
  <si>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</si>
  <si>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</si>
  <si>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</si>
  <si>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</si>
  <si>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</si>
  <si>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</si>
  <si>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</si>
  <si>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</si>
  <si>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</si>
  <si>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</si>
  <si>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</si>
  <si>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</si>
  <si>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</si>
  <si>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</si>
  <si>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</si>
  <si>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</si>
  <si>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</si>
  <si>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</si>
  <si>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</si>
  <si>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</si>
  <si>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</si>
  <si>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</si>
  <si>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</si>
  <si>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</si>
  <si>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</si>
  <si>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</si>
  <si>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</si>
  <si>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</si>
  <si>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Flat Per Sq. Ft.</t>
  </si>
  <si>
    <t>On Saleable Area</t>
  </si>
  <si>
    <t>Legal Charges</t>
  </si>
  <si>
    <t>Axis Sanpada</t>
  </si>
  <si>
    <t>M/s.Macrotech Developers Limited</t>
  </si>
  <si>
    <t>Approved Plans, CC</t>
  </si>
  <si>
    <t>102A/2 and 102/A/4</t>
  </si>
  <si>
    <t>Giridarshan Building</t>
  </si>
  <si>
    <t>Skyline Villa</t>
  </si>
  <si>
    <t>Slum</t>
  </si>
  <si>
    <t>2.6 KM from Kanjurmarg Railway Station</t>
  </si>
  <si>
    <t>Tirandaz</t>
  </si>
  <si>
    <t>Kurla</t>
  </si>
  <si>
    <t>Mumbai</t>
  </si>
  <si>
    <t>Kanjurmarg, Powai</t>
  </si>
  <si>
    <t>Powai internal Road</t>
  </si>
  <si>
    <t>CTS No</t>
  </si>
  <si>
    <t>CE/1090/BPES/AS</t>
  </si>
  <si>
    <t>As per RERA - 31/12/2026</t>
  </si>
  <si>
    <t>3BHK</t>
  </si>
  <si>
    <t>2BHK</t>
  </si>
  <si>
    <t>Refuge Area</t>
  </si>
  <si>
    <t xml:space="preserve">Municipal Corporation Of Greater Mumbai (MCGM)
</t>
  </si>
  <si>
    <t xml:space="preserve">We considered Gross carpet area = Net carpet +  Deck Area + Utility Area.
</t>
  </si>
  <si>
    <t>Site Meet Contact Details ( Name &amp; Contact No.)</t>
  </si>
  <si>
    <t>Upper Ground Floor for Parking &amp; Society Office</t>
  </si>
  <si>
    <t>We have updated Approved Floor plans (on 28/11/2022).</t>
  </si>
  <si>
    <t>LUC Charges</t>
  </si>
  <si>
    <t>Utility Connection Charges</t>
  </si>
  <si>
    <t>We have updated latest CC Approved Floor plans (on 11/04/2023).</t>
  </si>
  <si>
    <t>Office No. 1031, Wing J, Akshar Business Park, Plot No. 03 Sector 25, Near APMC Market, Vashi, Navi Mumbai, Maharashtra 400703 TEL: 022-46090378/79/80                                                                                                     E mail : vsjcapf@gmail.com. Web site : www.vsjadon.com</t>
  </si>
  <si>
    <t>Location Link</t>
  </si>
  <si>
    <t>https://goo.gl/maps/4ygtAbu6oaQDouX49</t>
  </si>
  <si>
    <t>1st Floor</t>
  </si>
  <si>
    <t>3.5BHK</t>
  </si>
  <si>
    <t>2.5BHK</t>
  </si>
  <si>
    <t>2nd to 5th Floor</t>
  </si>
  <si>
    <t>4.5BHK</t>
  </si>
  <si>
    <t>Layout plan:</t>
  </si>
  <si>
    <t>Lodha Bellagio - Tower C &amp; D</t>
  </si>
  <si>
    <t>Tower D</t>
  </si>
  <si>
    <t>10th Floor</t>
  </si>
  <si>
    <t>Tower C</t>
  </si>
  <si>
    <t>Grand Total</t>
  </si>
  <si>
    <t>Sr No.</t>
  </si>
  <si>
    <t>As per Builder</t>
  </si>
  <si>
    <t>As per Approved Plan</t>
  </si>
  <si>
    <t>Wing C1</t>
  </si>
  <si>
    <t>Wing C2</t>
  </si>
  <si>
    <t>Tower D = B2 + B1 + LG + Gr + UG + 1st to 24th + 25th(Pt) Floor</t>
  </si>
  <si>
    <t>Name / No of the Building</t>
  </si>
  <si>
    <t>Wing C1 = Tower C 
Wing C2 = Tower D</t>
  </si>
  <si>
    <t>2 Building</t>
  </si>
  <si>
    <t>We have updated latest Approved Floor plans for C &amp; D (on 23/08/2023).</t>
  </si>
  <si>
    <t>Kids’ pool, Library lounge &amp; café, Indoor play area for kids, Walking/ jogging track, Rooftop lounge with scenic views of the hills, Powai and Vihar lake</t>
  </si>
  <si>
    <t>We have updated latest Approved CC from MCGM Site on 14/02/2024.</t>
  </si>
  <si>
    <t>20300 to 24500</t>
  </si>
  <si>
    <t>rushikesh</t>
  </si>
  <si>
    <t>Recommended Rates/Other Charges of the Property have been revised on 23/04/2024.</t>
  </si>
  <si>
    <t>Construction work is in process at the time of Visit. Internal photographs not allowed.</t>
  </si>
  <si>
    <t>Ganesh Wadkar</t>
  </si>
  <si>
    <t>Please provide revised approved CC, As the construction work  goes beyond the CC permission.</t>
  </si>
  <si>
    <t>Tower C1</t>
  </si>
  <si>
    <t>Tower C2</t>
  </si>
  <si>
    <t>Ground Floor For Store Room</t>
  </si>
  <si>
    <t>Store Room</t>
  </si>
  <si>
    <t>Lower Ground Floor For Store Room</t>
  </si>
  <si>
    <t>Tower C1 &amp; C2</t>
  </si>
  <si>
    <t>4BHK</t>
  </si>
  <si>
    <t>9th Floor</t>
  </si>
  <si>
    <t>Bareshell</t>
  </si>
  <si>
    <t>staircase included</t>
  </si>
  <si>
    <t>6th Floor For Residential (Part Refuge Area)</t>
  </si>
  <si>
    <t>-</t>
  </si>
  <si>
    <t xml:space="preserve"> -</t>
  </si>
  <si>
    <t>1st Basement Floor For Store Room</t>
  </si>
  <si>
    <t>Commercial Area Details :</t>
  </si>
  <si>
    <t>Total</t>
  </si>
  <si>
    <t xml:space="preserve"> - </t>
  </si>
  <si>
    <t>Society Office, Entrance Lobby &amp; Fire Control Room</t>
  </si>
  <si>
    <t>Society Office &amp; Entrance Lobby</t>
  </si>
  <si>
    <t>Upper Ground Floor for Parking, Society Ofice &amp; Entrance Lobby</t>
  </si>
  <si>
    <t>Bareshell =1</t>
  </si>
  <si>
    <t>1st Basement for Parking, Domestic Water Tank &amp; Store Room</t>
  </si>
  <si>
    <t>2nd Basement for Parking, Domestic Water Tank &amp; Pump Room</t>
  </si>
  <si>
    <t>Lower Ground for Fire Tank, Store Room &amp; Parking</t>
  </si>
  <si>
    <t>Ground Floor For Parking, Entrance Lobby, Store Room, Meter Room, 
Electrical Panel Room &amp; Parking</t>
  </si>
  <si>
    <t>Lower Ground, Ground, Upper Ground Floor for Parking</t>
  </si>
  <si>
    <t>Upper Ground Floor for Residential, Parking &amp; Society Office</t>
  </si>
  <si>
    <t>1st Floor For Residential</t>
  </si>
  <si>
    <t>4BHK Duplex With 20th Floor</t>
  </si>
  <si>
    <t>Residential Duplex With 19th Floor</t>
  </si>
  <si>
    <t>7th &amp; 14th Floor (As per Approved plan)
7th &amp; 15th Floor (As per builder)</t>
  </si>
  <si>
    <t>8th, 9th, 11th, 12th &amp; 15th Floor (As per Approved plan)
8th, 9th, 11th, 12th &amp; 16th Floor (As per builder)</t>
  </si>
  <si>
    <t>13th Floor For Residential (Part Refuge Area) (As per Approved plan)
14th Floor (As per builder)</t>
  </si>
  <si>
    <t>16th &amp; 17th Floor (As per Approved plan)
17th &amp; 18th Floor (As per builder)</t>
  </si>
  <si>
    <t>18th Floor (As per Approved plan)
19th Floor (As per builder)</t>
  </si>
  <si>
    <t>19th Floor (As per Approved plan)
20th Floor (As per builder)</t>
  </si>
  <si>
    <t>20th Floor (As per Approved plan)
21st Floor (As per builder)</t>
  </si>
  <si>
    <t>Bareshell 
Flat</t>
  </si>
  <si>
    <t>8th, 10th, 11th &amp; 12th Floor</t>
  </si>
  <si>
    <t>15th &amp; 16th Floor (As per Approved plan)
16th &amp; 17th Floor (As per builder)</t>
  </si>
  <si>
    <t>17th Floor (As per Approved plan)
18th Floor (As per builder)</t>
  </si>
  <si>
    <t xml:space="preserve">Upper ground floor flat no. is missing </t>
  </si>
  <si>
    <t>so this flats are not couted</t>
  </si>
  <si>
    <t>The Builder is selling some Flat units (C1 - 2003, C2 -901 &amp; 2003) as Bare Shells.</t>
  </si>
  <si>
    <t>We have updated latest Approved Plans on 22/02/2024.</t>
  </si>
  <si>
    <t>Flats - 148</t>
  </si>
  <si>
    <t>Other Plot</t>
  </si>
  <si>
    <t>Lodha Bellagio Tower B</t>
  </si>
  <si>
    <t xml:space="preserve">Mr. Rajendra Giri 9820248856 </t>
  </si>
  <si>
    <t>We are unable to draft the upper ground floor area because the flat numbering is not mentioned in the approved floor plan.</t>
  </si>
  <si>
    <t>Tower C1 &amp; C2 = 2B + LG + Gr + UG + 1st to 20th Floor</t>
  </si>
  <si>
    <t>Tower C1 = B2 + B1 + LG + Gr + UG + 1st to 28th Floor</t>
  </si>
  <si>
    <t>Tower C2 = B2 + B1 + LG + Gr + UG + 1st to 26th Floor</t>
  </si>
  <si>
    <t>CE/1090/BPES/AS/FCC/6/Amend</t>
  </si>
  <si>
    <t>This CC is endorsed and Full CC is granted for core of staircase, lift &amp; lift lobby from 19th floor to top slab level of 20th floors for wing C1 and from 12th floor to top slab level of 20th floors for wing C2, as per last approved amended plans dated 14.02.2025, subject to timely renewal of B.G., SWM NOC, Workmen’s compensation policy and taking all sorts of precautions during construction along with precautionary measures for air pollution.</t>
  </si>
  <si>
    <t>We have updated revised CC on 28/02/2025.</t>
  </si>
  <si>
    <t xml:space="preserve">Fire NOC No
Valid Up to: </t>
  </si>
  <si>
    <t>Wing C1 &amp; C2 = 2B + LG + Gr + UG + 1st to 20th Floor (Total Height = 71.65 mtrs.)</t>
  </si>
  <si>
    <t>CE/1090/BPES/AS-CFO-1</t>
  </si>
  <si>
    <t>Please Check for Environmental Clearance certificate.</t>
  </si>
  <si>
    <t>Mr. Arvind : 9773123409</t>
  </si>
  <si>
    <t>12/08/2025.</t>
  </si>
  <si>
    <t>14/02/2025.</t>
  </si>
  <si>
    <t>25/02/2025.</t>
  </si>
  <si>
    <t xml:space="preserve">31/08/2025.
</t>
  </si>
  <si>
    <t>09/01/2025.</t>
  </si>
  <si>
    <t>Shruti Tathare</t>
  </si>
  <si>
    <t>Tower C = P51800033966
Tower D = P51800034759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</si>
</sst>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4" fillId="0" borderId="0" applyNumberFormat="0" applyFill="0" applyBorder="0" applyAlignment="0" applyProtection="0"/>
  </cellStyleXfs>
  <cellXfs count="271">
    <xf numFmtId="0" fontId="0" fillId="0" borderId="0" xfId="0"/>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9" fontId="8" fillId="0" borderId="17" xfId="8" applyFont="1" applyFill="1" applyBorder="1" applyAlignment="1" applyProtection="1">
      <alignment horizontal="center" vertical="top" wrapText="1"/>
      <protection locked="0"/>
    </xf>
    <xf numFmtId="0" fontId="17" fillId="0" borderId="0" xfId="0" applyFont="1" applyFill="1" applyBorder="1" applyProtection="1">
      <protection hidden="1"/>
    </xf>
    <xf numFmtId="0" fontId="7" fillId="0" borderId="9" xfId="1" applyFont="1" applyFill="1" applyBorder="1" applyProtection="1">
      <protection hidden="1"/>
    </xf>
    <xf numFmtId="0" fontId="7" fillId="0" borderId="0" xfId="1" applyFont="1" applyFill="1" applyBorder="1" applyProtection="1">
      <protection hidden="1"/>
    </xf>
    <xf numFmtId="0" fontId="17" fillId="0" borderId="12" xfId="0" applyFont="1" applyFill="1" applyBorder="1" applyProtection="1">
      <protection hidden="1"/>
    </xf>
    <xf numFmtId="0" fontId="12" fillId="0" borderId="3" xfId="1" applyFont="1" applyFill="1" applyBorder="1" applyAlignment="1" applyProtection="1">
      <alignment horizontal="center" vertical="top"/>
      <protection locked="0"/>
    </xf>
    <xf numFmtId="0" fontId="12" fillId="0" borderId="4" xfId="1" applyFont="1" applyFill="1" applyBorder="1" applyAlignment="1" applyProtection="1">
      <alignment horizontal="center" vertical="top"/>
      <protection locked="0"/>
    </xf>
    <xf numFmtId="0" fontId="6" fillId="0" borderId="1" xfId="1" applyFont="1" applyFill="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applyFill="1"/>
    <xf numFmtId="0" fontId="15" fillId="0" borderId="0" xfId="1" applyFont="1" applyFill="1"/>
    <xf numFmtId="0" fontId="12" fillId="0" borderId="0" xfId="1" applyFont="1" applyFill="1"/>
    <xf numFmtId="1" fontId="7" fillId="0" borderId="0" xfId="1" applyNumberFormat="1" applyFont="1" applyFill="1"/>
    <xf numFmtId="0" fontId="7" fillId="0" borderId="0" xfId="1" applyNumberFormat="1" applyFont="1" applyFill="1"/>
    <xf numFmtId="14" fontId="7" fillId="0" borderId="0" xfId="1" applyNumberFormat="1" applyFont="1" applyFill="1"/>
    <xf numFmtId="0" fontId="7" fillId="0" borderId="0" xfId="1" applyFont="1" applyFill="1" applyProtection="1">
      <protection hidden="1"/>
    </xf>
    <xf numFmtId="0" fontId="23" fillId="0" borderId="0" xfId="1" applyFont="1" applyFill="1"/>
    <xf numFmtId="0" fontId="7" fillId="0" borderId="10" xfId="1" applyFont="1" applyFill="1" applyBorder="1" applyProtection="1">
      <protection hidden="1"/>
    </xf>
    <xf numFmtId="0" fontId="7" fillId="0" borderId="11" xfId="1" applyFont="1" applyFill="1" applyBorder="1" applyProtection="1">
      <protection hidden="1"/>
    </xf>
    <xf numFmtId="0" fontId="7" fillId="0" borderId="11" xfId="1" applyFont="1" applyFill="1" applyBorder="1"/>
    <xf numFmtId="0" fontId="17" fillId="0" borderId="11" xfId="0" applyNumberFormat="1" applyFont="1" applyFill="1" applyBorder="1" applyProtection="1">
      <protection hidden="1"/>
    </xf>
    <xf numFmtId="1" fontId="0" fillId="0" borderId="11" xfId="0" applyNumberFormat="1" applyFill="1" applyBorder="1"/>
    <xf numFmtId="1" fontId="0" fillId="0" borderId="11" xfId="0" applyNumberFormat="1" applyFill="1" applyBorder="1" applyAlignment="1">
      <alignment horizontal="right"/>
    </xf>
    <xf numFmtId="1" fontId="0" fillId="0" borderId="13" xfId="0" applyNumberFormat="1" applyFill="1" applyBorder="1"/>
    <xf numFmtId="0" fontId="16" fillId="0" borderId="0" xfId="1" applyFont="1" applyFill="1"/>
    <xf numFmtId="0" fontId="6" fillId="0" borderId="0" xfId="2" applyFont="1" applyFill="1"/>
    <xf numFmtId="0" fontId="7" fillId="0" borderId="0" xfId="0" applyFont="1" applyFill="1" applyAlignment="1">
      <alignment horizontal="center" vertical="center"/>
    </xf>
    <xf numFmtId="1" fontId="7" fillId="0" borderId="0" xfId="1" applyNumberFormat="1" applyFont="1" applyFill="1" applyAlignment="1">
      <alignment horizontal="center" vertical="center"/>
    </xf>
    <xf numFmtId="0" fontId="7" fillId="0" borderId="0" xfId="1" applyNumberFormat="1" applyFont="1" applyFill="1" applyAlignment="1">
      <alignment horizontal="center" vertical="center"/>
    </xf>
    <xf numFmtId="0" fontId="8" fillId="0" borderId="0" xfId="1" applyFont="1" applyFill="1" applyBorder="1" applyAlignment="1" applyProtection="1">
      <alignment vertical="top"/>
      <protection locked="0"/>
    </xf>
    <xf numFmtId="0" fontId="8" fillId="0" borderId="0" xfId="1" applyFont="1" applyFill="1" applyBorder="1" applyAlignment="1" applyProtection="1">
      <alignment vertical="top" wrapText="1"/>
      <protection locked="0"/>
    </xf>
    <xf numFmtId="0" fontId="7" fillId="0" borderId="0" xfId="1" applyFont="1" applyFill="1" applyProtection="1">
      <protection locked="0"/>
    </xf>
    <xf numFmtId="0" fontId="10" fillId="0" borderId="0" xfId="1" applyFont="1" applyFill="1" applyProtection="1">
      <protection locked="0"/>
    </xf>
    <xf numFmtId="1" fontId="6" fillId="0" borderId="1" xfId="1" applyNumberFormat="1" applyFont="1" applyFill="1" applyBorder="1" applyAlignment="1" applyProtection="1">
      <alignment horizontal="center" vertical="center" wrapText="1"/>
      <protection locked="0"/>
    </xf>
    <xf numFmtId="1" fontId="8" fillId="0" borderId="2" xfId="1" applyNumberFormat="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0" fontId="7" fillId="0" borderId="6" xfId="1" applyFont="1" applyFill="1" applyBorder="1" applyAlignment="1" applyProtection="1">
      <alignment horizontal="center" vertical="top" wrapText="1"/>
      <protection locked="0"/>
    </xf>
    <xf numFmtId="0" fontId="8" fillId="0" borderId="1" xfId="1" applyFont="1" applyFill="1" applyBorder="1" applyAlignment="1" applyProtection="1">
      <alignment vertical="top"/>
      <protection locked="0"/>
    </xf>
    <xf numFmtId="1" fontId="6" fillId="0" borderId="1" xfId="0"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0" fontId="12" fillId="0" borderId="1" xfId="1" applyFont="1" applyFill="1" applyBorder="1" applyAlignment="1" applyProtection="1">
      <alignment horizontal="center" vertical="top"/>
      <protection locked="0"/>
    </xf>
    <xf numFmtId="1" fontId="6" fillId="0" borderId="1" xfId="0" applyNumberFormat="1" applyFont="1" applyFill="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top" wrapText="1"/>
      <protection locked="0"/>
    </xf>
    <xf numFmtId="167" fontId="7" fillId="0" borderId="0" xfId="1" applyNumberFormat="1" applyFont="1" applyFill="1"/>
    <xf numFmtId="1" fontId="6" fillId="0" borderId="1" xfId="0"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0" fontId="7" fillId="0" borderId="0" xfId="1" applyFont="1" applyFill="1" applyAlignment="1">
      <alignment horizontal="center" vertical="center"/>
    </xf>
    <xf numFmtId="0" fontId="7" fillId="0" borderId="1" xfId="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top"/>
      <protection locked="0"/>
    </xf>
    <xf numFmtId="1" fontId="13" fillId="0" borderId="1" xfId="0"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0" fontId="7" fillId="0" borderId="0" xfId="1" applyFont="1" applyFill="1" applyAlignment="1">
      <alignment horizontal="center" vertical="center"/>
    </xf>
    <xf numFmtId="0" fontId="7" fillId="0" borderId="0" xfId="1" applyFont="1" applyFill="1" applyAlignment="1">
      <alignment horizontal="center" vertical="center"/>
    </xf>
    <xf numFmtId="0" fontId="7" fillId="0" borderId="0" xfId="1" applyFont="1" applyFill="1" applyAlignment="1">
      <alignment horizontal="center" vertical="center"/>
    </xf>
    <xf numFmtId="1" fontId="6" fillId="0" borderId="1" xfId="0" applyNumberFormat="1" applyFont="1" applyFill="1" applyBorder="1" applyAlignment="1" applyProtection="1">
      <alignment horizontal="center" vertical="center" wrapText="1"/>
      <protection locked="0"/>
    </xf>
    <xf numFmtId="2" fontId="7" fillId="0" borderId="0" xfId="1" applyNumberFormat="1" applyFont="1" applyFill="1" applyAlignment="1">
      <alignment horizontal="center" vertical="center"/>
    </xf>
    <xf numFmtId="2" fontId="15" fillId="0" borderId="0" xfId="1" applyNumberFormat="1" applyFont="1" applyFill="1" applyAlignment="1">
      <alignment horizontal="center" vertical="center"/>
    </xf>
    <xf numFmtId="2" fontId="15" fillId="0" borderId="0" xfId="1" applyNumberFormat="1" applyFont="1" applyFill="1" applyAlignment="1">
      <alignment horizontal="left" vertical="center"/>
    </xf>
    <xf numFmtId="0" fontId="15" fillId="0" borderId="0" xfId="0" applyFont="1" applyFill="1" applyAlignment="1">
      <alignment horizontal="center" vertical="center"/>
    </xf>
    <xf numFmtId="1" fontId="7" fillId="0" borderId="1" xfId="1" applyNumberFormat="1" applyFont="1" applyFill="1" applyBorder="1" applyAlignment="1">
      <alignment horizontal="center" vertical="center"/>
    </xf>
    <xf numFmtId="1" fontId="15" fillId="0" borderId="1" xfId="1" applyNumberFormat="1" applyFont="1" applyFill="1" applyBorder="1" applyAlignment="1" applyProtection="1">
      <alignment horizontal="center" vertical="center" wrapText="1"/>
      <protection locked="0"/>
    </xf>
    <xf numFmtId="1" fontId="12" fillId="0" borderId="1" xfId="1" applyNumberFormat="1" applyFont="1" applyFill="1" applyBorder="1" applyAlignment="1" applyProtection="1">
      <alignment horizontal="center" vertical="center" wrapText="1"/>
      <protection locked="0"/>
    </xf>
    <xf numFmtId="1" fontId="12" fillId="0" borderId="1" xfId="1" applyNumberFormat="1" applyFont="1" applyFill="1" applyBorder="1" applyAlignment="1">
      <alignment horizontal="center" vertical="center"/>
    </xf>
    <xf numFmtId="0" fontId="7" fillId="0" borderId="0" xfId="0" applyFont="1" applyFill="1" applyAlignment="1">
      <alignment horizontal="left" vertical="center"/>
    </xf>
    <xf numFmtId="1" fontId="6" fillId="0" borderId="1" xfId="0"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top" wrapText="1"/>
      <protection locked="0"/>
    </xf>
    <xf numFmtId="9" fontId="7" fillId="0" borderId="2" xfId="8"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8" fillId="0" borderId="7" xfId="1" applyNumberFormat="1" applyFont="1" applyFill="1" applyBorder="1" applyAlignment="1" applyProtection="1">
      <alignment horizontal="center" vertical="center" wrapText="1"/>
      <protection locked="0"/>
    </xf>
    <xf numFmtId="1" fontId="8" fillId="0" borderId="22" xfId="1" applyNumberFormat="1" applyFont="1" applyFill="1" applyBorder="1" applyAlignment="1" applyProtection="1">
      <alignment horizontal="center" vertical="center" wrapText="1"/>
      <protection locked="0"/>
    </xf>
    <xf numFmtId="1" fontId="8" fillId="0" borderId="8" xfId="1" applyNumberFormat="1" applyFont="1" applyFill="1" applyBorder="1" applyAlignment="1" applyProtection="1">
      <alignment horizontal="center" vertical="center" wrapText="1"/>
      <protection locked="0"/>
    </xf>
    <xf numFmtId="1" fontId="6" fillId="0" borderId="7" xfId="1" applyNumberFormat="1" applyFont="1" applyFill="1" applyBorder="1" applyAlignment="1" applyProtection="1">
      <alignment horizontal="center" vertical="center" wrapText="1"/>
      <protection locked="0"/>
    </xf>
    <xf numFmtId="1" fontId="6" fillId="0" borderId="8" xfId="1"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1" fontId="13" fillId="0" borderId="7" xfId="0" applyNumberFormat="1" applyFont="1" applyFill="1" applyBorder="1" applyAlignment="1" applyProtection="1">
      <alignment vertical="top" wrapText="1"/>
      <protection locked="0"/>
    </xf>
    <xf numFmtId="1" fontId="13" fillId="0" borderId="22" xfId="0" applyNumberFormat="1" applyFont="1" applyFill="1" applyBorder="1" applyAlignment="1" applyProtection="1">
      <alignment vertical="top" wrapText="1"/>
      <protection locked="0"/>
    </xf>
    <xf numFmtId="1" fontId="13" fillId="0" borderId="8" xfId="0" applyNumberFormat="1" applyFont="1" applyFill="1" applyBorder="1" applyAlignment="1" applyProtection="1">
      <alignment vertical="top" wrapText="1"/>
      <protection locked="0"/>
    </xf>
    <xf numFmtId="1" fontId="8" fillId="0" borderId="1" xfId="1" applyNumberFormat="1" applyFont="1" applyFill="1" applyBorder="1" applyAlignment="1" applyProtection="1">
      <alignment horizontal="center" vertical="center" wrapText="1"/>
      <protection locked="0"/>
    </xf>
    <xf numFmtId="1" fontId="6" fillId="0" borderId="18" xfId="1" applyNumberFormat="1" applyFont="1" applyFill="1" applyBorder="1" applyAlignment="1" applyProtection="1">
      <alignment horizontal="center" vertical="center" wrapText="1"/>
      <protection locked="0"/>
    </xf>
    <xf numFmtId="1" fontId="6" fillId="0" borderId="19" xfId="1" applyNumberFormat="1" applyFont="1" applyFill="1" applyBorder="1" applyAlignment="1" applyProtection="1">
      <alignment horizontal="center" vertical="center" wrapText="1"/>
      <protection locked="0"/>
    </xf>
    <xf numFmtId="1" fontId="6" fillId="0" borderId="26" xfId="1" applyNumberFormat="1" applyFont="1" applyFill="1" applyBorder="1" applyAlignment="1" applyProtection="1">
      <alignment horizontal="center" vertical="center" wrapText="1"/>
      <protection locked="0"/>
    </xf>
    <xf numFmtId="1" fontId="6" fillId="0" borderId="27" xfId="1" applyNumberFormat="1" applyFont="1" applyFill="1" applyBorder="1" applyAlignment="1" applyProtection="1">
      <alignment horizontal="center" vertical="center" wrapText="1"/>
      <protection locked="0"/>
    </xf>
    <xf numFmtId="1" fontId="6" fillId="0" borderId="20" xfId="1" applyNumberFormat="1" applyFont="1" applyFill="1" applyBorder="1" applyAlignment="1" applyProtection="1">
      <alignment horizontal="center" vertical="center" wrapText="1"/>
      <protection locked="0"/>
    </xf>
    <xf numFmtId="1" fontId="6" fillId="0" borderId="21" xfId="1" applyNumberFormat="1" applyFont="1" applyFill="1" applyBorder="1" applyAlignment="1" applyProtection="1">
      <alignment horizontal="center" vertical="center" wrapText="1"/>
      <protection locked="0"/>
    </xf>
    <xf numFmtId="1" fontId="8" fillId="3" borderId="1"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wrapText="1"/>
      <protection locked="0"/>
    </xf>
    <xf numFmtId="1" fontId="7" fillId="0" borderId="2" xfId="0" applyNumberFormat="1" applyFont="1" applyFill="1" applyBorder="1" applyAlignment="1" applyProtection="1">
      <alignment horizontal="center" vertical="center"/>
      <protection locked="0"/>
    </xf>
    <xf numFmtId="1" fontId="7" fillId="0" borderId="34" xfId="0" applyNumberFormat="1" applyFont="1" applyFill="1" applyBorder="1" applyAlignment="1" applyProtection="1">
      <alignment horizontal="center" vertical="center"/>
      <protection locked="0"/>
    </xf>
    <xf numFmtId="1" fontId="7" fillId="0" borderId="35" xfId="0" applyNumberFormat="1"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1" fontId="10" fillId="0" borderId="33" xfId="0" applyNumberFormat="1" applyFont="1" applyFill="1" applyBorder="1" applyAlignment="1" applyProtection="1">
      <alignment horizontal="center" vertical="center"/>
      <protection locked="0"/>
    </xf>
    <xf numFmtId="0" fontId="7" fillId="0" borderId="3" xfId="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0" fontId="8" fillId="0" borderId="23" xfId="1" applyFont="1" applyFill="1" applyBorder="1" applyAlignment="1" applyProtection="1">
      <alignment horizontal="left" vertical="top" wrapText="1"/>
      <protection locked="0"/>
    </xf>
    <xf numFmtId="0" fontId="8" fillId="0" borderId="16" xfId="1" applyFont="1" applyFill="1" applyBorder="1" applyAlignment="1" applyProtection="1">
      <alignment horizontal="left" vertical="top" wrapText="1"/>
      <protection locked="0"/>
    </xf>
    <xf numFmtId="0" fontId="8" fillId="0" borderId="14" xfId="1" applyFont="1" applyFill="1" applyBorder="1" applyAlignment="1" applyProtection="1">
      <alignment horizontal="left" vertical="top" wrapText="1"/>
      <protection locked="0"/>
    </xf>
    <xf numFmtId="0" fontId="8" fillId="0" borderId="15" xfId="1" applyFont="1" applyFill="1" applyBorder="1" applyAlignment="1" applyProtection="1">
      <alignment horizontal="left" vertical="top" wrapText="1"/>
      <protection locked="0"/>
    </xf>
    <xf numFmtId="0" fontId="8" fillId="0" borderId="24" xfId="1" applyFont="1" applyFill="1" applyBorder="1" applyAlignment="1" applyProtection="1">
      <alignment horizontal="left" vertical="top" wrapText="1"/>
      <protection locked="0"/>
    </xf>
    <xf numFmtId="0" fontId="13" fillId="0" borderId="3"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protection locked="0"/>
    </xf>
    <xf numFmtId="0" fontId="7" fillId="0" borderId="4" xfId="1" applyFont="1" applyFill="1" applyBorder="1" applyAlignment="1" applyProtection="1">
      <alignment horizontal="center" vertical="top" wrapText="1"/>
      <protection locked="0"/>
    </xf>
    <xf numFmtId="0" fontId="24" fillId="0" borderId="1" xfId="10" applyFill="1" applyBorder="1" applyAlignment="1" applyProtection="1">
      <alignment horizontal="left"/>
      <protection locked="0"/>
    </xf>
    <xf numFmtId="0" fontId="7" fillId="0" borderId="1" xfId="1" applyFont="1" applyFill="1" applyBorder="1" applyAlignment="1" applyProtection="1">
      <alignment horizontal="left"/>
      <protection locked="0"/>
    </xf>
    <xf numFmtId="165" fontId="6" fillId="0" borderId="1" xfId="1" applyNumberFormat="1" applyFont="1" applyFill="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10" fillId="0" borderId="1" xfId="0" applyFont="1" applyFill="1" applyBorder="1" applyAlignment="1" applyProtection="1">
      <alignment horizontal="center" vertical="center"/>
      <protection locked="0"/>
    </xf>
    <xf numFmtId="1" fontId="8" fillId="0" borderId="1" xfId="0" applyNumberFormat="1" applyFont="1" applyFill="1" applyBorder="1" applyAlignment="1" applyProtection="1">
      <alignment horizontal="center" vertical="top" wrapText="1"/>
      <protection locked="0"/>
    </xf>
    <xf numFmtId="0" fontId="13" fillId="0" borderId="1" xfId="1" applyFont="1" applyFill="1" applyBorder="1" applyAlignment="1" applyProtection="1">
      <alignment horizontal="left" vertical="top" wrapText="1"/>
      <protection locked="0"/>
    </xf>
    <xf numFmtId="0" fontId="13" fillId="0" borderId="4" xfId="1" applyFont="1" applyFill="1" applyBorder="1" applyAlignment="1" applyProtection="1">
      <alignment horizontal="left" vertical="top" wrapText="1"/>
      <protection locked="0"/>
    </xf>
    <xf numFmtId="1" fontId="13" fillId="3" borderId="7" xfId="1" applyNumberFormat="1" applyFont="1" applyFill="1" applyBorder="1" applyAlignment="1" applyProtection="1">
      <alignment horizontal="center" vertical="center" wrapText="1"/>
      <protection locked="0"/>
    </xf>
    <xf numFmtId="1" fontId="13" fillId="3" borderId="22" xfId="1" applyNumberFormat="1" applyFont="1" applyFill="1" applyBorder="1" applyAlignment="1" applyProtection="1">
      <alignment horizontal="center" vertical="center" wrapText="1"/>
      <protection locked="0"/>
    </xf>
    <xf numFmtId="1" fontId="13" fillId="3" borderId="8" xfId="1"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0" borderId="22"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8" fillId="0" borderId="7" xfId="1" applyFont="1" applyFill="1" applyBorder="1" applyAlignment="1" applyProtection="1">
      <alignment horizontal="left" vertical="top" wrapText="1"/>
      <protection locked="0"/>
    </xf>
    <xf numFmtId="0" fontId="8" fillId="0" borderId="8" xfId="1" applyFont="1" applyFill="1" applyBorder="1" applyAlignment="1" applyProtection="1">
      <alignment horizontal="left" vertical="top" wrapText="1"/>
      <protection locked="0"/>
    </xf>
    <xf numFmtId="1" fontId="6" fillId="0" borderId="1" xfId="1" applyNumberFormat="1" applyFont="1" applyFill="1" applyBorder="1" applyAlignment="1" applyProtection="1">
      <alignment horizontal="left" vertical="top" wrapText="1"/>
      <protection locked="0"/>
    </xf>
    <xf numFmtId="14" fontId="6" fillId="0" borderId="7" xfId="1" applyNumberFormat="1" applyFont="1" applyFill="1" applyBorder="1" applyAlignment="1" applyProtection="1">
      <alignment horizontal="left" vertical="top" wrapText="1"/>
      <protection locked="0"/>
    </xf>
    <xf numFmtId="0" fontId="12" fillId="0" borderId="2" xfId="1" applyFont="1" applyFill="1" applyBorder="1" applyAlignment="1" applyProtection="1">
      <alignment horizontal="left" vertical="top" wrapText="1"/>
      <protection locked="0"/>
    </xf>
    <xf numFmtId="0" fontId="12" fillId="0" borderId="2" xfId="1" applyFont="1" applyFill="1" applyBorder="1" applyAlignment="1" applyProtection="1">
      <alignment horizontal="left" vertical="top"/>
      <protection locked="0"/>
    </xf>
    <xf numFmtId="0" fontId="12" fillId="0" borderId="18"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19" xfId="1" applyFont="1" applyFill="1" applyBorder="1" applyAlignment="1" applyProtection="1">
      <alignment horizontal="left" vertical="top" wrapText="1"/>
      <protection locked="0"/>
    </xf>
    <xf numFmtId="0" fontId="12" fillId="0" borderId="20"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12" fillId="0" borderId="21" xfId="1" applyFont="1" applyFill="1" applyBorder="1" applyAlignment="1" applyProtection="1">
      <alignment horizontal="left" vertical="top" wrapText="1"/>
      <protection locked="0"/>
    </xf>
    <xf numFmtId="0" fontId="6" fillId="0" borderId="18" xfId="1" applyFont="1" applyFill="1" applyBorder="1" applyAlignment="1" applyProtection="1">
      <alignment horizontal="left" vertical="top" wrapText="1"/>
      <protection locked="0"/>
    </xf>
    <xf numFmtId="0" fontId="6" fillId="0" borderId="19" xfId="1" applyFont="1" applyFill="1" applyBorder="1" applyAlignment="1" applyProtection="1">
      <alignment horizontal="left" vertical="top" wrapText="1"/>
      <protection locked="0"/>
    </xf>
    <xf numFmtId="0" fontId="6" fillId="0" borderId="20" xfId="1" applyFont="1" applyFill="1" applyBorder="1" applyAlignment="1" applyProtection="1">
      <alignment horizontal="left" vertical="top" wrapText="1"/>
      <protection locked="0"/>
    </xf>
    <xf numFmtId="0" fontId="6" fillId="0" borderId="21" xfId="1" applyFont="1" applyFill="1" applyBorder="1" applyAlignment="1" applyProtection="1">
      <alignment horizontal="left" vertical="top" wrapText="1"/>
      <protection locked="0"/>
    </xf>
    <xf numFmtId="167" fontId="13" fillId="0" borderId="1" xfId="9" applyNumberFormat="1" applyFont="1" applyFill="1" applyBorder="1" applyAlignment="1" applyProtection="1">
      <alignment horizontal="left" vertical="top"/>
      <protection locked="0"/>
    </xf>
    <xf numFmtId="9" fontId="7" fillId="0" borderId="18" xfId="8" applyFont="1" applyFill="1" applyBorder="1" applyAlignment="1" applyProtection="1">
      <alignment horizontal="center" vertical="center" wrapText="1"/>
      <protection locked="0"/>
    </xf>
    <xf numFmtId="9" fontId="7" fillId="0" borderId="19"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36" xfId="1" applyFont="1" applyFill="1" applyBorder="1" applyAlignment="1" applyProtection="1">
      <alignment horizontal="center" vertical="top" wrapText="1"/>
      <protection locked="0"/>
    </xf>
    <xf numFmtId="0" fontId="7" fillId="0" borderId="2" xfId="1" applyFont="1" applyFill="1" applyBorder="1" applyAlignment="1" applyProtection="1">
      <alignment horizontal="center" vertical="top" wrapText="1"/>
      <protection locked="0"/>
    </xf>
    <xf numFmtId="1" fontId="8" fillId="0" borderId="2" xfId="1" applyNumberFormat="1" applyFont="1" applyFill="1" applyBorder="1" applyAlignment="1" applyProtection="1">
      <alignment horizontal="center" vertical="top" wrapText="1"/>
      <protection locked="0"/>
    </xf>
    <xf numFmtId="1" fontId="8" fillId="0" borderId="17" xfId="1" applyNumberFormat="1" applyFont="1" applyFill="1" applyBorder="1" applyAlignment="1" applyProtection="1">
      <alignment horizontal="center" vertical="top" wrapText="1"/>
      <protection locked="0"/>
    </xf>
    <xf numFmtId="1" fontId="7" fillId="0" borderId="1" xfId="0" applyNumberFormat="1" applyFont="1" applyFill="1" applyBorder="1" applyAlignment="1" applyProtection="1">
      <alignment horizontal="center" vertical="center"/>
      <protection locked="0"/>
    </xf>
    <xf numFmtId="1" fontId="6" fillId="0" borderId="2" xfId="0" applyNumberFormat="1" applyFont="1" applyFill="1" applyBorder="1" applyAlignment="1" applyProtection="1">
      <alignment horizontal="center" vertical="center" wrapText="1"/>
      <protection locked="0"/>
    </xf>
    <xf numFmtId="1" fontId="8" fillId="0" borderId="32" xfId="0" applyNumberFormat="1" applyFont="1" applyFill="1" applyBorder="1" applyAlignment="1" applyProtection="1">
      <alignment horizontal="center" vertical="center" wrapText="1"/>
      <protection locked="0"/>
    </xf>
    <xf numFmtId="1" fontId="8" fillId="0" borderId="33" xfId="0"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left" vertical="top"/>
      <protection locked="0"/>
    </xf>
    <xf numFmtId="0" fontId="8" fillId="0" borderId="1" xfId="1" applyFont="1" applyFill="1" applyBorder="1" applyAlignment="1" applyProtection="1">
      <alignment horizontal="center" vertical="top"/>
      <protection locked="0"/>
    </xf>
    <xf numFmtId="1" fontId="13" fillId="0" borderId="1" xfId="0" applyNumberFormat="1" applyFont="1" applyFill="1" applyBorder="1" applyAlignment="1" applyProtection="1">
      <alignment horizontal="center" vertical="center" wrapText="1"/>
      <protection locked="0"/>
    </xf>
    <xf numFmtId="1" fontId="13" fillId="0" borderId="7" xfId="0" applyNumberFormat="1" applyFont="1" applyFill="1" applyBorder="1" applyAlignment="1" applyProtection="1">
      <alignment horizontal="center" vertical="top" wrapText="1"/>
      <protection locked="0"/>
    </xf>
    <xf numFmtId="1" fontId="13" fillId="0" borderId="22" xfId="0" applyNumberFormat="1" applyFont="1" applyFill="1" applyBorder="1" applyAlignment="1" applyProtection="1">
      <alignment horizontal="center" vertical="top" wrapText="1"/>
      <protection locked="0"/>
    </xf>
    <xf numFmtId="1" fontId="13" fillId="0" borderId="8" xfId="0" applyNumberFormat="1" applyFont="1" applyFill="1" applyBorder="1" applyAlignment="1" applyProtection="1">
      <alignment horizontal="center" vertical="top" wrapText="1"/>
      <protection locked="0"/>
    </xf>
    <xf numFmtId="1" fontId="13" fillId="0" borderId="1" xfId="0" applyNumberFormat="1" applyFont="1" applyFill="1" applyBorder="1" applyAlignment="1" applyProtection="1">
      <alignment horizontal="center" vertical="top" wrapText="1"/>
      <protection locked="0"/>
    </xf>
    <xf numFmtId="1" fontId="8" fillId="0" borderId="7" xfId="0" applyNumberFormat="1" applyFont="1" applyFill="1" applyBorder="1" applyAlignment="1" applyProtection="1">
      <alignment vertical="top" wrapText="1"/>
      <protection locked="0"/>
    </xf>
    <xf numFmtId="1" fontId="8" fillId="0" borderId="22" xfId="0" applyNumberFormat="1" applyFont="1" applyFill="1" applyBorder="1" applyAlignment="1" applyProtection="1">
      <alignment vertical="top" wrapText="1"/>
      <protection locked="0"/>
    </xf>
    <xf numFmtId="1" fontId="8" fillId="0" borderId="8" xfId="0" applyNumberFormat="1" applyFont="1" applyFill="1" applyBorder="1" applyAlignment="1" applyProtection="1">
      <alignment vertical="top" wrapText="1"/>
      <protection locked="0"/>
    </xf>
    <xf numFmtId="0" fontId="7" fillId="0" borderId="5" xfId="1" applyFont="1" applyFill="1" applyBorder="1" applyAlignment="1" applyProtection="1">
      <alignment horizontal="center" vertical="top" wrapText="1"/>
      <protection locked="0"/>
    </xf>
    <xf numFmtId="0" fontId="7" fillId="0" borderId="6" xfId="1" applyFont="1" applyFill="1" applyBorder="1" applyAlignment="1" applyProtection="1">
      <alignment horizontal="center" vertical="top" wrapText="1"/>
      <protection locked="0"/>
    </xf>
    <xf numFmtId="9" fontId="7" fillId="0" borderId="29" xfId="8" applyFont="1" applyFill="1" applyBorder="1" applyAlignment="1" applyProtection="1">
      <alignment horizontal="center" vertical="center" wrapText="1"/>
      <protection locked="0"/>
    </xf>
    <xf numFmtId="9" fontId="7" fillId="0" borderId="30" xfId="8" applyFont="1" applyFill="1" applyBorder="1" applyAlignment="1" applyProtection="1">
      <alignment horizontal="center" vertical="center" wrapText="1"/>
      <protection locked="0"/>
    </xf>
    <xf numFmtId="9" fontId="7" fillId="0" borderId="13" xfId="8" applyFont="1" applyFill="1" applyBorder="1" applyAlignment="1" applyProtection="1">
      <alignment horizontal="center" vertical="center" wrapText="1"/>
      <protection locked="0"/>
    </xf>
    <xf numFmtId="0" fontId="13" fillId="0" borderId="18" xfId="1" applyFont="1" applyFill="1" applyBorder="1" applyAlignment="1" applyProtection="1">
      <alignment horizontal="center" vertical="top" wrapText="1"/>
      <protection locked="0"/>
    </xf>
    <xf numFmtId="0" fontId="13" fillId="0" borderId="25" xfId="1" applyFont="1" applyFill="1" applyBorder="1" applyAlignment="1" applyProtection="1">
      <alignment horizontal="center" vertical="top" wrapText="1"/>
      <protection locked="0"/>
    </xf>
    <xf numFmtId="0" fontId="13" fillId="0" borderId="19" xfId="1" applyFont="1" applyFill="1" applyBorder="1" applyAlignment="1" applyProtection="1">
      <alignment horizontal="center" vertical="top" wrapText="1"/>
      <protection locked="0"/>
    </xf>
    <xf numFmtId="0" fontId="13" fillId="0" borderId="26" xfId="1" applyFont="1" applyFill="1" applyBorder="1" applyAlignment="1" applyProtection="1">
      <alignment horizontal="center" vertical="top" wrapText="1"/>
      <protection locked="0"/>
    </xf>
    <xf numFmtId="0" fontId="13" fillId="0" borderId="0" xfId="1" applyFont="1" applyFill="1" applyBorder="1" applyAlignment="1" applyProtection="1">
      <alignment horizontal="center" vertical="top" wrapText="1"/>
      <protection locked="0"/>
    </xf>
    <xf numFmtId="0" fontId="13" fillId="0" borderId="27" xfId="1" applyFont="1" applyFill="1" applyBorder="1" applyAlignment="1" applyProtection="1">
      <alignment horizontal="center" vertical="top" wrapText="1"/>
      <protection locked="0"/>
    </xf>
    <xf numFmtId="0" fontId="13" fillId="0" borderId="20" xfId="1" applyFont="1" applyFill="1" applyBorder="1" applyAlignment="1" applyProtection="1">
      <alignment horizontal="center" vertical="top" wrapText="1"/>
      <protection locked="0"/>
    </xf>
    <xf numFmtId="0" fontId="13" fillId="0" borderId="31" xfId="1" applyFont="1" applyFill="1" applyBorder="1" applyAlignment="1" applyProtection="1">
      <alignment horizontal="center" vertical="top" wrapText="1"/>
      <protection locked="0"/>
    </xf>
    <xf numFmtId="0" fontId="13" fillId="0" borderId="21"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0" fontId="6" fillId="0" borderId="7" xfId="1" applyFont="1" applyFill="1" applyBorder="1" applyAlignment="1" applyProtection="1">
      <alignment horizontal="left" vertical="top"/>
      <protection locked="0"/>
    </xf>
    <xf numFmtId="0" fontId="6" fillId="0" borderId="22" xfId="1" applyFont="1" applyFill="1" applyBorder="1" applyAlignment="1" applyProtection="1">
      <alignment horizontal="left" vertical="top"/>
      <protection locked="0"/>
    </xf>
    <xf numFmtId="0" fontId="6" fillId="0" borderId="8" xfId="1" applyFont="1" applyFill="1" applyBorder="1" applyAlignment="1" applyProtection="1">
      <alignment horizontal="left" vertical="top"/>
      <protection locked="0"/>
    </xf>
    <xf numFmtId="1" fontId="8" fillId="0" borderId="1" xfId="0" applyNumberFormat="1" applyFont="1" applyFill="1" applyBorder="1" applyAlignment="1" applyProtection="1">
      <alignment horizontal="center" vertical="center" wrapText="1"/>
      <protection locked="0"/>
    </xf>
    <xf numFmtId="1" fontId="8" fillId="0" borderId="7" xfId="0" applyNumberFormat="1" applyFont="1" applyFill="1" applyBorder="1" applyAlignment="1" applyProtection="1">
      <alignment horizontal="left" vertical="top" wrapText="1"/>
      <protection locked="0"/>
    </xf>
    <xf numFmtId="1" fontId="8" fillId="0" borderId="22" xfId="0" applyNumberFormat="1" applyFont="1" applyFill="1" applyBorder="1" applyAlignment="1" applyProtection="1">
      <alignment horizontal="left" vertical="top" wrapText="1"/>
      <protection locked="0"/>
    </xf>
    <xf numFmtId="1" fontId="8" fillId="0" borderId="8" xfId="0" applyNumberFormat="1" applyFont="1" applyFill="1" applyBorder="1" applyAlignment="1" applyProtection="1">
      <alignment horizontal="left" vertical="top" wrapText="1"/>
      <protection locked="0"/>
    </xf>
    <xf numFmtId="1" fontId="13" fillId="0" borderId="7" xfId="0" applyNumberFormat="1" applyFont="1" applyFill="1" applyBorder="1" applyAlignment="1" applyProtection="1">
      <alignment horizontal="center" vertical="center" wrapText="1"/>
      <protection locked="0"/>
    </xf>
    <xf numFmtId="1" fontId="13" fillId="0" borderId="22" xfId="0" applyNumberFormat="1" applyFont="1" applyFill="1" applyBorder="1" applyAlignment="1" applyProtection="1">
      <alignment horizontal="center" vertical="center" wrapText="1"/>
      <protection locked="0"/>
    </xf>
    <xf numFmtId="1" fontId="13" fillId="0" borderId="8" xfId="0" applyNumberFormat="1" applyFont="1" applyFill="1" applyBorder="1" applyAlignment="1" applyProtection="1">
      <alignment horizontal="center" vertical="center" wrapText="1"/>
      <protection locked="0"/>
    </xf>
    <xf numFmtId="0" fontId="6" fillId="0" borderId="7" xfId="1" applyFont="1" applyFill="1" applyBorder="1" applyAlignment="1" applyProtection="1">
      <alignment vertical="top"/>
      <protection locked="0"/>
    </xf>
    <xf numFmtId="0" fontId="6" fillId="0" borderId="22" xfId="1" applyFont="1" applyFill="1" applyBorder="1" applyAlignment="1" applyProtection="1">
      <alignment vertical="top"/>
      <protection locked="0"/>
    </xf>
    <xf numFmtId="0" fontId="6" fillId="0" borderId="8" xfId="1" applyFont="1" applyFill="1" applyBorder="1" applyAlignment="1" applyProtection="1">
      <alignment vertical="top"/>
      <protection locked="0"/>
    </xf>
    <xf numFmtId="0" fontId="6" fillId="0" borderId="2" xfId="1" applyFont="1" applyFill="1" applyBorder="1" applyAlignment="1" applyProtection="1">
      <alignment horizontal="left" vertical="top" wrapText="1"/>
      <protection locked="0"/>
    </xf>
    <xf numFmtId="0" fontId="8" fillId="0" borderId="7" xfId="1" applyFont="1" applyFill="1" applyBorder="1" applyAlignment="1" applyProtection="1">
      <alignment horizontal="center" vertical="top"/>
      <protection locked="0"/>
    </xf>
    <xf numFmtId="0" fontId="8" fillId="0" borderId="22" xfId="1" applyFont="1" applyFill="1" applyBorder="1" applyAlignment="1" applyProtection="1">
      <alignment horizontal="center" vertical="top"/>
      <protection locked="0"/>
    </xf>
    <xf numFmtId="0" fontId="8" fillId="0" borderId="8" xfId="1" applyFont="1" applyFill="1" applyBorder="1" applyAlignment="1" applyProtection="1">
      <alignment horizontal="center" vertical="top"/>
      <protection locked="0"/>
    </xf>
    <xf numFmtId="0" fontId="12" fillId="0" borderId="1" xfId="1" applyFont="1" applyFill="1" applyBorder="1" applyAlignment="1" applyProtection="1">
      <alignment horizontal="left" vertical="top"/>
      <protection locked="0"/>
    </xf>
    <xf numFmtId="0" fontId="13" fillId="0" borderId="7" xfId="1" applyFont="1" applyFill="1" applyBorder="1" applyAlignment="1" applyProtection="1">
      <alignment horizontal="left" vertical="top" wrapText="1"/>
      <protection locked="0"/>
    </xf>
    <xf numFmtId="0" fontId="13" fillId="0" borderId="22" xfId="1" applyFont="1" applyFill="1" applyBorder="1" applyAlignment="1" applyProtection="1">
      <alignment horizontal="left" vertical="top"/>
      <protection locked="0"/>
    </xf>
    <xf numFmtId="0" fontId="13" fillId="0" borderId="8" xfId="1" applyFont="1" applyFill="1" applyBorder="1" applyAlignment="1" applyProtection="1">
      <alignment horizontal="left" vertical="top"/>
      <protection locked="0"/>
    </xf>
    <xf numFmtId="0" fontId="8" fillId="0" borderId="22" xfId="1" applyFont="1" applyFill="1" applyBorder="1" applyAlignment="1" applyProtection="1">
      <alignment horizontal="left" vertical="top" wrapText="1"/>
      <protection locked="0"/>
    </xf>
    <xf numFmtId="0" fontId="8" fillId="0" borderId="1" xfId="1" applyFont="1" applyFill="1" applyBorder="1" applyAlignment="1" applyProtection="1">
      <alignment vertical="top"/>
      <protection locked="0"/>
    </xf>
    <xf numFmtId="0" fontId="8" fillId="0" borderId="7" xfId="1" applyFont="1" applyFill="1" applyBorder="1" applyAlignment="1" applyProtection="1">
      <alignment horizontal="left" vertical="top"/>
      <protection locked="0"/>
    </xf>
    <xf numFmtId="0" fontId="8" fillId="0" borderId="8" xfId="1" applyFont="1" applyFill="1" applyBorder="1" applyAlignment="1" applyProtection="1">
      <alignment horizontal="left" vertical="top"/>
      <protection locked="0"/>
    </xf>
    <xf numFmtId="2" fontId="6" fillId="0" borderId="1" xfId="1" applyNumberFormat="1" applyFont="1" applyFill="1" applyBorder="1" applyAlignment="1" applyProtection="1">
      <alignment horizontal="left" vertical="top"/>
      <protection locked="0"/>
    </xf>
    <xf numFmtId="0" fontId="11" fillId="0" borderId="1" xfId="1" applyFont="1" applyFill="1" applyBorder="1" applyAlignment="1" applyProtection="1">
      <alignment horizontal="center" vertical="top" wrapText="1"/>
      <protection locked="0"/>
    </xf>
    <xf numFmtId="14" fontId="12" fillId="0" borderId="1" xfId="1" applyNumberFormat="1" applyFont="1" applyFill="1" applyBorder="1" applyAlignment="1" applyProtection="1">
      <alignment horizontal="left" vertical="top"/>
      <protection locked="0"/>
    </xf>
    <xf numFmtId="0" fontId="6" fillId="0" borderId="18" xfId="1" applyFont="1" applyFill="1" applyBorder="1" applyAlignment="1" applyProtection="1">
      <alignment horizontal="left" vertical="top"/>
      <protection locked="0"/>
    </xf>
    <xf numFmtId="0" fontId="6" fillId="0" borderId="25" xfId="1" applyFont="1" applyFill="1" applyBorder="1" applyAlignment="1" applyProtection="1">
      <alignment horizontal="left" vertical="top"/>
      <protection locked="0"/>
    </xf>
    <xf numFmtId="0" fontId="6" fillId="0" borderId="19" xfId="1" applyFont="1" applyFill="1" applyBorder="1" applyAlignment="1" applyProtection="1">
      <alignment horizontal="left" vertical="top"/>
      <protection locked="0"/>
    </xf>
    <xf numFmtId="0" fontId="6" fillId="0" borderId="20" xfId="1" applyFont="1" applyFill="1" applyBorder="1" applyAlignment="1" applyProtection="1">
      <alignment horizontal="left" vertical="top"/>
      <protection locked="0"/>
    </xf>
    <xf numFmtId="0" fontId="6" fillId="0" borderId="31" xfId="1" applyFont="1" applyFill="1" applyBorder="1" applyAlignment="1" applyProtection="1">
      <alignment horizontal="left" vertical="top"/>
      <protection locked="0"/>
    </xf>
    <xf numFmtId="0" fontId="6" fillId="0" borderId="21" xfId="1" applyFont="1" applyFill="1" applyBorder="1" applyAlignment="1" applyProtection="1">
      <alignment horizontal="left" vertical="top"/>
      <protection locked="0"/>
    </xf>
    <xf numFmtId="0" fontId="12" fillId="0" borderId="1" xfId="1" applyFont="1" applyFill="1" applyBorder="1" applyAlignment="1" applyProtection="1">
      <alignment horizontal="left"/>
      <protection locked="0"/>
    </xf>
    <xf numFmtId="0" fontId="12" fillId="0" borderId="1" xfId="1" applyFont="1" applyFill="1" applyBorder="1" applyAlignment="1" applyProtection="1">
      <alignment horizontal="center"/>
      <protection locked="0"/>
    </xf>
    <xf numFmtId="0" fontId="12" fillId="0" borderId="1" xfId="1" applyFont="1" applyFill="1" applyBorder="1" applyAlignment="1" applyProtection="1">
      <alignment horizontal="center" vertical="top"/>
      <protection locked="0"/>
    </xf>
    <xf numFmtId="2" fontId="6" fillId="0" borderId="1" xfId="1" applyNumberFormat="1" applyFont="1" applyFill="1" applyBorder="1" applyAlignment="1" applyProtection="1">
      <alignment horizontal="left" vertical="top" wrapText="1"/>
      <protection locked="0"/>
    </xf>
    <xf numFmtId="0" fontId="13" fillId="0" borderId="1" xfId="1" applyFont="1" applyFill="1" applyBorder="1" applyAlignment="1" applyProtection="1">
      <alignment horizontal="center" vertical="top"/>
      <protection locked="0"/>
    </xf>
    <xf numFmtId="0" fontId="7" fillId="0" borderId="1" xfId="1" applyFont="1" applyFill="1" applyBorder="1" applyAlignment="1" applyProtection="1">
      <alignment horizontal="center"/>
      <protection locked="0"/>
    </xf>
    <xf numFmtId="0" fontId="6"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protection locked="0"/>
    </xf>
    <xf numFmtId="0" fontId="10" fillId="0" borderId="1" xfId="0" applyFont="1" applyFill="1" applyBorder="1" applyAlignment="1" applyProtection="1">
      <alignment horizontal="center" vertical="top" wrapText="1"/>
      <protection locked="0"/>
    </xf>
    <xf numFmtId="0" fontId="8" fillId="0" borderId="14" xfId="1" applyFont="1" applyFill="1" applyBorder="1" applyAlignment="1" applyProtection="1">
      <alignment horizontal="center" vertical="top"/>
      <protection locked="0"/>
    </xf>
    <xf numFmtId="0" fontId="8" fillId="0" borderId="15" xfId="1" applyFont="1" applyFill="1" applyBorder="1" applyAlignment="1" applyProtection="1">
      <alignment horizontal="center" vertical="top"/>
      <protection locked="0"/>
    </xf>
    <xf numFmtId="0" fontId="8" fillId="0" borderId="16" xfId="1" applyFont="1" applyFill="1" applyBorder="1" applyAlignment="1" applyProtection="1">
      <alignment horizontal="center" vertical="top"/>
      <protection locked="0"/>
    </xf>
    <xf numFmtId="1" fontId="10"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 fontId="4" fillId="0" borderId="2" xfId="1" applyNumberFormat="1" applyFont="1" applyFill="1" applyBorder="1" applyAlignment="1" applyProtection="1">
      <alignment horizontal="center" vertical="top" wrapText="1"/>
      <protection locked="0"/>
    </xf>
    <xf numFmtId="1" fontId="4" fillId="0" borderId="17" xfId="1" applyNumberFormat="1" applyFont="1" applyFill="1" applyBorder="1" applyAlignment="1" applyProtection="1">
      <alignment horizontal="center" vertical="top" wrapText="1"/>
      <protection locked="0"/>
    </xf>
    <xf numFmtId="1" fontId="8" fillId="0" borderId="18" xfId="1" applyNumberFormat="1" applyFont="1" applyFill="1" applyBorder="1" applyAlignment="1" applyProtection="1">
      <alignment horizontal="center" vertical="top" wrapText="1"/>
      <protection locked="0"/>
    </xf>
    <xf numFmtId="1" fontId="8" fillId="0" borderId="19" xfId="1" applyNumberFormat="1" applyFont="1" applyFill="1" applyBorder="1" applyAlignment="1" applyProtection="1">
      <alignment horizontal="center" vertical="top" wrapText="1"/>
      <protection locked="0"/>
    </xf>
    <xf numFmtId="1" fontId="8" fillId="0" borderId="20" xfId="1" applyNumberFormat="1" applyFont="1" applyFill="1" applyBorder="1" applyAlignment="1" applyProtection="1">
      <alignment horizontal="center" vertical="top" wrapText="1"/>
      <protection locked="0"/>
    </xf>
    <xf numFmtId="1" fontId="8" fillId="0" borderId="21" xfId="1" applyNumberFormat="1" applyFont="1" applyFill="1" applyBorder="1" applyAlignment="1" applyProtection="1">
      <alignment horizontal="center" vertical="top" wrapText="1"/>
      <protection locked="0"/>
    </xf>
    <xf numFmtId="1" fontId="6" fillId="0" borderId="22" xfId="1" applyNumberFormat="1" applyFont="1" applyFill="1" applyBorder="1" applyAlignment="1" applyProtection="1">
      <alignment horizontal="center" vertical="center" wrapText="1"/>
      <protection locked="0"/>
    </xf>
    <xf numFmtId="1" fontId="12" fillId="0" borderId="7" xfId="1" applyNumberFormat="1" applyFont="1" applyFill="1" applyBorder="1" applyAlignment="1" applyProtection="1">
      <alignment horizontal="center" vertical="center" wrapText="1"/>
      <protection locked="0"/>
    </xf>
    <xf numFmtId="1" fontId="12" fillId="0" borderId="8" xfId="1" applyNumberFormat="1" applyFont="1" applyFill="1" applyBorder="1" applyAlignment="1" applyProtection="1">
      <alignment horizontal="center" vertical="center" wrapText="1"/>
      <protection locked="0"/>
    </xf>
    <xf numFmtId="1" fontId="6" fillId="0" borderId="25" xfId="1" applyNumberFormat="1" applyFont="1" applyFill="1" applyBorder="1" applyAlignment="1" applyProtection="1">
      <alignment horizontal="center" vertical="center" wrapText="1"/>
      <protection locked="0"/>
    </xf>
    <xf numFmtId="1" fontId="6" fillId="0" borderId="31" xfId="1" applyNumberFormat="1" applyFont="1" applyFill="1" applyBorder="1" applyAlignment="1" applyProtection="1">
      <alignment horizontal="center" vertical="center" wrapText="1"/>
      <protection locked="0"/>
    </xf>
    <xf numFmtId="0" fontId="8" fillId="0" borderId="7" xfId="1" applyFont="1" applyFill="1" applyBorder="1" applyAlignment="1" applyProtection="1">
      <alignment vertical="top"/>
      <protection locked="0"/>
    </xf>
    <xf numFmtId="0" fontId="8" fillId="0" borderId="22" xfId="1" applyFont="1" applyFill="1" applyBorder="1" applyAlignment="1" applyProtection="1">
      <alignment vertical="top"/>
      <protection locked="0"/>
    </xf>
    <xf numFmtId="0" fontId="8" fillId="0" borderId="8" xfId="1" applyFont="1" applyFill="1" applyBorder="1" applyAlignment="1" applyProtection="1">
      <alignment vertical="top"/>
      <protection locked="0"/>
    </xf>
    <xf numFmtId="1" fontId="13" fillId="0" borderId="7" xfId="1" applyNumberFormat="1" applyFont="1" applyFill="1" applyBorder="1" applyAlignment="1" applyProtection="1">
      <alignment horizontal="center" vertical="center" wrapText="1"/>
      <protection locked="0"/>
    </xf>
    <xf numFmtId="1" fontId="13" fillId="0" borderId="22" xfId="1" applyNumberFormat="1" applyFont="1" applyFill="1" applyBorder="1" applyAlignment="1" applyProtection="1">
      <alignment horizontal="center" vertical="center" wrapText="1"/>
      <protection locked="0"/>
    </xf>
    <xf numFmtId="1" fontId="13" fillId="0" borderId="8" xfId="1" applyNumberFormat="1" applyFont="1" applyFill="1" applyBorder="1" applyAlignment="1" applyProtection="1">
      <alignment horizontal="center" vertical="center" wrapText="1"/>
      <protection locked="0"/>
    </xf>
    <xf numFmtId="1" fontId="12" fillId="0" borderId="18" xfId="1" applyNumberFormat="1" applyFont="1" applyFill="1" applyBorder="1" applyAlignment="1" applyProtection="1">
      <alignment horizontal="center" vertical="center" wrapText="1"/>
      <protection locked="0"/>
    </xf>
    <xf numFmtId="1" fontId="12" fillId="0" borderId="19" xfId="1" applyNumberFormat="1" applyFont="1" applyFill="1" applyBorder="1" applyAlignment="1" applyProtection="1">
      <alignment horizontal="center" vertical="center" wrapText="1"/>
      <protection locked="0"/>
    </xf>
    <xf numFmtId="1" fontId="12" fillId="0" borderId="26" xfId="1" applyNumberFormat="1" applyFont="1" applyFill="1" applyBorder="1" applyAlignment="1" applyProtection="1">
      <alignment horizontal="center" vertical="center" wrapText="1"/>
      <protection locked="0"/>
    </xf>
    <xf numFmtId="1" fontId="12" fillId="0" borderId="27" xfId="1" applyNumberFormat="1" applyFont="1" applyFill="1" applyBorder="1" applyAlignment="1" applyProtection="1">
      <alignment horizontal="center" vertical="center" wrapText="1"/>
      <protection locked="0"/>
    </xf>
    <xf numFmtId="1" fontId="12" fillId="0" borderId="20" xfId="1" applyNumberFormat="1" applyFont="1" applyFill="1" applyBorder="1" applyAlignment="1" applyProtection="1">
      <alignment horizontal="center" vertical="center" wrapText="1"/>
      <protection locked="0"/>
    </xf>
    <xf numFmtId="1" fontId="12" fillId="0" borderId="21" xfId="1" applyNumberFormat="1" applyFont="1" applyFill="1" applyBorder="1" applyAlignment="1" applyProtection="1">
      <alignment horizontal="center" vertical="center" wrapText="1"/>
      <protection locked="0"/>
    </xf>
    <xf numFmtId="1" fontId="12" fillId="0" borderId="22" xfId="1" applyNumberFormat="1" applyFont="1" applyFill="1" applyBorder="1" applyAlignment="1" applyProtection="1">
      <alignment horizontal="center" vertical="center" wrapText="1"/>
      <protection locked="0"/>
    </xf>
    <xf numFmtId="1" fontId="8" fillId="2" borderId="7" xfId="1" applyNumberFormat="1" applyFont="1" applyFill="1" applyBorder="1" applyAlignment="1" applyProtection="1">
      <alignment horizontal="center" vertical="center" wrapText="1"/>
      <protection locked="0"/>
    </xf>
    <xf numFmtId="1" fontId="8" fillId="2" borderId="22" xfId="1" applyNumberFormat="1" applyFont="1" applyFill="1" applyBorder="1" applyAlignment="1" applyProtection="1">
      <alignment horizontal="center" vertical="center" wrapText="1"/>
      <protection locked="0"/>
    </xf>
    <xf numFmtId="1" fontId="8" fillId="2" borderId="8" xfId="1" applyNumberFormat="1" applyFont="1" applyFill="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227479</xdr:colOff>
      <xdr:row>413</xdr:row>
      <xdr:rowOff>76200</xdr:rowOff>
    </xdr:from>
    <xdr:to>
      <xdr:col>6</xdr:col>
      <xdr:colOff>371475</xdr:colOff>
      <xdr:row>428</xdr:row>
      <xdr:rowOff>102446</xdr:rowOff>
    </xdr:to>
    <xdr:pic>
      <xdr:nvPicPr>
        <xdr:cNvPr id="18" name="Picture 17"/>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989479" y="79219425"/>
          <a:ext cx="4296896" cy="3026621"/>
        </a:xfrm>
        <a:prstGeom prst="rect">
          <a:avLst/>
        </a:prstGeom>
        <a:ln>
          <a:solidFill>
            <a:schemeClr val="tx1"/>
          </a:solidFill>
        </a:ln>
      </xdr:spPr>
    </xdr:pic>
    <xdr:clientData/>
  </xdr:twoCellAnchor>
  <xdr:twoCellAnchor>
    <xdr:from>
      <xdr:col>11</xdr:col>
      <xdr:colOff>501873</xdr:colOff>
      <xdr:row>328</xdr:row>
      <xdr:rowOff>93019</xdr:rowOff>
    </xdr:from>
    <xdr:to>
      <xdr:col>12</xdr:col>
      <xdr:colOff>726765</xdr:colOff>
      <xdr:row>330</xdr:row>
      <xdr:rowOff>64785</xdr:rowOff>
    </xdr:to>
    <xdr:sp macro="" textlink="">
      <xdr:nvSpPr>
        <xdr:cNvPr id="31" name="TextBox 13"/>
        <xdr:cNvSpPr txBox="1"/>
      </xdr:nvSpPr>
      <xdr:spPr>
        <a:xfrm>
          <a:off x="9471938" y="54716823"/>
          <a:ext cx="928914" cy="36933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solidFill>
                <a:srgbClr val="FF0000"/>
              </a:solidFill>
            </a:rPr>
            <a:t>Wing D</a:t>
          </a:r>
        </a:p>
      </xdr:txBody>
    </xdr:sp>
    <xdr:clientData/>
  </xdr:twoCellAnchor>
  <xdr:twoCellAnchor>
    <xdr:from>
      <xdr:col>2</xdr:col>
      <xdr:colOff>83426</xdr:colOff>
      <xdr:row>372</xdr:row>
      <xdr:rowOff>22556</xdr:rowOff>
    </xdr:from>
    <xdr:to>
      <xdr:col>5</xdr:col>
      <xdr:colOff>598767</xdr:colOff>
      <xdr:row>385</xdr:row>
      <xdr:rowOff>142874</xdr:rowOff>
    </xdr:to>
    <xdr:pic>
      <xdr:nvPicPr>
        <xdr:cNvPr id="28" name="Picture 27"/>
        <xdr:cNvPicPr>
          <a:picLocks noChangeAspect="1"/>
        </xdr:cNvPicPr>
      </xdr:nvPicPr>
      <xdr:blipFill>
        <a:blip xmlns:r="http://schemas.openxmlformats.org/officeDocument/2006/relationships" r:embed="rId2"/>
        <a:stretch>
          <a:fillRect/>
        </a:stretch>
      </xdr:blipFill>
      <xdr:spPr>
        <a:xfrm>
          <a:off x="1645526" y="70964756"/>
          <a:ext cx="3087091" cy="2720643"/>
        </a:xfrm>
        <a:prstGeom prst="rect">
          <a:avLst/>
        </a:prstGeom>
        <a:ln>
          <a:solidFill>
            <a:schemeClr val="tx1"/>
          </a:solidFill>
        </a:ln>
      </xdr:spPr>
    </xdr:pic>
    <xdr:clientData/>
  </xdr:twoCellAnchor>
  <xdr:twoCellAnchor>
    <xdr:from>
      <xdr:col>0</xdr:col>
      <xdr:colOff>695326</xdr:colOff>
      <xdr:row>386</xdr:row>
      <xdr:rowOff>47624</xdr:rowOff>
    </xdr:from>
    <xdr:to>
      <xdr:col>6</xdr:col>
      <xdr:colOff>628650</xdr:colOff>
      <xdr:row>410</xdr:row>
      <xdr:rowOff>198449</xdr:rowOff>
    </xdr:to>
    <xdr:grpSp>
      <xdr:nvGrpSpPr>
        <xdr:cNvPr id="29" name="Group 28"/>
        <xdr:cNvGrpSpPr/>
      </xdr:nvGrpSpPr>
      <xdr:grpSpPr>
        <a:xfrm>
          <a:off x="695326" y="75270276"/>
          <a:ext cx="4844911" cy="4921608"/>
          <a:chOff x="745664" y="0"/>
          <a:chExt cx="5759755" cy="6656400"/>
        </a:xfrm>
      </xdr:grpSpPr>
      <xdr:pic>
        <xdr:nvPicPr>
          <xdr:cNvPr id="30" name="Picture 2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5664" y="0"/>
            <a:ext cx="5759755" cy="6656400"/>
          </a:xfrm>
          <a:prstGeom prst="rect">
            <a:avLst/>
          </a:prstGeom>
          <a:ln>
            <a:solidFill>
              <a:schemeClr val="tx1"/>
            </a:solidFill>
          </a:ln>
        </xdr:spPr>
      </xdr:pic>
      <xdr:sp macro="" textlink="">
        <xdr:nvSpPr>
          <xdr:cNvPr id="32" name="Rectangle 31"/>
          <xdr:cNvSpPr/>
        </xdr:nvSpPr>
        <xdr:spPr>
          <a:xfrm rot="20085915">
            <a:off x="4496218" y="1978849"/>
            <a:ext cx="483393" cy="5609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Rectangle 32"/>
          <xdr:cNvSpPr/>
        </xdr:nvSpPr>
        <xdr:spPr>
          <a:xfrm rot="3873264">
            <a:off x="4444970" y="1220014"/>
            <a:ext cx="513442" cy="9240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6"/>
          <xdr:cNvSpPr txBox="1"/>
        </xdr:nvSpPr>
        <xdr:spPr>
          <a:xfrm>
            <a:off x="3405937" y="1645672"/>
            <a:ext cx="1124400" cy="35809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C2</a:t>
            </a:r>
            <a:endParaRPr lang="en-IN" sz="1200" b="1">
              <a:solidFill>
                <a:srgbClr val="FF0000"/>
              </a:solidFill>
            </a:endParaRPr>
          </a:p>
        </xdr:txBody>
      </xdr:sp>
      <xdr:sp macro="" textlink="">
        <xdr:nvSpPr>
          <xdr:cNvPr id="35" name="TextBox 7"/>
          <xdr:cNvSpPr txBox="1"/>
        </xdr:nvSpPr>
        <xdr:spPr>
          <a:xfrm>
            <a:off x="3721517" y="2325626"/>
            <a:ext cx="1210916" cy="35809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C1</a:t>
            </a:r>
            <a:endParaRPr lang="en-IN" sz="1200" b="1">
              <a:solidFill>
                <a:srgbClr val="FF0000"/>
              </a:solidFill>
            </a:endParaRPr>
          </a:p>
        </xdr:txBody>
      </xdr:sp>
    </xdr:grpSp>
    <xdr:clientData/>
  </xdr:twoCellAnchor>
  <xdr:twoCellAnchor>
    <xdr:from>
      <xdr:col>0</xdr:col>
      <xdr:colOff>605118</xdr:colOff>
      <xdr:row>428</xdr:row>
      <xdr:rowOff>190501</xdr:rowOff>
    </xdr:from>
    <xdr:to>
      <xdr:col>6</xdr:col>
      <xdr:colOff>683558</xdr:colOff>
      <xdr:row>451</xdr:row>
      <xdr:rowOff>75640</xdr:rowOff>
    </xdr:to>
    <xdr:grpSp>
      <xdr:nvGrpSpPr>
        <xdr:cNvPr id="21" name="Group 20"/>
        <xdr:cNvGrpSpPr/>
      </xdr:nvGrpSpPr>
      <xdr:grpSpPr>
        <a:xfrm>
          <a:off x="605118" y="83762023"/>
          <a:ext cx="4990027" cy="4457139"/>
          <a:chOff x="605118" y="82923530"/>
          <a:chExt cx="4997822" cy="4524375"/>
        </a:xfrm>
      </xdr:grpSpPr>
      <xdr:pic>
        <xdr:nvPicPr>
          <xdr:cNvPr id="37" name="Picture 36"/>
          <xdr:cNvPicPr>
            <a:picLocks noChangeAspect="1"/>
          </xdr:cNvPicPr>
        </xdr:nvPicPr>
        <xdr:blipFill>
          <a:blip xmlns:r="http://schemas.openxmlformats.org/officeDocument/2006/relationships" r:embed="rId4"/>
          <a:stretch>
            <a:fillRect/>
          </a:stretch>
        </xdr:blipFill>
        <xdr:spPr>
          <a:xfrm>
            <a:off x="605118" y="82923530"/>
            <a:ext cx="4997822" cy="4524375"/>
          </a:xfrm>
          <a:prstGeom prst="rect">
            <a:avLst/>
          </a:prstGeom>
          <a:ln>
            <a:solidFill>
              <a:schemeClr val="tx1"/>
            </a:solidFill>
          </a:ln>
        </xdr:spPr>
      </xdr:pic>
      <xdr:sp macro="" textlink="">
        <xdr:nvSpPr>
          <xdr:cNvPr id="6" name="Freeform 5"/>
          <xdr:cNvSpPr/>
        </xdr:nvSpPr>
        <xdr:spPr>
          <a:xfrm>
            <a:off x="705970" y="83360559"/>
            <a:ext cx="3429000" cy="3933264"/>
          </a:xfrm>
          <a:custGeom>
            <a:avLst/>
            <a:gdLst>
              <a:gd name="connsiteX0" fmla="*/ 2151530 w 3361765"/>
              <a:gd name="connsiteY0" fmla="*/ 3933264 h 3933264"/>
              <a:gd name="connsiteX1" fmla="*/ 145677 w 3361765"/>
              <a:gd name="connsiteY1" fmla="*/ 3316941 h 3933264"/>
              <a:gd name="connsiteX2" fmla="*/ 0 w 3361765"/>
              <a:gd name="connsiteY2" fmla="*/ 2229970 h 3933264"/>
              <a:gd name="connsiteX3" fmla="*/ 1109383 w 3361765"/>
              <a:gd name="connsiteY3" fmla="*/ 2353235 h 3933264"/>
              <a:gd name="connsiteX4" fmla="*/ 1479177 w 3361765"/>
              <a:gd name="connsiteY4" fmla="*/ 1893794 h 3933264"/>
              <a:gd name="connsiteX5" fmla="*/ 1243853 w 3361765"/>
              <a:gd name="connsiteY5" fmla="*/ 1187823 h 3933264"/>
              <a:gd name="connsiteX6" fmla="*/ 2454089 w 3361765"/>
              <a:gd name="connsiteY6" fmla="*/ 1400735 h 3933264"/>
              <a:gd name="connsiteX7" fmla="*/ 2005853 w 3361765"/>
              <a:gd name="connsiteY7" fmla="*/ 369794 h 3933264"/>
              <a:gd name="connsiteX8" fmla="*/ 2106706 w 3361765"/>
              <a:gd name="connsiteY8" fmla="*/ 0 h 3933264"/>
              <a:gd name="connsiteX9" fmla="*/ 3070412 w 3361765"/>
              <a:gd name="connsiteY9" fmla="*/ 11205 h 3933264"/>
              <a:gd name="connsiteX10" fmla="*/ 3339353 w 3361765"/>
              <a:gd name="connsiteY10" fmla="*/ 313764 h 3933264"/>
              <a:gd name="connsiteX11" fmla="*/ 3216089 w 3361765"/>
              <a:gd name="connsiteY11" fmla="*/ 638735 h 3933264"/>
              <a:gd name="connsiteX12" fmla="*/ 3361765 w 3361765"/>
              <a:gd name="connsiteY12" fmla="*/ 829235 h 3933264"/>
              <a:gd name="connsiteX13" fmla="*/ 2891118 w 3361765"/>
              <a:gd name="connsiteY13" fmla="*/ 1322294 h 3933264"/>
              <a:gd name="connsiteX14" fmla="*/ 3126441 w 3361765"/>
              <a:gd name="connsiteY14" fmla="*/ 1479176 h 3933264"/>
              <a:gd name="connsiteX15" fmla="*/ 2151530 w 3361765"/>
              <a:gd name="connsiteY15" fmla="*/ 3933264 h 3933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361765" h="3933264">
                <a:moveTo>
                  <a:pt x="2151530" y="3933264"/>
                </a:moveTo>
                <a:lnTo>
                  <a:pt x="145677" y="3316941"/>
                </a:lnTo>
                <a:lnTo>
                  <a:pt x="0" y="2229970"/>
                </a:lnTo>
                <a:lnTo>
                  <a:pt x="1109383" y="2353235"/>
                </a:lnTo>
                <a:lnTo>
                  <a:pt x="1479177" y="1893794"/>
                </a:lnTo>
                <a:lnTo>
                  <a:pt x="1243853" y="1187823"/>
                </a:lnTo>
                <a:lnTo>
                  <a:pt x="2454089" y="1400735"/>
                </a:lnTo>
                <a:lnTo>
                  <a:pt x="2005853" y="369794"/>
                </a:lnTo>
                <a:lnTo>
                  <a:pt x="2106706" y="0"/>
                </a:lnTo>
                <a:lnTo>
                  <a:pt x="3070412" y="11205"/>
                </a:lnTo>
                <a:lnTo>
                  <a:pt x="3339353" y="313764"/>
                </a:lnTo>
                <a:lnTo>
                  <a:pt x="3216089" y="638735"/>
                </a:lnTo>
                <a:lnTo>
                  <a:pt x="3361765" y="829235"/>
                </a:lnTo>
                <a:lnTo>
                  <a:pt x="2891118" y="1322294"/>
                </a:lnTo>
                <a:lnTo>
                  <a:pt x="3126441" y="1479176"/>
                </a:lnTo>
                <a:lnTo>
                  <a:pt x="2151530" y="3933264"/>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 name="Freeform 6"/>
          <xdr:cNvSpPr/>
        </xdr:nvSpPr>
        <xdr:spPr>
          <a:xfrm>
            <a:off x="2835088" y="83416588"/>
            <a:ext cx="1109383" cy="1311088"/>
          </a:xfrm>
          <a:custGeom>
            <a:avLst/>
            <a:gdLst>
              <a:gd name="connsiteX0" fmla="*/ 515471 w 1109383"/>
              <a:gd name="connsiteY0" fmla="*/ 1311088 h 1311088"/>
              <a:gd name="connsiteX1" fmla="*/ 515471 w 1109383"/>
              <a:gd name="connsiteY1" fmla="*/ 1311088 h 1311088"/>
              <a:gd name="connsiteX2" fmla="*/ 0 w 1109383"/>
              <a:gd name="connsiteY2" fmla="*/ 381000 h 1311088"/>
              <a:gd name="connsiteX3" fmla="*/ 112059 w 1109383"/>
              <a:gd name="connsiteY3" fmla="*/ 89647 h 1311088"/>
              <a:gd name="connsiteX4" fmla="*/ 963706 w 1109383"/>
              <a:gd name="connsiteY4" fmla="*/ 0 h 1311088"/>
              <a:gd name="connsiteX5" fmla="*/ 1109383 w 1109383"/>
              <a:gd name="connsiteY5" fmla="*/ 324971 h 1311088"/>
              <a:gd name="connsiteX6" fmla="*/ 1053353 w 1109383"/>
              <a:gd name="connsiteY6" fmla="*/ 974912 h 1311088"/>
              <a:gd name="connsiteX7" fmla="*/ 515471 w 1109383"/>
              <a:gd name="connsiteY7" fmla="*/ 1311088 h 13110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09383" h="1311088">
                <a:moveTo>
                  <a:pt x="515471" y="1311088"/>
                </a:moveTo>
                <a:lnTo>
                  <a:pt x="515471" y="1311088"/>
                </a:lnTo>
                <a:lnTo>
                  <a:pt x="0" y="381000"/>
                </a:lnTo>
                <a:lnTo>
                  <a:pt x="112059" y="89647"/>
                </a:lnTo>
                <a:lnTo>
                  <a:pt x="963706" y="0"/>
                </a:lnTo>
                <a:lnTo>
                  <a:pt x="1109383" y="324971"/>
                </a:lnTo>
                <a:lnTo>
                  <a:pt x="1053353" y="974912"/>
                </a:lnTo>
                <a:lnTo>
                  <a:pt x="515471" y="1311088"/>
                </a:lnTo>
                <a:close/>
              </a:path>
            </a:pathLst>
          </a:cu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 name="TextBox 7"/>
          <xdr:cNvSpPr txBox="1"/>
        </xdr:nvSpPr>
        <xdr:spPr>
          <a:xfrm>
            <a:off x="2835089" y="82945943"/>
            <a:ext cx="1165410" cy="313764"/>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00B0F0"/>
                </a:solidFill>
              </a:rPr>
              <a:t>Wing C</a:t>
            </a:r>
            <a:r>
              <a:rPr lang="en-IN" sz="1600" b="1" baseline="0">
                <a:solidFill>
                  <a:srgbClr val="00B0F0"/>
                </a:solidFill>
              </a:rPr>
              <a:t> &amp; D</a:t>
            </a:r>
            <a:endParaRPr lang="en-IN" sz="1600" b="1">
              <a:solidFill>
                <a:srgbClr val="00B0F0"/>
              </a:solidFill>
            </a:endParaRPr>
          </a:p>
        </xdr:txBody>
      </xdr:sp>
      <xdr:sp macro="" textlink="">
        <xdr:nvSpPr>
          <xdr:cNvPr id="19" name="Freeform 18"/>
          <xdr:cNvSpPr/>
        </xdr:nvSpPr>
        <xdr:spPr>
          <a:xfrm>
            <a:off x="2465294" y="84682853"/>
            <a:ext cx="1322294" cy="1882588"/>
          </a:xfrm>
          <a:custGeom>
            <a:avLst/>
            <a:gdLst>
              <a:gd name="connsiteX0" fmla="*/ 750794 w 1243853"/>
              <a:gd name="connsiteY0" fmla="*/ 89647 h 1916206"/>
              <a:gd name="connsiteX1" fmla="*/ 986117 w 1243853"/>
              <a:gd name="connsiteY1" fmla="*/ 0 h 1916206"/>
              <a:gd name="connsiteX2" fmla="*/ 1243853 w 1243853"/>
              <a:gd name="connsiteY2" fmla="*/ 123265 h 1916206"/>
              <a:gd name="connsiteX3" fmla="*/ 672353 w 1243853"/>
              <a:gd name="connsiteY3" fmla="*/ 1916206 h 1916206"/>
              <a:gd name="connsiteX4" fmla="*/ 0 w 1243853"/>
              <a:gd name="connsiteY4" fmla="*/ 1882588 h 1916206"/>
              <a:gd name="connsiteX5" fmla="*/ 605117 w 1243853"/>
              <a:gd name="connsiteY5" fmla="*/ 168088 h 1916206"/>
              <a:gd name="connsiteX6" fmla="*/ 750794 w 1243853"/>
              <a:gd name="connsiteY6" fmla="*/ 89647 h 19162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43853" h="1916206">
                <a:moveTo>
                  <a:pt x="750794" y="89647"/>
                </a:moveTo>
                <a:lnTo>
                  <a:pt x="986117" y="0"/>
                </a:lnTo>
                <a:lnTo>
                  <a:pt x="1243853" y="123265"/>
                </a:lnTo>
                <a:lnTo>
                  <a:pt x="672353" y="1916206"/>
                </a:lnTo>
                <a:lnTo>
                  <a:pt x="0" y="1882588"/>
                </a:lnTo>
                <a:lnTo>
                  <a:pt x="605117" y="168088"/>
                </a:lnTo>
                <a:lnTo>
                  <a:pt x="750794" y="89647"/>
                </a:lnTo>
                <a:close/>
              </a:path>
            </a:pathLst>
          </a:cu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8" name="TextBox 37"/>
          <xdr:cNvSpPr txBox="1"/>
        </xdr:nvSpPr>
        <xdr:spPr>
          <a:xfrm>
            <a:off x="1355912" y="85926707"/>
            <a:ext cx="1165410" cy="313764"/>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 A</a:t>
            </a:r>
            <a:r>
              <a:rPr lang="en-IN" sz="1600" b="1" baseline="0">
                <a:solidFill>
                  <a:srgbClr val="FF0000"/>
                </a:solidFill>
              </a:rPr>
              <a:t> &amp; B</a:t>
            </a:r>
            <a:endParaRPr lang="en-IN" sz="1600" b="1">
              <a:solidFill>
                <a:srgbClr val="FF0000"/>
              </a:solidFill>
            </a:endParaRPr>
          </a:p>
        </xdr:txBody>
      </xdr:sp>
    </xdr:grpSp>
    <xdr:clientData/>
  </xdr:twoCellAnchor>
  <xdr:twoCellAnchor editAs="oneCell">
    <xdr:from>
      <xdr:col>8</xdr:col>
      <xdr:colOff>930088</xdr:colOff>
      <xdr:row>103</xdr:row>
      <xdr:rowOff>121583</xdr:rowOff>
    </xdr:from>
    <xdr:to>
      <xdr:col>9</xdr:col>
      <xdr:colOff>736105</xdr:colOff>
      <xdr:row>118</xdr:row>
      <xdr:rowOff>123619</xdr:rowOff>
    </xdr:to>
    <xdr:pic>
      <xdr:nvPicPr>
        <xdr:cNvPr id="22" name="Picture 21"/>
        <xdr:cNvPicPr>
          <a:picLocks noChangeAspect="1"/>
        </xdr:cNvPicPr>
      </xdr:nvPicPr>
      <xdr:blipFill>
        <a:blip xmlns:r="http://schemas.openxmlformats.org/officeDocument/2006/relationships" r:embed="rId5"/>
        <a:stretch>
          <a:fillRect/>
        </a:stretch>
      </xdr:blipFill>
      <xdr:spPr>
        <a:xfrm>
          <a:off x="7283263" y="24686558"/>
          <a:ext cx="968067" cy="1621286"/>
        </a:xfrm>
        <a:prstGeom prst="rect">
          <a:avLst/>
        </a:prstGeom>
      </xdr:spPr>
    </xdr:pic>
    <xdr:clientData/>
  </xdr:twoCellAnchor>
  <xdr:twoCellAnchor>
    <xdr:from>
      <xdr:col>9</xdr:col>
      <xdr:colOff>0</xdr:colOff>
      <xdr:row>329</xdr:row>
      <xdr:rowOff>76200</xdr:rowOff>
    </xdr:from>
    <xdr:to>
      <xdr:col>9</xdr:col>
      <xdr:colOff>677430</xdr:colOff>
      <xdr:row>330</xdr:row>
      <xdr:rowOff>143910</xdr:rowOff>
    </xdr:to>
    <xdr:sp macro="" textlink="">
      <xdr:nvSpPr>
        <xdr:cNvPr id="36" name="TextBox 35"/>
        <xdr:cNvSpPr txBox="1"/>
      </xdr:nvSpPr>
      <xdr:spPr>
        <a:xfrm>
          <a:off x="7880350" y="63461900"/>
          <a:ext cx="6774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Tower D</a:t>
          </a:r>
        </a:p>
      </xdr:txBody>
    </xdr:sp>
    <xdr:clientData/>
  </xdr:twoCellAnchor>
  <xdr:twoCellAnchor>
    <xdr:from>
      <xdr:col>11</xdr:col>
      <xdr:colOff>431800</xdr:colOff>
      <xdr:row>329</xdr:row>
      <xdr:rowOff>0</xdr:rowOff>
    </xdr:from>
    <xdr:to>
      <xdr:col>12</xdr:col>
      <xdr:colOff>372630</xdr:colOff>
      <xdr:row>330</xdr:row>
      <xdr:rowOff>67710</xdr:rowOff>
    </xdr:to>
    <xdr:sp macro="" textlink="">
      <xdr:nvSpPr>
        <xdr:cNvPr id="47" name="TextBox 46"/>
        <xdr:cNvSpPr txBox="1"/>
      </xdr:nvSpPr>
      <xdr:spPr>
        <a:xfrm>
          <a:off x="9899650" y="63385700"/>
          <a:ext cx="6774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Tower C</a:t>
          </a:r>
        </a:p>
      </xdr:txBody>
    </xdr:sp>
    <xdr:clientData/>
  </xdr:twoCellAnchor>
  <xdr:twoCellAnchor>
    <xdr:from>
      <xdr:col>8</xdr:col>
      <xdr:colOff>669925</xdr:colOff>
      <xdr:row>330</xdr:row>
      <xdr:rowOff>171450</xdr:rowOff>
    </xdr:from>
    <xdr:to>
      <xdr:col>15</xdr:col>
      <xdr:colOff>463724</xdr:colOff>
      <xdr:row>368</xdr:row>
      <xdr:rowOff>106324</xdr:rowOff>
    </xdr:to>
    <xdr:grpSp>
      <xdr:nvGrpSpPr>
        <xdr:cNvPr id="2" name="Group 1"/>
        <xdr:cNvGrpSpPr/>
      </xdr:nvGrpSpPr>
      <xdr:grpSpPr>
        <a:xfrm>
          <a:off x="7014403" y="64270559"/>
          <a:ext cx="5608191" cy="7480330"/>
          <a:chOff x="241300" y="63715900"/>
          <a:chExt cx="5892974" cy="7408824"/>
        </a:xfrm>
      </xdr:grpSpPr>
      <xdr:pic>
        <xdr:nvPicPr>
          <xdr:cNvPr id="48" name="Picture 4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616607" y="68964724"/>
            <a:ext cx="2158000"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41300" y="63715900"/>
            <a:ext cx="2877333" cy="288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974855" y="66700312"/>
            <a:ext cx="2158000" cy="216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256941" y="63715900"/>
            <a:ext cx="2877333" cy="288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625805" y="68964724"/>
            <a:ext cx="2866716" cy="216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256941" y="66700312"/>
            <a:ext cx="2158000" cy="2160000"/>
          </a:xfrm>
          <a:prstGeom prst="rect">
            <a:avLst/>
          </a:prstGeom>
          <a:ln>
            <a:solidFill>
              <a:schemeClr val="tx1"/>
            </a:solidFill>
          </a:ln>
        </xdr:spPr>
      </xdr:pic>
      <xdr:sp macro="" textlink="">
        <xdr:nvSpPr>
          <xdr:cNvPr id="54" name="TextBox 53"/>
          <xdr:cNvSpPr txBox="1"/>
        </xdr:nvSpPr>
        <xdr:spPr>
          <a:xfrm>
            <a:off x="1054100" y="64598550"/>
            <a:ext cx="6774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FF00"/>
                </a:solidFill>
              </a:rPr>
              <a:t>Tower D</a:t>
            </a:r>
          </a:p>
        </xdr:txBody>
      </xdr:sp>
      <xdr:sp macro="" textlink="">
        <xdr:nvSpPr>
          <xdr:cNvPr id="55" name="TextBox 54"/>
          <xdr:cNvSpPr txBox="1"/>
        </xdr:nvSpPr>
        <xdr:spPr>
          <a:xfrm>
            <a:off x="5149241" y="65093850"/>
            <a:ext cx="6774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FF00"/>
                </a:solidFill>
              </a:rPr>
              <a:t>Tower C</a:t>
            </a:r>
          </a:p>
        </xdr:txBody>
      </xdr:sp>
    </xdr:grpSp>
    <xdr:clientData/>
  </xdr:twoCellAnchor>
  <xdr:twoCellAnchor editAs="oneCell">
    <xdr:from>
      <xdr:col>4</xdr:col>
      <xdr:colOff>285750</xdr:colOff>
      <xdr:row>359</xdr:row>
      <xdr:rowOff>76200</xdr:rowOff>
    </xdr:from>
    <xdr:to>
      <xdr:col>7</xdr:col>
      <xdr:colOff>100600</xdr:colOff>
      <xdr:row>370</xdr:row>
      <xdr:rowOff>35926</xdr:rowOff>
    </xdr:to>
    <xdr:pic>
      <xdr:nvPicPr>
        <xdr:cNvPr id="39" name="Picture 38" descr="https://vsjcllp.vsjadon.com/upload/insp-243266-15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638550" y="70237350"/>
          <a:ext cx="2158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347</xdr:row>
      <xdr:rowOff>104775</xdr:rowOff>
    </xdr:from>
    <xdr:to>
      <xdr:col>2</xdr:col>
      <xdr:colOff>542925</xdr:colOff>
      <xdr:row>358</xdr:row>
      <xdr:rowOff>190499</xdr:rowOff>
    </xdr:to>
    <xdr:pic>
      <xdr:nvPicPr>
        <xdr:cNvPr id="41" name="Picture 40" descr="https://vsjcllp.vsjadon.com/upload/insp-243266-84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90500" y="67865625"/>
          <a:ext cx="1914525" cy="228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647700</xdr:colOff>
      <xdr:row>347</xdr:row>
      <xdr:rowOff>95250</xdr:rowOff>
    </xdr:from>
    <xdr:to>
      <xdr:col>4</xdr:col>
      <xdr:colOff>771525</xdr:colOff>
      <xdr:row>358</xdr:row>
      <xdr:rowOff>180974</xdr:rowOff>
    </xdr:to>
    <xdr:pic>
      <xdr:nvPicPr>
        <xdr:cNvPr id="42" name="Picture 41" descr="https://vsjcllp.vsjadon.com/upload/insp-243266-84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209800" y="67856100"/>
          <a:ext cx="1914525" cy="228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85725</xdr:colOff>
      <xdr:row>347</xdr:row>
      <xdr:rowOff>95250</xdr:rowOff>
    </xdr:from>
    <xdr:to>
      <xdr:col>7</xdr:col>
      <xdr:colOff>438150</xdr:colOff>
      <xdr:row>358</xdr:row>
      <xdr:rowOff>180974</xdr:rowOff>
    </xdr:to>
    <xdr:pic>
      <xdr:nvPicPr>
        <xdr:cNvPr id="43" name="Picture 42" descr="https://vsjcllp.vsjadon.com/upload/insp-243266-85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219575" y="67856100"/>
          <a:ext cx="1914525" cy="228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685800</xdr:colOff>
      <xdr:row>359</xdr:row>
      <xdr:rowOff>74612</xdr:rowOff>
    </xdr:from>
    <xdr:to>
      <xdr:col>4</xdr:col>
      <xdr:colOff>199715</xdr:colOff>
      <xdr:row>370</xdr:row>
      <xdr:rowOff>34338</xdr:rowOff>
    </xdr:to>
    <xdr:pic>
      <xdr:nvPicPr>
        <xdr:cNvPr id="44" name="Picture 43" descr="https://vsjcllp.vsjadon.com/upload/insp-243266-86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685800" y="70235762"/>
          <a:ext cx="286671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330</xdr:row>
      <xdr:rowOff>66674</xdr:rowOff>
    </xdr:from>
    <xdr:to>
      <xdr:col>3</xdr:col>
      <xdr:colOff>744236</xdr:colOff>
      <xdr:row>347</xdr:row>
      <xdr:rowOff>19050</xdr:rowOff>
    </xdr:to>
    <xdr:pic>
      <xdr:nvPicPr>
        <xdr:cNvPr id="45" name="Picture 44" descr="https://vsjcllp.vsjadon.com/upload/insp-243266-862.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23825" y="64436624"/>
          <a:ext cx="3030236" cy="3343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838200</xdr:colOff>
      <xdr:row>330</xdr:row>
      <xdr:rowOff>66674</xdr:rowOff>
    </xdr:from>
    <xdr:to>
      <xdr:col>7</xdr:col>
      <xdr:colOff>582311</xdr:colOff>
      <xdr:row>347</xdr:row>
      <xdr:rowOff>19050</xdr:rowOff>
    </xdr:to>
    <xdr:pic>
      <xdr:nvPicPr>
        <xdr:cNvPr id="46" name="Picture 45" descr="https://vsjcllp.vsjadon.com/upload/insp-243266-880.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3248025" y="64436624"/>
          <a:ext cx="3030236" cy="3343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4ygtAbu6oaQDouX4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413"/>
  <sheetViews>
    <sheetView tabSelected="1" view="pageBreakPreview" zoomScale="115" zoomScaleNormal="100" zoomScaleSheetLayoutView="115" zoomScalePageLayoutView="85" workbookViewId="0">
      <selection activeCell="C93" sqref="C93"/>
    </sheetView>
  </sheetViews>
  <sheetFormatPr defaultColWidth="9.140625" defaultRowHeight="15.75" x14ac:dyDescent="0.25"/>
  <cols>
    <col min="1" max="1" width="11.42578125" style="47" customWidth="1"/>
    <col min="2" max="2" width="12" style="47" customWidth="1"/>
    <col min="3" max="3" width="12.7109375" style="47" customWidth="1"/>
    <col min="4" max="4" width="14.140625" style="47" customWidth="1"/>
    <col min="5" max="7" width="11.7109375" style="47" customWidth="1"/>
    <col min="8" max="8" width="9.85546875" style="47" customWidth="1"/>
    <col min="9" max="9" width="17.42578125" style="25" customWidth="1"/>
    <col min="10" max="10" width="11.42578125" style="25" customWidth="1"/>
    <col min="11" max="11" width="11.28515625" style="25" bestFit="1" customWidth="1"/>
    <col min="12" max="12" width="10.5703125" style="25" customWidth="1"/>
    <col min="13" max="13" width="14.140625" style="25" bestFit="1" customWidth="1"/>
    <col min="14" max="14" width="12.5703125" style="25" customWidth="1"/>
    <col min="15" max="15" width="9.85546875" style="25" customWidth="1"/>
    <col min="16" max="16" width="11.7109375" style="25" customWidth="1"/>
    <col min="17" max="247" width="9.140625" style="25"/>
    <col min="248" max="248" width="8.7109375" style="25" customWidth="1"/>
    <col min="249" max="249" width="9.85546875" style="25" customWidth="1"/>
    <col min="250" max="250" width="14.42578125" style="25" customWidth="1"/>
    <col min="251" max="251" width="7.28515625" style="25" customWidth="1"/>
    <col min="252" max="252" width="5.5703125" style="25" customWidth="1"/>
    <col min="253" max="253" width="9" style="25" customWidth="1"/>
    <col min="254" max="255" width="9.85546875" style="25" customWidth="1"/>
    <col min="256" max="256" width="11.140625" style="25" customWidth="1"/>
    <col min="257" max="257" width="2.85546875" style="25" customWidth="1"/>
    <col min="258" max="258" width="3.5703125" style="25" customWidth="1"/>
    <col min="259" max="503" width="9.140625" style="25"/>
    <col min="504" max="504" width="8.7109375" style="25" customWidth="1"/>
    <col min="505" max="505" width="9.85546875" style="25" customWidth="1"/>
    <col min="506" max="506" width="14.42578125" style="25" customWidth="1"/>
    <col min="507" max="507" width="7.28515625" style="25" customWidth="1"/>
    <col min="508" max="508" width="5.5703125" style="25" customWidth="1"/>
    <col min="509" max="509" width="9" style="25" customWidth="1"/>
    <col min="510" max="511" width="9.85546875" style="25" customWidth="1"/>
    <col min="512" max="512" width="11.140625" style="25" customWidth="1"/>
    <col min="513" max="513" width="2.85546875" style="25" customWidth="1"/>
    <col min="514" max="514" width="3.5703125" style="25" customWidth="1"/>
    <col min="515" max="759" width="9.140625" style="25"/>
    <col min="760" max="760" width="8.7109375" style="25" customWidth="1"/>
    <col min="761" max="761" width="9.85546875" style="25" customWidth="1"/>
    <col min="762" max="762" width="14.42578125" style="25" customWidth="1"/>
    <col min="763" max="763" width="7.28515625" style="25" customWidth="1"/>
    <col min="764" max="764" width="5.5703125" style="25" customWidth="1"/>
    <col min="765" max="765" width="9" style="25" customWidth="1"/>
    <col min="766" max="767" width="9.85546875" style="25" customWidth="1"/>
    <col min="768" max="768" width="11.140625" style="25" customWidth="1"/>
    <col min="769" max="769" width="2.85546875" style="25" customWidth="1"/>
    <col min="770" max="770" width="3.5703125" style="25" customWidth="1"/>
    <col min="771" max="1015" width="9.140625" style="25"/>
    <col min="1016" max="1016" width="8.7109375" style="25" customWidth="1"/>
    <col min="1017" max="1017" width="9.85546875" style="25" customWidth="1"/>
    <col min="1018" max="1018" width="14.42578125" style="25" customWidth="1"/>
    <col min="1019" max="1019" width="7.28515625" style="25" customWidth="1"/>
    <col min="1020" max="1020" width="5.5703125" style="25" customWidth="1"/>
    <col min="1021" max="1021" width="9" style="25" customWidth="1"/>
    <col min="1022" max="1023" width="9.85546875" style="25" customWidth="1"/>
    <col min="1024" max="1024" width="11.140625" style="25" customWidth="1"/>
    <col min="1025" max="1025" width="2.85546875" style="25" customWidth="1"/>
    <col min="1026" max="1026" width="3.5703125" style="25" customWidth="1"/>
    <col min="1027" max="1271" width="9.140625" style="25"/>
    <col min="1272" max="1272" width="8.7109375" style="25" customWidth="1"/>
    <col min="1273" max="1273" width="9.85546875" style="25" customWidth="1"/>
    <col min="1274" max="1274" width="14.42578125" style="25" customWidth="1"/>
    <col min="1275" max="1275" width="7.28515625" style="25" customWidth="1"/>
    <col min="1276" max="1276" width="5.5703125" style="25" customWidth="1"/>
    <col min="1277" max="1277" width="9" style="25" customWidth="1"/>
    <col min="1278" max="1279" width="9.85546875" style="25" customWidth="1"/>
    <col min="1280" max="1280" width="11.140625" style="25" customWidth="1"/>
    <col min="1281" max="1281" width="2.85546875" style="25" customWidth="1"/>
    <col min="1282" max="1282" width="3.5703125" style="25" customWidth="1"/>
    <col min="1283" max="1527" width="9.140625" style="25"/>
    <col min="1528" max="1528" width="8.7109375" style="25" customWidth="1"/>
    <col min="1529" max="1529" width="9.85546875" style="25" customWidth="1"/>
    <col min="1530" max="1530" width="14.42578125" style="25" customWidth="1"/>
    <col min="1531" max="1531" width="7.28515625" style="25" customWidth="1"/>
    <col min="1532" max="1532" width="5.5703125" style="25" customWidth="1"/>
    <col min="1533" max="1533" width="9" style="25" customWidth="1"/>
    <col min="1534" max="1535" width="9.85546875" style="25" customWidth="1"/>
    <col min="1536" max="1536" width="11.140625" style="25" customWidth="1"/>
    <col min="1537" max="1537" width="2.85546875" style="25" customWidth="1"/>
    <col min="1538" max="1538" width="3.5703125" style="25" customWidth="1"/>
    <col min="1539" max="1783" width="9.140625" style="25"/>
    <col min="1784" max="1784" width="8.7109375" style="25" customWidth="1"/>
    <col min="1785" max="1785" width="9.85546875" style="25" customWidth="1"/>
    <col min="1786" max="1786" width="14.42578125" style="25" customWidth="1"/>
    <col min="1787" max="1787" width="7.28515625" style="25" customWidth="1"/>
    <col min="1788" max="1788" width="5.5703125" style="25" customWidth="1"/>
    <col min="1789" max="1789" width="9" style="25" customWidth="1"/>
    <col min="1790" max="1791" width="9.85546875" style="25" customWidth="1"/>
    <col min="1792" max="1792" width="11.140625" style="25" customWidth="1"/>
    <col min="1793" max="1793" width="2.85546875" style="25" customWidth="1"/>
    <col min="1794" max="1794" width="3.5703125" style="25" customWidth="1"/>
    <col min="1795" max="2039" width="9.140625" style="25"/>
    <col min="2040" max="2040" width="8.7109375" style="25" customWidth="1"/>
    <col min="2041" max="2041" width="9.85546875" style="25" customWidth="1"/>
    <col min="2042" max="2042" width="14.42578125" style="25" customWidth="1"/>
    <col min="2043" max="2043" width="7.28515625" style="25" customWidth="1"/>
    <col min="2044" max="2044" width="5.5703125" style="25" customWidth="1"/>
    <col min="2045" max="2045" width="9" style="25" customWidth="1"/>
    <col min="2046" max="2047" width="9.85546875" style="25" customWidth="1"/>
    <col min="2048" max="2048" width="11.140625" style="25" customWidth="1"/>
    <col min="2049" max="2049" width="2.85546875" style="25" customWidth="1"/>
    <col min="2050" max="2050" width="3.5703125" style="25" customWidth="1"/>
    <col min="2051" max="2295" width="9.140625" style="25"/>
    <col min="2296" max="2296" width="8.7109375" style="25" customWidth="1"/>
    <col min="2297" max="2297" width="9.85546875" style="25" customWidth="1"/>
    <col min="2298" max="2298" width="14.42578125" style="25" customWidth="1"/>
    <col min="2299" max="2299" width="7.28515625" style="25" customWidth="1"/>
    <col min="2300" max="2300" width="5.5703125" style="25" customWidth="1"/>
    <col min="2301" max="2301" width="9" style="25" customWidth="1"/>
    <col min="2302" max="2303" width="9.85546875" style="25" customWidth="1"/>
    <col min="2304" max="2304" width="11.140625" style="25" customWidth="1"/>
    <col min="2305" max="2305" width="2.85546875" style="25" customWidth="1"/>
    <col min="2306" max="2306" width="3.5703125" style="25" customWidth="1"/>
    <col min="2307" max="2551" width="9.140625" style="25"/>
    <col min="2552" max="2552" width="8.7109375" style="25" customWidth="1"/>
    <col min="2553" max="2553" width="9.85546875" style="25" customWidth="1"/>
    <col min="2554" max="2554" width="14.42578125" style="25" customWidth="1"/>
    <col min="2555" max="2555" width="7.28515625" style="25" customWidth="1"/>
    <col min="2556" max="2556" width="5.5703125" style="25" customWidth="1"/>
    <col min="2557" max="2557" width="9" style="25" customWidth="1"/>
    <col min="2558" max="2559" width="9.85546875" style="25" customWidth="1"/>
    <col min="2560" max="2560" width="11.140625" style="25" customWidth="1"/>
    <col min="2561" max="2561" width="2.85546875" style="25" customWidth="1"/>
    <col min="2562" max="2562" width="3.5703125" style="25" customWidth="1"/>
    <col min="2563" max="2807" width="9.140625" style="25"/>
    <col min="2808" max="2808" width="8.7109375" style="25" customWidth="1"/>
    <col min="2809" max="2809" width="9.85546875" style="25" customWidth="1"/>
    <col min="2810" max="2810" width="14.42578125" style="25" customWidth="1"/>
    <col min="2811" max="2811" width="7.28515625" style="25" customWidth="1"/>
    <col min="2812" max="2812" width="5.5703125" style="25" customWidth="1"/>
    <col min="2813" max="2813" width="9" style="25" customWidth="1"/>
    <col min="2814" max="2815" width="9.85546875" style="25" customWidth="1"/>
    <col min="2816" max="2816" width="11.140625" style="25" customWidth="1"/>
    <col min="2817" max="2817" width="2.85546875" style="25" customWidth="1"/>
    <col min="2818" max="2818" width="3.5703125" style="25" customWidth="1"/>
    <col min="2819" max="3063" width="9.140625" style="25"/>
    <col min="3064" max="3064" width="8.7109375" style="25" customWidth="1"/>
    <col min="3065" max="3065" width="9.85546875" style="25" customWidth="1"/>
    <col min="3066" max="3066" width="14.42578125" style="25" customWidth="1"/>
    <col min="3067" max="3067" width="7.28515625" style="25" customWidth="1"/>
    <col min="3068" max="3068" width="5.5703125" style="25" customWidth="1"/>
    <col min="3069" max="3069" width="9" style="25" customWidth="1"/>
    <col min="3070" max="3071" width="9.85546875" style="25" customWidth="1"/>
    <col min="3072" max="3072" width="11.140625" style="25" customWidth="1"/>
    <col min="3073" max="3073" width="2.85546875" style="25" customWidth="1"/>
    <col min="3074" max="3074" width="3.5703125" style="25" customWidth="1"/>
    <col min="3075" max="3319" width="9.140625" style="25"/>
    <col min="3320" max="3320" width="8.7109375" style="25" customWidth="1"/>
    <col min="3321" max="3321" width="9.85546875" style="25" customWidth="1"/>
    <col min="3322" max="3322" width="14.42578125" style="25" customWidth="1"/>
    <col min="3323" max="3323" width="7.28515625" style="25" customWidth="1"/>
    <col min="3324" max="3324" width="5.5703125" style="25" customWidth="1"/>
    <col min="3325" max="3325" width="9" style="25" customWidth="1"/>
    <col min="3326" max="3327" width="9.85546875" style="25" customWidth="1"/>
    <col min="3328" max="3328" width="11.140625" style="25" customWidth="1"/>
    <col min="3329" max="3329" width="2.85546875" style="25" customWidth="1"/>
    <col min="3330" max="3330" width="3.5703125" style="25" customWidth="1"/>
    <col min="3331" max="3575" width="9.140625" style="25"/>
    <col min="3576" max="3576" width="8.7109375" style="25" customWidth="1"/>
    <col min="3577" max="3577" width="9.85546875" style="25" customWidth="1"/>
    <col min="3578" max="3578" width="14.42578125" style="25" customWidth="1"/>
    <col min="3579" max="3579" width="7.28515625" style="25" customWidth="1"/>
    <col min="3580" max="3580" width="5.5703125" style="25" customWidth="1"/>
    <col min="3581" max="3581" width="9" style="25" customWidth="1"/>
    <col min="3582" max="3583" width="9.85546875" style="25" customWidth="1"/>
    <col min="3584" max="3584" width="11.140625" style="25" customWidth="1"/>
    <col min="3585" max="3585" width="2.85546875" style="25" customWidth="1"/>
    <col min="3586" max="3586" width="3.5703125" style="25" customWidth="1"/>
    <col min="3587" max="3831" width="9.140625" style="25"/>
    <col min="3832" max="3832" width="8.7109375" style="25" customWidth="1"/>
    <col min="3833" max="3833" width="9.85546875" style="25" customWidth="1"/>
    <col min="3834" max="3834" width="14.42578125" style="25" customWidth="1"/>
    <col min="3835" max="3835" width="7.28515625" style="25" customWidth="1"/>
    <col min="3836" max="3836" width="5.5703125" style="25" customWidth="1"/>
    <col min="3837" max="3837" width="9" style="25" customWidth="1"/>
    <col min="3838" max="3839" width="9.85546875" style="25" customWidth="1"/>
    <col min="3840" max="3840" width="11.140625" style="25" customWidth="1"/>
    <col min="3841" max="3841" width="2.85546875" style="25" customWidth="1"/>
    <col min="3842" max="3842" width="3.5703125" style="25" customWidth="1"/>
    <col min="3843" max="4087" width="9.140625" style="25"/>
    <col min="4088" max="4088" width="8.7109375" style="25" customWidth="1"/>
    <col min="4089" max="4089" width="9.85546875" style="25" customWidth="1"/>
    <col min="4090" max="4090" width="14.42578125" style="25" customWidth="1"/>
    <col min="4091" max="4091" width="7.28515625" style="25" customWidth="1"/>
    <col min="4092" max="4092" width="5.5703125" style="25" customWidth="1"/>
    <col min="4093" max="4093" width="9" style="25" customWidth="1"/>
    <col min="4094" max="4095" width="9.85546875" style="25" customWidth="1"/>
    <col min="4096" max="4096" width="11.140625" style="25" customWidth="1"/>
    <col min="4097" max="4097" width="2.85546875" style="25" customWidth="1"/>
    <col min="4098" max="4098" width="3.5703125" style="25" customWidth="1"/>
    <col min="4099" max="4343" width="9.140625" style="25"/>
    <col min="4344" max="4344" width="8.7109375" style="25" customWidth="1"/>
    <col min="4345" max="4345" width="9.85546875" style="25" customWidth="1"/>
    <col min="4346" max="4346" width="14.42578125" style="25" customWidth="1"/>
    <col min="4347" max="4347" width="7.28515625" style="25" customWidth="1"/>
    <col min="4348" max="4348" width="5.5703125" style="25" customWidth="1"/>
    <col min="4349" max="4349" width="9" style="25" customWidth="1"/>
    <col min="4350" max="4351" width="9.85546875" style="25" customWidth="1"/>
    <col min="4352" max="4352" width="11.140625" style="25" customWidth="1"/>
    <col min="4353" max="4353" width="2.85546875" style="25" customWidth="1"/>
    <col min="4354" max="4354" width="3.5703125" style="25" customWidth="1"/>
    <col min="4355" max="4599" width="9.140625" style="25"/>
    <col min="4600" max="4600" width="8.7109375" style="25" customWidth="1"/>
    <col min="4601" max="4601" width="9.85546875" style="25" customWidth="1"/>
    <col min="4602" max="4602" width="14.42578125" style="25" customWidth="1"/>
    <col min="4603" max="4603" width="7.28515625" style="25" customWidth="1"/>
    <col min="4604" max="4604" width="5.5703125" style="25" customWidth="1"/>
    <col min="4605" max="4605" width="9" style="25" customWidth="1"/>
    <col min="4606" max="4607" width="9.85546875" style="25" customWidth="1"/>
    <col min="4608" max="4608" width="11.140625" style="25" customWidth="1"/>
    <col min="4609" max="4609" width="2.85546875" style="25" customWidth="1"/>
    <col min="4610" max="4610" width="3.5703125" style="25" customWidth="1"/>
    <col min="4611" max="4855" width="9.140625" style="25"/>
    <col min="4856" max="4856" width="8.7109375" style="25" customWidth="1"/>
    <col min="4857" max="4857" width="9.85546875" style="25" customWidth="1"/>
    <col min="4858" max="4858" width="14.42578125" style="25" customWidth="1"/>
    <col min="4859" max="4859" width="7.28515625" style="25" customWidth="1"/>
    <col min="4860" max="4860" width="5.5703125" style="25" customWidth="1"/>
    <col min="4861" max="4861" width="9" style="25" customWidth="1"/>
    <col min="4862" max="4863" width="9.85546875" style="25" customWidth="1"/>
    <col min="4864" max="4864" width="11.140625" style="25" customWidth="1"/>
    <col min="4865" max="4865" width="2.85546875" style="25" customWidth="1"/>
    <col min="4866" max="4866" width="3.5703125" style="25" customWidth="1"/>
    <col min="4867" max="5111" width="9.140625" style="25"/>
    <col min="5112" max="5112" width="8.7109375" style="25" customWidth="1"/>
    <col min="5113" max="5113" width="9.85546875" style="25" customWidth="1"/>
    <col min="5114" max="5114" width="14.42578125" style="25" customWidth="1"/>
    <col min="5115" max="5115" width="7.28515625" style="25" customWidth="1"/>
    <col min="5116" max="5116" width="5.5703125" style="25" customWidth="1"/>
    <col min="5117" max="5117" width="9" style="25" customWidth="1"/>
    <col min="5118" max="5119" width="9.85546875" style="25" customWidth="1"/>
    <col min="5120" max="5120" width="11.140625" style="25" customWidth="1"/>
    <col min="5121" max="5121" width="2.85546875" style="25" customWidth="1"/>
    <col min="5122" max="5122" width="3.5703125" style="25" customWidth="1"/>
    <col min="5123" max="5367" width="9.140625" style="25"/>
    <col min="5368" max="5368" width="8.7109375" style="25" customWidth="1"/>
    <col min="5369" max="5369" width="9.85546875" style="25" customWidth="1"/>
    <col min="5370" max="5370" width="14.42578125" style="25" customWidth="1"/>
    <col min="5371" max="5371" width="7.28515625" style="25" customWidth="1"/>
    <col min="5372" max="5372" width="5.5703125" style="25" customWidth="1"/>
    <col min="5373" max="5373" width="9" style="25" customWidth="1"/>
    <col min="5374" max="5375" width="9.85546875" style="25" customWidth="1"/>
    <col min="5376" max="5376" width="11.140625" style="25" customWidth="1"/>
    <col min="5377" max="5377" width="2.85546875" style="25" customWidth="1"/>
    <col min="5378" max="5378" width="3.5703125" style="25" customWidth="1"/>
    <col min="5379" max="5623" width="9.140625" style="25"/>
    <col min="5624" max="5624" width="8.7109375" style="25" customWidth="1"/>
    <col min="5625" max="5625" width="9.85546875" style="25" customWidth="1"/>
    <col min="5626" max="5626" width="14.42578125" style="25" customWidth="1"/>
    <col min="5627" max="5627" width="7.28515625" style="25" customWidth="1"/>
    <col min="5628" max="5628" width="5.5703125" style="25" customWidth="1"/>
    <col min="5629" max="5629" width="9" style="25" customWidth="1"/>
    <col min="5630" max="5631" width="9.85546875" style="25" customWidth="1"/>
    <col min="5632" max="5632" width="11.140625" style="25" customWidth="1"/>
    <col min="5633" max="5633" width="2.85546875" style="25" customWidth="1"/>
    <col min="5634" max="5634" width="3.5703125" style="25" customWidth="1"/>
    <col min="5635" max="5879" width="9.140625" style="25"/>
    <col min="5880" max="5880" width="8.7109375" style="25" customWidth="1"/>
    <col min="5881" max="5881" width="9.85546875" style="25" customWidth="1"/>
    <col min="5882" max="5882" width="14.42578125" style="25" customWidth="1"/>
    <col min="5883" max="5883" width="7.28515625" style="25" customWidth="1"/>
    <col min="5884" max="5884" width="5.5703125" style="25" customWidth="1"/>
    <col min="5885" max="5885" width="9" style="25" customWidth="1"/>
    <col min="5886" max="5887" width="9.85546875" style="25" customWidth="1"/>
    <col min="5888" max="5888" width="11.140625" style="25" customWidth="1"/>
    <col min="5889" max="5889" width="2.85546875" style="25" customWidth="1"/>
    <col min="5890" max="5890" width="3.5703125" style="25" customWidth="1"/>
    <col min="5891" max="6135" width="9.140625" style="25"/>
    <col min="6136" max="6136" width="8.7109375" style="25" customWidth="1"/>
    <col min="6137" max="6137" width="9.85546875" style="25" customWidth="1"/>
    <col min="6138" max="6138" width="14.42578125" style="25" customWidth="1"/>
    <col min="6139" max="6139" width="7.28515625" style="25" customWidth="1"/>
    <col min="6140" max="6140" width="5.5703125" style="25" customWidth="1"/>
    <col min="6141" max="6141" width="9" style="25" customWidth="1"/>
    <col min="6142" max="6143" width="9.85546875" style="25" customWidth="1"/>
    <col min="6144" max="6144" width="11.140625" style="25" customWidth="1"/>
    <col min="6145" max="6145" width="2.85546875" style="25" customWidth="1"/>
    <col min="6146" max="6146" width="3.5703125" style="25" customWidth="1"/>
    <col min="6147" max="6391" width="9.140625" style="25"/>
    <col min="6392" max="6392" width="8.7109375" style="25" customWidth="1"/>
    <col min="6393" max="6393" width="9.85546875" style="25" customWidth="1"/>
    <col min="6394" max="6394" width="14.42578125" style="25" customWidth="1"/>
    <col min="6395" max="6395" width="7.28515625" style="25" customWidth="1"/>
    <col min="6396" max="6396" width="5.5703125" style="25" customWidth="1"/>
    <col min="6397" max="6397" width="9" style="25" customWidth="1"/>
    <col min="6398" max="6399" width="9.85546875" style="25" customWidth="1"/>
    <col min="6400" max="6400" width="11.140625" style="25" customWidth="1"/>
    <col min="6401" max="6401" width="2.85546875" style="25" customWidth="1"/>
    <col min="6402" max="6402" width="3.5703125" style="25" customWidth="1"/>
    <col min="6403" max="6647" width="9.140625" style="25"/>
    <col min="6648" max="6648" width="8.7109375" style="25" customWidth="1"/>
    <col min="6649" max="6649" width="9.85546875" style="25" customWidth="1"/>
    <col min="6650" max="6650" width="14.42578125" style="25" customWidth="1"/>
    <col min="6651" max="6651" width="7.28515625" style="25" customWidth="1"/>
    <col min="6652" max="6652" width="5.5703125" style="25" customWidth="1"/>
    <col min="6653" max="6653" width="9" style="25" customWidth="1"/>
    <col min="6654" max="6655" width="9.85546875" style="25" customWidth="1"/>
    <col min="6656" max="6656" width="11.140625" style="25" customWidth="1"/>
    <col min="6657" max="6657" width="2.85546875" style="25" customWidth="1"/>
    <col min="6658" max="6658" width="3.5703125" style="25" customWidth="1"/>
    <col min="6659" max="6903" width="9.140625" style="25"/>
    <col min="6904" max="6904" width="8.7109375" style="25" customWidth="1"/>
    <col min="6905" max="6905" width="9.85546875" style="25" customWidth="1"/>
    <col min="6906" max="6906" width="14.42578125" style="25" customWidth="1"/>
    <col min="6907" max="6907" width="7.28515625" style="25" customWidth="1"/>
    <col min="6908" max="6908" width="5.5703125" style="25" customWidth="1"/>
    <col min="6909" max="6909" width="9" style="25" customWidth="1"/>
    <col min="6910" max="6911" width="9.85546875" style="25" customWidth="1"/>
    <col min="6912" max="6912" width="11.140625" style="25" customWidth="1"/>
    <col min="6913" max="6913" width="2.85546875" style="25" customWidth="1"/>
    <col min="6914" max="6914" width="3.5703125" style="25" customWidth="1"/>
    <col min="6915" max="7159" width="9.140625" style="25"/>
    <col min="7160" max="7160" width="8.7109375" style="25" customWidth="1"/>
    <col min="7161" max="7161" width="9.85546875" style="25" customWidth="1"/>
    <col min="7162" max="7162" width="14.42578125" style="25" customWidth="1"/>
    <col min="7163" max="7163" width="7.28515625" style="25" customWidth="1"/>
    <col min="7164" max="7164" width="5.5703125" style="25" customWidth="1"/>
    <col min="7165" max="7165" width="9" style="25" customWidth="1"/>
    <col min="7166" max="7167" width="9.85546875" style="25" customWidth="1"/>
    <col min="7168" max="7168" width="11.140625" style="25" customWidth="1"/>
    <col min="7169" max="7169" width="2.85546875" style="25" customWidth="1"/>
    <col min="7170" max="7170" width="3.5703125" style="25" customWidth="1"/>
    <col min="7171" max="7415" width="9.140625" style="25"/>
    <col min="7416" max="7416" width="8.7109375" style="25" customWidth="1"/>
    <col min="7417" max="7417" width="9.85546875" style="25" customWidth="1"/>
    <col min="7418" max="7418" width="14.42578125" style="25" customWidth="1"/>
    <col min="7419" max="7419" width="7.28515625" style="25" customWidth="1"/>
    <col min="7420" max="7420" width="5.5703125" style="25" customWidth="1"/>
    <col min="7421" max="7421" width="9" style="25" customWidth="1"/>
    <col min="7422" max="7423" width="9.85546875" style="25" customWidth="1"/>
    <col min="7424" max="7424" width="11.140625" style="25" customWidth="1"/>
    <col min="7425" max="7425" width="2.85546875" style="25" customWidth="1"/>
    <col min="7426" max="7426" width="3.5703125" style="25" customWidth="1"/>
    <col min="7427" max="7671" width="9.140625" style="25"/>
    <col min="7672" max="7672" width="8.7109375" style="25" customWidth="1"/>
    <col min="7673" max="7673" width="9.85546875" style="25" customWidth="1"/>
    <col min="7674" max="7674" width="14.42578125" style="25" customWidth="1"/>
    <col min="7675" max="7675" width="7.28515625" style="25" customWidth="1"/>
    <col min="7676" max="7676" width="5.5703125" style="25" customWidth="1"/>
    <col min="7677" max="7677" width="9" style="25" customWidth="1"/>
    <col min="7678" max="7679" width="9.85546875" style="25" customWidth="1"/>
    <col min="7680" max="7680" width="11.140625" style="25" customWidth="1"/>
    <col min="7681" max="7681" width="2.85546875" style="25" customWidth="1"/>
    <col min="7682" max="7682" width="3.5703125" style="25" customWidth="1"/>
    <col min="7683" max="7927" width="9.140625" style="25"/>
    <col min="7928" max="7928" width="8.7109375" style="25" customWidth="1"/>
    <col min="7929" max="7929" width="9.85546875" style="25" customWidth="1"/>
    <col min="7930" max="7930" width="14.42578125" style="25" customWidth="1"/>
    <col min="7931" max="7931" width="7.28515625" style="25" customWidth="1"/>
    <col min="7932" max="7932" width="5.5703125" style="25" customWidth="1"/>
    <col min="7933" max="7933" width="9" style="25" customWidth="1"/>
    <col min="7934" max="7935" width="9.85546875" style="25" customWidth="1"/>
    <col min="7936" max="7936" width="11.140625" style="25" customWidth="1"/>
    <col min="7937" max="7937" width="2.85546875" style="25" customWidth="1"/>
    <col min="7938" max="7938" width="3.5703125" style="25" customWidth="1"/>
    <col min="7939" max="8183" width="9.140625" style="25"/>
    <col min="8184" max="8184" width="8.7109375" style="25" customWidth="1"/>
    <col min="8185" max="8185" width="9.85546875" style="25" customWidth="1"/>
    <col min="8186" max="8186" width="14.42578125" style="25" customWidth="1"/>
    <col min="8187" max="8187" width="7.28515625" style="25" customWidth="1"/>
    <col min="8188" max="8188" width="5.5703125" style="25" customWidth="1"/>
    <col min="8189" max="8189" width="9" style="25" customWidth="1"/>
    <col min="8190" max="8191" width="9.85546875" style="25" customWidth="1"/>
    <col min="8192" max="8192" width="11.140625" style="25" customWidth="1"/>
    <col min="8193" max="8193" width="2.85546875" style="25" customWidth="1"/>
    <col min="8194" max="8194" width="3.5703125" style="25" customWidth="1"/>
    <col min="8195" max="8439" width="9.140625" style="25"/>
    <col min="8440" max="8440" width="8.7109375" style="25" customWidth="1"/>
    <col min="8441" max="8441" width="9.85546875" style="25" customWidth="1"/>
    <col min="8442" max="8442" width="14.42578125" style="25" customWidth="1"/>
    <col min="8443" max="8443" width="7.28515625" style="25" customWidth="1"/>
    <col min="8444" max="8444" width="5.5703125" style="25" customWidth="1"/>
    <col min="8445" max="8445" width="9" style="25" customWidth="1"/>
    <col min="8446" max="8447" width="9.85546875" style="25" customWidth="1"/>
    <col min="8448" max="8448" width="11.140625" style="25" customWidth="1"/>
    <col min="8449" max="8449" width="2.85546875" style="25" customWidth="1"/>
    <col min="8450" max="8450" width="3.5703125" style="25" customWidth="1"/>
    <col min="8451" max="8695" width="9.140625" style="25"/>
    <col min="8696" max="8696" width="8.7109375" style="25" customWidth="1"/>
    <col min="8697" max="8697" width="9.85546875" style="25" customWidth="1"/>
    <col min="8698" max="8698" width="14.42578125" style="25" customWidth="1"/>
    <col min="8699" max="8699" width="7.28515625" style="25" customWidth="1"/>
    <col min="8700" max="8700" width="5.5703125" style="25" customWidth="1"/>
    <col min="8701" max="8701" width="9" style="25" customWidth="1"/>
    <col min="8702" max="8703" width="9.85546875" style="25" customWidth="1"/>
    <col min="8704" max="8704" width="11.140625" style="25" customWidth="1"/>
    <col min="8705" max="8705" width="2.85546875" style="25" customWidth="1"/>
    <col min="8706" max="8706" width="3.5703125" style="25" customWidth="1"/>
    <col min="8707" max="8951" width="9.140625" style="25"/>
    <col min="8952" max="8952" width="8.7109375" style="25" customWidth="1"/>
    <col min="8953" max="8953" width="9.85546875" style="25" customWidth="1"/>
    <col min="8954" max="8954" width="14.42578125" style="25" customWidth="1"/>
    <col min="8955" max="8955" width="7.28515625" style="25" customWidth="1"/>
    <col min="8956" max="8956" width="5.5703125" style="25" customWidth="1"/>
    <col min="8957" max="8957" width="9" style="25" customWidth="1"/>
    <col min="8958" max="8959" width="9.85546875" style="25" customWidth="1"/>
    <col min="8960" max="8960" width="11.140625" style="25" customWidth="1"/>
    <col min="8961" max="8961" width="2.85546875" style="25" customWidth="1"/>
    <col min="8962" max="8962" width="3.5703125" style="25" customWidth="1"/>
    <col min="8963" max="9207" width="9.140625" style="25"/>
    <col min="9208" max="9208" width="8.7109375" style="25" customWidth="1"/>
    <col min="9209" max="9209" width="9.85546875" style="25" customWidth="1"/>
    <col min="9210" max="9210" width="14.42578125" style="25" customWidth="1"/>
    <col min="9211" max="9211" width="7.28515625" style="25" customWidth="1"/>
    <col min="9212" max="9212" width="5.5703125" style="25" customWidth="1"/>
    <col min="9213" max="9213" width="9" style="25" customWidth="1"/>
    <col min="9214" max="9215" width="9.85546875" style="25" customWidth="1"/>
    <col min="9216" max="9216" width="11.140625" style="25" customWidth="1"/>
    <col min="9217" max="9217" width="2.85546875" style="25" customWidth="1"/>
    <col min="9218" max="9218" width="3.5703125" style="25" customWidth="1"/>
    <col min="9219" max="9463" width="9.140625" style="25"/>
    <col min="9464" max="9464" width="8.7109375" style="25" customWidth="1"/>
    <col min="9465" max="9465" width="9.85546875" style="25" customWidth="1"/>
    <col min="9466" max="9466" width="14.42578125" style="25" customWidth="1"/>
    <col min="9467" max="9467" width="7.28515625" style="25" customWidth="1"/>
    <col min="9468" max="9468" width="5.5703125" style="25" customWidth="1"/>
    <col min="9469" max="9469" width="9" style="25" customWidth="1"/>
    <col min="9470" max="9471" width="9.85546875" style="25" customWidth="1"/>
    <col min="9472" max="9472" width="11.140625" style="25" customWidth="1"/>
    <col min="9473" max="9473" width="2.85546875" style="25" customWidth="1"/>
    <col min="9474" max="9474" width="3.5703125" style="25" customWidth="1"/>
    <col min="9475" max="9719" width="9.140625" style="25"/>
    <col min="9720" max="9720" width="8.7109375" style="25" customWidth="1"/>
    <col min="9721" max="9721" width="9.85546875" style="25" customWidth="1"/>
    <col min="9722" max="9722" width="14.42578125" style="25" customWidth="1"/>
    <col min="9723" max="9723" width="7.28515625" style="25" customWidth="1"/>
    <col min="9724" max="9724" width="5.5703125" style="25" customWidth="1"/>
    <col min="9725" max="9725" width="9" style="25" customWidth="1"/>
    <col min="9726" max="9727" width="9.85546875" style="25" customWidth="1"/>
    <col min="9728" max="9728" width="11.140625" style="25" customWidth="1"/>
    <col min="9729" max="9729" width="2.85546875" style="25" customWidth="1"/>
    <col min="9730" max="9730" width="3.5703125" style="25" customWidth="1"/>
    <col min="9731" max="9975" width="9.140625" style="25"/>
    <col min="9976" max="9976" width="8.7109375" style="25" customWidth="1"/>
    <col min="9977" max="9977" width="9.85546875" style="25" customWidth="1"/>
    <col min="9978" max="9978" width="14.42578125" style="25" customWidth="1"/>
    <col min="9979" max="9979" width="7.28515625" style="25" customWidth="1"/>
    <col min="9980" max="9980" width="5.5703125" style="25" customWidth="1"/>
    <col min="9981" max="9981" width="9" style="25" customWidth="1"/>
    <col min="9982" max="9983" width="9.85546875" style="25" customWidth="1"/>
    <col min="9984" max="9984" width="11.140625" style="25" customWidth="1"/>
    <col min="9985" max="9985" width="2.85546875" style="25" customWidth="1"/>
    <col min="9986" max="9986" width="3.5703125" style="25" customWidth="1"/>
    <col min="9987" max="10231" width="9.140625" style="25"/>
    <col min="10232" max="10232" width="8.7109375" style="25" customWidth="1"/>
    <col min="10233" max="10233" width="9.85546875" style="25" customWidth="1"/>
    <col min="10234" max="10234" width="14.42578125" style="25" customWidth="1"/>
    <col min="10235" max="10235" width="7.28515625" style="25" customWidth="1"/>
    <col min="10236" max="10236" width="5.5703125" style="25" customWidth="1"/>
    <col min="10237" max="10237" width="9" style="25" customWidth="1"/>
    <col min="10238" max="10239" width="9.85546875" style="25" customWidth="1"/>
    <col min="10240" max="10240" width="11.140625" style="25" customWidth="1"/>
    <col min="10241" max="10241" width="2.85546875" style="25" customWidth="1"/>
    <col min="10242" max="10242" width="3.5703125" style="25" customWidth="1"/>
    <col min="10243" max="10487" width="9.140625" style="25"/>
    <col min="10488" max="10488" width="8.7109375" style="25" customWidth="1"/>
    <col min="10489" max="10489" width="9.85546875" style="25" customWidth="1"/>
    <col min="10490" max="10490" width="14.42578125" style="25" customWidth="1"/>
    <col min="10491" max="10491" width="7.28515625" style="25" customWidth="1"/>
    <col min="10492" max="10492" width="5.5703125" style="25" customWidth="1"/>
    <col min="10493" max="10493" width="9" style="25" customWidth="1"/>
    <col min="10494" max="10495" width="9.85546875" style="25" customWidth="1"/>
    <col min="10496" max="10496" width="11.140625" style="25" customWidth="1"/>
    <col min="10497" max="10497" width="2.85546875" style="25" customWidth="1"/>
    <col min="10498" max="10498" width="3.5703125" style="25" customWidth="1"/>
    <col min="10499" max="10743" width="9.140625" style="25"/>
    <col min="10744" max="10744" width="8.7109375" style="25" customWidth="1"/>
    <col min="10745" max="10745" width="9.85546875" style="25" customWidth="1"/>
    <col min="10746" max="10746" width="14.42578125" style="25" customWidth="1"/>
    <col min="10747" max="10747" width="7.28515625" style="25" customWidth="1"/>
    <col min="10748" max="10748" width="5.5703125" style="25" customWidth="1"/>
    <col min="10749" max="10749" width="9" style="25" customWidth="1"/>
    <col min="10750" max="10751" width="9.85546875" style="25" customWidth="1"/>
    <col min="10752" max="10752" width="11.140625" style="25" customWidth="1"/>
    <col min="10753" max="10753" width="2.85546875" style="25" customWidth="1"/>
    <col min="10754" max="10754" width="3.5703125" style="25" customWidth="1"/>
    <col min="10755" max="10999" width="9.140625" style="25"/>
    <col min="11000" max="11000" width="8.7109375" style="25" customWidth="1"/>
    <col min="11001" max="11001" width="9.85546875" style="25" customWidth="1"/>
    <col min="11002" max="11002" width="14.42578125" style="25" customWidth="1"/>
    <col min="11003" max="11003" width="7.28515625" style="25" customWidth="1"/>
    <col min="11004" max="11004" width="5.5703125" style="25" customWidth="1"/>
    <col min="11005" max="11005" width="9" style="25" customWidth="1"/>
    <col min="11006" max="11007" width="9.85546875" style="25" customWidth="1"/>
    <col min="11008" max="11008" width="11.140625" style="25" customWidth="1"/>
    <col min="11009" max="11009" width="2.85546875" style="25" customWidth="1"/>
    <col min="11010" max="11010" width="3.5703125" style="25" customWidth="1"/>
    <col min="11011" max="11255" width="9.140625" style="25"/>
    <col min="11256" max="11256" width="8.7109375" style="25" customWidth="1"/>
    <col min="11257" max="11257" width="9.85546875" style="25" customWidth="1"/>
    <col min="11258" max="11258" width="14.42578125" style="25" customWidth="1"/>
    <col min="11259" max="11259" width="7.28515625" style="25" customWidth="1"/>
    <col min="11260" max="11260" width="5.5703125" style="25" customWidth="1"/>
    <col min="11261" max="11261" width="9" style="25" customWidth="1"/>
    <col min="11262" max="11263" width="9.85546875" style="25" customWidth="1"/>
    <col min="11264" max="11264" width="11.140625" style="25" customWidth="1"/>
    <col min="11265" max="11265" width="2.85546875" style="25" customWidth="1"/>
    <col min="11266" max="11266" width="3.5703125" style="25" customWidth="1"/>
    <col min="11267" max="11511" width="9.140625" style="25"/>
    <col min="11512" max="11512" width="8.7109375" style="25" customWidth="1"/>
    <col min="11513" max="11513" width="9.85546875" style="25" customWidth="1"/>
    <col min="11514" max="11514" width="14.42578125" style="25" customWidth="1"/>
    <col min="11515" max="11515" width="7.28515625" style="25" customWidth="1"/>
    <col min="11516" max="11516" width="5.5703125" style="25" customWidth="1"/>
    <col min="11517" max="11517" width="9" style="25" customWidth="1"/>
    <col min="11518" max="11519" width="9.85546875" style="25" customWidth="1"/>
    <col min="11520" max="11520" width="11.140625" style="25" customWidth="1"/>
    <col min="11521" max="11521" width="2.85546875" style="25" customWidth="1"/>
    <col min="11522" max="11522" width="3.5703125" style="25" customWidth="1"/>
    <col min="11523" max="11767" width="9.140625" style="25"/>
    <col min="11768" max="11768" width="8.7109375" style="25" customWidth="1"/>
    <col min="11769" max="11769" width="9.85546875" style="25" customWidth="1"/>
    <col min="11770" max="11770" width="14.42578125" style="25" customWidth="1"/>
    <col min="11771" max="11771" width="7.28515625" style="25" customWidth="1"/>
    <col min="11772" max="11772" width="5.5703125" style="25" customWidth="1"/>
    <col min="11773" max="11773" width="9" style="25" customWidth="1"/>
    <col min="11774" max="11775" width="9.85546875" style="25" customWidth="1"/>
    <col min="11776" max="11776" width="11.140625" style="25" customWidth="1"/>
    <col min="11777" max="11777" width="2.85546875" style="25" customWidth="1"/>
    <col min="11778" max="11778" width="3.5703125" style="25" customWidth="1"/>
    <col min="11779" max="12023" width="9.140625" style="25"/>
    <col min="12024" max="12024" width="8.7109375" style="25" customWidth="1"/>
    <col min="12025" max="12025" width="9.85546875" style="25" customWidth="1"/>
    <col min="12026" max="12026" width="14.42578125" style="25" customWidth="1"/>
    <col min="12027" max="12027" width="7.28515625" style="25" customWidth="1"/>
    <col min="12028" max="12028" width="5.5703125" style="25" customWidth="1"/>
    <col min="12029" max="12029" width="9" style="25" customWidth="1"/>
    <col min="12030" max="12031" width="9.85546875" style="25" customWidth="1"/>
    <col min="12032" max="12032" width="11.140625" style="25" customWidth="1"/>
    <col min="12033" max="12033" width="2.85546875" style="25" customWidth="1"/>
    <col min="12034" max="12034" width="3.5703125" style="25" customWidth="1"/>
    <col min="12035" max="12279" width="9.140625" style="25"/>
    <col min="12280" max="12280" width="8.7109375" style="25" customWidth="1"/>
    <col min="12281" max="12281" width="9.85546875" style="25" customWidth="1"/>
    <col min="12282" max="12282" width="14.42578125" style="25" customWidth="1"/>
    <col min="12283" max="12283" width="7.28515625" style="25" customWidth="1"/>
    <col min="12284" max="12284" width="5.5703125" style="25" customWidth="1"/>
    <col min="12285" max="12285" width="9" style="25" customWidth="1"/>
    <col min="12286" max="12287" width="9.85546875" style="25" customWidth="1"/>
    <col min="12288" max="12288" width="11.140625" style="25" customWidth="1"/>
    <col min="12289" max="12289" width="2.85546875" style="25" customWidth="1"/>
    <col min="12290" max="12290" width="3.5703125" style="25" customWidth="1"/>
    <col min="12291" max="12535" width="9.140625" style="25"/>
    <col min="12536" max="12536" width="8.7109375" style="25" customWidth="1"/>
    <col min="12537" max="12537" width="9.85546875" style="25" customWidth="1"/>
    <col min="12538" max="12538" width="14.42578125" style="25" customWidth="1"/>
    <col min="12539" max="12539" width="7.28515625" style="25" customWidth="1"/>
    <col min="12540" max="12540" width="5.5703125" style="25" customWidth="1"/>
    <col min="12541" max="12541" width="9" style="25" customWidth="1"/>
    <col min="12542" max="12543" width="9.85546875" style="25" customWidth="1"/>
    <col min="12544" max="12544" width="11.140625" style="25" customWidth="1"/>
    <col min="12545" max="12545" width="2.85546875" style="25" customWidth="1"/>
    <col min="12546" max="12546" width="3.5703125" style="25" customWidth="1"/>
    <col min="12547" max="12791" width="9.140625" style="25"/>
    <col min="12792" max="12792" width="8.7109375" style="25" customWidth="1"/>
    <col min="12793" max="12793" width="9.85546875" style="25" customWidth="1"/>
    <col min="12794" max="12794" width="14.42578125" style="25" customWidth="1"/>
    <col min="12795" max="12795" width="7.28515625" style="25" customWidth="1"/>
    <col min="12796" max="12796" width="5.5703125" style="25" customWidth="1"/>
    <col min="12797" max="12797" width="9" style="25" customWidth="1"/>
    <col min="12798" max="12799" width="9.85546875" style="25" customWidth="1"/>
    <col min="12800" max="12800" width="11.140625" style="25" customWidth="1"/>
    <col min="12801" max="12801" width="2.85546875" style="25" customWidth="1"/>
    <col min="12802" max="12802" width="3.5703125" style="25" customWidth="1"/>
    <col min="12803" max="13047" width="9.140625" style="25"/>
    <col min="13048" max="13048" width="8.7109375" style="25" customWidth="1"/>
    <col min="13049" max="13049" width="9.85546875" style="25" customWidth="1"/>
    <col min="13050" max="13050" width="14.42578125" style="25" customWidth="1"/>
    <col min="13051" max="13051" width="7.28515625" style="25" customWidth="1"/>
    <col min="13052" max="13052" width="5.5703125" style="25" customWidth="1"/>
    <col min="13053" max="13053" width="9" style="25" customWidth="1"/>
    <col min="13054" max="13055" width="9.85546875" style="25" customWidth="1"/>
    <col min="13056" max="13056" width="11.140625" style="25" customWidth="1"/>
    <col min="13057" max="13057" width="2.85546875" style="25" customWidth="1"/>
    <col min="13058" max="13058" width="3.5703125" style="25" customWidth="1"/>
    <col min="13059" max="13303" width="9.140625" style="25"/>
    <col min="13304" max="13304" width="8.7109375" style="25" customWidth="1"/>
    <col min="13305" max="13305" width="9.85546875" style="25" customWidth="1"/>
    <col min="13306" max="13306" width="14.42578125" style="25" customWidth="1"/>
    <col min="13307" max="13307" width="7.28515625" style="25" customWidth="1"/>
    <col min="13308" max="13308" width="5.5703125" style="25" customWidth="1"/>
    <col min="13309" max="13309" width="9" style="25" customWidth="1"/>
    <col min="13310" max="13311" width="9.85546875" style="25" customWidth="1"/>
    <col min="13312" max="13312" width="11.140625" style="25" customWidth="1"/>
    <col min="13313" max="13313" width="2.85546875" style="25" customWidth="1"/>
    <col min="13314" max="13314" width="3.5703125" style="25" customWidth="1"/>
    <col min="13315" max="13559" width="9.140625" style="25"/>
    <col min="13560" max="13560" width="8.7109375" style="25" customWidth="1"/>
    <col min="13561" max="13561" width="9.85546875" style="25" customWidth="1"/>
    <col min="13562" max="13562" width="14.42578125" style="25" customWidth="1"/>
    <col min="13563" max="13563" width="7.28515625" style="25" customWidth="1"/>
    <col min="13564" max="13564" width="5.5703125" style="25" customWidth="1"/>
    <col min="13565" max="13565" width="9" style="25" customWidth="1"/>
    <col min="13566" max="13567" width="9.85546875" style="25" customWidth="1"/>
    <col min="13568" max="13568" width="11.140625" style="25" customWidth="1"/>
    <col min="13569" max="13569" width="2.85546875" style="25" customWidth="1"/>
    <col min="13570" max="13570" width="3.5703125" style="25" customWidth="1"/>
    <col min="13571" max="13815" width="9.140625" style="25"/>
    <col min="13816" max="13816" width="8.7109375" style="25" customWidth="1"/>
    <col min="13817" max="13817" width="9.85546875" style="25" customWidth="1"/>
    <col min="13818" max="13818" width="14.42578125" style="25" customWidth="1"/>
    <col min="13819" max="13819" width="7.28515625" style="25" customWidth="1"/>
    <col min="13820" max="13820" width="5.5703125" style="25" customWidth="1"/>
    <col min="13821" max="13821" width="9" style="25" customWidth="1"/>
    <col min="13822" max="13823" width="9.85546875" style="25" customWidth="1"/>
    <col min="13824" max="13824" width="11.140625" style="25" customWidth="1"/>
    <col min="13825" max="13825" width="2.85546875" style="25" customWidth="1"/>
    <col min="13826" max="13826" width="3.5703125" style="25" customWidth="1"/>
    <col min="13827" max="14071" width="9.140625" style="25"/>
    <col min="14072" max="14072" width="8.7109375" style="25" customWidth="1"/>
    <col min="14073" max="14073" width="9.85546875" style="25" customWidth="1"/>
    <col min="14074" max="14074" width="14.42578125" style="25" customWidth="1"/>
    <col min="14075" max="14075" width="7.28515625" style="25" customWidth="1"/>
    <col min="14076" max="14076" width="5.5703125" style="25" customWidth="1"/>
    <col min="14077" max="14077" width="9" style="25" customWidth="1"/>
    <col min="14078" max="14079" width="9.85546875" style="25" customWidth="1"/>
    <col min="14080" max="14080" width="11.140625" style="25" customWidth="1"/>
    <col min="14081" max="14081" width="2.85546875" style="25" customWidth="1"/>
    <col min="14082" max="14082" width="3.5703125" style="25" customWidth="1"/>
    <col min="14083" max="14327" width="9.140625" style="25"/>
    <col min="14328" max="14328" width="8.7109375" style="25" customWidth="1"/>
    <col min="14329" max="14329" width="9.85546875" style="25" customWidth="1"/>
    <col min="14330" max="14330" width="14.42578125" style="25" customWidth="1"/>
    <col min="14331" max="14331" width="7.28515625" style="25" customWidth="1"/>
    <col min="14332" max="14332" width="5.5703125" style="25" customWidth="1"/>
    <col min="14333" max="14333" width="9" style="25" customWidth="1"/>
    <col min="14334" max="14335" width="9.85546875" style="25" customWidth="1"/>
    <col min="14336" max="14336" width="11.140625" style="25" customWidth="1"/>
    <col min="14337" max="14337" width="2.85546875" style="25" customWidth="1"/>
    <col min="14338" max="14338" width="3.5703125" style="25" customWidth="1"/>
    <col min="14339" max="14583" width="9.140625" style="25"/>
    <col min="14584" max="14584" width="8.7109375" style="25" customWidth="1"/>
    <col min="14585" max="14585" width="9.85546875" style="25" customWidth="1"/>
    <col min="14586" max="14586" width="14.42578125" style="25" customWidth="1"/>
    <col min="14587" max="14587" width="7.28515625" style="25" customWidth="1"/>
    <col min="14588" max="14588" width="5.5703125" style="25" customWidth="1"/>
    <col min="14589" max="14589" width="9" style="25" customWidth="1"/>
    <col min="14590" max="14591" width="9.85546875" style="25" customWidth="1"/>
    <col min="14592" max="14592" width="11.140625" style="25" customWidth="1"/>
    <col min="14593" max="14593" width="2.85546875" style="25" customWidth="1"/>
    <col min="14594" max="14594" width="3.5703125" style="25" customWidth="1"/>
    <col min="14595" max="14839" width="9.140625" style="25"/>
    <col min="14840" max="14840" width="8.7109375" style="25" customWidth="1"/>
    <col min="14841" max="14841" width="9.85546875" style="25" customWidth="1"/>
    <col min="14842" max="14842" width="14.42578125" style="25" customWidth="1"/>
    <col min="14843" max="14843" width="7.28515625" style="25" customWidth="1"/>
    <col min="14844" max="14844" width="5.5703125" style="25" customWidth="1"/>
    <col min="14845" max="14845" width="9" style="25" customWidth="1"/>
    <col min="14846" max="14847" width="9.85546875" style="25" customWidth="1"/>
    <col min="14848" max="14848" width="11.140625" style="25" customWidth="1"/>
    <col min="14849" max="14849" width="2.85546875" style="25" customWidth="1"/>
    <col min="14850" max="14850" width="3.5703125" style="25" customWidth="1"/>
    <col min="14851" max="15095" width="9.140625" style="25"/>
    <col min="15096" max="15096" width="8.7109375" style="25" customWidth="1"/>
    <col min="15097" max="15097" width="9.85546875" style="25" customWidth="1"/>
    <col min="15098" max="15098" width="14.42578125" style="25" customWidth="1"/>
    <col min="15099" max="15099" width="7.28515625" style="25" customWidth="1"/>
    <col min="15100" max="15100" width="5.5703125" style="25" customWidth="1"/>
    <col min="15101" max="15101" width="9" style="25" customWidth="1"/>
    <col min="15102" max="15103" width="9.85546875" style="25" customWidth="1"/>
    <col min="15104" max="15104" width="11.140625" style="25" customWidth="1"/>
    <col min="15105" max="15105" width="2.85546875" style="25" customWidth="1"/>
    <col min="15106" max="15106" width="3.5703125" style="25" customWidth="1"/>
    <col min="15107" max="15351" width="9.140625" style="25"/>
    <col min="15352" max="15352" width="8.7109375" style="25" customWidth="1"/>
    <col min="15353" max="15353" width="9.85546875" style="25" customWidth="1"/>
    <col min="15354" max="15354" width="14.42578125" style="25" customWidth="1"/>
    <col min="15355" max="15355" width="7.28515625" style="25" customWidth="1"/>
    <col min="15356" max="15356" width="5.5703125" style="25" customWidth="1"/>
    <col min="15357" max="15357" width="9" style="25" customWidth="1"/>
    <col min="15358" max="15359" width="9.85546875" style="25" customWidth="1"/>
    <col min="15360" max="15360" width="11.140625" style="25" customWidth="1"/>
    <col min="15361" max="15361" width="2.85546875" style="25" customWidth="1"/>
    <col min="15362" max="15362" width="3.5703125" style="25" customWidth="1"/>
    <col min="15363" max="15607" width="9.140625" style="25"/>
    <col min="15608" max="15608" width="8.7109375" style="25" customWidth="1"/>
    <col min="15609" max="15609" width="9.85546875" style="25" customWidth="1"/>
    <col min="15610" max="15610" width="14.42578125" style="25" customWidth="1"/>
    <col min="15611" max="15611" width="7.28515625" style="25" customWidth="1"/>
    <col min="15612" max="15612" width="5.5703125" style="25" customWidth="1"/>
    <col min="15613" max="15613" width="9" style="25" customWidth="1"/>
    <col min="15614" max="15615" width="9.85546875" style="25" customWidth="1"/>
    <col min="15616" max="15616" width="11.140625" style="25" customWidth="1"/>
    <col min="15617" max="15617" width="2.85546875" style="25" customWidth="1"/>
    <col min="15618" max="15618" width="3.5703125" style="25" customWidth="1"/>
    <col min="15619" max="15863" width="9.140625" style="25"/>
    <col min="15864" max="15864" width="8.7109375" style="25" customWidth="1"/>
    <col min="15865" max="15865" width="9.85546875" style="25" customWidth="1"/>
    <col min="15866" max="15866" width="14.42578125" style="25" customWidth="1"/>
    <col min="15867" max="15867" width="7.28515625" style="25" customWidth="1"/>
    <col min="15868" max="15868" width="5.5703125" style="25" customWidth="1"/>
    <col min="15869" max="15869" width="9" style="25" customWidth="1"/>
    <col min="15870" max="15871" width="9.85546875" style="25" customWidth="1"/>
    <col min="15872" max="15872" width="11.140625" style="25" customWidth="1"/>
    <col min="15873" max="15873" width="2.85546875" style="25" customWidth="1"/>
    <col min="15874" max="15874" width="3.5703125" style="25" customWidth="1"/>
    <col min="15875" max="16119" width="9.140625" style="25"/>
    <col min="16120" max="16120" width="8.7109375" style="25" customWidth="1"/>
    <col min="16121" max="16121" width="9.85546875" style="25" customWidth="1"/>
    <col min="16122" max="16122" width="14.42578125" style="25" customWidth="1"/>
    <col min="16123" max="16123" width="7.28515625" style="25" customWidth="1"/>
    <col min="16124" max="16124" width="5.5703125" style="25" customWidth="1"/>
    <col min="16125" max="16125" width="9" style="25" customWidth="1"/>
    <col min="16126" max="16127" width="9.85546875" style="25" customWidth="1"/>
    <col min="16128" max="16128" width="11.140625" style="25" customWidth="1"/>
    <col min="16129" max="16129" width="2.85546875" style="25" customWidth="1"/>
    <col min="16130" max="16130" width="3.5703125" style="25" customWidth="1"/>
    <col min="16131" max="16384" width="9.140625" style="25"/>
  </cols>
  <sheetData>
    <row r="1" spans="1:8" ht="46.5" customHeight="1" x14ac:dyDescent="0.25">
      <c r="A1" s="221" t="s">
        <v>194</v>
      </c>
      <c r="B1" s="221"/>
      <c r="C1" s="221"/>
      <c r="D1" s="221"/>
      <c r="E1" s="221"/>
      <c r="F1" s="221"/>
      <c r="G1" s="221"/>
      <c r="H1" s="221"/>
    </row>
    <row r="2" spans="1:8" ht="16.5" customHeight="1" x14ac:dyDescent="0.25">
      <c r="A2" s="170" t="s">
        <v>0</v>
      </c>
      <c r="B2" s="170"/>
      <c r="C2" s="170"/>
      <c r="D2" s="170"/>
      <c r="E2" s="170"/>
      <c r="F2" s="170"/>
      <c r="G2" s="170"/>
      <c r="H2" s="170"/>
    </row>
    <row r="3" spans="1:8" x14ac:dyDescent="0.25">
      <c r="A3" s="212" t="s">
        <v>1</v>
      </c>
      <c r="B3" s="212"/>
      <c r="C3" s="212"/>
      <c r="D3" s="212"/>
      <c r="E3" s="222" t="str">
        <f ca="1">TEXT(TODAY(),"DD/MM/YYYY")</f>
        <v>13/08/2025</v>
      </c>
      <c r="F3" s="212"/>
      <c r="G3" s="212"/>
      <c r="H3" s="212"/>
    </row>
    <row r="4" spans="1:8" ht="15" customHeight="1" x14ac:dyDescent="0.25">
      <c r="A4" s="212" t="s">
        <v>2</v>
      </c>
      <c r="B4" s="212"/>
      <c r="C4" s="212"/>
      <c r="D4" s="212"/>
      <c r="E4" s="212" t="s">
        <v>167</v>
      </c>
      <c r="F4" s="212"/>
      <c r="G4" s="212"/>
      <c r="H4" s="212"/>
    </row>
    <row r="5" spans="1:8" x14ac:dyDescent="0.25">
      <c r="A5" s="212" t="s">
        <v>3</v>
      </c>
      <c r="B5" s="212"/>
      <c r="C5" s="212"/>
      <c r="D5" s="212"/>
      <c r="E5" s="222" t="s">
        <v>287</v>
      </c>
      <c r="F5" s="212"/>
      <c r="G5" s="212"/>
      <c r="H5" s="212"/>
    </row>
    <row r="6" spans="1:8" ht="16.5" customHeight="1" x14ac:dyDescent="0.25">
      <c r="A6" s="212" t="s">
        <v>4</v>
      </c>
      <c r="B6" s="212"/>
      <c r="C6" s="212"/>
      <c r="D6" s="212"/>
      <c r="E6" s="212" t="s">
        <v>168</v>
      </c>
      <c r="F6" s="212"/>
      <c r="G6" s="212"/>
      <c r="H6" s="212"/>
    </row>
    <row r="7" spans="1:8" ht="15" customHeight="1" x14ac:dyDescent="0.25">
      <c r="A7" s="212" t="s">
        <v>5</v>
      </c>
      <c r="B7" s="212"/>
      <c r="C7" s="212"/>
      <c r="D7" s="212"/>
      <c r="E7" s="212" t="str">
        <f>E6</f>
        <v>M/s.Macrotech Developers Limited</v>
      </c>
      <c r="F7" s="212"/>
      <c r="G7" s="212"/>
      <c r="H7" s="212"/>
    </row>
    <row r="8" spans="1:8" x14ac:dyDescent="0.25">
      <c r="A8" s="212" t="s">
        <v>6</v>
      </c>
      <c r="B8" s="212"/>
      <c r="C8" s="212"/>
      <c r="D8" s="212"/>
      <c r="E8" s="121" t="s">
        <v>203</v>
      </c>
      <c r="F8" s="121"/>
      <c r="G8" s="121"/>
      <c r="H8" s="121"/>
    </row>
    <row r="9" spans="1:8" x14ac:dyDescent="0.25">
      <c r="A9" s="212" t="s">
        <v>126</v>
      </c>
      <c r="B9" s="212"/>
      <c r="C9" s="212"/>
      <c r="D9" s="212"/>
      <c r="E9" s="212" t="s">
        <v>274</v>
      </c>
      <c r="F9" s="212"/>
      <c r="G9" s="212"/>
      <c r="H9" s="212"/>
    </row>
    <row r="10" spans="1:8" x14ac:dyDescent="0.25">
      <c r="A10" s="212" t="s">
        <v>188</v>
      </c>
      <c r="B10" s="212"/>
      <c r="C10" s="212"/>
      <c r="D10" s="212"/>
      <c r="E10" s="212" t="s">
        <v>286</v>
      </c>
      <c r="F10" s="212"/>
      <c r="G10" s="212"/>
      <c r="H10" s="212"/>
    </row>
    <row r="11" spans="1:8" ht="32.25" customHeight="1" x14ac:dyDescent="0.25">
      <c r="A11" s="212" t="s">
        <v>214</v>
      </c>
      <c r="B11" s="212"/>
      <c r="C11" s="212"/>
      <c r="D11" s="212"/>
      <c r="E11" s="134" t="s">
        <v>215</v>
      </c>
      <c r="F11" s="212"/>
      <c r="G11" s="212"/>
      <c r="H11" s="212"/>
    </row>
    <row r="12" spans="1:8" x14ac:dyDescent="0.25">
      <c r="A12" s="106" t="s">
        <v>7</v>
      </c>
      <c r="B12" s="106"/>
      <c r="C12" s="106"/>
      <c r="D12" s="106"/>
      <c r="E12" s="134" t="s">
        <v>169</v>
      </c>
      <c r="F12" s="134"/>
      <c r="G12" s="134"/>
      <c r="H12" s="134"/>
    </row>
    <row r="13" spans="1:8" ht="15.75" customHeight="1" x14ac:dyDescent="0.25">
      <c r="A13" s="223" t="s">
        <v>8</v>
      </c>
      <c r="B13" s="224"/>
      <c r="C13" s="224"/>
      <c r="D13" s="225"/>
      <c r="E13" s="144" t="s">
        <v>293</v>
      </c>
      <c r="F13" s="145"/>
      <c r="G13" s="145"/>
      <c r="H13" s="146"/>
    </row>
    <row r="14" spans="1:8" x14ac:dyDescent="0.25">
      <c r="A14" s="226"/>
      <c r="B14" s="227"/>
      <c r="C14" s="227"/>
      <c r="D14" s="228"/>
      <c r="E14" s="147"/>
      <c r="F14" s="148"/>
      <c r="G14" s="148"/>
      <c r="H14" s="149"/>
    </row>
    <row r="15" spans="1:8" ht="48" customHeight="1" x14ac:dyDescent="0.25">
      <c r="A15" s="107" t="s">
        <v>9</v>
      </c>
      <c r="B15" s="107"/>
      <c r="C15" s="107" t="str">
        <f>CONCATENATE((IF(OR(E8="",E8="NA"),"",E8)),", ",(IF(OR(A16="",A16="NA"),"",A16)),".",(IF(OR(C16="",C16="NA"),"",C16)),", near ",(IF(OR(C20="",C20="NA"),"",C20)),", ",(IF(OR(C17="",C17="NA"),"",C17)),", ",(IF(OR(G17="",G17="NA"),"",G17)),", ",(IF(OR(C18="",C18="NA"),"",C18)),", ",(IF(OR(C19="",C19="NA"),"",C19)),", ",(IF(OR(G18="",G18="NA"),"",G18))," - ",(IF(OR(G19="",G19="NA"),"",G19)),".")</f>
        <v>Lodha Bellagio - Tower C &amp; D, CTS No.102A/2 and 102/A/4, near Skyline Villa, Powai internal Road, Tirandaz, Kanjurmarg, Powai, Kurla, Mumbai - 400076.</v>
      </c>
      <c r="D15" s="107"/>
      <c r="E15" s="107"/>
      <c r="F15" s="107"/>
      <c r="G15" s="107"/>
      <c r="H15" s="107"/>
    </row>
    <row r="16" spans="1:8" x14ac:dyDescent="0.25">
      <c r="A16" s="134" t="s">
        <v>180</v>
      </c>
      <c r="B16" s="134"/>
      <c r="C16" s="134" t="s">
        <v>170</v>
      </c>
      <c r="D16" s="134"/>
      <c r="E16" s="134"/>
      <c r="F16" s="134"/>
      <c r="G16" s="134"/>
      <c r="H16" s="134"/>
    </row>
    <row r="17" spans="1:8" ht="15.75" customHeight="1" x14ac:dyDescent="0.25">
      <c r="A17" s="107" t="s">
        <v>10</v>
      </c>
      <c r="B17" s="107"/>
      <c r="C17" s="212" t="s">
        <v>179</v>
      </c>
      <c r="D17" s="212"/>
      <c r="E17" s="107" t="s">
        <v>76</v>
      </c>
      <c r="F17" s="107"/>
      <c r="G17" s="134" t="s">
        <v>175</v>
      </c>
      <c r="H17" s="134"/>
    </row>
    <row r="18" spans="1:8" x14ac:dyDescent="0.25">
      <c r="A18" s="106" t="s">
        <v>12</v>
      </c>
      <c r="B18" s="106"/>
      <c r="C18" s="134" t="s">
        <v>178</v>
      </c>
      <c r="D18" s="134"/>
      <c r="E18" s="107" t="s">
        <v>11</v>
      </c>
      <c r="F18" s="107"/>
      <c r="G18" s="229" t="s">
        <v>177</v>
      </c>
      <c r="H18" s="229"/>
    </row>
    <row r="19" spans="1:8" x14ac:dyDescent="0.25">
      <c r="A19" s="106" t="s">
        <v>77</v>
      </c>
      <c r="B19" s="106"/>
      <c r="C19" s="134" t="s">
        <v>176</v>
      </c>
      <c r="D19" s="134"/>
      <c r="E19" s="107" t="s">
        <v>13</v>
      </c>
      <c r="F19" s="107"/>
      <c r="G19" s="134">
        <v>400076</v>
      </c>
      <c r="H19" s="134"/>
    </row>
    <row r="20" spans="1:8" ht="47.25" customHeight="1" x14ac:dyDescent="0.25">
      <c r="A20" s="106" t="s">
        <v>128</v>
      </c>
      <c r="B20" s="106"/>
      <c r="C20" s="134" t="s">
        <v>172</v>
      </c>
      <c r="D20" s="134"/>
      <c r="E20" s="107" t="s">
        <v>14</v>
      </c>
      <c r="F20" s="107"/>
      <c r="G20" s="134" t="s">
        <v>174</v>
      </c>
      <c r="H20" s="134"/>
    </row>
    <row r="21" spans="1:8" ht="15" customHeight="1" x14ac:dyDescent="0.25">
      <c r="A21" s="107" t="s">
        <v>79</v>
      </c>
      <c r="B21" s="107"/>
      <c r="C21" s="107"/>
      <c r="D21" s="107"/>
      <c r="E21" s="212" t="s">
        <v>15</v>
      </c>
      <c r="F21" s="212"/>
      <c r="G21" s="212"/>
      <c r="H21" s="212"/>
    </row>
    <row r="22" spans="1:8" ht="18.75" customHeight="1" x14ac:dyDescent="0.25">
      <c r="A22" s="107"/>
      <c r="B22" s="107"/>
      <c r="C22" s="107"/>
      <c r="D22" s="107"/>
      <c r="E22" s="212"/>
      <c r="F22" s="212"/>
      <c r="G22" s="212"/>
      <c r="H22" s="212"/>
    </row>
    <row r="23" spans="1:8" ht="15" customHeight="1" x14ac:dyDescent="0.25">
      <c r="A23" s="107" t="s">
        <v>16</v>
      </c>
      <c r="B23" s="107"/>
      <c r="C23" s="107"/>
      <c r="D23" s="107"/>
      <c r="E23" s="134" t="s">
        <v>17</v>
      </c>
      <c r="F23" s="134"/>
      <c r="G23" s="134"/>
      <c r="H23" s="134"/>
    </row>
    <row r="24" spans="1:8" ht="15" customHeight="1" x14ac:dyDescent="0.25">
      <c r="A24" s="106" t="s">
        <v>18</v>
      </c>
      <c r="B24" s="106"/>
      <c r="C24" s="106"/>
      <c r="D24" s="106"/>
      <c r="E24" s="134" t="str">
        <f>IF(AND(G18="Mumbai"),"Upper Class","Middle Class")</f>
        <v>Upper Class</v>
      </c>
      <c r="F24" s="134"/>
      <c r="G24" s="134"/>
      <c r="H24" s="134"/>
    </row>
    <row r="25" spans="1:8" x14ac:dyDescent="0.25">
      <c r="A25" s="106" t="s">
        <v>19</v>
      </c>
      <c r="B25" s="106"/>
      <c r="C25" s="106"/>
      <c r="D25" s="106"/>
      <c r="E25" s="134" t="s">
        <v>20</v>
      </c>
      <c r="F25" s="134"/>
      <c r="G25" s="134"/>
      <c r="H25" s="134"/>
    </row>
    <row r="26" spans="1:8" ht="15.75" customHeight="1" x14ac:dyDescent="0.25">
      <c r="A26" s="106" t="s">
        <v>21</v>
      </c>
      <c r="B26" s="106"/>
      <c r="C26" s="106"/>
      <c r="D26" s="106"/>
      <c r="E26" s="134" t="str">
        <f>IF(AND(G18="Mumbai"),"Developed","Developing")</f>
        <v>Developed</v>
      </c>
      <c r="F26" s="134"/>
      <c r="G26" s="134"/>
      <c r="H26" s="134"/>
    </row>
    <row r="27" spans="1:8" x14ac:dyDescent="0.25">
      <c r="A27" s="106" t="s">
        <v>22</v>
      </c>
      <c r="B27" s="106"/>
      <c r="C27" s="106"/>
      <c r="D27" s="106"/>
      <c r="E27" s="134" t="s">
        <v>23</v>
      </c>
      <c r="F27" s="134"/>
      <c r="G27" s="134"/>
      <c r="H27" s="134"/>
    </row>
    <row r="28" spans="1:8" ht="15.75" customHeight="1" x14ac:dyDescent="0.25">
      <c r="A28" s="106" t="s">
        <v>84</v>
      </c>
      <c r="B28" s="106"/>
      <c r="C28" s="106"/>
      <c r="D28" s="106"/>
      <c r="E28" s="134" t="s">
        <v>85</v>
      </c>
      <c r="F28" s="134"/>
      <c r="G28" s="134"/>
      <c r="H28" s="134"/>
    </row>
    <row r="29" spans="1:8" ht="15" customHeight="1" x14ac:dyDescent="0.25">
      <c r="A29" s="106" t="s">
        <v>34</v>
      </c>
      <c r="B29" s="106"/>
      <c r="C29" s="106"/>
      <c r="D29" s="106"/>
      <c r="E29" s="134"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v>
      </c>
      <c r="F29" s="134"/>
      <c r="G29" s="134"/>
      <c r="H29" s="134"/>
    </row>
    <row r="30" spans="1:8" ht="15.75" customHeight="1" x14ac:dyDescent="0.25">
      <c r="A30" s="106" t="s">
        <v>96</v>
      </c>
      <c r="B30" s="106"/>
      <c r="C30" s="106"/>
      <c r="D30" s="106"/>
      <c r="E30" s="134" t="s">
        <v>35</v>
      </c>
      <c r="F30" s="134"/>
      <c r="G30" s="134"/>
      <c r="H30" s="134"/>
    </row>
    <row r="31" spans="1:8" s="26" customFormat="1" x14ac:dyDescent="0.25">
      <c r="A31" s="236" t="s">
        <v>97</v>
      </c>
      <c r="B31" s="236"/>
      <c r="C31" s="233" t="s">
        <v>28</v>
      </c>
      <c r="D31" s="233"/>
      <c r="E31" s="233"/>
      <c r="F31" s="233" t="s">
        <v>30</v>
      </c>
      <c r="G31" s="233"/>
      <c r="H31" s="233"/>
    </row>
    <row r="32" spans="1:8" s="26" customFormat="1" x14ac:dyDescent="0.25">
      <c r="A32" s="230" t="s">
        <v>24</v>
      </c>
      <c r="B32" s="230" t="s">
        <v>29</v>
      </c>
      <c r="C32" s="231" t="s">
        <v>272</v>
      </c>
      <c r="D32" s="231"/>
      <c r="E32" s="231"/>
      <c r="F32" s="231" t="s">
        <v>173</v>
      </c>
      <c r="G32" s="231"/>
      <c r="H32" s="231"/>
    </row>
    <row r="33" spans="1:8" x14ac:dyDescent="0.25">
      <c r="A33" s="230" t="s">
        <v>25</v>
      </c>
      <c r="B33" s="230" t="s">
        <v>29</v>
      </c>
      <c r="C33" s="231" t="s">
        <v>272</v>
      </c>
      <c r="D33" s="231"/>
      <c r="E33" s="231"/>
      <c r="F33" s="231" t="s">
        <v>172</v>
      </c>
      <c r="G33" s="231"/>
      <c r="H33" s="231"/>
    </row>
    <row r="34" spans="1:8" s="26" customFormat="1" x14ac:dyDescent="0.25">
      <c r="A34" s="230" t="s">
        <v>27</v>
      </c>
      <c r="B34" s="230" t="s">
        <v>29</v>
      </c>
      <c r="C34" s="231" t="s">
        <v>272</v>
      </c>
      <c r="D34" s="231"/>
      <c r="E34" s="231"/>
      <c r="F34" s="231" t="s">
        <v>171</v>
      </c>
      <c r="G34" s="231"/>
      <c r="H34" s="231"/>
    </row>
    <row r="35" spans="1:8" x14ac:dyDescent="0.25">
      <c r="A35" s="230" t="s">
        <v>26</v>
      </c>
      <c r="B35" s="230" t="s">
        <v>29</v>
      </c>
      <c r="C35" s="231" t="s">
        <v>272</v>
      </c>
      <c r="D35" s="231"/>
      <c r="E35" s="231"/>
      <c r="F35" s="231" t="s">
        <v>273</v>
      </c>
      <c r="G35" s="231"/>
      <c r="H35" s="231"/>
    </row>
    <row r="36" spans="1:8" x14ac:dyDescent="0.25">
      <c r="A36" s="106" t="s">
        <v>31</v>
      </c>
      <c r="B36" s="106"/>
      <c r="C36" s="106"/>
      <c r="D36" s="106"/>
      <c r="E36" s="106"/>
      <c r="F36" s="106"/>
      <c r="G36" s="106"/>
      <c r="H36" s="106"/>
    </row>
    <row r="37" spans="1:8" ht="15.75" customHeight="1" x14ac:dyDescent="0.25">
      <c r="A37" s="170" t="s">
        <v>32</v>
      </c>
      <c r="B37" s="170"/>
      <c r="C37" s="234">
        <v>19.122245199999998</v>
      </c>
      <c r="D37" s="234"/>
      <c r="E37" s="170" t="s">
        <v>33</v>
      </c>
      <c r="F37" s="170"/>
      <c r="G37" s="235">
        <v>72.9189832</v>
      </c>
      <c r="H37" s="235"/>
    </row>
    <row r="38" spans="1:8" ht="15.75" customHeight="1" x14ac:dyDescent="0.25">
      <c r="A38" s="170" t="s">
        <v>195</v>
      </c>
      <c r="B38" s="170"/>
      <c r="C38" s="123" t="s">
        <v>196</v>
      </c>
      <c r="D38" s="124"/>
      <c r="E38" s="124"/>
      <c r="F38" s="124"/>
      <c r="G38" s="124"/>
      <c r="H38" s="124"/>
    </row>
    <row r="39" spans="1:8" x14ac:dyDescent="0.25">
      <c r="A39" s="169" t="s">
        <v>36</v>
      </c>
      <c r="B39" s="169"/>
      <c r="C39" s="169"/>
      <c r="D39" s="169"/>
      <c r="E39" s="169"/>
      <c r="F39" s="169"/>
      <c r="G39" s="169"/>
      <c r="H39" s="169"/>
    </row>
    <row r="40" spans="1:8" x14ac:dyDescent="0.25">
      <c r="A40" s="106" t="s">
        <v>37</v>
      </c>
      <c r="B40" s="106"/>
      <c r="C40" s="106"/>
      <c r="D40" s="106"/>
      <c r="E40" s="232">
        <v>15807.88</v>
      </c>
      <c r="F40" s="232"/>
      <c r="G40" s="232"/>
      <c r="H40" s="232"/>
    </row>
    <row r="41" spans="1:8" x14ac:dyDescent="0.25">
      <c r="A41" s="106" t="s">
        <v>38</v>
      </c>
      <c r="B41" s="106"/>
      <c r="C41" s="106"/>
      <c r="D41" s="106"/>
      <c r="E41" s="125">
        <v>1</v>
      </c>
      <c r="F41" s="125"/>
      <c r="G41" s="125"/>
      <c r="H41" s="125"/>
    </row>
    <row r="42" spans="1:8" x14ac:dyDescent="0.25">
      <c r="A42" s="106" t="s">
        <v>39</v>
      </c>
      <c r="B42" s="106"/>
      <c r="C42" s="106"/>
      <c r="D42" s="106"/>
      <c r="E42" s="125">
        <f>E44/E40-E41</f>
        <v>1.8773731835008869</v>
      </c>
      <c r="F42" s="125"/>
      <c r="G42" s="125"/>
      <c r="H42" s="125"/>
    </row>
    <row r="43" spans="1:8" x14ac:dyDescent="0.25">
      <c r="A43" s="106" t="s">
        <v>40</v>
      </c>
      <c r="B43" s="106"/>
      <c r="C43" s="106"/>
      <c r="D43" s="106"/>
      <c r="E43" s="125">
        <f>E41+E42</f>
        <v>2.8773731835008869</v>
      </c>
      <c r="F43" s="125"/>
      <c r="G43" s="125"/>
      <c r="H43" s="125"/>
    </row>
    <row r="44" spans="1:8" x14ac:dyDescent="0.25">
      <c r="A44" s="106" t="s">
        <v>95</v>
      </c>
      <c r="B44" s="106"/>
      <c r="C44" s="106"/>
      <c r="D44" s="106"/>
      <c r="E44" s="220">
        <v>45485.17</v>
      </c>
      <c r="F44" s="220"/>
      <c r="G44" s="220"/>
      <c r="H44" s="220"/>
    </row>
    <row r="45" spans="1:8" x14ac:dyDescent="0.25">
      <c r="A45" s="212" t="s">
        <v>41</v>
      </c>
      <c r="B45" s="212"/>
      <c r="C45" s="212"/>
      <c r="D45" s="212"/>
      <c r="E45" s="212" t="s">
        <v>216</v>
      </c>
      <c r="F45" s="212"/>
      <c r="G45" s="212"/>
      <c r="H45" s="212"/>
    </row>
    <row r="46" spans="1:8" x14ac:dyDescent="0.25">
      <c r="A46" s="169" t="s">
        <v>42</v>
      </c>
      <c r="B46" s="169"/>
      <c r="C46" s="169"/>
      <c r="D46" s="169"/>
      <c r="E46" s="169"/>
      <c r="F46" s="169"/>
      <c r="G46" s="169"/>
      <c r="H46" s="169"/>
    </row>
    <row r="47" spans="1:8" ht="33.75" customHeight="1" x14ac:dyDescent="0.25">
      <c r="A47" s="135" t="s">
        <v>156</v>
      </c>
      <c r="B47" s="137"/>
      <c r="C47" s="213" t="s">
        <v>186</v>
      </c>
      <c r="D47" s="214"/>
      <c r="E47" s="214"/>
      <c r="F47" s="214"/>
      <c r="G47" s="214"/>
      <c r="H47" s="215"/>
    </row>
    <row r="48" spans="1:8" ht="15.75" customHeight="1" x14ac:dyDescent="0.25">
      <c r="A48" s="135" t="s">
        <v>43</v>
      </c>
      <c r="B48" s="137"/>
      <c r="C48" s="135" t="s">
        <v>181</v>
      </c>
      <c r="D48" s="136"/>
      <c r="E48" s="137"/>
      <c r="F48" s="22" t="s">
        <v>44</v>
      </c>
      <c r="G48" s="141" t="s">
        <v>288</v>
      </c>
      <c r="H48" s="137"/>
    </row>
    <row r="49" spans="1:14" x14ac:dyDescent="0.25">
      <c r="A49" s="135" t="s">
        <v>45</v>
      </c>
      <c r="B49" s="137"/>
      <c r="C49" s="135" t="str">
        <f>C48</f>
        <v>CE/1090/BPES/AS</v>
      </c>
      <c r="D49" s="136"/>
      <c r="E49" s="137"/>
      <c r="F49" s="22" t="s">
        <v>44</v>
      </c>
      <c r="G49" s="141" t="str">
        <f>G48</f>
        <v>14/02/2025.</v>
      </c>
      <c r="H49" s="137"/>
    </row>
    <row r="50" spans="1:14" s="27" customFormat="1" ht="15.75" customHeight="1" x14ac:dyDescent="0.25">
      <c r="A50" s="150" t="s">
        <v>160</v>
      </c>
      <c r="B50" s="151"/>
      <c r="C50" s="135" t="s">
        <v>279</v>
      </c>
      <c r="D50" s="136"/>
      <c r="E50" s="137"/>
      <c r="F50" s="22" t="s">
        <v>44</v>
      </c>
      <c r="G50" s="141" t="s">
        <v>289</v>
      </c>
      <c r="H50" s="137"/>
      <c r="I50" s="26"/>
    </row>
    <row r="51" spans="1:14" s="27" customFormat="1" ht="178.5" customHeight="1" x14ac:dyDescent="0.25">
      <c r="A51" s="152"/>
      <c r="B51" s="153"/>
      <c r="C51" s="135" t="s">
        <v>280</v>
      </c>
      <c r="D51" s="136"/>
      <c r="E51" s="137"/>
      <c r="F51" s="22" t="s">
        <v>127</v>
      </c>
      <c r="G51" s="141" t="s">
        <v>290</v>
      </c>
      <c r="H51" s="137"/>
    </row>
    <row r="52" spans="1:14" s="27" customFormat="1" ht="15.75" customHeight="1" x14ac:dyDescent="0.25">
      <c r="A52" s="150" t="s">
        <v>282</v>
      </c>
      <c r="B52" s="151"/>
      <c r="C52" s="135" t="s">
        <v>284</v>
      </c>
      <c r="D52" s="136"/>
      <c r="E52" s="137"/>
      <c r="F52" s="22" t="s">
        <v>44</v>
      </c>
      <c r="G52" s="141" t="s">
        <v>291</v>
      </c>
      <c r="H52" s="137"/>
      <c r="I52" s="26"/>
    </row>
    <row r="53" spans="1:14" s="27" customFormat="1" ht="33.75" customHeight="1" x14ac:dyDescent="0.25">
      <c r="A53" s="152"/>
      <c r="B53" s="153"/>
      <c r="C53" s="135" t="s">
        <v>283</v>
      </c>
      <c r="D53" s="136"/>
      <c r="E53" s="136"/>
      <c r="F53" s="136"/>
      <c r="G53" s="136"/>
      <c r="H53" s="137"/>
    </row>
    <row r="54" spans="1:14" x14ac:dyDescent="0.25">
      <c r="A54" s="138" t="s">
        <v>46</v>
      </c>
      <c r="B54" s="139"/>
      <c r="C54" s="138" t="s">
        <v>108</v>
      </c>
      <c r="D54" s="216"/>
      <c r="E54" s="139"/>
      <c r="F54" s="53" t="s">
        <v>44</v>
      </c>
      <c r="G54" s="218" t="s">
        <v>29</v>
      </c>
      <c r="H54" s="219"/>
    </row>
    <row r="55" spans="1:14" x14ac:dyDescent="0.25">
      <c r="A55" s="217" t="s">
        <v>48</v>
      </c>
      <c r="B55" s="217"/>
      <c r="C55" s="217"/>
      <c r="D55" s="217"/>
      <c r="E55" s="217"/>
      <c r="F55" s="217"/>
      <c r="G55" s="217"/>
      <c r="H55" s="217"/>
    </row>
    <row r="56" spans="1:14" x14ac:dyDescent="0.25">
      <c r="A56" s="107" t="s">
        <v>94</v>
      </c>
      <c r="B56" s="107"/>
      <c r="C56" s="107"/>
      <c r="D56" s="106">
        <f>E44</f>
        <v>45485.17</v>
      </c>
      <c r="E56" s="106"/>
      <c r="F56" s="106"/>
      <c r="G56" s="106"/>
      <c r="H56" s="106"/>
    </row>
    <row r="57" spans="1:14" x14ac:dyDescent="0.25">
      <c r="A57" s="134" t="s">
        <v>49</v>
      </c>
      <c r="B57" s="212"/>
      <c r="C57" s="212"/>
      <c r="D57" s="212" t="s">
        <v>271</v>
      </c>
      <c r="E57" s="212"/>
      <c r="F57" s="212"/>
      <c r="G57" s="212"/>
      <c r="H57" s="212"/>
      <c r="I57" s="28"/>
    </row>
    <row r="58" spans="1:14" ht="15.75" customHeight="1" x14ac:dyDescent="0.25">
      <c r="A58" s="144" t="s">
        <v>50</v>
      </c>
      <c r="B58" s="145"/>
      <c r="C58" s="146"/>
      <c r="D58" s="142" t="s">
        <v>276</v>
      </c>
      <c r="E58" s="143"/>
      <c r="F58" s="143"/>
      <c r="G58" s="143"/>
      <c r="H58" s="143"/>
      <c r="I58" s="29"/>
    </row>
    <row r="59" spans="1:14" ht="15" hidden="1" customHeight="1" x14ac:dyDescent="0.25">
      <c r="A59" s="147"/>
      <c r="B59" s="148"/>
      <c r="C59" s="149"/>
      <c r="D59" s="142" t="s">
        <v>213</v>
      </c>
      <c r="E59" s="143"/>
      <c r="F59" s="143"/>
      <c r="G59" s="143"/>
      <c r="H59" s="143"/>
      <c r="I59" s="29"/>
    </row>
    <row r="60" spans="1:14" x14ac:dyDescent="0.25">
      <c r="A60" s="134" t="s">
        <v>92</v>
      </c>
      <c r="B60" s="134"/>
      <c r="C60" s="134"/>
      <c r="D60" s="134" t="s">
        <v>277</v>
      </c>
      <c r="E60" s="134"/>
      <c r="F60" s="134"/>
      <c r="G60" s="134"/>
      <c r="H60" s="134"/>
      <c r="I60" s="29"/>
    </row>
    <row r="61" spans="1:14" x14ac:dyDescent="0.25">
      <c r="A61" s="134"/>
      <c r="B61" s="134"/>
      <c r="C61" s="134"/>
      <c r="D61" s="134" t="s">
        <v>278</v>
      </c>
      <c r="E61" s="134"/>
      <c r="F61" s="134"/>
      <c r="G61" s="134"/>
      <c r="H61" s="134"/>
      <c r="I61" s="29"/>
    </row>
    <row r="62" spans="1:14" ht="15.75" customHeight="1" x14ac:dyDescent="0.25">
      <c r="A62" s="106" t="s">
        <v>47</v>
      </c>
      <c r="B62" s="106"/>
      <c r="C62" s="106"/>
      <c r="D62" s="107" t="s">
        <v>182</v>
      </c>
      <c r="E62" s="107"/>
      <c r="F62" s="107"/>
      <c r="G62" s="107"/>
      <c r="H62" s="107"/>
      <c r="J62" s="30"/>
      <c r="K62" s="28"/>
      <c r="N62" s="28"/>
    </row>
    <row r="63" spans="1:14" ht="15.75" customHeight="1" x14ac:dyDescent="0.25">
      <c r="A63" s="106" t="s">
        <v>90</v>
      </c>
      <c r="B63" s="106"/>
      <c r="C63" s="106"/>
      <c r="D63" s="140" t="str">
        <f>(IF(G54="NA","60 Years After Completion",IF(G54&lt;&gt;"NA",""&amp;60-ROUNDDOWN((E3-G54)/360,0)&amp;" Years"," ")))</f>
        <v>60 Years After Completion</v>
      </c>
      <c r="E63" s="140"/>
      <c r="F63" s="140"/>
      <c r="G63" s="140"/>
      <c r="H63" s="140"/>
      <c r="N63" s="28"/>
    </row>
    <row r="64" spans="1:14" ht="15.75" customHeight="1" x14ac:dyDescent="0.25">
      <c r="A64" s="106" t="s">
        <v>91</v>
      </c>
      <c r="B64" s="106"/>
      <c r="C64" s="106"/>
      <c r="D64" s="107" t="s">
        <v>23</v>
      </c>
      <c r="E64" s="107"/>
      <c r="F64" s="107"/>
      <c r="G64" s="107"/>
      <c r="H64" s="107"/>
      <c r="J64" s="31"/>
      <c r="K64" s="31"/>
    </row>
    <row r="65" spans="1:14" ht="49.5" customHeight="1" x14ac:dyDescent="0.25">
      <c r="A65" s="106" t="s">
        <v>78</v>
      </c>
      <c r="B65" s="106"/>
      <c r="C65" s="106"/>
      <c r="D65" s="134" t="s">
        <v>218</v>
      </c>
      <c r="E65" s="107"/>
      <c r="F65" s="107"/>
      <c r="G65" s="107"/>
      <c r="H65" s="107"/>
    </row>
    <row r="66" spans="1:14" x14ac:dyDescent="0.25">
      <c r="A66" s="107" t="s">
        <v>154</v>
      </c>
      <c r="B66" s="107"/>
      <c r="C66" s="107"/>
      <c r="D66" s="107" t="s">
        <v>29</v>
      </c>
      <c r="E66" s="107"/>
      <c r="F66" s="107"/>
      <c r="G66" s="107"/>
      <c r="H66" s="107"/>
      <c r="I66" s="32"/>
      <c r="J66" s="32"/>
      <c r="K66" s="32"/>
      <c r="L66" s="32"/>
      <c r="M66" s="32"/>
      <c r="N66" s="32"/>
    </row>
    <row r="67" spans="1:14" ht="15.75" customHeight="1" x14ac:dyDescent="0.25">
      <c r="A67" s="106" t="s">
        <v>89</v>
      </c>
      <c r="B67" s="106"/>
      <c r="C67" s="106"/>
      <c r="D67" s="134" t="str">
        <f ca="1">(IF(G73&gt;95%,"Nothing",IF(G73&gt;0%,"Cement, Aggregate, Steel, etc",IF(G73=0%,"Work not yet Started"))))</f>
        <v>Cement, Aggregate, Steel, etc</v>
      </c>
      <c r="E67" s="134"/>
      <c r="F67" s="134"/>
      <c r="G67" s="134"/>
      <c r="H67" s="134"/>
      <c r="J67" s="31"/>
    </row>
    <row r="68" spans="1:14" ht="33.75" customHeight="1" thickBot="1" x14ac:dyDescent="0.3">
      <c r="A68" s="208" t="s">
        <v>121</v>
      </c>
      <c r="B68" s="208"/>
      <c r="C68" s="208"/>
      <c r="D68" s="142" t="str">
        <f ca="1">(IF(D67="Nothing","Yes",IF(D67="Cement, Aggregate, Steel, etc","Under Construction",IF(D67="Work not yet Started","Work not yet Started"))))</f>
        <v>Under Construction</v>
      </c>
      <c r="E68" s="142"/>
      <c r="F68" s="142" t="str">
        <f ca="1">(IF(D67="Nothing","Yes",IF(D67="Cement, Aggregate, Steel, etc","Under Construction",IF(D67="Work not yet Started","Work not yet Started"))))</f>
        <v>Under Construction</v>
      </c>
      <c r="G68" s="142"/>
      <c r="H68" s="142"/>
    </row>
    <row r="69" spans="1:14" x14ac:dyDescent="0.25">
      <c r="A69" s="115" t="s">
        <v>146</v>
      </c>
      <c r="B69" s="116"/>
      <c r="C69" s="117" t="str">
        <f>D60</f>
        <v>Tower C1 = B2 + B1 + LG + Gr + UG + 1st to 28th Floor</v>
      </c>
      <c r="D69" s="118"/>
      <c r="E69" s="118"/>
      <c r="F69" s="118"/>
      <c r="G69" s="118"/>
      <c r="H69" s="119"/>
      <c r="I69" s="17" t="str">
        <f ca="1">(IF(E73&gt;99%,"All work completed. Please provide OC.",IF(E73&gt;89.8%,"Plinth, RCC, Brick, Plaster, Flooring, Painting work Completed. Finishing work is in process.",IF(E73&lt;94%,(IF(C73=0,"Work not yet Started.",IF(D73=25%,"Piling work in process",IF(D73=50%,"Excavation work in process",IF(D73=100%,"Excavation work Completed. ","0")))&amp;(IF(C74=0%,"",IF(C74=J75,"Footing work is process",IF(C74=J76,"Footing work Completed",IF(C74=J77,"1st Basement Completed",IF(C74=J78,"1st &amp; 2nd Basement Completed",IF(C74=J79,"1st to 3rd Basement Completed",IF(C74=J80,"1st to 4th Basement Completed",IF(C74=J81,"Plinth work is process",IF(C74=J82,"Plinth work completed","0")))))))))))&amp;(IF(C75=(D70+F70+H70),", RCC Slab Completed",IF(C75&gt;0,", RCC upto "&amp;C75&amp;" Slab Completed",""))&amp;(IF(C76=H70,", Brickwork Completed",IF(C76&gt;0,", Brickwork upto "&amp;C76&amp;" Floor Completed",""))&amp;(IF(C77=H70,", Internal Plaster Completed",IF(C77&gt;0,", Internal Plaster upto "&amp;C77&amp;" Floor Completed",""))&amp;(IF(C78=H70,", External Plaster Completed",IF(C78&gt;0,", External Plaster upto "&amp;C78&amp;" Floor Completed",""))&amp;(IF(C79=H70,", Flooring Completed",IF(C79&gt;0,", Flooring upto "&amp;C79&amp;" Floor Completed",""))&amp;(IF(C80=H70,", Painting Completed",IF(C80&gt;0,", Painting upto "&amp;C80&amp;" Floor Completed",""))&amp;(IF(C81&gt;0,", Finishing upto "&amp;C81&amp;" Floor Completed","")&amp;(IF(C75&gt;0.5,".",""))))))))))))))</f>
        <v>Excavation work Completed. Plinth work completed, RCC upto 23 Slab Completed, Brickwork upto 21 Floor Completed, Internal Plaster upto 15.75 Floor Completed, External Plaster upto 13.65 Floor Completed, Flooring upto 12 Floor Completed, Painting upto 7 Floor Completed.</v>
      </c>
      <c r="J69" s="33"/>
    </row>
    <row r="70" spans="1:14" x14ac:dyDescent="0.25">
      <c r="A70" s="20" t="s">
        <v>148</v>
      </c>
      <c r="B70" s="56">
        <v>3</v>
      </c>
      <c r="C70" s="56" t="s">
        <v>75</v>
      </c>
      <c r="D70" s="56">
        <v>2</v>
      </c>
      <c r="E70" s="56" t="s">
        <v>74</v>
      </c>
      <c r="F70" s="56">
        <v>0</v>
      </c>
      <c r="G70" s="56" t="s">
        <v>83</v>
      </c>
      <c r="H70" s="21">
        <f ca="1">--TRIM(RIGHT(SUBSTITUTE(LEFT(C69,_xlfn.AGGREGATE(16,6,FIND({0,1,2,3,4,5,6,7,8,9},C69,ROW(INDIRECT("1:"&amp;LEN(C69)))),1))," ",REPT(" ",LEN(C69))),LEN(C69)))</f>
        <v>28</v>
      </c>
      <c r="I70" s="18"/>
      <c r="J70" s="34"/>
    </row>
    <row r="71" spans="1:14" ht="65.25" customHeight="1" x14ac:dyDescent="0.25">
      <c r="A71" s="120" t="s">
        <v>93</v>
      </c>
      <c r="B71" s="121"/>
      <c r="C71" s="129" t="str">
        <f ca="1">(IF($G$54="NA",I69,"All work Completed. OC Received."))</f>
        <v>Excavation work Completed. Plinth work completed, RCC upto 23 Slab Completed, Brickwork upto 21 Floor Completed, Internal Plaster upto 15.75 Floor Completed, External Plaster upto 13.65 Floor Completed, Flooring upto 12 Floor Completed, Painting upto 7 Floor Completed.</v>
      </c>
      <c r="D71" s="129"/>
      <c r="E71" s="129"/>
      <c r="F71" s="129"/>
      <c r="G71" s="129"/>
      <c r="H71" s="130"/>
      <c r="I71" s="18" t="s">
        <v>107</v>
      </c>
      <c r="J71" s="34"/>
    </row>
    <row r="72" spans="1:14" ht="15.75" customHeight="1" x14ac:dyDescent="0.25">
      <c r="A72" s="113" t="s">
        <v>51</v>
      </c>
      <c r="B72" s="114"/>
      <c r="C72" s="51" t="s">
        <v>145</v>
      </c>
      <c r="D72" s="51" t="s">
        <v>86</v>
      </c>
      <c r="E72" s="114" t="s">
        <v>88</v>
      </c>
      <c r="F72" s="114"/>
      <c r="G72" s="114" t="s">
        <v>87</v>
      </c>
      <c r="H72" s="122"/>
      <c r="I72" s="16" t="s">
        <v>147</v>
      </c>
      <c r="J72" s="35">
        <f ca="1">H70*25%</f>
        <v>7</v>
      </c>
    </row>
    <row r="73" spans="1:14" x14ac:dyDescent="0.25">
      <c r="A73" s="113" t="s">
        <v>134</v>
      </c>
      <c r="B73" s="114"/>
      <c r="C73" s="51">
        <f ca="1">J74</f>
        <v>28</v>
      </c>
      <c r="D73" s="23">
        <f ca="1">((100/H70)*C73)/100</f>
        <v>1</v>
      </c>
      <c r="E73" s="155">
        <f ca="1">(((C74/H70*10)+(40/(D70+F70+H70)*C75)+(7.5/(H70)*C76)+(7.5/(H70)*C77)+(10/H70*C78)+(10/H70*C79)+(5/H70*C80)+(5/H70*C81)+(5/H70*C82))/100)</f>
        <v>0.60921130952380953</v>
      </c>
      <c r="F73" s="156"/>
      <c r="G73" s="155">
        <f ca="1">((((C73/H70)*20)+((C74/H70)*25)+(30/(H70+F70+D70)*C75)+(5/H70*C76)+(5/H70*C77)+(5/H70*C78)+(5/H70*C79)+(0/H70*C80)+(0/H70*C81)+(5/H70*C82))/100)</f>
        <v>0.79142857142857137</v>
      </c>
      <c r="H73" s="159"/>
      <c r="I73" s="16" t="s">
        <v>102</v>
      </c>
      <c r="J73" s="36">
        <f ca="1">H70*50%</f>
        <v>14</v>
      </c>
    </row>
    <row r="74" spans="1:14" x14ac:dyDescent="0.25">
      <c r="A74" s="113" t="s">
        <v>52</v>
      </c>
      <c r="B74" s="114"/>
      <c r="C74" s="58">
        <f ca="1">J82</f>
        <v>27.999999999999996</v>
      </c>
      <c r="D74" s="23">
        <f ca="1">((100/H70)*C74)/100</f>
        <v>0.99999999999999989</v>
      </c>
      <c r="E74" s="157"/>
      <c r="F74" s="158"/>
      <c r="G74" s="157"/>
      <c r="H74" s="160"/>
      <c r="I74" s="16" t="s">
        <v>103</v>
      </c>
      <c r="J74" s="36">
        <f ca="1">H70</f>
        <v>28</v>
      </c>
    </row>
    <row r="75" spans="1:14" ht="15.75" customHeight="1" x14ac:dyDescent="0.25">
      <c r="A75" s="113" t="s">
        <v>135</v>
      </c>
      <c r="B75" s="114"/>
      <c r="C75" s="51">
        <v>23</v>
      </c>
      <c r="D75" s="23">
        <f ca="1">((100/(D70+F70+H70))*C75)/100</f>
        <v>0.76666666666666672</v>
      </c>
      <c r="E75" s="157"/>
      <c r="F75" s="158"/>
      <c r="G75" s="157"/>
      <c r="H75" s="160"/>
      <c r="I75" s="16" t="s">
        <v>104</v>
      </c>
      <c r="J75" s="37">
        <f ca="1">(IF(B70&gt;1,(H70/(B70+2)),H70/4))</f>
        <v>5.6</v>
      </c>
      <c r="K75" s="25">
        <f>0.8*27</f>
        <v>21.6</v>
      </c>
    </row>
    <row r="76" spans="1:14" ht="15.75" customHeight="1" x14ac:dyDescent="0.25">
      <c r="A76" s="113" t="s">
        <v>142</v>
      </c>
      <c r="B76" s="114" t="s">
        <v>136</v>
      </c>
      <c r="C76" s="51">
        <f>C75-2</f>
        <v>21</v>
      </c>
      <c r="D76" s="23">
        <f ca="1">((100/H70)*C76)/100</f>
        <v>0.75</v>
      </c>
      <c r="E76" s="157"/>
      <c r="F76" s="158"/>
      <c r="G76" s="157"/>
      <c r="H76" s="160"/>
      <c r="I76" s="16" t="s">
        <v>105</v>
      </c>
      <c r="J76" s="37">
        <f ca="1">(IF(B70&gt;1,(H70/(B70+2)+J75),H70/4+J75))</f>
        <v>11.2</v>
      </c>
    </row>
    <row r="77" spans="1:14" ht="15.75" customHeight="1" x14ac:dyDescent="0.25">
      <c r="A77" s="113" t="s">
        <v>143</v>
      </c>
      <c r="B77" s="114" t="s">
        <v>136</v>
      </c>
      <c r="C77" s="58">
        <f>C76*0.75</f>
        <v>15.75</v>
      </c>
      <c r="D77" s="23">
        <f ca="1">((100/H70)*C77)/100</f>
        <v>0.5625</v>
      </c>
      <c r="E77" s="157"/>
      <c r="F77" s="158"/>
      <c r="G77" s="157"/>
      <c r="H77" s="160"/>
      <c r="I77" s="16" t="s">
        <v>152</v>
      </c>
      <c r="J77" s="37">
        <f ca="1">(IF(B70&gt;1,(H70/(B70+2)+J76),0))</f>
        <v>16.799999999999997</v>
      </c>
    </row>
    <row r="78" spans="1:14" ht="15" customHeight="1" x14ac:dyDescent="0.25">
      <c r="A78" s="113" t="s">
        <v>141</v>
      </c>
      <c r="B78" s="114" t="s">
        <v>138</v>
      </c>
      <c r="C78" s="58">
        <f>C76*0.65</f>
        <v>13.65</v>
      </c>
      <c r="D78" s="23">
        <f ca="1">((100/(H70))*C78)/100</f>
        <v>0.48750000000000004</v>
      </c>
      <c r="E78" s="157"/>
      <c r="F78" s="158"/>
      <c r="G78" s="157"/>
      <c r="H78" s="160"/>
      <c r="I78" s="16" t="s">
        <v>149</v>
      </c>
      <c r="J78" s="37">
        <f ca="1">(IF(B70&gt;2,(H70/(B70+2)+J77),0))</f>
        <v>22.4</v>
      </c>
    </row>
    <row r="79" spans="1:14" ht="15.75" customHeight="1" x14ac:dyDescent="0.25">
      <c r="A79" s="113" t="s">
        <v>137</v>
      </c>
      <c r="B79" s="114" t="s">
        <v>137</v>
      </c>
      <c r="C79" s="51">
        <v>12</v>
      </c>
      <c r="D79" s="23">
        <f ca="1">((100/H70)*C79)/100</f>
        <v>0.4285714285714286</v>
      </c>
      <c r="E79" s="157"/>
      <c r="F79" s="158"/>
      <c r="G79" s="157"/>
      <c r="H79" s="160"/>
      <c r="I79" s="16" t="s">
        <v>150</v>
      </c>
      <c r="J79" s="38">
        <f>(IF(B70&gt;3,(H70/(B70+2)+J78),0))</f>
        <v>0</v>
      </c>
    </row>
    <row r="80" spans="1:14" ht="15.75" customHeight="1" x14ac:dyDescent="0.25">
      <c r="A80" s="113" t="s">
        <v>144</v>
      </c>
      <c r="B80" s="114"/>
      <c r="C80" s="51">
        <v>7</v>
      </c>
      <c r="D80" s="23">
        <f ca="1">((100/H70)*C80)/100</f>
        <v>0.25</v>
      </c>
      <c r="E80" s="157"/>
      <c r="F80" s="158"/>
      <c r="G80" s="157"/>
      <c r="H80" s="160"/>
      <c r="I80" s="16" t="s">
        <v>151</v>
      </c>
      <c r="J80" s="37">
        <f>(IF(B70&gt;4,(H70/(B70+2)+J79),0))</f>
        <v>0</v>
      </c>
    </row>
    <row r="81" spans="1:14" ht="15.75" customHeight="1" x14ac:dyDescent="0.25">
      <c r="A81" s="113" t="s">
        <v>139</v>
      </c>
      <c r="B81" s="114" t="s">
        <v>139</v>
      </c>
      <c r="C81" s="51">
        <v>0</v>
      </c>
      <c r="D81" s="23">
        <f ca="1">((100/(H70))*C81)/100</f>
        <v>0</v>
      </c>
      <c r="E81" s="157"/>
      <c r="F81" s="158"/>
      <c r="G81" s="157"/>
      <c r="H81" s="160"/>
      <c r="I81" s="16" t="s">
        <v>153</v>
      </c>
      <c r="J81" s="37">
        <f>(IF(B70=1,(H70/(B70+3)+J76),IF(B70=0,(H70/4+J76),IF(B70&gt;1,0))))</f>
        <v>0</v>
      </c>
    </row>
    <row r="82" spans="1:14" ht="16.5" thickBot="1" x14ac:dyDescent="0.3">
      <c r="A82" s="179" t="s">
        <v>140</v>
      </c>
      <c r="B82" s="180"/>
      <c r="C82" s="52">
        <v>0</v>
      </c>
      <c r="D82" s="24">
        <f ca="1">((100/(H70))*C82)/100</f>
        <v>0</v>
      </c>
      <c r="E82" s="181"/>
      <c r="F82" s="182"/>
      <c r="G82" s="181"/>
      <c r="H82" s="183"/>
      <c r="I82" s="19" t="s">
        <v>106</v>
      </c>
      <c r="J82" s="39">
        <f ca="1">(IF(B70&gt;1.5,(H70/(B70+2)+J76+MAX(0,J77-J76)+MAX(0,J78-J77)+MAX(0,J79-J78)+MAX(0,J80-J79)+MAX(0,J81-J80)),IF(B70=1,(H70/(B70+3)+J81),IF(B70=0,H70/4+J81))))</f>
        <v>27.999999999999996</v>
      </c>
    </row>
    <row r="83" spans="1:14" x14ac:dyDescent="0.25">
      <c r="A83" s="115" t="s">
        <v>146</v>
      </c>
      <c r="B83" s="116"/>
      <c r="C83" s="117" t="str">
        <f>D61</f>
        <v>Tower C2 = B2 + B1 + LG + Gr + UG + 1st to 26th Floor</v>
      </c>
      <c r="D83" s="118"/>
      <c r="E83" s="118"/>
      <c r="F83" s="118"/>
      <c r="G83" s="118"/>
      <c r="H83" s="119"/>
      <c r="I83" s="17" t="str">
        <f ca="1">(IF(E87&gt;99%,"All work completed. Please provide OC.",IF(E87&gt;89.8%,"Plinth, RCC, Brick, Plaster, Flooring, Painting work Completed. Finishing work is in process.",IF(E87&lt;94%,(IF(C87=0,"Work not yet Started.",IF(D87=25%,"Piling work in process",IF(D87=50%,"Excavation work in process",IF(D87=100%,"Excavation work Completed. ","0")))&amp;(IF(C88=0%,"",IF(C88=J89,"Footing work is process",IF(C88=J90,"Footing work Completed",IF(C88=J91,"1st Basement Completed",IF(C88=J92,"1st &amp; 2nd Basement Completed",IF(C88=J93,"1st to 3rd Basement Completed",IF(C88=J94,"1st to 4th Basement Completed",IF(C88=J95,"Plinth work is process",IF(C88=J96,"Plinth work completed","0")))))))))))&amp;(IF(C89=(D84+F84+H84),", RCC Slab Completed",IF(C89&gt;0,", RCC upto "&amp;C89&amp;" Slab Completed",""))&amp;(IF(C90=H84,", Brickwork Completed",IF(C90&gt;0,", Brickwork upto "&amp;C90&amp;" Floor Completed",""))&amp;(IF(C91=H84,", Internal Plaster Completed",IF(C91&gt;0,", Internal Plaster upto "&amp;C91&amp;" Floor Completed",""))&amp;(IF(C92=H84,", External Plaster Completed",IF(C92&gt;0,", External Plaster upto "&amp;C92&amp;" Floor Completed",""))&amp;(IF(C93=H84,", Flooring Completed",IF(C93&gt;0,", Flooring upto "&amp;C93&amp;" Floor Completed",""))&amp;(IF(C94=H84,", Painting Completed",IF(C94&gt;0,", Painting upto "&amp;C94&amp;" Floor Completed",""))&amp;(IF(C95&gt;0,", Finishing upto "&amp;C95&amp;" Floor Completed","")&amp;(IF(C89&gt;0.5,".",""))))))))))))))</f>
        <v>Excavation work Completed. Plinth work completed, RCC upto 23 Slab Completed, Brickwork upto 21 Floor Completed, Internal Plaster upto 15.75 Floor Completed, External Plaster upto 13.65 Floor Completed, Flooring upto 7 Floor Completed, Painting upto 3 Floor Completed.</v>
      </c>
      <c r="J83" s="33"/>
    </row>
    <row r="84" spans="1:14" x14ac:dyDescent="0.25">
      <c r="A84" s="20" t="s">
        <v>148</v>
      </c>
      <c r="B84" s="65">
        <v>3</v>
      </c>
      <c r="C84" s="65" t="s">
        <v>75</v>
      </c>
      <c r="D84" s="65">
        <v>2</v>
      </c>
      <c r="E84" s="65" t="s">
        <v>74</v>
      </c>
      <c r="F84" s="65">
        <v>0</v>
      </c>
      <c r="G84" s="65" t="s">
        <v>83</v>
      </c>
      <c r="H84" s="21">
        <f ca="1">--TRIM(RIGHT(SUBSTITUTE(LEFT(C83,_xlfn.AGGREGATE(16,6,FIND({0,1,2,3,4,5,6,7,8,9},C83,ROW(INDIRECT("1:"&amp;LEN(C83)))),1))," ",REPT(" ",LEN(C83))),LEN(C83)))</f>
        <v>26</v>
      </c>
      <c r="I84" s="18"/>
      <c r="J84" s="34"/>
    </row>
    <row r="85" spans="1:14" ht="64.5" customHeight="1" x14ac:dyDescent="0.25">
      <c r="A85" s="120" t="s">
        <v>93</v>
      </c>
      <c r="B85" s="121"/>
      <c r="C85" s="129" t="str">
        <f ca="1">(IF($G$54="NA",I83,"All work Completed. OC Received."))</f>
        <v>Excavation work Completed. Plinth work completed, RCC upto 23 Slab Completed, Brickwork upto 21 Floor Completed, Internal Plaster upto 15.75 Floor Completed, External Plaster upto 13.65 Floor Completed, Flooring upto 7 Floor Completed, Painting upto 3 Floor Completed.</v>
      </c>
      <c r="D85" s="129"/>
      <c r="E85" s="129"/>
      <c r="F85" s="129"/>
      <c r="G85" s="129"/>
      <c r="H85" s="130"/>
      <c r="I85" s="18" t="s">
        <v>107</v>
      </c>
      <c r="J85" s="34"/>
    </row>
    <row r="86" spans="1:14" ht="15.75" customHeight="1" x14ac:dyDescent="0.25">
      <c r="A86" s="113" t="s">
        <v>51</v>
      </c>
      <c r="B86" s="114"/>
      <c r="C86" s="63" t="s">
        <v>145</v>
      </c>
      <c r="D86" s="63" t="s">
        <v>86</v>
      </c>
      <c r="E86" s="114" t="s">
        <v>88</v>
      </c>
      <c r="F86" s="114"/>
      <c r="G86" s="114" t="s">
        <v>87</v>
      </c>
      <c r="H86" s="122"/>
      <c r="I86" s="16" t="s">
        <v>147</v>
      </c>
      <c r="J86" s="35">
        <f ca="1">H84*25%</f>
        <v>6.5</v>
      </c>
    </row>
    <row r="87" spans="1:14" x14ac:dyDescent="0.25">
      <c r="A87" s="113" t="s">
        <v>134</v>
      </c>
      <c r="B87" s="114"/>
      <c r="C87" s="63">
        <f ca="1">J88</f>
        <v>26</v>
      </c>
      <c r="D87" s="23">
        <f ca="1">((100/H84)*C87)/100</f>
        <v>1</v>
      </c>
      <c r="E87" s="155">
        <f ca="1">(((C88/H84*10)+(40/(D84+F84+H84)*C89)+(7.5/(H84)*C90)+(7.5/(H84)*C91)+(10/H84*C92)+(10/H84*C93)+(5/H84*C94)+(5/H84*C95)+(5/H84*C96))/100)</f>
        <v>0.61977335164835168</v>
      </c>
      <c r="F87" s="156"/>
      <c r="G87" s="155">
        <f ca="1">((((C87/H84)*20)+((C88/H84)*25)+(30/(H84+F84+D84)*C89)+(5/H84*C90)+(5/H84*C91)+(5/H84*C92)+(5/H84*C93)+(0/H84*C94)+(0/H84*C95)+(5/H84*C96))/100)</f>
        <v>0.80681318681318681</v>
      </c>
      <c r="H87" s="159"/>
      <c r="I87" s="16" t="s">
        <v>102</v>
      </c>
      <c r="J87" s="36">
        <f ca="1">H84*50%</f>
        <v>13</v>
      </c>
    </row>
    <row r="88" spans="1:14" x14ac:dyDescent="0.25">
      <c r="A88" s="113" t="s">
        <v>52</v>
      </c>
      <c r="B88" s="114"/>
      <c r="C88" s="58">
        <f ca="1">J96</f>
        <v>26.000000000000004</v>
      </c>
      <c r="D88" s="23">
        <f ca="1">((100/H84)*C88)/100</f>
        <v>1.0000000000000002</v>
      </c>
      <c r="E88" s="157"/>
      <c r="F88" s="158"/>
      <c r="G88" s="157"/>
      <c r="H88" s="160"/>
      <c r="I88" s="16" t="s">
        <v>103</v>
      </c>
      <c r="J88" s="36">
        <f ca="1">H84</f>
        <v>26</v>
      </c>
      <c r="M88" s="25">
        <f>27/100*80</f>
        <v>21.6</v>
      </c>
    </row>
    <row r="89" spans="1:14" ht="15.75" customHeight="1" x14ac:dyDescent="0.25">
      <c r="A89" s="113" t="s">
        <v>135</v>
      </c>
      <c r="B89" s="114"/>
      <c r="C89" s="63">
        <v>23</v>
      </c>
      <c r="D89" s="23">
        <f ca="1">((100/(D84+F84+H84))*C89)/100</f>
        <v>0.82142857142857151</v>
      </c>
      <c r="E89" s="157"/>
      <c r="F89" s="158"/>
      <c r="G89" s="157"/>
      <c r="H89" s="160"/>
      <c r="I89" s="16" t="s">
        <v>104</v>
      </c>
      <c r="J89" s="37">
        <f ca="1">(IF(B84&gt;1,(H84/(B84+2)),H84/4))</f>
        <v>5.2</v>
      </c>
    </row>
    <row r="90" spans="1:14" ht="15.75" customHeight="1" x14ac:dyDescent="0.25">
      <c r="A90" s="113" t="s">
        <v>142</v>
      </c>
      <c r="B90" s="114" t="s">
        <v>136</v>
      </c>
      <c r="C90" s="63">
        <f>C89-2</f>
        <v>21</v>
      </c>
      <c r="D90" s="23">
        <f ca="1">((100/H84)*C90)/100</f>
        <v>0.80769230769230771</v>
      </c>
      <c r="E90" s="157"/>
      <c r="F90" s="158"/>
      <c r="G90" s="157"/>
      <c r="H90" s="160"/>
      <c r="I90" s="16" t="s">
        <v>105</v>
      </c>
      <c r="J90" s="37">
        <f ca="1">(IF(B84&gt;1,(H84/(B84+2)+J89),H84/4+J89))</f>
        <v>10.4</v>
      </c>
      <c r="M90" s="25">
        <f>25/100</f>
        <v>0.25</v>
      </c>
      <c r="N90" s="25">
        <f>M90*45</f>
        <v>11.25</v>
      </c>
    </row>
    <row r="91" spans="1:14" ht="15.75" customHeight="1" x14ac:dyDescent="0.25">
      <c r="A91" s="113" t="s">
        <v>143</v>
      </c>
      <c r="B91" s="114" t="s">
        <v>136</v>
      </c>
      <c r="C91" s="58">
        <f>C90*0.75</f>
        <v>15.75</v>
      </c>
      <c r="D91" s="23">
        <f ca="1">((100/H84)*C91)/100</f>
        <v>0.60576923076923084</v>
      </c>
      <c r="E91" s="157"/>
      <c r="F91" s="158"/>
      <c r="G91" s="157"/>
      <c r="H91" s="160"/>
      <c r="I91" s="16" t="s">
        <v>152</v>
      </c>
      <c r="J91" s="37">
        <f ca="1">(IF(B84&gt;1,(H84/(B84+2)+J90),0))</f>
        <v>15.600000000000001</v>
      </c>
    </row>
    <row r="92" spans="1:14" ht="15" customHeight="1" x14ac:dyDescent="0.25">
      <c r="A92" s="113" t="s">
        <v>141</v>
      </c>
      <c r="B92" s="114" t="s">
        <v>138</v>
      </c>
      <c r="C92" s="58">
        <f>C90*0.65</f>
        <v>13.65</v>
      </c>
      <c r="D92" s="23">
        <f ca="1">((100/(H84))*C92)/100</f>
        <v>0.52500000000000002</v>
      </c>
      <c r="E92" s="157"/>
      <c r="F92" s="158"/>
      <c r="G92" s="157"/>
      <c r="H92" s="160"/>
      <c r="I92" s="16" t="s">
        <v>149</v>
      </c>
      <c r="J92" s="37">
        <f ca="1">(IF(B84&gt;2,(H84/(B84+2)+J91),0))</f>
        <v>20.8</v>
      </c>
    </row>
    <row r="93" spans="1:14" ht="15.75" customHeight="1" x14ac:dyDescent="0.25">
      <c r="A93" s="113" t="s">
        <v>137</v>
      </c>
      <c r="B93" s="114" t="s">
        <v>137</v>
      </c>
      <c r="C93" s="63">
        <v>7</v>
      </c>
      <c r="D93" s="23">
        <f ca="1">((100/H84)*C93)/100</f>
        <v>0.26923076923076922</v>
      </c>
      <c r="E93" s="157"/>
      <c r="F93" s="158"/>
      <c r="G93" s="157"/>
      <c r="H93" s="160"/>
      <c r="I93" s="16" t="s">
        <v>150</v>
      </c>
      <c r="J93" s="38">
        <f>(IF(B84&gt;3,(H84/(B84+2)+J92),0))</f>
        <v>0</v>
      </c>
    </row>
    <row r="94" spans="1:14" ht="15.75" customHeight="1" x14ac:dyDescent="0.25">
      <c r="A94" s="113" t="s">
        <v>144</v>
      </c>
      <c r="B94" s="114"/>
      <c r="C94" s="63">
        <v>3</v>
      </c>
      <c r="D94" s="23">
        <f ca="1">((100/H84)*C94)/100</f>
        <v>0.11538461538461538</v>
      </c>
      <c r="E94" s="157"/>
      <c r="F94" s="158"/>
      <c r="G94" s="157"/>
      <c r="H94" s="160"/>
      <c r="I94" s="16" t="s">
        <v>151</v>
      </c>
      <c r="J94" s="37">
        <f>(IF(B84&gt;4,(H84/(B84+2)+J93),0))</f>
        <v>0</v>
      </c>
    </row>
    <row r="95" spans="1:14" ht="15.75" customHeight="1" x14ac:dyDescent="0.25">
      <c r="A95" s="113" t="s">
        <v>139</v>
      </c>
      <c r="B95" s="114" t="s">
        <v>139</v>
      </c>
      <c r="C95" s="63">
        <v>0</v>
      </c>
      <c r="D95" s="23">
        <f ca="1">((100/(H84))*C95)/100</f>
        <v>0</v>
      </c>
      <c r="E95" s="157"/>
      <c r="F95" s="158"/>
      <c r="G95" s="157"/>
      <c r="H95" s="160"/>
      <c r="I95" s="16" t="s">
        <v>153</v>
      </c>
      <c r="J95" s="37">
        <f>(IF(B84=1,(H84/(B84+3)+J90),IF(B84=0,(H84/4+J90),IF(B84&gt;1,0))))</f>
        <v>0</v>
      </c>
    </row>
    <row r="96" spans="1:14" ht="16.5" thickBot="1" x14ac:dyDescent="0.3">
      <c r="A96" s="161" t="s">
        <v>140</v>
      </c>
      <c r="B96" s="162"/>
      <c r="C96" s="86">
        <v>0</v>
      </c>
      <c r="D96" s="87">
        <f ca="1">((100/(H84))*C96)/100</f>
        <v>0</v>
      </c>
      <c r="E96" s="157"/>
      <c r="F96" s="158"/>
      <c r="G96" s="157"/>
      <c r="H96" s="160"/>
      <c r="I96" s="19" t="s">
        <v>106</v>
      </c>
      <c r="J96" s="39">
        <f ca="1">(IF(B84&gt;1.5,(H84/(B84+2)+J90+MAX(0,J91-J90)+MAX(0,J92-J91)+MAX(0,J93-J92)+MAX(0,J94-J93)+MAX(0,J95-J94)),IF(B84=1,(H84/(B84+3)+J95),IF(B84=0,H84/4+J95))))</f>
        <v>26.000000000000004</v>
      </c>
    </row>
    <row r="97" spans="1:13" x14ac:dyDescent="0.25">
      <c r="A97" s="169" t="s">
        <v>162</v>
      </c>
      <c r="B97" s="169"/>
      <c r="C97" s="169"/>
      <c r="D97" s="169"/>
      <c r="E97" s="169"/>
      <c r="F97" s="170" t="s">
        <v>165</v>
      </c>
      <c r="G97" s="170"/>
      <c r="H97" s="170"/>
      <c r="I97" s="25">
        <f>20300*1916+564000</f>
        <v>39458800</v>
      </c>
      <c r="J97" s="25">
        <f>36000/1.6</f>
        <v>22500</v>
      </c>
      <c r="M97" s="59">
        <f>F98*1916</f>
        <v>46942000</v>
      </c>
    </row>
    <row r="98" spans="1:13" x14ac:dyDescent="0.25">
      <c r="A98" s="106" t="s">
        <v>164</v>
      </c>
      <c r="B98" s="106"/>
      <c r="C98" s="106"/>
      <c r="D98" s="106"/>
      <c r="E98" s="106"/>
      <c r="F98" s="154">
        <v>24500</v>
      </c>
      <c r="G98" s="154"/>
      <c r="H98" s="154"/>
      <c r="I98" s="25" t="s">
        <v>220</v>
      </c>
      <c r="J98" s="25" t="s">
        <v>221</v>
      </c>
      <c r="K98" s="30">
        <v>45405</v>
      </c>
    </row>
    <row r="99" spans="1:13" s="40" customFormat="1" hidden="1" x14ac:dyDescent="0.25">
      <c r="A99" s="106" t="s">
        <v>163</v>
      </c>
      <c r="B99" s="106"/>
      <c r="C99" s="106"/>
      <c r="D99" s="106"/>
      <c r="E99" s="106"/>
      <c r="F99" s="126"/>
      <c r="G99" s="126"/>
      <c r="H99" s="126"/>
    </row>
    <row r="100" spans="1:13" s="40" customFormat="1" hidden="1" x14ac:dyDescent="0.25">
      <c r="A100" s="106" t="s">
        <v>98</v>
      </c>
      <c r="B100" s="106"/>
      <c r="C100" s="106"/>
      <c r="D100" s="106"/>
      <c r="E100" s="106"/>
      <c r="F100" s="126"/>
      <c r="G100" s="126"/>
      <c r="H100" s="126"/>
    </row>
    <row r="101" spans="1:13" s="40" customFormat="1" x14ac:dyDescent="0.25">
      <c r="A101" s="106" t="s">
        <v>191</v>
      </c>
      <c r="B101" s="106"/>
      <c r="C101" s="106"/>
      <c r="D101" s="106"/>
      <c r="E101" s="106"/>
      <c r="F101" s="126">
        <v>360000</v>
      </c>
      <c r="G101" s="126"/>
      <c r="H101" s="126"/>
    </row>
    <row r="102" spans="1:13" s="40" customFormat="1" hidden="1" x14ac:dyDescent="0.25">
      <c r="A102" s="106" t="s">
        <v>166</v>
      </c>
      <c r="B102" s="106"/>
      <c r="C102" s="106"/>
      <c r="D102" s="106"/>
      <c r="E102" s="106"/>
      <c r="F102" s="126"/>
      <c r="G102" s="126"/>
      <c r="H102" s="126"/>
    </row>
    <row r="103" spans="1:13" s="40" customFormat="1" x14ac:dyDescent="0.25">
      <c r="A103" s="106" t="s">
        <v>192</v>
      </c>
      <c r="B103" s="106"/>
      <c r="C103" s="106"/>
      <c r="D103" s="106"/>
      <c r="E103" s="106"/>
      <c r="F103" s="126">
        <v>200000</v>
      </c>
      <c r="G103" s="126"/>
      <c r="H103" s="126"/>
    </row>
    <row r="104" spans="1:13" s="40" customFormat="1" x14ac:dyDescent="0.25">
      <c r="A104" s="106" t="s">
        <v>99</v>
      </c>
      <c r="B104" s="106"/>
      <c r="C104" s="106"/>
      <c r="D104" s="106"/>
      <c r="E104" s="106"/>
      <c r="F104" s="126">
        <v>4000</v>
      </c>
      <c r="G104" s="126"/>
      <c r="H104" s="126"/>
    </row>
    <row r="105" spans="1:13" s="40" customFormat="1" hidden="1" x14ac:dyDescent="0.25">
      <c r="A105" s="106" t="s">
        <v>100</v>
      </c>
      <c r="B105" s="106"/>
      <c r="C105" s="106"/>
      <c r="D105" s="106"/>
      <c r="E105" s="106"/>
      <c r="F105" s="126"/>
      <c r="G105" s="126"/>
      <c r="H105" s="126"/>
    </row>
    <row r="106" spans="1:13" s="40" customFormat="1" hidden="1" x14ac:dyDescent="0.25">
      <c r="A106" s="106" t="s">
        <v>101</v>
      </c>
      <c r="B106" s="106"/>
      <c r="C106" s="106"/>
      <c r="D106" s="106"/>
      <c r="E106" s="106"/>
      <c r="F106" s="126"/>
      <c r="G106" s="126"/>
      <c r="H106" s="126"/>
    </row>
    <row r="107" spans="1:13" x14ac:dyDescent="0.25">
      <c r="A107" s="106" t="s">
        <v>53</v>
      </c>
      <c r="B107" s="106"/>
      <c r="C107" s="106"/>
      <c r="D107" s="106"/>
      <c r="E107" s="106"/>
      <c r="F107" s="126">
        <v>1000000</v>
      </c>
      <c r="G107" s="126"/>
      <c r="H107" s="126"/>
    </row>
    <row r="108" spans="1:13" s="41" customFormat="1" x14ac:dyDescent="0.25">
      <c r="A108" s="169" t="s">
        <v>54</v>
      </c>
      <c r="B108" s="169"/>
      <c r="C108" s="169"/>
      <c r="D108" s="169"/>
      <c r="E108" s="169"/>
      <c r="F108" s="126">
        <f>F98*0.8</f>
        <v>19600</v>
      </c>
      <c r="G108" s="126"/>
      <c r="H108" s="126"/>
    </row>
    <row r="109" spans="1:13" s="42" customFormat="1" hidden="1" x14ac:dyDescent="0.25">
      <c r="A109" s="198" t="s">
        <v>240</v>
      </c>
      <c r="B109" s="198"/>
      <c r="C109" s="198"/>
      <c r="D109" s="198"/>
      <c r="E109" s="198"/>
      <c r="F109" s="198"/>
      <c r="G109" s="198"/>
      <c r="H109" s="198"/>
    </row>
    <row r="110" spans="1:13" s="42" customFormat="1" ht="15.75" hidden="1" customHeight="1" x14ac:dyDescent="0.25">
      <c r="A110" s="128" t="s">
        <v>55</v>
      </c>
      <c r="B110" s="128"/>
      <c r="C110" s="127" t="s">
        <v>81</v>
      </c>
      <c r="D110" s="127"/>
      <c r="E110" s="237" t="s">
        <v>56</v>
      </c>
      <c r="F110" s="237"/>
      <c r="G110" s="128" t="s">
        <v>57</v>
      </c>
      <c r="H110" s="128"/>
    </row>
    <row r="111" spans="1:13" s="42" customFormat="1" hidden="1" x14ac:dyDescent="0.25">
      <c r="A111" s="194" t="s">
        <v>229</v>
      </c>
      <c r="B111" s="194"/>
      <c r="C111" s="242">
        <f>COUNT(D124:D134,D136:D148,D150:D160)</f>
        <v>35</v>
      </c>
      <c r="D111" s="242"/>
      <c r="E111" s="165">
        <f>SUM(D124:D134,D136:D148,D150:D160)</f>
        <v>724.80359999999996</v>
      </c>
      <c r="F111" s="165"/>
      <c r="G111" s="165">
        <f>SUM(F124:F134,F136:F148,F150:F160)</f>
        <v>1159.6857599999998</v>
      </c>
      <c r="H111" s="165"/>
    </row>
    <row r="112" spans="1:13" s="42" customFormat="1" hidden="1" x14ac:dyDescent="0.25">
      <c r="A112" s="198" t="s">
        <v>241</v>
      </c>
      <c r="B112" s="198"/>
      <c r="C112" s="127">
        <f>SUM(C111)</f>
        <v>35</v>
      </c>
      <c r="D112" s="127"/>
      <c r="E112" s="241">
        <f t="shared" ref="E112" si="0">SUM(E111)</f>
        <v>724.80359999999996</v>
      </c>
      <c r="F112" s="241"/>
      <c r="G112" s="241">
        <f t="shared" ref="G112" si="1">SUM(G111)</f>
        <v>1159.6857599999998</v>
      </c>
      <c r="H112" s="241"/>
    </row>
    <row r="113" spans="1:14" s="42" customFormat="1" ht="15.75" customHeight="1" x14ac:dyDescent="0.25">
      <c r="A113" s="198" t="s">
        <v>73</v>
      </c>
      <c r="B113" s="198"/>
      <c r="C113" s="198"/>
      <c r="D113" s="198"/>
      <c r="E113" s="198"/>
      <c r="F113" s="198"/>
      <c r="G113" s="198"/>
      <c r="H113" s="198"/>
    </row>
    <row r="114" spans="1:14" s="42" customFormat="1" ht="15.75" customHeight="1" x14ac:dyDescent="0.25">
      <c r="A114" s="128" t="s">
        <v>55</v>
      </c>
      <c r="B114" s="128"/>
      <c r="C114" s="127" t="s">
        <v>81</v>
      </c>
      <c r="D114" s="127"/>
      <c r="E114" s="237" t="s">
        <v>56</v>
      </c>
      <c r="F114" s="237"/>
      <c r="G114" s="128" t="s">
        <v>57</v>
      </c>
      <c r="H114" s="128"/>
    </row>
    <row r="115" spans="1:14" s="42" customFormat="1" x14ac:dyDescent="0.25">
      <c r="A115" s="194" t="s">
        <v>226</v>
      </c>
      <c r="B115" s="194"/>
      <c r="C115" s="165">
        <f>COUNT(D177:D180)+COUNT(D182:D185)*4+COUNT(D187:D188)+COUNT(D192:D195)*2+COUNT(D197:D200)*5+COUNT(D202:D205)+COUNT(D207:D208)+COUNT(D212:D215)*2+COUNT(D217:D220)+COUNT(D222:D224)+COUNT(D226:D228)</f>
        <v>74</v>
      </c>
      <c r="D115" s="165"/>
      <c r="E115" s="165">
        <f>SUM(D177:D180)+SUM(D182:D185)*4+SUM(D187:D188)+SUM(D192:D195)*2+SUM(D197:D200)*5+SUM(D202:D205)+SUM(D207:D208)+SUM(D212:D215)*2+SUM(D217:D220)+SUM(D222:D224)+SUM(D226:D228)</f>
        <v>75370.798151999988</v>
      </c>
      <c r="F115" s="165"/>
      <c r="G115" s="165">
        <f>SUM(F177:F180)+SUM(F182:F185)*4+SUM(F187:F188)+SUM(F192:F195)*2+SUM(F197:F200)*5+SUM(F202:F205)+SUM(F207:F208)+SUM(F212:F215)*2+SUM(F217:F220)+SUM(F222:F224)+SUM(F226:F228)</f>
        <v>120593.27704319998</v>
      </c>
      <c r="H115" s="165"/>
      <c r="I115" s="79" t="s">
        <v>246</v>
      </c>
      <c r="K115" s="84" t="s">
        <v>267</v>
      </c>
    </row>
    <row r="116" spans="1:14" s="42" customFormat="1" ht="16.5" thickBot="1" x14ac:dyDescent="0.3">
      <c r="A116" s="166" t="s">
        <v>227</v>
      </c>
      <c r="B116" s="166"/>
      <c r="C116" s="108">
        <f>COUNT(D236:D239)+COUNT(D241:D244)*4+COUNT(D246:D248)+COUNT(D251:D254)*2+COUNT(D256:D259)*4+COUNT(D261:D264)+COUNT(D266:D268)+COUNT(D271:D273)*2+COUNT(D275:D278)+COUNT(D280:D283)+COUNT(D285:D288)+COUNT(D290,D292)</f>
        <v>74</v>
      </c>
      <c r="D116" s="108"/>
      <c r="E116" s="109">
        <f>SUM(D236:D239)+SUM(D241:D244)*4+SUM(D246:D248)+SUM(D251:D254)*2+SUM(D256:D259)*4+SUM(D261:D264)+SUM(D266:D268)+SUM(D271:D273)*2+SUM(D275:D278)+SUM(D280:D283)+SUM(D285:D288)+SUM(D290,D292)</f>
        <v>85120.578820718059</v>
      </c>
      <c r="F116" s="110"/>
      <c r="G116" s="109">
        <f>SUM(F236:F239)+SUM(F241:F244)*4+SUM(F246:F248)+SUM(F251:F254)*2+SUM(F256:F259)*4+SUM(F261:F264)+SUM(F266:F268)+SUM(F271:F273)*2+SUM(F275:F278)+SUM(F280:F283)+SUM(F285:F288)+SUM(F290,F292)</f>
        <v>136192.92611314889</v>
      </c>
      <c r="H116" s="110"/>
      <c r="I116" s="79" t="s">
        <v>246</v>
      </c>
      <c r="K116" s="84" t="s">
        <v>268</v>
      </c>
    </row>
    <row r="117" spans="1:14" s="42" customFormat="1" ht="16.5" thickBot="1" x14ac:dyDescent="0.3">
      <c r="A117" s="167" t="s">
        <v>241</v>
      </c>
      <c r="B117" s="168"/>
      <c r="C117" s="111">
        <f>SUM(C115:C116)</f>
        <v>148</v>
      </c>
      <c r="D117" s="111"/>
      <c r="E117" s="112">
        <f>SUM(E115:E116)</f>
        <v>160491.37697271805</v>
      </c>
      <c r="F117" s="112"/>
      <c r="G117" s="112">
        <f>SUM(G115:G116)</f>
        <v>256786.20315634887</v>
      </c>
      <c r="H117" s="112"/>
    </row>
    <row r="118" spans="1:14" s="42" customFormat="1" ht="16.5" hidden="1" thickBot="1" x14ac:dyDescent="0.3">
      <c r="A118" s="167" t="s">
        <v>207</v>
      </c>
      <c r="B118" s="168"/>
      <c r="C118" s="111">
        <f>C112+C117</f>
        <v>183</v>
      </c>
      <c r="D118" s="111"/>
      <c r="E118" s="112">
        <f t="shared" ref="E118" si="2">E112+E117</f>
        <v>161216.18057271806</v>
      </c>
      <c r="F118" s="112"/>
      <c r="G118" s="112">
        <f t="shared" ref="G118" si="3">G112+G117</f>
        <v>257945.88891634886</v>
      </c>
      <c r="H118" s="112"/>
    </row>
    <row r="119" spans="1:14" s="41" customFormat="1" x14ac:dyDescent="0.25">
      <c r="A119" s="238" t="s">
        <v>58</v>
      </c>
      <c r="B119" s="239"/>
      <c r="C119" s="239"/>
      <c r="D119" s="239"/>
      <c r="E119" s="239"/>
      <c r="F119" s="239"/>
      <c r="G119" s="239"/>
      <c r="H119" s="240"/>
    </row>
    <row r="120" spans="1:14" x14ac:dyDescent="0.25">
      <c r="A120" s="209" t="s">
        <v>59</v>
      </c>
      <c r="B120" s="210"/>
      <c r="C120" s="210"/>
      <c r="D120" s="210"/>
      <c r="E120" s="210"/>
      <c r="F120" s="210"/>
      <c r="G120" s="210"/>
      <c r="H120" s="211"/>
    </row>
    <row r="121" spans="1:14" ht="47.25" hidden="1" customHeight="1" x14ac:dyDescent="0.25">
      <c r="A121" s="163" t="s">
        <v>123</v>
      </c>
      <c r="B121" s="163" t="s">
        <v>122</v>
      </c>
      <c r="C121" s="163" t="s">
        <v>60</v>
      </c>
      <c r="D121" s="163" t="s">
        <v>61</v>
      </c>
      <c r="E121" s="243" t="s">
        <v>161</v>
      </c>
      <c r="F121" s="50" t="s">
        <v>155</v>
      </c>
      <c r="G121" s="245" t="s">
        <v>63</v>
      </c>
      <c r="H121" s="246"/>
    </row>
    <row r="122" spans="1:14" s="55" customFormat="1" hidden="1" x14ac:dyDescent="0.25">
      <c r="A122" s="164"/>
      <c r="B122" s="164"/>
      <c r="C122" s="164"/>
      <c r="D122" s="164"/>
      <c r="E122" s="244"/>
      <c r="F122" s="15">
        <v>0.6</v>
      </c>
      <c r="G122" s="247"/>
      <c r="H122" s="248"/>
    </row>
    <row r="123" spans="1:14" s="72" customFormat="1" ht="15.75" hidden="1" customHeight="1" x14ac:dyDescent="0.25">
      <c r="A123" s="89" t="s">
        <v>239</v>
      </c>
      <c r="B123" s="90"/>
      <c r="C123" s="90"/>
      <c r="D123" s="90"/>
      <c r="E123" s="90"/>
      <c r="F123" s="90"/>
      <c r="G123" s="90"/>
      <c r="H123" s="91"/>
      <c r="J123" s="43"/>
    </row>
    <row r="124" spans="1:14" s="72" customFormat="1" ht="15.75" hidden="1" customHeight="1" x14ac:dyDescent="0.25">
      <c r="A124" s="92">
        <v>1</v>
      </c>
      <c r="B124" s="93"/>
      <c r="C124" s="49" t="s">
        <v>229</v>
      </c>
      <c r="D124" s="49">
        <f>5.8*3.9</f>
        <v>22.619999999999997</v>
      </c>
      <c r="E124" s="49">
        <v>0</v>
      </c>
      <c r="F124" s="49">
        <f t="shared" ref="F124:F134" si="4">(D124+E124)*(($F$122)+1)</f>
        <v>36.192</v>
      </c>
      <c r="G124" s="99" t="str">
        <f>A123</f>
        <v>1st Basement Floor For Store Room</v>
      </c>
      <c r="H124" s="100"/>
      <c r="I124" s="43"/>
      <c r="L124" s="94"/>
      <c r="M124" s="94"/>
      <c r="N124" s="43"/>
    </row>
    <row r="125" spans="1:14" s="72" customFormat="1" ht="15.75" hidden="1" customHeight="1" x14ac:dyDescent="0.25">
      <c r="A125" s="92">
        <v>2</v>
      </c>
      <c r="B125" s="93"/>
      <c r="C125" s="49" t="s">
        <v>229</v>
      </c>
      <c r="D125" s="49">
        <f>5.15*3.9+3.55*0.65</f>
        <v>22.392500000000002</v>
      </c>
      <c r="E125" s="49">
        <v>0</v>
      </c>
      <c r="F125" s="49">
        <f t="shared" si="4"/>
        <v>35.828000000000003</v>
      </c>
      <c r="G125" s="101"/>
      <c r="H125" s="102"/>
      <c r="I125" s="43"/>
      <c r="L125" s="94"/>
      <c r="M125" s="94"/>
      <c r="N125" s="43"/>
    </row>
    <row r="126" spans="1:14" s="72" customFormat="1" ht="15.75" hidden="1" customHeight="1" x14ac:dyDescent="0.25">
      <c r="A126" s="92">
        <v>3</v>
      </c>
      <c r="B126" s="93"/>
      <c r="C126" s="49" t="s">
        <v>229</v>
      </c>
      <c r="D126" s="49">
        <f>5.15*6.51</f>
        <v>33.526499999999999</v>
      </c>
      <c r="E126" s="49">
        <v>0</v>
      </c>
      <c r="F126" s="49">
        <f t="shared" si="4"/>
        <v>53.642400000000002</v>
      </c>
      <c r="G126" s="101"/>
      <c r="H126" s="102"/>
      <c r="I126" s="43"/>
      <c r="L126" s="94"/>
      <c r="M126" s="94"/>
      <c r="N126" s="43"/>
    </row>
    <row r="127" spans="1:14" s="72" customFormat="1" ht="15.75" hidden="1" customHeight="1" x14ac:dyDescent="0.25">
      <c r="A127" s="92">
        <v>4</v>
      </c>
      <c r="B127" s="93"/>
      <c r="C127" s="49" t="s">
        <v>229</v>
      </c>
      <c r="D127" s="49">
        <f>2.36*4.1</f>
        <v>9.6759999999999984</v>
      </c>
      <c r="E127" s="49">
        <v>0</v>
      </c>
      <c r="F127" s="49">
        <f t="shared" si="4"/>
        <v>15.481599999999998</v>
      </c>
      <c r="G127" s="101"/>
      <c r="H127" s="102"/>
      <c r="I127" s="43"/>
      <c r="L127" s="94"/>
      <c r="M127" s="94"/>
      <c r="N127" s="43"/>
    </row>
    <row r="128" spans="1:14" s="72" customFormat="1" hidden="1" x14ac:dyDescent="0.25">
      <c r="A128" s="92">
        <v>5</v>
      </c>
      <c r="B128" s="93"/>
      <c r="C128" s="49" t="s">
        <v>229</v>
      </c>
      <c r="D128" s="49">
        <f>3.88*4.65+2.02*1.53</f>
        <v>21.132600000000004</v>
      </c>
      <c r="E128" s="49">
        <v>0</v>
      </c>
      <c r="F128" s="49">
        <f t="shared" si="4"/>
        <v>33.812160000000006</v>
      </c>
      <c r="G128" s="101"/>
      <c r="H128" s="102"/>
      <c r="I128" s="43"/>
      <c r="L128" s="94"/>
      <c r="M128" s="94"/>
      <c r="N128" s="43"/>
    </row>
    <row r="129" spans="1:14" s="72" customFormat="1" hidden="1" x14ac:dyDescent="0.25">
      <c r="A129" s="92">
        <v>6</v>
      </c>
      <c r="B129" s="93"/>
      <c r="C129" s="49" t="s">
        <v>229</v>
      </c>
      <c r="D129" s="49">
        <f>4.45*6.61</f>
        <v>29.414500000000004</v>
      </c>
      <c r="E129" s="49">
        <v>0</v>
      </c>
      <c r="F129" s="49">
        <f t="shared" si="4"/>
        <v>47.063200000000009</v>
      </c>
      <c r="G129" s="101"/>
      <c r="H129" s="102"/>
      <c r="I129" s="43"/>
      <c r="L129" s="94"/>
      <c r="M129" s="94"/>
      <c r="N129" s="43"/>
    </row>
    <row r="130" spans="1:14" s="72" customFormat="1" hidden="1" x14ac:dyDescent="0.25">
      <c r="A130" s="92">
        <v>7</v>
      </c>
      <c r="B130" s="93"/>
      <c r="C130" s="49" t="s">
        <v>229</v>
      </c>
      <c r="D130" s="49">
        <f>3*5.38+4.72*1.93+4.72*0.31</f>
        <v>26.712800000000001</v>
      </c>
      <c r="E130" s="49">
        <v>0</v>
      </c>
      <c r="F130" s="49">
        <f t="shared" si="4"/>
        <v>42.740480000000005</v>
      </c>
      <c r="G130" s="101"/>
      <c r="H130" s="102"/>
      <c r="I130" s="43"/>
      <c r="L130" s="94"/>
      <c r="M130" s="94"/>
      <c r="N130" s="43"/>
    </row>
    <row r="131" spans="1:14" s="72" customFormat="1" hidden="1" x14ac:dyDescent="0.25">
      <c r="A131" s="92">
        <v>8</v>
      </c>
      <c r="B131" s="93"/>
      <c r="C131" s="49" t="s">
        <v>229</v>
      </c>
      <c r="D131" s="49">
        <f>4.52*4.27</f>
        <v>19.300399999999996</v>
      </c>
      <c r="E131" s="49">
        <v>0</v>
      </c>
      <c r="F131" s="49">
        <f t="shared" si="4"/>
        <v>30.880639999999996</v>
      </c>
      <c r="G131" s="101"/>
      <c r="H131" s="102"/>
      <c r="I131" s="43"/>
      <c r="L131" s="94"/>
      <c r="M131" s="94"/>
      <c r="N131" s="43"/>
    </row>
    <row r="132" spans="1:14" s="72" customFormat="1" hidden="1" x14ac:dyDescent="0.25">
      <c r="A132" s="92">
        <v>9</v>
      </c>
      <c r="B132" s="93"/>
      <c r="C132" s="49" t="s">
        <v>229</v>
      </c>
      <c r="D132" s="49">
        <f>2.91*4.6+0.94*0.68+0.85*1.45</f>
        <v>15.2577</v>
      </c>
      <c r="E132" s="49">
        <v>0</v>
      </c>
      <c r="F132" s="49">
        <f t="shared" si="4"/>
        <v>24.412320000000001</v>
      </c>
      <c r="G132" s="101"/>
      <c r="H132" s="102"/>
      <c r="I132" s="43"/>
      <c r="L132" s="94"/>
      <c r="M132" s="94"/>
      <c r="N132" s="43"/>
    </row>
    <row r="133" spans="1:14" s="72" customFormat="1" hidden="1" x14ac:dyDescent="0.25">
      <c r="A133" s="92">
        <v>10</v>
      </c>
      <c r="B133" s="93"/>
      <c r="C133" s="49" t="s">
        <v>229</v>
      </c>
      <c r="D133" s="49">
        <f>6.45*4.6+3.85*0.12+0.36*0.93</f>
        <v>30.466799999999999</v>
      </c>
      <c r="E133" s="49">
        <v>0</v>
      </c>
      <c r="F133" s="49">
        <f t="shared" si="4"/>
        <v>48.746880000000004</v>
      </c>
      <c r="G133" s="101"/>
      <c r="H133" s="102"/>
      <c r="I133" s="43"/>
      <c r="L133" s="94"/>
      <c r="M133" s="94"/>
      <c r="N133" s="43"/>
    </row>
    <row r="134" spans="1:14" s="72" customFormat="1" hidden="1" x14ac:dyDescent="0.25">
      <c r="A134" s="92">
        <f>A133+1</f>
        <v>11</v>
      </c>
      <c r="B134" s="93"/>
      <c r="C134" s="49" t="s">
        <v>229</v>
      </c>
      <c r="D134" s="49">
        <f>3.19*3.87+2.02*1.53</f>
        <v>15.4359</v>
      </c>
      <c r="E134" s="49">
        <v>0</v>
      </c>
      <c r="F134" s="49">
        <f t="shared" si="4"/>
        <v>24.69744</v>
      </c>
      <c r="G134" s="103"/>
      <c r="H134" s="104"/>
      <c r="I134" s="43"/>
      <c r="L134" s="94"/>
      <c r="M134" s="94"/>
      <c r="N134" s="43"/>
    </row>
    <row r="135" spans="1:14" s="71" customFormat="1" ht="15.75" hidden="1" customHeight="1" x14ac:dyDescent="0.25">
      <c r="A135" s="89" t="s">
        <v>230</v>
      </c>
      <c r="B135" s="90"/>
      <c r="C135" s="90"/>
      <c r="D135" s="90"/>
      <c r="E135" s="90"/>
      <c r="F135" s="90"/>
      <c r="G135" s="90"/>
      <c r="H135" s="91"/>
      <c r="J135" s="43"/>
    </row>
    <row r="136" spans="1:14" s="72" customFormat="1" ht="15.75" hidden="1" customHeight="1" x14ac:dyDescent="0.25">
      <c r="A136" s="92">
        <v>1</v>
      </c>
      <c r="B136" s="93"/>
      <c r="C136" s="49" t="s">
        <v>229</v>
      </c>
      <c r="D136" s="49">
        <f>5.81*2.15</f>
        <v>12.491499999999998</v>
      </c>
      <c r="E136" s="49">
        <v>0</v>
      </c>
      <c r="F136" s="49">
        <f t="shared" ref="F136:F148" si="5">(D136+E136)*(($F$122)+1)</f>
        <v>19.9864</v>
      </c>
      <c r="G136" s="99" t="str">
        <f>A135</f>
        <v>Lower Ground Floor For Store Room</v>
      </c>
      <c r="H136" s="100"/>
      <c r="I136" s="43"/>
      <c r="L136" s="94"/>
      <c r="M136" s="94"/>
      <c r="N136" s="43"/>
    </row>
    <row r="137" spans="1:14" s="72" customFormat="1" ht="15.75" hidden="1" customHeight="1" x14ac:dyDescent="0.25">
      <c r="A137" s="92">
        <v>2</v>
      </c>
      <c r="B137" s="93"/>
      <c r="C137" s="49" t="s">
        <v>229</v>
      </c>
      <c r="D137" s="49">
        <f>5.98*2.15</f>
        <v>12.857000000000001</v>
      </c>
      <c r="E137" s="49">
        <v>0</v>
      </c>
      <c r="F137" s="49">
        <f t="shared" si="5"/>
        <v>20.571200000000005</v>
      </c>
      <c r="G137" s="101"/>
      <c r="H137" s="102"/>
      <c r="I137" s="43"/>
      <c r="L137" s="94"/>
      <c r="M137" s="94"/>
      <c r="N137" s="43"/>
    </row>
    <row r="138" spans="1:14" s="71" customFormat="1" ht="15.75" hidden="1" customHeight="1" x14ac:dyDescent="0.25">
      <c r="A138" s="92">
        <v>3</v>
      </c>
      <c r="B138" s="93"/>
      <c r="C138" s="49" t="s">
        <v>229</v>
      </c>
      <c r="D138" s="49">
        <f>3.19*3.87+2.02*1.53</f>
        <v>15.4359</v>
      </c>
      <c r="E138" s="49">
        <v>0</v>
      </c>
      <c r="F138" s="49">
        <f t="shared" si="5"/>
        <v>24.69744</v>
      </c>
      <c r="G138" s="101"/>
      <c r="H138" s="102"/>
      <c r="I138" s="43"/>
      <c r="L138" s="94"/>
      <c r="M138" s="94"/>
      <c r="N138" s="43"/>
    </row>
    <row r="139" spans="1:14" s="71" customFormat="1" ht="15.75" hidden="1" customHeight="1" x14ac:dyDescent="0.25">
      <c r="A139" s="92">
        <v>4</v>
      </c>
      <c r="B139" s="93"/>
      <c r="C139" s="49" t="s">
        <v>229</v>
      </c>
      <c r="D139" s="49">
        <f>2.36*4.1+4.58*2.42</f>
        <v>20.759599999999999</v>
      </c>
      <c r="E139" s="49">
        <v>0</v>
      </c>
      <c r="F139" s="49">
        <f t="shared" si="5"/>
        <v>33.215359999999997</v>
      </c>
      <c r="G139" s="101"/>
      <c r="H139" s="102"/>
      <c r="I139" s="43"/>
      <c r="L139" s="94"/>
      <c r="M139" s="94"/>
      <c r="N139" s="43"/>
    </row>
    <row r="140" spans="1:14" s="71" customFormat="1" hidden="1" x14ac:dyDescent="0.25">
      <c r="A140" s="92">
        <v>5</v>
      </c>
      <c r="B140" s="93"/>
      <c r="C140" s="49" t="s">
        <v>229</v>
      </c>
      <c r="D140" s="49">
        <f>3.88*4.45+1.53*2.02</f>
        <v>20.3566</v>
      </c>
      <c r="E140" s="49">
        <v>0</v>
      </c>
      <c r="F140" s="49">
        <f t="shared" si="5"/>
        <v>32.57056</v>
      </c>
      <c r="G140" s="101"/>
      <c r="H140" s="102"/>
      <c r="I140" s="43"/>
      <c r="L140" s="94"/>
      <c r="M140" s="94"/>
      <c r="N140" s="43"/>
    </row>
    <row r="141" spans="1:14" s="71" customFormat="1" hidden="1" x14ac:dyDescent="0.25">
      <c r="A141" s="92">
        <v>6</v>
      </c>
      <c r="B141" s="93"/>
      <c r="C141" s="49" t="s">
        <v>229</v>
      </c>
      <c r="D141" s="49">
        <f>4.72*6.61</f>
        <v>31.199200000000001</v>
      </c>
      <c r="E141" s="49">
        <v>0</v>
      </c>
      <c r="F141" s="49">
        <f t="shared" si="5"/>
        <v>49.918720000000008</v>
      </c>
      <c r="G141" s="101"/>
      <c r="H141" s="102"/>
      <c r="I141" s="43"/>
      <c r="L141" s="94"/>
      <c r="M141" s="94"/>
      <c r="N141" s="43"/>
    </row>
    <row r="142" spans="1:14" s="71" customFormat="1" hidden="1" x14ac:dyDescent="0.25">
      <c r="A142" s="92">
        <v>7</v>
      </c>
      <c r="B142" s="93"/>
      <c r="C142" s="49" t="s">
        <v>229</v>
      </c>
      <c r="D142" s="49">
        <f>3.32*3.5+3.62*2.09</f>
        <v>19.1858</v>
      </c>
      <c r="E142" s="49">
        <v>0</v>
      </c>
      <c r="F142" s="49">
        <f t="shared" si="5"/>
        <v>30.697280000000003</v>
      </c>
      <c r="G142" s="101"/>
      <c r="H142" s="102"/>
      <c r="I142" s="43"/>
      <c r="L142" s="94"/>
      <c r="M142" s="94"/>
      <c r="N142" s="43"/>
    </row>
    <row r="143" spans="1:14" s="71" customFormat="1" hidden="1" x14ac:dyDescent="0.25">
      <c r="A143" s="92">
        <v>8</v>
      </c>
      <c r="B143" s="93"/>
      <c r="C143" s="49" t="s">
        <v>229</v>
      </c>
      <c r="D143" s="49">
        <f>3.42*5.18+4.14*1.08+0.31*0.95</f>
        <v>22.481299999999997</v>
      </c>
      <c r="E143" s="49">
        <v>0</v>
      </c>
      <c r="F143" s="49">
        <f t="shared" si="5"/>
        <v>35.970079999999996</v>
      </c>
      <c r="G143" s="101"/>
      <c r="H143" s="102"/>
      <c r="I143" s="43"/>
      <c r="L143" s="94"/>
      <c r="M143" s="94"/>
      <c r="N143" s="43"/>
    </row>
    <row r="144" spans="1:14" s="71" customFormat="1" hidden="1" x14ac:dyDescent="0.25">
      <c r="A144" s="92">
        <v>9</v>
      </c>
      <c r="B144" s="93"/>
      <c r="C144" s="49" t="s">
        <v>229</v>
      </c>
      <c r="D144" s="49">
        <f>3.8*3.45+2.26*0.6</f>
        <v>14.465999999999999</v>
      </c>
      <c r="E144" s="49">
        <v>0</v>
      </c>
      <c r="F144" s="49">
        <f t="shared" si="5"/>
        <v>23.145600000000002</v>
      </c>
      <c r="G144" s="101"/>
      <c r="H144" s="102"/>
      <c r="I144" s="43"/>
      <c r="L144" s="94"/>
      <c r="M144" s="94"/>
      <c r="N144" s="43"/>
    </row>
    <row r="145" spans="1:14" s="71" customFormat="1" hidden="1" x14ac:dyDescent="0.25">
      <c r="A145" s="92">
        <v>10</v>
      </c>
      <c r="B145" s="93"/>
      <c r="C145" s="49" t="s">
        <v>229</v>
      </c>
      <c r="D145" s="49">
        <f>3.45*4.73</f>
        <v>16.318500000000004</v>
      </c>
      <c r="E145" s="49">
        <v>0</v>
      </c>
      <c r="F145" s="49">
        <f t="shared" si="5"/>
        <v>26.109600000000007</v>
      </c>
      <c r="G145" s="101"/>
      <c r="H145" s="102"/>
      <c r="I145" s="43"/>
      <c r="L145" s="94"/>
      <c r="M145" s="94"/>
      <c r="N145" s="43"/>
    </row>
    <row r="146" spans="1:14" s="71" customFormat="1" hidden="1" x14ac:dyDescent="0.25">
      <c r="A146" s="92">
        <f>A145+1</f>
        <v>11</v>
      </c>
      <c r="B146" s="93"/>
      <c r="C146" s="49" t="s">
        <v>229</v>
      </c>
      <c r="D146" s="49">
        <f>4.52*4.27</f>
        <v>19.300399999999996</v>
      </c>
      <c r="E146" s="49">
        <v>0</v>
      </c>
      <c r="F146" s="49">
        <f t="shared" si="5"/>
        <v>30.880639999999996</v>
      </c>
      <c r="G146" s="101"/>
      <c r="H146" s="102"/>
      <c r="I146" s="43"/>
      <c r="L146" s="94"/>
      <c r="M146" s="94"/>
      <c r="N146" s="43"/>
    </row>
    <row r="147" spans="1:14" s="71" customFormat="1" ht="15.75" hidden="1" customHeight="1" x14ac:dyDescent="0.25">
      <c r="A147" s="92">
        <f>A146+1</f>
        <v>12</v>
      </c>
      <c r="B147" s="93"/>
      <c r="C147" s="49" t="s">
        <v>229</v>
      </c>
      <c r="D147" s="49">
        <f>2.91*4.6+0.85*1.45+0.94*0.68</f>
        <v>15.2577</v>
      </c>
      <c r="E147" s="49">
        <v>0</v>
      </c>
      <c r="F147" s="49">
        <f t="shared" si="5"/>
        <v>24.412320000000001</v>
      </c>
      <c r="G147" s="101"/>
      <c r="H147" s="102"/>
      <c r="I147" s="43"/>
      <c r="L147" s="94"/>
      <c r="M147" s="94"/>
      <c r="N147" s="43"/>
    </row>
    <row r="148" spans="1:14" s="71" customFormat="1" hidden="1" x14ac:dyDescent="0.25">
      <c r="A148" s="92">
        <f>A147+1</f>
        <v>13</v>
      </c>
      <c r="B148" s="93"/>
      <c r="C148" s="49" t="s">
        <v>229</v>
      </c>
      <c r="D148" s="49">
        <f>6.45*4.6+3.85*0.12+0.36*0.93</f>
        <v>30.466799999999999</v>
      </c>
      <c r="E148" s="49">
        <v>0</v>
      </c>
      <c r="F148" s="49">
        <f t="shared" si="5"/>
        <v>48.746880000000004</v>
      </c>
      <c r="G148" s="103"/>
      <c r="H148" s="104"/>
      <c r="I148" s="43"/>
      <c r="L148" s="94"/>
      <c r="M148" s="94"/>
      <c r="N148" s="43"/>
    </row>
    <row r="149" spans="1:14" s="55" customFormat="1" ht="15.75" hidden="1" customHeight="1" x14ac:dyDescent="0.25">
      <c r="A149" s="89" t="s">
        <v>228</v>
      </c>
      <c r="B149" s="90"/>
      <c r="C149" s="90"/>
      <c r="D149" s="90"/>
      <c r="E149" s="90"/>
      <c r="F149" s="90"/>
      <c r="G149" s="90"/>
      <c r="H149" s="91"/>
      <c r="J149" s="43"/>
    </row>
    <row r="150" spans="1:14" s="55" customFormat="1" ht="15.75" hidden="1" customHeight="1" x14ac:dyDescent="0.25">
      <c r="A150" s="92">
        <v>1</v>
      </c>
      <c r="B150" s="93"/>
      <c r="C150" s="49" t="s">
        <v>229</v>
      </c>
      <c r="D150" s="49">
        <f>5.15*6.51</f>
        <v>33.526499999999999</v>
      </c>
      <c r="E150" s="49">
        <v>0</v>
      </c>
      <c r="F150" s="49">
        <f t="shared" ref="F150:F160" si="6">(D150+E150)*(($F$122)+1)</f>
        <v>53.642400000000002</v>
      </c>
      <c r="G150" s="99" t="str">
        <f>A149</f>
        <v>Ground Floor For Store Room</v>
      </c>
      <c r="H150" s="100"/>
      <c r="I150" s="43"/>
      <c r="L150" s="94"/>
      <c r="M150" s="94"/>
      <c r="N150" s="43"/>
    </row>
    <row r="151" spans="1:14" s="55" customFormat="1" ht="15.75" hidden="1" customHeight="1" x14ac:dyDescent="0.25">
      <c r="A151" s="92">
        <v>2</v>
      </c>
      <c r="B151" s="93"/>
      <c r="C151" s="49" t="s">
        <v>229</v>
      </c>
      <c r="D151" s="49">
        <f>2.36*4.1</f>
        <v>9.6759999999999984</v>
      </c>
      <c r="E151" s="49">
        <v>0</v>
      </c>
      <c r="F151" s="49">
        <f t="shared" si="6"/>
        <v>15.481599999999998</v>
      </c>
      <c r="G151" s="101"/>
      <c r="H151" s="102"/>
      <c r="I151" s="43"/>
      <c r="L151" s="94"/>
      <c r="M151" s="94"/>
      <c r="N151" s="43"/>
    </row>
    <row r="152" spans="1:14" s="55" customFormat="1" ht="15.75" hidden="1" customHeight="1" x14ac:dyDescent="0.25">
      <c r="A152" s="92">
        <v>3</v>
      </c>
      <c r="B152" s="93"/>
      <c r="C152" s="49" t="s">
        <v>229</v>
      </c>
      <c r="D152" s="49">
        <f>3.88*4.65+2.02*1.53</f>
        <v>21.132600000000004</v>
      </c>
      <c r="E152" s="49">
        <v>0</v>
      </c>
      <c r="F152" s="49">
        <f t="shared" si="6"/>
        <v>33.812160000000006</v>
      </c>
      <c r="G152" s="101"/>
      <c r="H152" s="102"/>
      <c r="I152" s="43"/>
      <c r="L152" s="94"/>
      <c r="M152" s="94"/>
      <c r="N152" s="43"/>
    </row>
    <row r="153" spans="1:14" s="55" customFormat="1" ht="15.75" hidden="1" customHeight="1" x14ac:dyDescent="0.25">
      <c r="A153" s="92">
        <v>4</v>
      </c>
      <c r="B153" s="93"/>
      <c r="C153" s="49" t="s">
        <v>229</v>
      </c>
      <c r="D153" s="49">
        <f>4.65*6.61</f>
        <v>30.736500000000003</v>
      </c>
      <c r="E153" s="49">
        <v>0</v>
      </c>
      <c r="F153" s="49">
        <f t="shared" si="6"/>
        <v>49.178400000000011</v>
      </c>
      <c r="G153" s="101"/>
      <c r="H153" s="102"/>
      <c r="I153" s="43"/>
      <c r="L153" s="94"/>
      <c r="M153" s="94"/>
      <c r="N153" s="43"/>
    </row>
    <row r="154" spans="1:14" s="71" customFormat="1" hidden="1" x14ac:dyDescent="0.25">
      <c r="A154" s="92">
        <v>5</v>
      </c>
      <c r="B154" s="93"/>
      <c r="C154" s="49" t="s">
        <v>229</v>
      </c>
      <c r="D154" s="49">
        <f>3*5.38+4.72*0.31+4.72*1.93</f>
        <v>26.712800000000001</v>
      </c>
      <c r="E154" s="49">
        <v>0</v>
      </c>
      <c r="F154" s="49">
        <f t="shared" si="6"/>
        <v>42.740480000000005</v>
      </c>
      <c r="G154" s="101"/>
      <c r="H154" s="102"/>
      <c r="I154" s="43"/>
      <c r="L154" s="94"/>
      <c r="M154" s="94"/>
      <c r="N154" s="43"/>
    </row>
    <row r="155" spans="1:14" s="71" customFormat="1" hidden="1" x14ac:dyDescent="0.25">
      <c r="A155" s="92">
        <v>6</v>
      </c>
      <c r="B155" s="93"/>
      <c r="C155" s="49" t="s">
        <v>229</v>
      </c>
      <c r="D155" s="49">
        <f>3.55*3.42</f>
        <v>12.141</v>
      </c>
      <c r="E155" s="49">
        <v>0</v>
      </c>
      <c r="F155" s="49">
        <f t="shared" si="6"/>
        <v>19.425600000000003</v>
      </c>
      <c r="G155" s="101"/>
      <c r="H155" s="102"/>
      <c r="I155" s="43"/>
      <c r="L155" s="94"/>
      <c r="M155" s="94"/>
      <c r="N155" s="43"/>
    </row>
    <row r="156" spans="1:14" s="71" customFormat="1" hidden="1" x14ac:dyDescent="0.25">
      <c r="A156" s="92">
        <v>7</v>
      </c>
      <c r="B156" s="93"/>
      <c r="C156" s="49" t="s">
        <v>229</v>
      </c>
      <c r="D156" s="49">
        <f>4.52*4.27</f>
        <v>19.300399999999996</v>
      </c>
      <c r="E156" s="49">
        <v>0</v>
      </c>
      <c r="F156" s="49">
        <f t="shared" si="6"/>
        <v>30.880639999999996</v>
      </c>
      <c r="G156" s="101"/>
      <c r="H156" s="102"/>
      <c r="I156" s="43"/>
      <c r="L156" s="94"/>
      <c r="M156" s="94"/>
      <c r="N156" s="43"/>
    </row>
    <row r="157" spans="1:14" s="71" customFormat="1" hidden="1" x14ac:dyDescent="0.25">
      <c r="A157" s="92">
        <v>8</v>
      </c>
      <c r="B157" s="93"/>
      <c r="C157" s="49" t="s">
        <v>229</v>
      </c>
      <c r="D157" s="49">
        <f>3.59*4.68+0.85*1.45+3.51</f>
        <v>21.543699999999994</v>
      </c>
      <c r="E157" s="49">
        <v>0</v>
      </c>
      <c r="F157" s="49">
        <f t="shared" si="6"/>
        <v>34.469919999999995</v>
      </c>
      <c r="G157" s="101"/>
      <c r="H157" s="102"/>
      <c r="I157" s="43"/>
      <c r="L157" s="94"/>
      <c r="M157" s="94"/>
      <c r="N157" s="43"/>
    </row>
    <row r="158" spans="1:14" s="71" customFormat="1" hidden="1" x14ac:dyDescent="0.25">
      <c r="A158" s="92">
        <v>9</v>
      </c>
      <c r="B158" s="93"/>
      <c r="C158" s="49" t="s">
        <v>229</v>
      </c>
      <c r="D158" s="49">
        <f>3.85*0.12+0.36*0.93+4.6*6.45</f>
        <v>30.466799999999999</v>
      </c>
      <c r="E158" s="49">
        <v>0</v>
      </c>
      <c r="F158" s="49">
        <f t="shared" si="6"/>
        <v>48.746880000000004</v>
      </c>
      <c r="G158" s="101"/>
      <c r="H158" s="102"/>
      <c r="I158" s="43"/>
      <c r="L158" s="94"/>
      <c r="M158" s="94"/>
      <c r="N158" s="43"/>
    </row>
    <row r="159" spans="1:14" s="71" customFormat="1" hidden="1" x14ac:dyDescent="0.25">
      <c r="A159" s="92">
        <v>10</v>
      </c>
      <c r="B159" s="93"/>
      <c r="C159" s="49" t="s">
        <v>229</v>
      </c>
      <c r="D159" s="49">
        <f>3.06*2.49</f>
        <v>7.6194000000000006</v>
      </c>
      <c r="E159" s="49">
        <v>0</v>
      </c>
      <c r="F159" s="49">
        <f t="shared" si="6"/>
        <v>12.191040000000001</v>
      </c>
      <c r="G159" s="101"/>
      <c r="H159" s="102"/>
      <c r="I159" s="43"/>
      <c r="L159" s="94"/>
      <c r="M159" s="94"/>
      <c r="N159" s="43"/>
    </row>
    <row r="160" spans="1:14" s="71" customFormat="1" hidden="1" x14ac:dyDescent="0.25">
      <c r="A160" s="92">
        <f>A159+1</f>
        <v>11</v>
      </c>
      <c r="B160" s="93"/>
      <c r="C160" s="49" t="s">
        <v>229</v>
      </c>
      <c r="D160" s="49">
        <f>3.19*3.87+2.02*1.53</f>
        <v>15.4359</v>
      </c>
      <c r="E160" s="49">
        <v>0</v>
      </c>
      <c r="F160" s="49">
        <f t="shared" si="6"/>
        <v>24.69744</v>
      </c>
      <c r="G160" s="103"/>
      <c r="H160" s="104"/>
      <c r="I160" s="43"/>
      <c r="L160" s="94"/>
      <c r="M160" s="94"/>
      <c r="N160" s="43"/>
    </row>
    <row r="161" spans="1:16" s="55" customFormat="1" x14ac:dyDescent="0.25">
      <c r="A161" s="92"/>
      <c r="B161" s="249"/>
      <c r="C161" s="249"/>
      <c r="D161" s="249"/>
      <c r="E161" s="249"/>
      <c r="F161" s="249"/>
      <c r="G161" s="249"/>
      <c r="H161" s="93"/>
      <c r="I161" s="43"/>
      <c r="N161" s="43"/>
    </row>
    <row r="162" spans="1:16" ht="47.25" customHeight="1" x14ac:dyDescent="0.25">
      <c r="A162" s="245" t="s">
        <v>124</v>
      </c>
      <c r="B162" s="245" t="s">
        <v>125</v>
      </c>
      <c r="C162" s="163" t="s">
        <v>60</v>
      </c>
      <c r="D162" s="163" t="s">
        <v>61</v>
      </c>
      <c r="E162" s="243" t="s">
        <v>62</v>
      </c>
      <c r="F162" s="50" t="s">
        <v>155</v>
      </c>
      <c r="G162" s="245" t="s">
        <v>63</v>
      </c>
      <c r="H162" s="246"/>
      <c r="I162" s="43"/>
    </row>
    <row r="163" spans="1:16" s="55" customFormat="1" x14ac:dyDescent="0.25">
      <c r="A163" s="247"/>
      <c r="B163" s="247"/>
      <c r="C163" s="164"/>
      <c r="D163" s="164"/>
      <c r="E163" s="244"/>
      <c r="F163" s="15">
        <v>0.6</v>
      </c>
      <c r="G163" s="247"/>
      <c r="H163" s="248"/>
      <c r="I163" s="43"/>
    </row>
    <row r="164" spans="1:16" s="74" customFormat="1" ht="15.75" customHeight="1" x14ac:dyDescent="0.25">
      <c r="A164" s="89" t="s">
        <v>231</v>
      </c>
      <c r="B164" s="90"/>
      <c r="C164" s="90"/>
      <c r="D164" s="90"/>
      <c r="E164" s="90"/>
      <c r="F164" s="90"/>
      <c r="G164" s="90"/>
      <c r="H164" s="91"/>
      <c r="J164" s="43"/>
    </row>
    <row r="165" spans="1:16" s="74" customFormat="1" ht="15.75" customHeight="1" x14ac:dyDescent="0.25">
      <c r="A165" s="89" t="s">
        <v>247</v>
      </c>
      <c r="B165" s="90"/>
      <c r="C165" s="90"/>
      <c r="D165" s="90"/>
      <c r="E165" s="90"/>
      <c r="F165" s="90"/>
      <c r="G165" s="90"/>
      <c r="H165" s="91"/>
      <c r="J165" s="43"/>
    </row>
    <row r="166" spans="1:16" s="74" customFormat="1" ht="15.75" customHeight="1" x14ac:dyDescent="0.25">
      <c r="A166" s="89" t="s">
        <v>248</v>
      </c>
      <c r="B166" s="90"/>
      <c r="C166" s="90"/>
      <c r="D166" s="90"/>
      <c r="E166" s="90"/>
      <c r="F166" s="90"/>
      <c r="G166" s="90"/>
      <c r="H166" s="91"/>
      <c r="J166" s="43"/>
    </row>
    <row r="167" spans="1:16" s="74" customFormat="1" ht="15.75" customHeight="1" x14ac:dyDescent="0.25">
      <c r="A167" s="89" t="s">
        <v>249</v>
      </c>
      <c r="B167" s="90"/>
      <c r="C167" s="90"/>
      <c r="D167" s="90"/>
      <c r="E167" s="90"/>
      <c r="F167" s="90"/>
      <c r="G167" s="90"/>
      <c r="H167" s="91"/>
      <c r="J167" s="43"/>
    </row>
    <row r="168" spans="1:16" s="74" customFormat="1" ht="31.5" customHeight="1" x14ac:dyDescent="0.25">
      <c r="A168" s="89" t="s">
        <v>250</v>
      </c>
      <c r="B168" s="90"/>
      <c r="C168" s="90"/>
      <c r="D168" s="90"/>
      <c r="E168" s="90"/>
      <c r="F168" s="90"/>
      <c r="G168" s="90"/>
      <c r="H168" s="91"/>
      <c r="J168" s="43"/>
    </row>
    <row r="169" spans="1:16" s="74" customFormat="1" ht="15.75" hidden="1" customHeight="1" x14ac:dyDescent="0.25">
      <c r="A169" s="267" t="s">
        <v>251</v>
      </c>
      <c r="B169" s="268"/>
      <c r="C169" s="268"/>
      <c r="D169" s="268"/>
      <c r="E169" s="268"/>
      <c r="F169" s="268"/>
      <c r="G169" s="268"/>
      <c r="H169" s="269"/>
      <c r="J169" s="43"/>
    </row>
    <row r="170" spans="1:16" s="74" customFormat="1" ht="15.75" customHeight="1" x14ac:dyDescent="0.25">
      <c r="A170" s="89" t="s">
        <v>252</v>
      </c>
      <c r="B170" s="90"/>
      <c r="C170" s="90"/>
      <c r="D170" s="90"/>
      <c r="E170" s="90"/>
      <c r="F170" s="90"/>
      <c r="G170" s="90"/>
      <c r="H170" s="91"/>
      <c r="J170" s="80">
        <f>10.764</f>
        <v>10.763999999999999</v>
      </c>
    </row>
    <row r="171" spans="1:16" s="71" customFormat="1" x14ac:dyDescent="0.25">
      <c r="A171" s="131" t="s">
        <v>226</v>
      </c>
      <c r="B171" s="132"/>
      <c r="C171" s="132"/>
      <c r="D171" s="132"/>
      <c r="E171" s="132"/>
      <c r="F171" s="132"/>
      <c r="G171" s="132"/>
      <c r="H171" s="133"/>
      <c r="J171" s="43"/>
    </row>
    <row r="172" spans="1:16" s="73" customFormat="1" ht="15.75" hidden="1" customHeight="1" x14ac:dyDescent="0.25">
      <c r="A172" s="89" t="s">
        <v>189</v>
      </c>
      <c r="B172" s="90"/>
      <c r="C172" s="90"/>
      <c r="D172" s="90"/>
      <c r="E172" s="90"/>
      <c r="F172" s="90"/>
      <c r="G172" s="90"/>
      <c r="H172" s="91"/>
      <c r="I172" s="73">
        <f>1</f>
        <v>1</v>
      </c>
      <c r="J172" s="43"/>
    </row>
    <row r="173" spans="1:16" s="73" customFormat="1" hidden="1" x14ac:dyDescent="0.25">
      <c r="A173" s="92">
        <v>1</v>
      </c>
      <c r="B173" s="93"/>
      <c r="C173" s="49" t="s">
        <v>198</v>
      </c>
      <c r="D173" s="49">
        <f>(110.92+3.66*1.83+1.67*2.44)*10.764</f>
        <v>1309.8991463999998</v>
      </c>
      <c r="E173" s="49">
        <v>0</v>
      </c>
      <c r="F173" s="49">
        <f>D173*(($F$163)+1)+(IF(E173&lt;101,E173,IF(E173&lt;201,E173/2,IF(E173&lt;=301,E173/3,E173/4))))</f>
        <v>2095.8386342399999</v>
      </c>
      <c r="G173" s="99" t="str">
        <f>A172</f>
        <v>Upper Ground Floor for Parking &amp; Society Office</v>
      </c>
      <c r="H173" s="100"/>
      <c r="K173" s="76">
        <f>6.75*3.66+3.51*0.91+3.1*2.41+4.56*3.12+2.4*1.65+3.66*3.22+3.66*3.51+1.77*1.21+2.37*1.9+1.76*3.55+2.36*1.52+1.1*0.6+2.92*1.05+1.6*1.61+0.85*0.8+2.37*1.9</f>
        <v>106.15400000000001</v>
      </c>
      <c r="L173" s="76">
        <f>2.54*1.69+3.96*1.83</f>
        <v>11.539400000000001</v>
      </c>
      <c r="M173" s="76"/>
    </row>
    <row r="174" spans="1:16" s="73" customFormat="1" hidden="1" x14ac:dyDescent="0.25">
      <c r="A174" s="92" t="s">
        <v>242</v>
      </c>
      <c r="B174" s="93"/>
      <c r="C174" s="92" t="s">
        <v>243</v>
      </c>
      <c r="D174" s="249"/>
      <c r="E174" s="249"/>
      <c r="F174" s="93"/>
      <c r="G174" s="101"/>
      <c r="H174" s="102"/>
      <c r="K174" s="76"/>
      <c r="L174" s="76"/>
      <c r="M174" s="76"/>
    </row>
    <row r="175" spans="1:16" s="73" customFormat="1" ht="15.75" hidden="1" customHeight="1" x14ac:dyDescent="0.25">
      <c r="A175" s="92">
        <v>3</v>
      </c>
      <c r="B175" s="93"/>
      <c r="C175" s="49" t="s">
        <v>232</v>
      </c>
      <c r="D175" s="49">
        <f>(78.38+2.45*1.53+2.44*1.37)*10.764</f>
        <v>920.01307319999989</v>
      </c>
      <c r="E175" s="49">
        <v>0</v>
      </c>
      <c r="F175" s="49">
        <f>D175*(($F$163)+1)+(IF(E175&lt;101,E175,IF(E175&lt;201,E175/2,IF(E175&lt;=301,E175/3,E175/4))))</f>
        <v>1472.0209171199999</v>
      </c>
      <c r="G175" s="101"/>
      <c r="H175" s="102"/>
      <c r="K175" s="76">
        <f>6.14*3.66+2.44*4.3+3.35*6.25+3.07*0.52+3.2*2.66+2.56*1.1+2.36*4.3+2.25*0.68+1.36*1.11+1.84*2.75+3.59*3.2+0.68*0.8+4.86*3.25+2.36*1.52+1.94*0.98+1.84*2.27+2.36*1.52+2.44*1.82+2.44*1.45+1.9*1.1+3.11*0.9</f>
        <v>139.02110000000002</v>
      </c>
      <c r="L175" s="76">
        <f>2.36*1.37+1.37*2.36</f>
        <v>6.4664000000000001</v>
      </c>
      <c r="M175" s="76"/>
    </row>
    <row r="176" spans="1:16" s="61" customFormat="1" ht="15.75" customHeight="1" x14ac:dyDescent="0.25">
      <c r="A176" s="89" t="s">
        <v>253</v>
      </c>
      <c r="B176" s="90"/>
      <c r="C176" s="90"/>
      <c r="D176" s="90"/>
      <c r="E176" s="90"/>
      <c r="F176" s="90"/>
      <c r="G176" s="90"/>
      <c r="H176" s="91"/>
      <c r="I176" s="61">
        <f>1</f>
        <v>1</v>
      </c>
      <c r="K176" s="76"/>
      <c r="L176" s="76"/>
      <c r="M176" s="76"/>
      <c r="P176" s="44"/>
    </row>
    <row r="177" spans="1:16" s="61" customFormat="1" x14ac:dyDescent="0.25">
      <c r="A177" s="92">
        <v>1</v>
      </c>
      <c r="B177" s="93"/>
      <c r="C177" s="49" t="s">
        <v>198</v>
      </c>
      <c r="D177" s="80">
        <f>((3.66*6.7+0.92*3.59+2.44*3.05+3.2*3.66+3.2*4.56+3.51*3.66+2.05*1.05+1.98*2.45+1.64*1.68+1.22*1.78+3.36*1.84+1.53*2.44+1.1*0.6+1.05*3)+(2.44*1.67+3.66*1.83))*(10.764)</f>
        <v>1193.1452675999999</v>
      </c>
      <c r="E177" s="49">
        <v>0</v>
      </c>
      <c r="F177" s="49">
        <f>D177*(($F$163)+1)+(IF(E177&lt;101,E177,IF(E177&lt;201,E177/2,IF(E177&lt;=301,E177/3,E177/4))))</f>
        <v>1909.0324281599999</v>
      </c>
      <c r="G177" s="99" t="str">
        <f>A176</f>
        <v>1st Floor For Residential</v>
      </c>
      <c r="H177" s="100"/>
      <c r="K177" s="76"/>
      <c r="L177" s="76"/>
      <c r="M177" s="76"/>
    </row>
    <row r="178" spans="1:16" s="61" customFormat="1" x14ac:dyDescent="0.25">
      <c r="A178" s="92">
        <v>2</v>
      </c>
      <c r="B178" s="93"/>
      <c r="C178" s="49" t="s">
        <v>183</v>
      </c>
      <c r="D178" s="80">
        <f>((3.66*6.7+0.92*3.59+2.44*3.05+3.25*3.66+3.2*4.57+3.51*3.66+0.86*1.65+1.54*1.05+1.64*1.68+1.22*1.78+2.75*1.53+1.53*2.44+1.05*3)+(2.44*1.67+3.66*1.83))*(10.764)</f>
        <v>1124.391294</v>
      </c>
      <c r="E178" s="49">
        <v>0</v>
      </c>
      <c r="F178" s="49">
        <f>D178*(($F$163)+1)+(IF(E178&lt;101,E178,IF(E178&lt;201,E178/2,IF(E178&lt;=301,E178/3,E178/4))))</f>
        <v>1799.0260704000002</v>
      </c>
      <c r="G178" s="101"/>
      <c r="H178" s="102"/>
      <c r="K178" s="76"/>
      <c r="L178" s="76"/>
      <c r="M178" s="76"/>
    </row>
    <row r="179" spans="1:16" s="61" customFormat="1" ht="15.75" customHeight="1" x14ac:dyDescent="0.25">
      <c r="A179" s="92">
        <v>3</v>
      </c>
      <c r="B179" s="93"/>
      <c r="C179" s="49" t="s">
        <v>199</v>
      </c>
      <c r="D179" s="80">
        <f>((3.66*6.1+1.15*3.05+3.05*2.44+3.2*4.27+3.05*3.36+2.1*2.44+1.53*2.44+1.05*(0.9+1.04)+1.53*2.44+1.33*0.6+0.6*0.6)+(2.44*1.53+1.37*2.44))*(10.764)</f>
        <v>861.64635959999998</v>
      </c>
      <c r="E179" s="49">
        <v>0</v>
      </c>
      <c r="F179" s="49">
        <f>D179*(($F$163)+1)+(IF(E179&lt;101,E179,IF(E179&lt;201,E179/2,IF(E179&lt;=301,E179/3,E179/4))))</f>
        <v>1378.63417536</v>
      </c>
      <c r="G179" s="101"/>
      <c r="H179" s="102"/>
      <c r="K179" s="76"/>
      <c r="L179" s="76"/>
      <c r="M179" s="76"/>
    </row>
    <row r="180" spans="1:16" s="61" customFormat="1" ht="15.75" customHeight="1" x14ac:dyDescent="0.25">
      <c r="A180" s="92">
        <v>4</v>
      </c>
      <c r="B180" s="93"/>
      <c r="C180" s="49" t="s">
        <v>184</v>
      </c>
      <c r="D180" s="80">
        <f>((3.76*6.1+1.15*3.05+3.05*2.44+3.25*4.27+3.05*3.36+1.53*2.44+1.53*2.44+1.33*0.6+0.6*0.3)+(1.37*2.44))*(10.764)</f>
        <v>751.30782479999993</v>
      </c>
      <c r="E180" s="49">
        <v>0</v>
      </c>
      <c r="F180" s="49">
        <f>D180*(($F$163)+1)+(IF(E180&lt;101,E180,IF(E180&lt;201,E180/2,IF(E180&lt;=301,E180/3,E180/4))))</f>
        <v>1202.0925196799999</v>
      </c>
      <c r="G180" s="103"/>
      <c r="H180" s="104"/>
      <c r="K180" s="76"/>
      <c r="L180" s="76"/>
      <c r="M180" s="76"/>
    </row>
    <row r="181" spans="1:16" s="61" customFormat="1" ht="15.75" customHeight="1" x14ac:dyDescent="0.25">
      <c r="A181" s="89" t="s">
        <v>200</v>
      </c>
      <c r="B181" s="90"/>
      <c r="C181" s="90"/>
      <c r="D181" s="90"/>
      <c r="E181" s="90"/>
      <c r="F181" s="90"/>
      <c r="G181" s="90"/>
      <c r="H181" s="91"/>
      <c r="I181" s="61">
        <f>4</f>
        <v>4</v>
      </c>
      <c r="K181" s="76"/>
      <c r="L181" s="76"/>
      <c r="M181" s="76"/>
      <c r="P181" s="44"/>
    </row>
    <row r="182" spans="1:16" s="61" customFormat="1" ht="15.75" customHeight="1" x14ac:dyDescent="0.25">
      <c r="A182" s="92">
        <v>1</v>
      </c>
      <c r="B182" s="93"/>
      <c r="C182" s="49" t="s">
        <v>198</v>
      </c>
      <c r="D182" s="80">
        <f>((3.66*6.7+0.92*3.59+2.44*3.05+3.2*3.66+3.2*4.56+3.51*3.66+2.05*1.05+1.98*2.45+1.64*1.68+1.22*1.78+3.36*1.84+1.53*2.44+1.1*0.6+1.05*3)+(2.44*1.67+3.66*1.83))*(10.764)</f>
        <v>1193.1452675999999</v>
      </c>
      <c r="E182" s="49">
        <v>0</v>
      </c>
      <c r="F182" s="49">
        <f>D182*(($F$163)+1)+(IF(E182&lt;101,E182,IF(E182&lt;201,E182/2,IF(E182&lt;=301,E182/3,E182/4))))</f>
        <v>1909.0324281599999</v>
      </c>
      <c r="G182" s="99" t="str">
        <f>A181</f>
        <v>2nd to 5th Floor</v>
      </c>
      <c r="H182" s="100"/>
      <c r="K182" s="76"/>
      <c r="L182" s="76"/>
      <c r="M182" s="76"/>
    </row>
    <row r="183" spans="1:16" s="61" customFormat="1" ht="15.75" customHeight="1" x14ac:dyDescent="0.25">
      <c r="A183" s="92">
        <v>2</v>
      </c>
      <c r="B183" s="93"/>
      <c r="C183" s="49" t="s">
        <v>183</v>
      </c>
      <c r="D183" s="80">
        <f>((3.66*6.7+0.92*3.59+2.44*3.05+3.25*3.66+3.2*4.57+3.51*3.66+0.86*1.65+1.54*1.05+1.64*1.68+1.22*1.78+2.75*1.53+1.53*2.44+1.05*3)+(2.44*1.67+3.66*1.83))*(10.764)</f>
        <v>1124.391294</v>
      </c>
      <c r="E183" s="49">
        <v>0</v>
      </c>
      <c r="F183" s="49">
        <f>D183*(($F$163)+1)+(IF(E183&lt;101,E183,IF(E183&lt;201,E183/2,IF(E183&lt;=301,E183/3,E183/4))))</f>
        <v>1799.0260704000002</v>
      </c>
      <c r="G183" s="101"/>
      <c r="H183" s="102"/>
      <c r="K183" s="76"/>
      <c r="L183" s="76"/>
      <c r="M183" s="76"/>
    </row>
    <row r="184" spans="1:16" s="61" customFormat="1" ht="15.75" customHeight="1" x14ac:dyDescent="0.25">
      <c r="A184" s="92">
        <v>3</v>
      </c>
      <c r="B184" s="93"/>
      <c r="C184" s="49" t="s">
        <v>199</v>
      </c>
      <c r="D184" s="80">
        <f>((3.66*6.1+1.15*3.05+3.05*2.44+3.2*4.27+3.05*3.36+2.1*2.44+1.53*2.44+1.05*(0.9+1.04)+1.53*2.44+1.33*0.6+0.6*0.6)+(2.44*1.53+1.37*2.44))*(10.764)</f>
        <v>861.64635959999998</v>
      </c>
      <c r="E184" s="49">
        <v>0</v>
      </c>
      <c r="F184" s="49">
        <f>D184*(($F$163)+1)+(IF(E184&lt;101,E184,IF(E184&lt;201,E184/2,IF(E184&lt;=301,E184/3,E184/4))))</f>
        <v>1378.63417536</v>
      </c>
      <c r="G184" s="101"/>
      <c r="H184" s="102"/>
      <c r="K184" s="76"/>
      <c r="L184" s="76"/>
      <c r="M184" s="76"/>
    </row>
    <row r="185" spans="1:16" s="61" customFormat="1" ht="15.75" customHeight="1" x14ac:dyDescent="0.25">
      <c r="A185" s="92">
        <v>4</v>
      </c>
      <c r="B185" s="93"/>
      <c r="C185" s="49" t="s">
        <v>184</v>
      </c>
      <c r="D185" s="80">
        <f>((3.76*6.1+1.15*3.05+3.05*2.44+3.25*4.27+3.05*3.36+1.53*2.44+1.53*2.44+1.33*0.6+0.6*0.3)+(1.37*2.44))*(10.764)</f>
        <v>751.30782479999993</v>
      </c>
      <c r="E185" s="49">
        <v>0</v>
      </c>
      <c r="F185" s="49">
        <f>D185*(($F$163)+1)+(IF(E185&lt;101,E185,IF(E185&lt;201,E185/2,IF(E185&lt;=301,E185/3,E185/4))))</f>
        <v>1202.0925196799999</v>
      </c>
      <c r="G185" s="103"/>
      <c r="H185" s="104"/>
      <c r="K185" s="76"/>
      <c r="L185" s="76"/>
      <c r="M185" s="76"/>
    </row>
    <row r="186" spans="1:16" s="72" customFormat="1" ht="15.75" customHeight="1" x14ac:dyDescent="0.25">
      <c r="A186" s="89" t="s">
        <v>236</v>
      </c>
      <c r="B186" s="90"/>
      <c r="C186" s="90"/>
      <c r="D186" s="90"/>
      <c r="E186" s="90"/>
      <c r="F186" s="90"/>
      <c r="G186" s="90"/>
      <c r="H186" s="91"/>
      <c r="I186" s="72">
        <v>1</v>
      </c>
      <c r="K186" s="76"/>
      <c r="L186" s="76"/>
      <c r="M186" s="76"/>
      <c r="P186" s="44"/>
    </row>
    <row r="187" spans="1:16" s="72" customFormat="1" ht="15.75" customHeight="1" x14ac:dyDescent="0.25">
      <c r="A187" s="92">
        <v>1</v>
      </c>
      <c r="B187" s="93"/>
      <c r="C187" s="49" t="s">
        <v>198</v>
      </c>
      <c r="D187" s="80">
        <f>((3.66*6.7+0.92*3.59+2.44*3.05+3.2*3.66+3.2*4.56+3.51*3.66+2.05*1.05+1.98*2.45+1.64*1.68+1.22*1.78+3.36*1.84+1.53*2.44+1.1*0.6+1.05*3)+(2.44*1.67+3.66*1.83))*(10.764)</f>
        <v>1193.1452675999999</v>
      </c>
      <c r="E187" s="49">
        <v>0</v>
      </c>
      <c r="F187" s="49">
        <f>D187*(($F$163)+1)+(IF(E187&lt;101,E187,IF(E187&lt;201,E187/2,IF(E187&lt;=301,E187/3,E187/4))))</f>
        <v>1909.0324281599999</v>
      </c>
      <c r="G187" s="99" t="str">
        <f>A186</f>
        <v>6th Floor For Residential (Part Refuge Area)</v>
      </c>
      <c r="H187" s="100"/>
      <c r="K187" s="76"/>
      <c r="L187" s="76"/>
      <c r="M187" s="76"/>
    </row>
    <row r="188" spans="1:16" s="72" customFormat="1" ht="15.75" customHeight="1" x14ac:dyDescent="0.25">
      <c r="A188" s="92">
        <v>2</v>
      </c>
      <c r="B188" s="93"/>
      <c r="C188" s="49" t="s">
        <v>183</v>
      </c>
      <c r="D188" s="80">
        <f>((3.66*6.7+0.92*3.59+2.44*3.05+3.25*3.66+3.2*4.57+3.51*3.66+0.86*1.65+1.54*1.05+1.64*1.68+1.22*1.78+2.75*1.53+1.53*2.44+1.05*3)+(2.44*1.67+3.66*1.83))*(10.764)</f>
        <v>1124.391294</v>
      </c>
      <c r="E188" s="49">
        <v>0</v>
      </c>
      <c r="F188" s="49">
        <f>D188*(($F$163)+1)+(IF(E188&lt;101,E188,IF(E188&lt;201,E188/2,IF(E188&lt;=301,E188/3,E188/4))))</f>
        <v>1799.0260704000002</v>
      </c>
      <c r="G188" s="101"/>
      <c r="H188" s="102"/>
      <c r="K188" s="76"/>
      <c r="L188" s="76"/>
      <c r="M188" s="76"/>
    </row>
    <row r="189" spans="1:16" s="72" customFormat="1" ht="15.75" customHeight="1" x14ac:dyDescent="0.25">
      <c r="A189" s="92" t="s">
        <v>237</v>
      </c>
      <c r="B189" s="93"/>
      <c r="C189" s="99" t="s">
        <v>185</v>
      </c>
      <c r="D189" s="252"/>
      <c r="E189" s="252"/>
      <c r="F189" s="100"/>
      <c r="G189" s="101"/>
      <c r="H189" s="102"/>
      <c r="K189" s="76"/>
      <c r="L189" s="76"/>
      <c r="M189" s="76"/>
    </row>
    <row r="190" spans="1:16" s="72" customFormat="1" ht="15.75" customHeight="1" x14ac:dyDescent="0.25">
      <c r="A190" s="92" t="s">
        <v>237</v>
      </c>
      <c r="B190" s="93"/>
      <c r="C190" s="103"/>
      <c r="D190" s="253"/>
      <c r="E190" s="253"/>
      <c r="F190" s="104"/>
      <c r="G190" s="103"/>
      <c r="H190" s="104"/>
      <c r="K190" s="76"/>
      <c r="L190" s="76"/>
      <c r="M190" s="76"/>
    </row>
    <row r="191" spans="1:16" s="71" customFormat="1" ht="31.5" customHeight="1" x14ac:dyDescent="0.25">
      <c r="A191" s="98" t="s">
        <v>256</v>
      </c>
      <c r="B191" s="98"/>
      <c r="C191" s="98"/>
      <c r="D191" s="98"/>
      <c r="E191" s="98"/>
      <c r="F191" s="98"/>
      <c r="G191" s="98"/>
      <c r="H191" s="98"/>
      <c r="I191" s="71">
        <v>2</v>
      </c>
      <c r="K191" s="76"/>
      <c r="L191" s="76"/>
      <c r="M191" s="76"/>
      <c r="P191" s="44"/>
    </row>
    <row r="192" spans="1:16" s="71" customFormat="1" ht="15.75" customHeight="1" x14ac:dyDescent="0.25">
      <c r="A192" s="88">
        <v>1</v>
      </c>
      <c r="B192" s="88"/>
      <c r="C192" s="49" t="s">
        <v>198</v>
      </c>
      <c r="D192" s="80">
        <f>((3.66*6.7+0.92*3.59+2.44*3.05+3.2*3.66+3.2*4.56+3.51*3.66+2.05*1.05+1.98*2.45+1.64*1.68+1.22*1.78+3.36*1.84+1.53*2.44+1.1*0.6+1.05*3)+(2.44*1.67+3.66*1.83))*(10.764)</f>
        <v>1193.1452675999999</v>
      </c>
      <c r="E192" s="49">
        <v>0</v>
      </c>
      <c r="F192" s="49">
        <f>D192*(($F$163)+1)+(IF(E192&lt;101,E192,IF(E192&lt;201,E192/2,IF(E192&lt;=301,E192/3,E192/4))))</f>
        <v>1909.0324281599999</v>
      </c>
      <c r="G192" s="88" t="str">
        <f>A191</f>
        <v>7th &amp; 14th Floor (As per Approved plan)
7th &amp; 15th Floor (As per builder)</v>
      </c>
      <c r="H192" s="88"/>
      <c r="K192" s="76"/>
      <c r="L192" s="76"/>
      <c r="M192" s="76"/>
    </row>
    <row r="193" spans="1:16" s="71" customFormat="1" ht="15.75" customHeight="1" x14ac:dyDescent="0.25">
      <c r="A193" s="88">
        <v>2</v>
      </c>
      <c r="B193" s="88"/>
      <c r="C193" s="49" t="s">
        <v>183</v>
      </c>
      <c r="D193" s="80">
        <f>((3.66*6.7+0.92*3.59+2.44*3.05+3.25*3.66+3.2*4.57+3.51*3.66+0.86*1.65+1.54*1.05+1.64*1.68+1.22*1.78+2.75*1.53+1.53*2.44+1.05*3)+(2.44*1.67+3.66*1.83))*(10.764)</f>
        <v>1124.391294</v>
      </c>
      <c r="E193" s="49">
        <v>0</v>
      </c>
      <c r="F193" s="49">
        <f>D193*(($F$163)+1)+(IF(E193&lt;101,E193,IF(E193&lt;201,E193/2,IF(E193&lt;=301,E193/3,E193/4))))</f>
        <v>1799.0260704000002</v>
      </c>
      <c r="G193" s="88"/>
      <c r="H193" s="88"/>
      <c r="K193" s="76"/>
      <c r="L193" s="76"/>
      <c r="M193" s="76"/>
    </row>
    <row r="194" spans="1:16" s="71" customFormat="1" ht="15.75" customHeight="1" x14ac:dyDescent="0.25">
      <c r="A194" s="88">
        <v>3</v>
      </c>
      <c r="B194" s="88"/>
      <c r="C194" s="49" t="s">
        <v>199</v>
      </c>
      <c r="D194" s="80">
        <f>((3.66*6.1+1.15*3.05+3.05*2.44+3.2*4.27+3.05*3.36+2.1*2.44+1.53*2.44+1.05*(0.9+1.04)+1.53*2.44+1.33*0.6+0.6*0.6)+(2.44*1.53+1.37*2.44))*(10.764)</f>
        <v>861.64635959999998</v>
      </c>
      <c r="E194" s="49">
        <v>0</v>
      </c>
      <c r="F194" s="49">
        <f>D194*(($F$163)+1)+(IF(E194&lt;101,E194,IF(E194&lt;201,E194/2,IF(E194&lt;=301,E194/3,E194/4))))</f>
        <v>1378.63417536</v>
      </c>
      <c r="G194" s="88"/>
      <c r="H194" s="88"/>
      <c r="K194" s="76"/>
      <c r="L194" s="76"/>
      <c r="M194" s="76"/>
    </row>
    <row r="195" spans="1:16" s="71" customFormat="1" ht="15.75" customHeight="1" x14ac:dyDescent="0.25">
      <c r="A195" s="88">
        <v>4</v>
      </c>
      <c r="B195" s="88"/>
      <c r="C195" s="49" t="s">
        <v>184</v>
      </c>
      <c r="D195" s="80">
        <f>((3.76*6.1+1.15*3.05+3.05*2.44+3.25*4.27+3.05*3.36+1.53*2.44+1.53*2.44+1.33*0.6+0.6*0.3)+(1.37*2.44))*(10.764)</f>
        <v>751.30782479999993</v>
      </c>
      <c r="E195" s="49">
        <v>0</v>
      </c>
      <c r="F195" s="49">
        <f>D195*(($F$163)+1)+(IF(E195&lt;101,E195,IF(E195&lt;201,E195/2,IF(E195&lt;=301,E195/3,E195/4))))</f>
        <v>1202.0925196799999</v>
      </c>
      <c r="G195" s="88"/>
      <c r="H195" s="88"/>
      <c r="K195" s="76"/>
      <c r="L195" s="76"/>
      <c r="M195" s="76"/>
    </row>
    <row r="196" spans="1:16" s="71" customFormat="1" ht="31.5" customHeight="1" x14ac:dyDescent="0.25">
      <c r="A196" s="98" t="s">
        <v>257</v>
      </c>
      <c r="B196" s="98"/>
      <c r="C196" s="98"/>
      <c r="D196" s="98"/>
      <c r="E196" s="98"/>
      <c r="F196" s="98"/>
      <c r="G196" s="98"/>
      <c r="H196" s="98"/>
      <c r="I196" s="71">
        <v>5</v>
      </c>
      <c r="K196" s="76"/>
      <c r="L196" s="76"/>
      <c r="M196" s="76"/>
      <c r="P196" s="44"/>
    </row>
    <row r="197" spans="1:16" s="71" customFormat="1" ht="15.75" customHeight="1" x14ac:dyDescent="0.25">
      <c r="A197" s="92">
        <v>1</v>
      </c>
      <c r="B197" s="93"/>
      <c r="C197" s="49" t="s">
        <v>198</v>
      </c>
      <c r="D197" s="80">
        <f>((3.66*6.7+0.92*3.59+2.44*3.05+3.2*3.66+3.2*4.56+3.51*3.66+2.05*1.05+1.98*2.45+1.64*1.68+1.22*1.78+3.36*1.84+1.53*2.44+1.1*0.6+1.05*3)+(2.44*1.67+3.66*1.83))*(10.764)</f>
        <v>1193.1452675999999</v>
      </c>
      <c r="E197" s="49">
        <v>0</v>
      </c>
      <c r="F197" s="49">
        <f>D197*(($F$163)+1)+(IF(E197&lt;101,E197,IF(E197&lt;201,E197/2,IF(E197&lt;=301,E197/3,E197/4))))</f>
        <v>1909.0324281599999</v>
      </c>
      <c r="G197" s="99" t="str">
        <f>A196</f>
        <v>8th, 9th, 11th, 12th &amp; 15th Floor (As per Approved plan)
8th, 9th, 11th, 12th &amp; 16th Floor (As per builder)</v>
      </c>
      <c r="H197" s="100"/>
      <c r="K197" s="76"/>
      <c r="L197" s="76"/>
      <c r="M197" s="76"/>
    </row>
    <row r="198" spans="1:16" s="71" customFormat="1" ht="15.75" customHeight="1" x14ac:dyDescent="0.25">
      <c r="A198" s="92">
        <v>2</v>
      </c>
      <c r="B198" s="93"/>
      <c r="C198" s="49" t="s">
        <v>183</v>
      </c>
      <c r="D198" s="80">
        <f>((3.66*6.7+0.92*3.59+2.44*3.05+3.25*3.66+3.2*4.57+3.51*3.66+0.86*1.65+1.54*1.05+1.64*1.68+1.22*1.78+2.75*1.53+1.53*2.44+1.05*3)+(2.44*1.67+3.66*1.83))*(10.764)</f>
        <v>1124.391294</v>
      </c>
      <c r="E198" s="49">
        <v>0</v>
      </c>
      <c r="F198" s="49">
        <f>D198*(($F$163)+1)+(IF(E198&lt;101,E198,IF(E198&lt;201,E198/2,IF(E198&lt;=301,E198/3,E198/4))))</f>
        <v>1799.0260704000002</v>
      </c>
      <c r="G198" s="101"/>
      <c r="H198" s="102"/>
      <c r="K198" s="76"/>
      <c r="L198" s="76"/>
      <c r="M198" s="76"/>
    </row>
    <row r="199" spans="1:16" s="71" customFormat="1" ht="15.75" customHeight="1" x14ac:dyDescent="0.25">
      <c r="A199" s="92">
        <v>3</v>
      </c>
      <c r="B199" s="93"/>
      <c r="C199" s="49" t="s">
        <v>199</v>
      </c>
      <c r="D199" s="80">
        <f>((3.66*6.1+1.15*3.05+3.05*2.44+3.2*4.27+3.05*3.36+2.1*2.44+1.53*2.44+1.05*(0.9+1.04)+1.53*2.44+1.33*0.6+0.6*0.6)+(2.44*1.53+1.37*2.44))*(10.764)</f>
        <v>861.64635959999998</v>
      </c>
      <c r="E199" s="49">
        <v>0</v>
      </c>
      <c r="F199" s="49">
        <f>D199*(($F$163)+1)+(IF(E199&lt;101,E199,IF(E199&lt;201,E199/2,IF(E199&lt;=301,E199/3,E199/4))))</f>
        <v>1378.63417536</v>
      </c>
      <c r="G199" s="101"/>
      <c r="H199" s="102"/>
      <c r="K199" s="76"/>
      <c r="L199" s="76"/>
      <c r="M199" s="76"/>
    </row>
    <row r="200" spans="1:16" s="71" customFormat="1" ht="15.75" customHeight="1" x14ac:dyDescent="0.25">
      <c r="A200" s="92">
        <v>4</v>
      </c>
      <c r="B200" s="93"/>
      <c r="C200" s="49" t="s">
        <v>184</v>
      </c>
      <c r="D200" s="80">
        <f>((3.76*6.1+1.15*3.05+3.05*2.44+3.25*4.27+3.05*3.36+1.53*2.44+1.53*2.44+1.33*0.6+0.6*0.3)+(1.37*2.44))*(10.764)</f>
        <v>751.30782479999993</v>
      </c>
      <c r="E200" s="49">
        <v>0</v>
      </c>
      <c r="F200" s="49">
        <f>D200*(($F$163)+1)+(IF(E200&lt;101,E200,IF(E200&lt;201,E200/2,IF(E200&lt;=301,E200/3,E200/4))))</f>
        <v>1202.0925196799999</v>
      </c>
      <c r="G200" s="103"/>
      <c r="H200" s="104"/>
      <c r="K200" s="76"/>
      <c r="L200" s="76"/>
      <c r="M200" s="76"/>
    </row>
    <row r="201" spans="1:16" s="71" customFormat="1" ht="15.75" customHeight="1" x14ac:dyDescent="0.25">
      <c r="A201" s="89" t="s">
        <v>205</v>
      </c>
      <c r="B201" s="90"/>
      <c r="C201" s="90"/>
      <c r="D201" s="90"/>
      <c r="E201" s="90"/>
      <c r="F201" s="90"/>
      <c r="G201" s="90"/>
      <c r="H201" s="91"/>
      <c r="I201" s="71">
        <v>1</v>
      </c>
      <c r="K201" s="76"/>
      <c r="L201" s="76"/>
      <c r="M201" s="76"/>
      <c r="P201" s="44"/>
    </row>
    <row r="202" spans="1:16" s="71" customFormat="1" ht="15.75" customHeight="1" x14ac:dyDescent="0.25">
      <c r="A202" s="92">
        <v>1</v>
      </c>
      <c r="B202" s="93"/>
      <c r="C202" s="49" t="s">
        <v>198</v>
      </c>
      <c r="D202" s="80">
        <f>((3.66*6.7+0.92*3.59+2.44*3.05+3.2*3.66+3.2*4.56+3.51*3.66+2.05*1.05+1.98*2.45+1.64*1.68+1.22*1.78+3.36*1.84+1.53*2.44+1.1*0.6+1.05*3)+(2.44*1.67+3.66*1.83))*(10.764)</f>
        <v>1193.1452675999999</v>
      </c>
      <c r="E202" s="49">
        <v>0</v>
      </c>
      <c r="F202" s="49">
        <f>D202*(($F$163)+1)+(IF(E202&lt;101,E202,IF(E202&lt;201,E202/2,IF(E202&lt;=301,E202/3,E202/4))))</f>
        <v>1909.0324281599999</v>
      </c>
      <c r="G202" s="99" t="str">
        <f>A201</f>
        <v>10th Floor</v>
      </c>
      <c r="H202" s="100"/>
      <c r="K202" s="76"/>
      <c r="L202" s="76"/>
      <c r="M202" s="76"/>
    </row>
    <row r="203" spans="1:16" s="71" customFormat="1" ht="15.75" customHeight="1" x14ac:dyDescent="0.25">
      <c r="A203" s="92">
        <v>2</v>
      </c>
      <c r="B203" s="93"/>
      <c r="C203" s="49" t="s">
        <v>183</v>
      </c>
      <c r="D203" s="80">
        <f>((3.66*6.7+0.92*3.59+2.44*3.05+3.25*3.66+3.2*4.57+3.51*3.66+0.86*1.65+1.54*1.05+1.64*1.68+1.22*1.78+2.75*1.53+1.53*2.44+1.05*3)+(2.44*1.67+3.66*1.83))*(10.764)</f>
        <v>1124.391294</v>
      </c>
      <c r="E203" s="49">
        <v>0</v>
      </c>
      <c r="F203" s="49">
        <f>D203*(($F$163)+1)+(IF(E203&lt;101,E203,IF(E203&lt;201,E203/2,IF(E203&lt;=301,E203/3,E203/4))))</f>
        <v>1799.0260704000002</v>
      </c>
      <c r="G203" s="101"/>
      <c r="H203" s="102"/>
      <c r="K203" s="76"/>
      <c r="L203" s="76"/>
      <c r="M203" s="76"/>
    </row>
    <row r="204" spans="1:16" s="71" customFormat="1" ht="15.75" customHeight="1" x14ac:dyDescent="0.25">
      <c r="A204" s="92">
        <v>3</v>
      </c>
      <c r="B204" s="93"/>
      <c r="C204" s="49" t="s">
        <v>199</v>
      </c>
      <c r="D204" s="80">
        <f>((3.66*6.1+1.15*3.05+3.05*2.44+3.2*4.27+3.05*3.36+2.1*2.44+1.53*2.44+1.05*(0.9+1.04)+1.53*2.44+1.33*0.6+0.6*0.6)+(2.44*1.53+1.37*2.44))*(10.764)</f>
        <v>861.64635959999998</v>
      </c>
      <c r="E204" s="49">
        <v>0</v>
      </c>
      <c r="F204" s="49">
        <f>D204*(($F$163)+1)+(IF(E204&lt;101,E204,IF(E204&lt;201,E204/2,IF(E204&lt;=301,E204/3,E204/4))))</f>
        <v>1378.63417536</v>
      </c>
      <c r="G204" s="101"/>
      <c r="H204" s="102"/>
      <c r="K204" s="76"/>
      <c r="L204" s="76"/>
      <c r="M204" s="76"/>
    </row>
    <row r="205" spans="1:16" s="71" customFormat="1" ht="15.75" customHeight="1" x14ac:dyDescent="0.25">
      <c r="A205" s="92">
        <v>4</v>
      </c>
      <c r="B205" s="93"/>
      <c r="C205" s="49" t="s">
        <v>184</v>
      </c>
      <c r="D205" s="80">
        <f>((3.76*6.1+1.15*3.05+3.05*2.44+3.25*4.27+3.05*3.36+1.53*2.44+1.53*2.44+1.33*0.6+0.6*0.3)+(1.37*2.44))*(10.764)</f>
        <v>751.30782479999993</v>
      </c>
      <c r="E205" s="49">
        <v>0</v>
      </c>
      <c r="F205" s="49">
        <f>D205*(($F$163)+1)+(IF(E205&lt;101,E205,IF(E205&lt;201,E205/2,IF(E205&lt;=301,E205/3,E205/4))))</f>
        <v>1202.0925196799999</v>
      </c>
      <c r="G205" s="103"/>
      <c r="H205" s="104"/>
      <c r="K205" s="76"/>
      <c r="L205" s="76"/>
      <c r="M205" s="76"/>
    </row>
    <row r="206" spans="1:16" s="72" customFormat="1" ht="32.25" customHeight="1" x14ac:dyDescent="0.25">
      <c r="A206" s="89" t="s">
        <v>258</v>
      </c>
      <c r="B206" s="90"/>
      <c r="C206" s="90"/>
      <c r="D206" s="90"/>
      <c r="E206" s="90"/>
      <c r="F206" s="90"/>
      <c r="G206" s="90"/>
      <c r="H206" s="91"/>
      <c r="I206" s="72">
        <v>1</v>
      </c>
      <c r="K206" s="76"/>
      <c r="L206" s="76"/>
      <c r="M206" s="76"/>
      <c r="P206" s="44"/>
    </row>
    <row r="207" spans="1:16" s="72" customFormat="1" ht="15.75" customHeight="1" x14ac:dyDescent="0.25">
      <c r="A207" s="92">
        <v>1</v>
      </c>
      <c r="B207" s="93"/>
      <c r="C207" s="49" t="s">
        <v>198</v>
      </c>
      <c r="D207" s="80">
        <f>((3.66*6.7+0.92*3.59+2.44*3.05+3.2*3.66+3.2*4.56+3.51*3.66+2.05*1.05+1.98*2.45+1.64*1.68+1.22*1.78+3.36*1.84+1.53*2.44+1.1*0.6+1.05*3)+(2.44*1.67+3.66*1.83))*(10.764)</f>
        <v>1193.1452675999999</v>
      </c>
      <c r="E207" s="49">
        <v>0</v>
      </c>
      <c r="F207" s="49">
        <f>D207*(($F$163)+1)+(IF(E207&lt;101,E207,IF(E207&lt;201,E207/2,IF(E207&lt;=301,E207/3,E207/4))))</f>
        <v>1909.0324281599999</v>
      </c>
      <c r="G207" s="99" t="str">
        <f>A206</f>
        <v>13th Floor For Residential (Part Refuge Area) (As per Approved plan)
14th Floor (As per builder)</v>
      </c>
      <c r="H207" s="100"/>
      <c r="K207" s="76"/>
      <c r="L207" s="76"/>
      <c r="M207" s="76"/>
    </row>
    <row r="208" spans="1:16" s="72" customFormat="1" ht="15.75" customHeight="1" x14ac:dyDescent="0.25">
      <c r="A208" s="92">
        <v>2</v>
      </c>
      <c r="B208" s="93"/>
      <c r="C208" s="49" t="s">
        <v>183</v>
      </c>
      <c r="D208" s="80">
        <f>((3.66*6.7+0.92*3.59+2.44*3.05+3.25*3.66+3.2*4.57+3.51*3.66+0.86*1.65+1.54*1.05+1.64*1.68+1.22*1.78+2.75*1.53+1.53*2.44+1.05*3)+(2.44*1.67+3.66*1.83))*(10.764)</f>
        <v>1124.391294</v>
      </c>
      <c r="E208" s="49">
        <v>0</v>
      </c>
      <c r="F208" s="49">
        <f>D208*(($F$163)+1)+(IF(E208&lt;101,E208,IF(E208&lt;201,E208/2,IF(E208&lt;=301,E208/3,E208/4))))</f>
        <v>1799.0260704000002</v>
      </c>
      <c r="G208" s="101"/>
      <c r="H208" s="102"/>
      <c r="K208" s="76"/>
      <c r="L208" s="76"/>
      <c r="M208" s="76"/>
    </row>
    <row r="209" spans="1:16" s="72" customFormat="1" ht="15.75" customHeight="1" x14ac:dyDescent="0.25">
      <c r="A209" s="92" t="s">
        <v>237</v>
      </c>
      <c r="B209" s="93"/>
      <c r="C209" s="99" t="s">
        <v>185</v>
      </c>
      <c r="D209" s="252"/>
      <c r="E209" s="252"/>
      <c r="F209" s="100"/>
      <c r="G209" s="101"/>
      <c r="H209" s="102"/>
      <c r="K209" s="76"/>
      <c r="L209" s="76"/>
      <c r="M209" s="76"/>
    </row>
    <row r="210" spans="1:16" s="72" customFormat="1" ht="15.75" customHeight="1" x14ac:dyDescent="0.25">
      <c r="A210" s="92" t="s">
        <v>237</v>
      </c>
      <c r="B210" s="93"/>
      <c r="C210" s="103"/>
      <c r="D210" s="253"/>
      <c r="E210" s="253"/>
      <c r="F210" s="104"/>
      <c r="G210" s="103"/>
      <c r="H210" s="104"/>
      <c r="K210" s="76"/>
      <c r="L210" s="76"/>
      <c r="M210" s="76"/>
    </row>
    <row r="211" spans="1:16" s="71" customFormat="1" ht="33" customHeight="1" x14ac:dyDescent="0.25">
      <c r="A211" s="89" t="s">
        <v>259</v>
      </c>
      <c r="B211" s="90"/>
      <c r="C211" s="90"/>
      <c r="D211" s="90"/>
      <c r="E211" s="90"/>
      <c r="F211" s="90"/>
      <c r="G211" s="90"/>
      <c r="H211" s="91"/>
      <c r="I211" s="71">
        <v>2</v>
      </c>
      <c r="K211" s="76"/>
      <c r="L211" s="76"/>
      <c r="M211" s="76"/>
      <c r="P211" s="44"/>
    </row>
    <row r="212" spans="1:16" s="71" customFormat="1" ht="15.75" customHeight="1" x14ac:dyDescent="0.25">
      <c r="A212" s="92">
        <v>1</v>
      </c>
      <c r="B212" s="93"/>
      <c r="C212" s="49" t="s">
        <v>198</v>
      </c>
      <c r="D212" s="80">
        <f>((3.66*6.7+0.92*3.59+2.44*3.05+3.2*3.66+3.2*4.56+3.51*3.66+2.05*1.05+1.98*2.45+1.64*1.68+1.22*1.78+3.36*1.84+1.53*2.44+1.1*0.6+1.05*3)+(2.44*1.67+3.66*1.83))*(10.764)</f>
        <v>1193.1452675999999</v>
      </c>
      <c r="E212" s="49">
        <v>0</v>
      </c>
      <c r="F212" s="49">
        <f>D212*(($F$163)+1)+(IF(E212&lt;101,E212,IF(E212&lt;201,E212/2,IF(E212&lt;=301,E212/3,E212/4))))</f>
        <v>1909.0324281599999</v>
      </c>
      <c r="G212" s="99" t="str">
        <f>A211</f>
        <v>16th &amp; 17th Floor (As per Approved plan)
17th &amp; 18th Floor (As per builder)</v>
      </c>
      <c r="H212" s="100"/>
      <c r="K212" s="76"/>
      <c r="L212" s="76"/>
      <c r="M212" s="76"/>
    </row>
    <row r="213" spans="1:16" s="71" customFormat="1" ht="15.75" customHeight="1" x14ac:dyDescent="0.25">
      <c r="A213" s="92">
        <v>2</v>
      </c>
      <c r="B213" s="93"/>
      <c r="C213" s="49" t="s">
        <v>183</v>
      </c>
      <c r="D213" s="80">
        <f>((3.66*6.7+0.92*3.59+2.44*3.05+3.25*3.66+3.2*4.57+3.51*3.66+0.86*1.65+1.54*1.05+1.64*1.68+1.22*1.78+2.75*1.53+1.53*2.44+1.05*3)+(2.44*1.67+3.66*1.83))*(10.764)</f>
        <v>1124.391294</v>
      </c>
      <c r="E213" s="49">
        <v>0</v>
      </c>
      <c r="F213" s="49">
        <f>D213*(($F$163)+1)+(IF(E213&lt;101,E213,IF(E213&lt;201,E213/2,IF(E213&lt;=301,E213/3,E213/4))))</f>
        <v>1799.0260704000002</v>
      </c>
      <c r="G213" s="101"/>
      <c r="H213" s="102"/>
      <c r="K213" s="76"/>
      <c r="L213" s="76"/>
      <c r="M213" s="76"/>
    </row>
    <row r="214" spans="1:16" s="71" customFormat="1" ht="15.75" customHeight="1" x14ac:dyDescent="0.25">
      <c r="A214" s="92">
        <v>3</v>
      </c>
      <c r="B214" s="93"/>
      <c r="C214" s="49" t="s">
        <v>199</v>
      </c>
      <c r="D214" s="80">
        <f>((3.66*6.1+1.15*3.05+3.05*2.44+3.2*4.27+3.05*3.36+2.1*2.44+1.53*2.44+1.05*(0.9+1.04)+1.53*2.44+1.33*0.6+0.6*0.6)+(2.44*1.53+1.37*2.44))*(10.764)</f>
        <v>861.64635959999998</v>
      </c>
      <c r="E214" s="49">
        <v>0</v>
      </c>
      <c r="F214" s="49">
        <f>D214*(($F$163)+1)+(IF(E214&lt;101,E214,IF(E214&lt;201,E214/2,IF(E214&lt;=301,E214/3,E214/4))))</f>
        <v>1378.63417536</v>
      </c>
      <c r="G214" s="101"/>
      <c r="H214" s="102"/>
      <c r="K214" s="76"/>
      <c r="L214" s="76"/>
      <c r="M214" s="76"/>
    </row>
    <row r="215" spans="1:16" s="71" customFormat="1" ht="15.75" customHeight="1" x14ac:dyDescent="0.25">
      <c r="A215" s="92">
        <v>4</v>
      </c>
      <c r="B215" s="93"/>
      <c r="C215" s="49" t="s">
        <v>184</v>
      </c>
      <c r="D215" s="80">
        <f>((3.76*6.1+1.15*3.05+3.05*2.44+3.25*4.27+3.05*3.36+1.53*2.44+1.53*2.44+1.33*0.6+0.6*0.3)+(1.37*2.44))*(10.764)</f>
        <v>751.30782479999993</v>
      </c>
      <c r="E215" s="49">
        <v>0</v>
      </c>
      <c r="F215" s="49">
        <f>D215*(($F$163)+1)+(IF(E215&lt;101,E215,IF(E215&lt;201,E215/2,IF(E215&lt;=301,E215/3,E215/4))))</f>
        <v>1202.0925196799999</v>
      </c>
      <c r="G215" s="103"/>
      <c r="H215" s="104"/>
      <c r="K215" s="76"/>
      <c r="L215" s="76"/>
      <c r="M215" s="76"/>
    </row>
    <row r="216" spans="1:16" s="71" customFormat="1" ht="31.5" customHeight="1" x14ac:dyDescent="0.25">
      <c r="A216" s="89" t="s">
        <v>260</v>
      </c>
      <c r="B216" s="90"/>
      <c r="C216" s="90"/>
      <c r="D216" s="90"/>
      <c r="E216" s="90"/>
      <c r="F216" s="90"/>
      <c r="G216" s="90"/>
      <c r="H216" s="91"/>
      <c r="I216" s="71">
        <v>1</v>
      </c>
      <c r="K216" s="76"/>
      <c r="L216" s="76"/>
      <c r="M216" s="76"/>
      <c r="P216" s="44"/>
    </row>
    <row r="217" spans="1:16" s="71" customFormat="1" ht="15.75" customHeight="1" x14ac:dyDescent="0.25">
      <c r="A217" s="92">
        <v>1</v>
      </c>
      <c r="B217" s="93"/>
      <c r="C217" s="49" t="s">
        <v>198</v>
      </c>
      <c r="D217" s="80">
        <f>((3.66*6.7+0.92*3.59+2.44*3.05+3.2*3.66+3.2*4.56+3.51*3.66+2.05*1.05+1.98*2.45+1.64*1.68+1.22*1.78+3.36*1.84+1.53*2.44+1.1*0.6+1.05*3)+(2.44*1.67+3.66*1.83))*(10.764)</f>
        <v>1193.1452675999999</v>
      </c>
      <c r="E217" s="49">
        <v>0</v>
      </c>
      <c r="F217" s="49">
        <f>D217*(($F$163)+1)+(IF(E217&lt;101,E217,IF(E217&lt;201,E217/2,IF(E217&lt;=301,E217/3,E217/4))))</f>
        <v>1909.0324281599999</v>
      </c>
      <c r="G217" s="99" t="str">
        <f>A216</f>
        <v>18th Floor (As per Approved plan)
19th Floor (As per builder)</v>
      </c>
      <c r="H217" s="100"/>
      <c r="K217" s="76"/>
      <c r="L217" s="76"/>
      <c r="M217" s="76"/>
    </row>
    <row r="218" spans="1:16" s="71" customFormat="1" ht="15.75" customHeight="1" x14ac:dyDescent="0.25">
      <c r="A218" s="92">
        <v>2</v>
      </c>
      <c r="B218" s="93"/>
      <c r="C218" s="49" t="s">
        <v>183</v>
      </c>
      <c r="D218" s="80">
        <f>((3.66*6.7+0.92*3.59+2.44*3.05+3.25*3.66+3.2*4.57+3.51*3.66+0.86*1.65+1.54*1.05+1.64*1.68+1.22*1.78+2.75*1.53+1.53*2.44+1.05*3)+(2.44*1.67+3.66*1.83))*(10.764)</f>
        <v>1124.391294</v>
      </c>
      <c r="E218" s="49">
        <v>0</v>
      </c>
      <c r="F218" s="49">
        <f>D218*(($F$163)+1)+(IF(E218&lt;101,E218,IF(E218&lt;201,E218/2,IF(E218&lt;=301,E218/3,E218/4))))</f>
        <v>1799.0260704000002</v>
      </c>
      <c r="G218" s="101"/>
      <c r="H218" s="102"/>
      <c r="K218" s="76"/>
      <c r="L218" s="76"/>
      <c r="M218" s="76"/>
    </row>
    <row r="219" spans="1:16" s="71" customFormat="1" ht="15.75" customHeight="1" x14ac:dyDescent="0.25">
      <c r="A219" s="92">
        <v>3</v>
      </c>
      <c r="B219" s="93"/>
      <c r="C219" s="49" t="s">
        <v>199</v>
      </c>
      <c r="D219" s="80">
        <f>((3.66*6.1+1.15*3.05+3.05*2.44+3.2*4.27+3.05*3.36+2.1*2.44+1.53*2.44+1.05*(0.9+1.04)+1.53*2.44+1.33*0.6+0.6*0.6)+(2.44*1.53+1.37*2.44))*(10.764)</f>
        <v>861.64635959999998</v>
      </c>
      <c r="E219" s="49">
        <v>0</v>
      </c>
      <c r="F219" s="49">
        <f>D219*(($F$163)+1)+(IF(E219&lt;101,E219,IF(E219&lt;201,E219/2,IF(E219&lt;=301,E219/3,E219/4))))</f>
        <v>1378.63417536</v>
      </c>
      <c r="G219" s="101"/>
      <c r="H219" s="102"/>
      <c r="K219" s="76"/>
      <c r="L219" s="76"/>
      <c r="M219" s="76"/>
    </row>
    <row r="220" spans="1:16" s="71" customFormat="1" ht="15.75" customHeight="1" x14ac:dyDescent="0.25">
      <c r="A220" s="92">
        <v>4</v>
      </c>
      <c r="B220" s="93"/>
      <c r="C220" s="49" t="s">
        <v>184</v>
      </c>
      <c r="D220" s="80">
        <f>((3.76*6.1+1.15*3.05+3.05*2.44+3.25*4.27+3.05*3.36+1.53*2.44+1.53*2.44+1.33*0.6+0.6*0.3)+(1.37*2.44))*(10.764)</f>
        <v>751.30782479999993</v>
      </c>
      <c r="E220" s="49">
        <v>0</v>
      </c>
      <c r="F220" s="49">
        <f>D220*(($F$163)+1)+(IF(E220&lt;101,E220,IF(E220&lt;201,E220/2,IF(E220&lt;=301,E220/3,E220/4))))</f>
        <v>1202.0925196799999</v>
      </c>
      <c r="G220" s="103"/>
      <c r="H220" s="104"/>
      <c r="K220" s="76"/>
      <c r="L220" s="76"/>
      <c r="M220" s="76"/>
    </row>
    <row r="221" spans="1:16" s="72" customFormat="1" ht="33" customHeight="1" x14ac:dyDescent="0.25">
      <c r="A221" s="89" t="s">
        <v>261</v>
      </c>
      <c r="B221" s="90"/>
      <c r="C221" s="90"/>
      <c r="D221" s="90"/>
      <c r="E221" s="90"/>
      <c r="F221" s="90"/>
      <c r="G221" s="90"/>
      <c r="H221" s="91"/>
      <c r="I221" s="72">
        <v>1</v>
      </c>
      <c r="K221" s="76"/>
      <c r="L221" s="76"/>
      <c r="M221" s="76"/>
      <c r="P221" s="44"/>
    </row>
    <row r="222" spans="1:16" s="72" customFormat="1" ht="15.75" customHeight="1" x14ac:dyDescent="0.25">
      <c r="A222" s="92">
        <v>1</v>
      </c>
      <c r="B222" s="93"/>
      <c r="C222" s="49" t="s">
        <v>198</v>
      </c>
      <c r="D222" s="80">
        <f>((3.66*6.7+0.92*3.59+2.44*3.05+3.2*3.66+3.2*4.56+3.51*3.66+2.05*1.05+1.98*2.45+1.64*1.68+1.22*1.78+3.36*1.84+1.53*2.44+1.1*0.6+1.05*3)+(2.44*1.67+3.66*1.83))*(10.764)</f>
        <v>1193.1452675999999</v>
      </c>
      <c r="E222" s="49">
        <v>0</v>
      </c>
      <c r="F222" s="49">
        <f>D222*(($F$163)+1)+(IF(E222&lt;101,E222,IF(E222&lt;201,E222/2,IF(E222&lt;=301,E222/3,E222/4))))</f>
        <v>1909.0324281599999</v>
      </c>
      <c r="G222" s="99" t="str">
        <f>A221</f>
        <v>19th Floor (As per Approved plan)
20th Floor (As per builder)</v>
      </c>
      <c r="H222" s="100"/>
      <c r="K222" s="76"/>
      <c r="L222" s="76"/>
      <c r="M222" s="76"/>
    </row>
    <row r="223" spans="1:16" s="72" customFormat="1" ht="15.75" customHeight="1" x14ac:dyDescent="0.25">
      <c r="A223" s="92">
        <v>2</v>
      </c>
      <c r="B223" s="93"/>
      <c r="C223" s="49" t="s">
        <v>183</v>
      </c>
      <c r="D223" s="80">
        <f>((3.66*6.7+0.92*3.59+2.44*3.05+3.25*3.66+3.2*4.57+3.51*3.66+0.86*1.65+1.54*1.05+1.64*1.68+1.22*1.78+2.75*1.53+1.53*2.44+1.05*3)+(2.44*1.67+3.66*1.83))*(10.764)</f>
        <v>1124.391294</v>
      </c>
      <c r="E223" s="49">
        <v>0</v>
      </c>
      <c r="F223" s="49">
        <f>D223*(($F$163)+1)+(IF(E223&lt;101,E223,IF(E223&lt;201,E223/2,IF(E223&lt;=301,E223/3,E223/4))))</f>
        <v>1799.0260704000002</v>
      </c>
      <c r="G223" s="101"/>
      <c r="H223" s="102"/>
      <c r="K223" s="76"/>
      <c r="L223" s="76"/>
      <c r="M223" s="76"/>
    </row>
    <row r="224" spans="1:16" s="72" customFormat="1" ht="15.75" customHeight="1" x14ac:dyDescent="0.25">
      <c r="A224" s="92">
        <v>3</v>
      </c>
      <c r="B224" s="93"/>
      <c r="C224" s="49" t="s">
        <v>232</v>
      </c>
      <c r="D224" s="80">
        <f>((3.66*6.1+4.3*2.44+2.27*1.85+3.2*4.87+1.53*2.44+1*2.3+1.53*2.44+0.6*0.6+1.2*1.8+2.8*0.6+6.25*3.36+3.66*2.56+2.66*0.64+2.66*0.64+1*1.9+3.2*3.59+1.53*2.44+2.25*0.68+4.3*2.44+1.11*1.44+2.75*1.84+1.53*2.44)+(1.37*2.44+1.37*2.44+2.45*1.53))*(10.764)</f>
        <v>1617.9497568000002</v>
      </c>
      <c r="E224" s="49">
        <v>0</v>
      </c>
      <c r="F224" s="49">
        <f>D224*(($F$163)+1)+(IF(E224&lt;101,E224,IF(E224&lt;201,E224/2,IF(E224&lt;=301,E224/3,E224/4))))</f>
        <v>2588.7196108800003</v>
      </c>
      <c r="G224" s="101"/>
      <c r="H224" s="102"/>
      <c r="K224" s="76"/>
      <c r="L224" s="76"/>
      <c r="M224" s="76"/>
    </row>
    <row r="225" spans="1:16" s="72" customFormat="1" ht="31.5" customHeight="1" x14ac:dyDescent="0.25">
      <c r="A225" s="89" t="s">
        <v>262</v>
      </c>
      <c r="B225" s="90"/>
      <c r="C225" s="90"/>
      <c r="D225" s="90"/>
      <c r="E225" s="90"/>
      <c r="F225" s="90"/>
      <c r="G225" s="90"/>
      <c r="H225" s="91"/>
      <c r="I225" s="72">
        <v>1</v>
      </c>
      <c r="K225" s="76"/>
      <c r="L225" s="76"/>
      <c r="M225" s="76"/>
      <c r="P225" s="44"/>
    </row>
    <row r="226" spans="1:16" s="72" customFormat="1" ht="15.75" customHeight="1" x14ac:dyDescent="0.25">
      <c r="A226" s="92">
        <v>1</v>
      </c>
      <c r="B226" s="93"/>
      <c r="C226" s="49" t="s">
        <v>198</v>
      </c>
      <c r="D226" s="80">
        <f>((3.66*6.7+0.92*3.59+2.44*3.05+3.2*3.66+3.2*4.56+3.51*3.66+2.05*1.05+1.98*2.45+1.64*1.68+1.22*1.78+3.36*1.84+1.53*2.44+1.1*0.6+1.05*3)+(2.44*1.67+3.66*1.83))*(10.764)</f>
        <v>1193.1452675999999</v>
      </c>
      <c r="E226" s="49">
        <v>0</v>
      </c>
      <c r="F226" s="49">
        <f>D226*(($F$163)+1)+(IF(E226&lt;101,E226,IF(E226&lt;201,E226/2,IF(E226&lt;=301,E226/3,E226/4))))</f>
        <v>1909.0324281599999</v>
      </c>
      <c r="G226" s="99" t="str">
        <f>A225</f>
        <v>20th Floor (As per Approved plan)
21st Floor (As per builder)</v>
      </c>
      <c r="H226" s="100"/>
      <c r="K226" s="76"/>
      <c r="L226" s="76"/>
      <c r="M226" s="76"/>
    </row>
    <row r="227" spans="1:16" s="72" customFormat="1" ht="15.75" customHeight="1" x14ac:dyDescent="0.25">
      <c r="A227" s="92">
        <v>2</v>
      </c>
      <c r="B227" s="93"/>
      <c r="C227" s="49" t="s">
        <v>183</v>
      </c>
      <c r="D227" s="80">
        <f>((3.66*6.7+0.92*3.59+2.44*3.05+3.25*3.66+3.2*4.57+3.51*3.66+0.86*1.65+1.54*1.05+1.64*1.68+1.22*1.78+2.75*1.53+1.53*2.44+1.05*3)+(2.44*1.67+3.66*1.83))*(10.764)</f>
        <v>1124.391294</v>
      </c>
      <c r="E227" s="49">
        <v>0</v>
      </c>
      <c r="F227" s="49">
        <f>D227*(($F$163)+1)+(IF(E227&lt;101,E227,IF(E227&lt;201,E227/2,IF(E227&lt;=301,E227/3,E227/4))))</f>
        <v>1799.0260704000002</v>
      </c>
      <c r="G227" s="101"/>
      <c r="H227" s="102"/>
      <c r="K227" s="76"/>
      <c r="L227" s="76"/>
      <c r="M227" s="76"/>
    </row>
    <row r="228" spans="1:16" s="72" customFormat="1" ht="31.5" x14ac:dyDescent="0.25">
      <c r="A228" s="92">
        <v>3</v>
      </c>
      <c r="B228" s="93"/>
      <c r="C228" s="49" t="s">
        <v>263</v>
      </c>
      <c r="D228" s="80">
        <f>((3.66*6.1+4.3*2.44+3.2*6.81+1.53*2.44+0.6*0.6+1.2*1.8+2.8*0.6+6.25*3.35+3.86*3.95+3.66*2.15+3.2*4.27+1.53*2.44+3.05*2.44+2.44*1.05+1.53*2.44)+(1.37*2.44+2.45*1.53+1.37*2.44))*(10.764)</f>
        <v>1594.8502127999998</v>
      </c>
      <c r="E228" s="49">
        <v>0</v>
      </c>
      <c r="F228" s="49">
        <f>D228*(($F$163)+1)+(IF(E228&lt;101,E228,IF(E228&lt;201,E228/2,IF(E228&lt;=301,E228/3,E228/4))))</f>
        <v>2551.7603404799997</v>
      </c>
      <c r="G228" s="103"/>
      <c r="H228" s="104"/>
      <c r="K228" s="77"/>
      <c r="L228" s="76"/>
      <c r="M228" s="76"/>
    </row>
    <row r="229" spans="1:16" s="62" customFormat="1" x14ac:dyDescent="0.25">
      <c r="A229" s="105" t="s">
        <v>227</v>
      </c>
      <c r="B229" s="105"/>
      <c r="C229" s="105"/>
      <c r="D229" s="105"/>
      <c r="E229" s="105"/>
      <c r="F229" s="105"/>
      <c r="G229" s="105"/>
      <c r="H229" s="105"/>
      <c r="I229" s="76"/>
      <c r="J229" s="76"/>
      <c r="K229" s="76"/>
    </row>
    <row r="230" spans="1:16" s="73" customFormat="1" ht="15.75" hidden="1" customHeight="1" x14ac:dyDescent="0.25">
      <c r="A230" s="98" t="s">
        <v>245</v>
      </c>
      <c r="B230" s="98"/>
      <c r="C230" s="98"/>
      <c r="D230" s="98"/>
      <c r="E230" s="98"/>
      <c r="F230" s="98"/>
      <c r="G230" s="98"/>
      <c r="H230" s="98"/>
      <c r="I230" s="76"/>
      <c r="J230" s="76"/>
      <c r="K230" s="76"/>
    </row>
    <row r="231" spans="1:16" s="73" customFormat="1" hidden="1" x14ac:dyDescent="0.25">
      <c r="A231" s="88" t="s">
        <v>242</v>
      </c>
      <c r="B231" s="88"/>
      <c r="C231" s="88" t="s">
        <v>244</v>
      </c>
      <c r="D231" s="88"/>
      <c r="E231" s="88"/>
      <c r="F231" s="88"/>
      <c r="G231" s="88" t="str">
        <f>A230</f>
        <v>Upper Ground Floor for Parking, Society Ofice &amp; Entrance Lobby</v>
      </c>
      <c r="H231" s="88"/>
      <c r="I231" s="76"/>
      <c r="J231" s="76"/>
      <c r="K231" s="76"/>
    </row>
    <row r="232" spans="1:16" s="73" customFormat="1" hidden="1" x14ac:dyDescent="0.25">
      <c r="A232" s="88">
        <v>2</v>
      </c>
      <c r="B232" s="88"/>
      <c r="C232" s="49" t="s">
        <v>183</v>
      </c>
      <c r="D232" s="49">
        <f>(101.36+3.81*1.83+2.49*1.69)*10.764</f>
        <v>1211.3848656</v>
      </c>
      <c r="E232" s="49">
        <v>0</v>
      </c>
      <c r="F232" s="49">
        <f>D232*(($F$163)+1)+(IF(E232&lt;101,E232,IF(E232&lt;201,E232/2,IF(E232&lt;=301,E232/3,E232/4))))</f>
        <v>1938.2157849600001</v>
      </c>
      <c r="G232" s="88"/>
      <c r="H232" s="88"/>
      <c r="K232" s="76">
        <f>3.58*6.7+3.51*0.99+2.44*3.05+3.06*3.66+3.12*4.57+0.35*1.65+1.9*1.05+3.51*3.56+1.21*1.8+2.74*1.52+2.36*1.45+1.64*1.7+0.8*0.85+2.97*1.05</f>
        <v>91.780299999999997</v>
      </c>
      <c r="L232" s="76">
        <f>2.44*1.69+3.58*1.83</f>
        <v>10.675000000000001</v>
      </c>
      <c r="M232" s="76"/>
    </row>
    <row r="233" spans="1:16" s="73" customFormat="1" ht="15.75" hidden="1" customHeight="1" x14ac:dyDescent="0.25">
      <c r="A233" s="88">
        <v>3</v>
      </c>
      <c r="B233" s="88"/>
      <c r="C233" s="49" t="s">
        <v>199</v>
      </c>
      <c r="D233" s="49">
        <f>(79.38+2.44*1.53+1.37*2.44)*10.764</f>
        <v>930.61238399999979</v>
      </c>
      <c r="E233" s="49">
        <v>0</v>
      </c>
      <c r="F233" s="49">
        <f>D233*(($F$163)+1)+(IF(E233&lt;101,E233,IF(E233&lt;201,E233/2,IF(E233&lt;=301,E233/3,E233/4))))</f>
        <v>1488.9798143999997</v>
      </c>
      <c r="G233" s="88"/>
      <c r="H233" s="88"/>
      <c r="K233" s="76">
        <f>3.76*6.1+3.94*1.05+3.05*2.48+4.27*3.2+2.04*0.6+1.05*1.04+3*3.35+1.26*0.53+2.49*1.52+2.44*1.53+1.2*1.95+1.98*2.22</f>
        <v>75.588399999999993</v>
      </c>
      <c r="L233" s="76">
        <f>2.29*1.37</f>
        <v>3.1373000000000002</v>
      </c>
      <c r="M233" s="76"/>
    </row>
    <row r="234" spans="1:16" s="73" customFormat="1" ht="15.75" hidden="1" customHeight="1" x14ac:dyDescent="0.25">
      <c r="A234" s="88">
        <v>4</v>
      </c>
      <c r="B234" s="88"/>
      <c r="C234" s="49" t="s">
        <v>199</v>
      </c>
      <c r="D234" s="49">
        <f>(79.5+2.44*1.53+1.37*2.44)*10.764</f>
        <v>931.90406399999983</v>
      </c>
      <c r="E234" s="49">
        <v>0</v>
      </c>
      <c r="F234" s="49">
        <f>D234*(($F$163)+1)+(IF(E234&lt;101,E234,IF(E234&lt;201,E234/2,IF(E234&lt;=301,E234/3,E234/4))))</f>
        <v>1491.0465023999998</v>
      </c>
      <c r="G234" s="88"/>
      <c r="H234" s="88"/>
      <c r="K234" s="76">
        <f>3.76*6.04+3.87*1.05+3.05*2.48+4.27*3.2+2.04*0.6+1.05*1.04+3*3.35+1.26*0.53+2.49*1.52+2.44*1.53+1.2*1.95+1.98*2.44</f>
        <v>75.724899999999991</v>
      </c>
      <c r="L234" s="76">
        <f>2.29*1.37</f>
        <v>3.1373000000000002</v>
      </c>
      <c r="M234" s="76"/>
    </row>
    <row r="235" spans="1:16" s="62" customFormat="1" ht="15.75" customHeight="1" x14ac:dyDescent="0.25">
      <c r="A235" s="98" t="s">
        <v>197</v>
      </c>
      <c r="B235" s="98"/>
      <c r="C235" s="98"/>
      <c r="D235" s="98"/>
      <c r="E235" s="98"/>
      <c r="F235" s="98"/>
      <c r="G235" s="98"/>
      <c r="H235" s="98"/>
      <c r="J235" s="80">
        <f>10.764</f>
        <v>10.763999999999999</v>
      </c>
      <c r="K235" s="76"/>
      <c r="L235" s="76"/>
      <c r="M235" s="76"/>
      <c r="P235" s="44"/>
    </row>
    <row r="236" spans="1:16" s="62" customFormat="1" x14ac:dyDescent="0.25">
      <c r="A236" s="88">
        <v>1</v>
      </c>
      <c r="B236" s="88"/>
      <c r="C236" s="49" t="s">
        <v>201</v>
      </c>
      <c r="D236" s="80">
        <f>((3.41*6.7+1.82*3.59+2.44*3.1+3.51*3.51+1.22*1.78+1.64*1.68+0.8*0.93+1.98*2.45+3.36*3.66+3.36*4.27+1.52*2.44+4.57*3.41+3.36*1.83+1.1*1.05+1.53*2.44+4.65*1.05+0.7)+(2.49*1.69+3.56*1.83))*(10.764)</f>
        <v>1432.3267295999997</v>
      </c>
      <c r="E236" s="49">
        <v>0</v>
      </c>
      <c r="F236" s="49">
        <f>D236*(($F$163)+1)+(IF(E236&lt;101,E236,IF(E236&lt;201,E236/2,IF(E236&lt;=301,E236/3,E236/4))))</f>
        <v>2291.7227673599996</v>
      </c>
      <c r="G236" s="88" t="str">
        <f>A235</f>
        <v>1st Floor</v>
      </c>
      <c r="H236" s="88"/>
      <c r="K236" s="62">
        <f>(3.41*6.7+1.82*3.59+2.44*3.1+3.51*3.51+1.22*1.78+1.64*1.68+0.8*0.93+1.98*2.45+3.36*3.66+3.36*4.27+1.52*2.44+4.57*3.41+3.36*1.83+1.1*1.05+1.53*2.44+4.65*1.05+0.7)</f>
        <v>122.34349999999999</v>
      </c>
      <c r="L236" s="76">
        <f>2.49*1.69+3.56*1.83</f>
        <v>10.722899999999999</v>
      </c>
      <c r="M236" s="76"/>
    </row>
    <row r="237" spans="1:16" s="62" customFormat="1" x14ac:dyDescent="0.25">
      <c r="A237" s="88">
        <v>2</v>
      </c>
      <c r="B237" s="88"/>
      <c r="C237" s="49" t="s">
        <v>183</v>
      </c>
      <c r="D237" s="80">
        <f>((3.66*6.7+0.92*3.59+2.44*3.05+3.2*3.66+3.2*4.57+0.36*1.65+3.51*3.51+1.64*1.68+0.8*0.93+1.97*1.78+1.53*2.44+2.75*1.53+2.05*1.05+3.5*1.05)+(2.49*1.69+3.81*1.83))*(10.764)</f>
        <v>1146.0570732000001</v>
      </c>
      <c r="E237" s="49">
        <v>0</v>
      </c>
      <c r="F237" s="49">
        <f>D237*(($F$163)+1)+(IF(E237&lt;101,E237,IF(E237&lt;201,E237/2,IF(E237&lt;=301,E237/3,E237/4))))</f>
        <v>1833.6913171200003</v>
      </c>
      <c r="G237" s="88"/>
      <c r="H237" s="88"/>
      <c r="K237" s="74">
        <f>(3.66*6.7+0.92*3.59+2.44*3.05+3.2*3.66+3.2*4.57+0.36*1.65+3.51*3.51+1.64*1.68+0.8*0.93+1.97*1.78+1.53*2.44+2.75*1.53+2.05*1.05+3.5*1.05)</f>
        <v>95.290900000000008</v>
      </c>
      <c r="L237" s="76">
        <f>2.49*1.69+3.81*1.83</f>
        <v>11.180400000000001</v>
      </c>
      <c r="M237" s="76"/>
    </row>
    <row r="238" spans="1:16" s="62" customFormat="1" ht="15.75" customHeight="1" x14ac:dyDescent="0.25">
      <c r="A238" s="88">
        <v>3</v>
      </c>
      <c r="B238" s="88"/>
      <c r="C238" s="49" t="s">
        <v>199</v>
      </c>
      <c r="D238" s="80">
        <f>((3.66*6.05+1.15*3.04+3.05*2.44+1.98*2.34+1.05*0.9+4.27*3.2+2.39*1.53+0.6*2.04+1.05*1.04+3.03*3.36+1.3*0.6+1.53*2.44+1.2*1.65)+(2.44*1.53+1.37*2.44))*(10.764)</f>
        <v>883.14206759999979</v>
      </c>
      <c r="E238" s="49">
        <v>0</v>
      </c>
      <c r="F238" s="49">
        <f>D238*(($F$163)+1)+(IF(E238&lt;101,E238,IF(E238&lt;201,E238/2,IF(E238&lt;=301,E238/3,E238/4))))</f>
        <v>1413.0273081599998</v>
      </c>
      <c r="G238" s="88"/>
      <c r="H238" s="88"/>
      <c r="K238" s="74">
        <f>(3.66*6.05+1.15*3.04+3.05*2.44+1.98*2.34+1.05*0.9+4.27*3.2+2.39*1.53+0.6*2.04+1.05*1.04+3.03*3.36+1.3*0.6+1.53*2.44+1.2*1.65)</f>
        <v>74.969899999999996</v>
      </c>
      <c r="L238" s="76">
        <f>2.44*1.53+1.37*2.44</f>
        <v>7.0760000000000005</v>
      </c>
      <c r="M238" s="76"/>
    </row>
    <row r="239" spans="1:16" s="62" customFormat="1" ht="15.75" customHeight="1" x14ac:dyDescent="0.25">
      <c r="A239" s="88">
        <v>4</v>
      </c>
      <c r="B239" s="88"/>
      <c r="C239" s="49" t="s">
        <v>199</v>
      </c>
      <c r="D239" s="80">
        <f>((3.66*6.05+1.15*3.04+3.05*2.44+1.98*2.34+1.05*0.9+4.27*3.2+2.44*1.53+0.6*2.04+1.05*1.04+3.03*3.36+1.3*0.6+1.53*2.44+1.2*1.65)+(2.44*1.53+1.37*2.44))*(10.764)</f>
        <v>883.96551359999989</v>
      </c>
      <c r="E239" s="49">
        <v>0</v>
      </c>
      <c r="F239" s="49">
        <f>D239*(($F$163)+1)+(IF(E239&lt;101,E239,IF(E239&lt;201,E239/2,IF(E239&lt;=301,E239/3,E239/4))))</f>
        <v>1414.3448217599998</v>
      </c>
      <c r="G239" s="88"/>
      <c r="H239" s="88"/>
      <c r="J239" s="74"/>
      <c r="K239" s="74">
        <f>(3.66*6.05+1.15*3.04+3.05*2.44+1.98*2.34+1.05*0.9+4.27*3.2+2.44*1.53+0.6*2.04+1.05*1.04+3.03*3.36+1.3*0.6+1.53*2.44+1.2*1.65)</f>
        <v>75.046399999999991</v>
      </c>
      <c r="L239" s="76">
        <f>2.44*1.53+1.37*2.44</f>
        <v>7.0760000000000005</v>
      </c>
      <c r="M239" s="76"/>
    </row>
    <row r="240" spans="1:16" s="62" customFormat="1" ht="15.75" customHeight="1" x14ac:dyDescent="0.25">
      <c r="A240" s="98" t="s">
        <v>200</v>
      </c>
      <c r="B240" s="98"/>
      <c r="C240" s="98"/>
      <c r="D240" s="98"/>
      <c r="E240" s="98"/>
      <c r="F240" s="98"/>
      <c r="G240" s="98"/>
      <c r="H240" s="98"/>
      <c r="K240" s="76"/>
      <c r="L240" s="76"/>
      <c r="M240" s="76"/>
      <c r="P240" s="44"/>
    </row>
    <row r="241" spans="1:16" s="62" customFormat="1" ht="15.75" customHeight="1" x14ac:dyDescent="0.25">
      <c r="A241" s="88">
        <v>1</v>
      </c>
      <c r="B241" s="88"/>
      <c r="C241" s="49" t="s">
        <v>201</v>
      </c>
      <c r="D241" s="80">
        <f>((3.41*6.7+1.82*3.59+2.44*3.1+3.51*3.51+1.22*1.78+1.64*1.68+0.8*0.93+1.98*2.45+3.36*3.66+3.36*4.27+1.52*2.44+4.57*3.41+3.36*1.83+1.1*1.05+1.53*2.44+4.65*1.05+0.7)+(2.49*1.69+3.56*1.83))*(10.764)</f>
        <v>1432.3267295999997</v>
      </c>
      <c r="E241" s="49">
        <v>0</v>
      </c>
      <c r="F241" s="49">
        <f>D241*(($F$163)+1)+(IF(E241&lt;101,E241,IF(E241&lt;201,E241/2,IF(E241&lt;=301,E241/3,E241/4))))</f>
        <v>2291.7227673599996</v>
      </c>
      <c r="G241" s="88" t="str">
        <f>A240</f>
        <v>2nd to 5th Floor</v>
      </c>
      <c r="H241" s="88"/>
      <c r="K241" s="76">
        <f>3.41*6.7+2.44*3.1+4.57*3.41+3.36*4.27+3.36*3.66+3.51*3.51+1.82*3.59+1.98*2.45+3.36*1.83+1.1*1.05+1.52*2.44+1.53*2.44+1.64*1.68+1.22*1.78+1.05*4.9+0.8*0.93</f>
        <v>121.90599999999998</v>
      </c>
      <c r="L241" s="76">
        <f>2.49*1.69+3.56*1.83</f>
        <v>10.722899999999999</v>
      </c>
      <c r="M241" s="76"/>
    </row>
    <row r="242" spans="1:16" s="62" customFormat="1" ht="15.75" customHeight="1" x14ac:dyDescent="0.25">
      <c r="A242" s="88">
        <v>2</v>
      </c>
      <c r="B242" s="88"/>
      <c r="C242" s="49" t="s">
        <v>183</v>
      </c>
      <c r="D242" s="80">
        <f>((3.66*6.7+0.92*3.59+2.44*3.05+3.2*3.66+3.2*4.57+0.36*1.65+3.51*3.51+1.64*1.68+0.8*0.93+1.97*1.78+1.53*2.44+2.75*1.53+2.05*1.05+3.5*1.05)+(2.49*1.69+3.81*1.83))*(10.764)</f>
        <v>1146.0570732000001</v>
      </c>
      <c r="E242" s="49">
        <v>0</v>
      </c>
      <c r="F242" s="49">
        <f>D242*(($F$163)+1)+(IF(E242&lt;101,E242,IF(E242&lt;201,E242/2,IF(E242&lt;=301,E242/3,E242/4))))</f>
        <v>1833.6913171200003</v>
      </c>
      <c r="G242" s="88"/>
      <c r="H242" s="88"/>
      <c r="K242" s="76">
        <f>3.66*6.7+2.44*3.05+3.2*4.57+0.36*1.65+3.2*3.66+3.51*3.51+0.97*1.78+0.92*3.59+2.75*1.53+1.53*2.44+0.8*0.93+1.64*1.68+2.05*1.05+2.2*1.05</f>
        <v>92.145900000000026</v>
      </c>
      <c r="L242" s="76">
        <f>2.49*1.69+3.56*1.83</f>
        <v>10.722899999999999</v>
      </c>
      <c r="M242" s="76"/>
    </row>
    <row r="243" spans="1:16" s="62" customFormat="1" ht="15.75" customHeight="1" x14ac:dyDescent="0.25">
      <c r="A243" s="88">
        <v>3</v>
      </c>
      <c r="B243" s="88"/>
      <c r="C243" s="49" t="s">
        <v>199</v>
      </c>
      <c r="D243" s="80">
        <f>((3.66*6.05+1.15*3.04+3.05*2.44+1.98*2.34+1.05*0.9+4.27*3.2+2.39*1.53+0.6*2.04+1.05*1.04+3.03*3.36+1.3*0.6+1.53*2.44+1.2*1.65)+(2.44*1.53+1.37*2.44))*(10.764)</f>
        <v>883.14206759999979</v>
      </c>
      <c r="E243" s="49">
        <v>0</v>
      </c>
      <c r="F243" s="49">
        <f>D243*(($F$163)+1)+(IF(E243&lt;101,E243,IF(E243&lt;201,E243/2,IF(E243&lt;=301,E243/3,E243/4))))</f>
        <v>1413.0273081599998</v>
      </c>
      <c r="G243" s="88"/>
      <c r="H243" s="88"/>
      <c r="K243" s="76">
        <f>3.66*6.05+1.15*3.04+3.05*2.44+4.27*3.2+0.6*2.04+1.05*1.04+3.03*3.36+1.3*0.6+1.05*0.9+1.98*2.34+2.39*1.53+1.53*2.44</f>
        <v>72.989899999999992</v>
      </c>
      <c r="L243" s="76">
        <f>2.44*1.53</f>
        <v>3.7332000000000001</v>
      </c>
      <c r="M243" s="76"/>
    </row>
    <row r="244" spans="1:16" s="62" customFormat="1" ht="15.75" customHeight="1" x14ac:dyDescent="0.25">
      <c r="A244" s="88">
        <v>4</v>
      </c>
      <c r="B244" s="88"/>
      <c r="C244" s="49" t="s">
        <v>199</v>
      </c>
      <c r="D244" s="80">
        <f>((3.66*6.05+1.15*3.04+3.05*2.44+1.98*2.34+1.05*0.9+4.27*3.2+2.44*1.53+0.6*2.04+1.05*1.04+3.03*3.36+1.3*0.6+1.53*2.44+1.2*1.65)+(2.44*1.53+1.37*2.44))*(10.764)</f>
        <v>883.96551359999989</v>
      </c>
      <c r="E244" s="49">
        <v>0</v>
      </c>
      <c r="F244" s="49">
        <f>D244*(($F$163)+1)+(IF(E244&lt;101,E244,IF(E244&lt;201,E244/2,IF(E244&lt;=301,E244/3,E244/4))))</f>
        <v>1414.3448217599998</v>
      </c>
      <c r="G244" s="88"/>
      <c r="H244" s="88"/>
      <c r="K244" s="76">
        <f>3.66*6.05+1.15*3.04+3.05*2.44+4.27*3.2+0.6*2.04+1.05*1.04+3.03*3.36+1.3*0.6+1.05*0.9+1.98*2.34+2.39*1.53+1.53*2.44</f>
        <v>72.989899999999992</v>
      </c>
      <c r="L244" s="76">
        <f>2.44*1.53</f>
        <v>3.7332000000000001</v>
      </c>
      <c r="M244" s="76"/>
    </row>
    <row r="245" spans="1:16" s="72" customFormat="1" ht="15.75" customHeight="1" x14ac:dyDescent="0.25">
      <c r="A245" s="89" t="s">
        <v>236</v>
      </c>
      <c r="B245" s="90"/>
      <c r="C245" s="90"/>
      <c r="D245" s="90"/>
      <c r="E245" s="90"/>
      <c r="F245" s="90"/>
      <c r="G245" s="90"/>
      <c r="H245" s="91"/>
      <c r="K245" s="76"/>
      <c r="L245" s="76"/>
      <c r="M245" s="76"/>
      <c r="P245" s="44"/>
    </row>
    <row r="246" spans="1:16" s="72" customFormat="1" ht="15.75" customHeight="1" x14ac:dyDescent="0.25">
      <c r="A246" s="92">
        <v>1</v>
      </c>
      <c r="B246" s="93"/>
      <c r="C246" s="49" t="s">
        <v>201</v>
      </c>
      <c r="D246" s="80">
        <f>((3.41*6.7+1.82*3.59+2.44*3.1+3.51*3.51+1.22*1.78+1.64*1.68+0.8*0.93+1.98*2.45+3.36*3.66+3.36*4.27+1.52*2.44+4.57*3.41+3.36*1.83+1.1*1.05+1.53*2.44+4.65*1.05+0.7)+(2.49*1.69+3.56*1.83))*(10.764)</f>
        <v>1432.3267295999997</v>
      </c>
      <c r="E246" s="49">
        <v>0</v>
      </c>
      <c r="F246" s="49">
        <f>D246*(($F$163)+1)+(IF(E246&lt;101,E246,IF(E246&lt;201,E246/2,IF(E246&lt;=301,E246/3,E246/4))))</f>
        <v>2291.7227673599996</v>
      </c>
      <c r="G246" s="99" t="str">
        <f>A245</f>
        <v>6th Floor For Residential (Part Refuge Area)</v>
      </c>
      <c r="H246" s="100"/>
      <c r="K246" s="76">
        <f>3.41*6.7+2.44*3.1+4.57*3.41+3.36*4.27+3.36*3.66+3.51*3.51+1.82*3.59+1.98*2.45+3.36*1.83+1.1*1.05+1.52*2.44+1.53*2.44+1.64*1.68+1.22*1.78+1.05*4.9+0.8*0.93</f>
        <v>121.90599999999998</v>
      </c>
      <c r="L246" s="76">
        <f>2.49*1.69+3.56*1.83</f>
        <v>10.722899999999999</v>
      </c>
      <c r="M246" s="76"/>
    </row>
    <row r="247" spans="1:16" s="72" customFormat="1" ht="15.75" customHeight="1" x14ac:dyDescent="0.25">
      <c r="A247" s="92">
        <v>2</v>
      </c>
      <c r="B247" s="93"/>
      <c r="C247" s="49" t="s">
        <v>183</v>
      </c>
      <c r="D247" s="80">
        <f>((3.66*6.7+0.92*3.59+2.44*3.05+3.2*3.66+3.2*4.57+0.36*1.65+3.51*3.51+1.64*1.68+0.8*0.93+1.97*1.78+1.53*2.44+2.75*1.53+2.05*1.05+3.5*1.05)+(2.49*1.69+3.81*1.83))*(10.764)</f>
        <v>1146.0570732000001</v>
      </c>
      <c r="E247" s="49">
        <v>0</v>
      </c>
      <c r="F247" s="49">
        <f>D247*(($F$163)+1)+(IF(E247&lt;101,E247,IF(E247&lt;201,E247/2,IF(E247&lt;=301,E247/3,E247/4))))</f>
        <v>1833.6913171200003</v>
      </c>
      <c r="G247" s="101"/>
      <c r="H247" s="102"/>
      <c r="K247" s="76">
        <f>3.66*6.7+2.44*3.05+3.2*4.57+0.36*1.65+3.2*3.66+3.51*3.51+0.97*1.78+0.92*3.59+2.75*1.53+1.53*2.44+0.8*0.93+1.64*1.68+2.05*1.05+2.2*1.05</f>
        <v>92.145900000000026</v>
      </c>
      <c r="L247" s="76">
        <f>2.49*1.69+3.56*1.83</f>
        <v>10.722899999999999</v>
      </c>
      <c r="M247" s="76"/>
    </row>
    <row r="248" spans="1:16" s="72" customFormat="1" ht="15.75" customHeight="1" x14ac:dyDescent="0.25">
      <c r="A248" s="92">
        <v>3</v>
      </c>
      <c r="B248" s="93"/>
      <c r="C248" s="49" t="s">
        <v>199</v>
      </c>
      <c r="D248" s="80">
        <f>((3.66*6.05+1.15*3.04+3.05*2.44+1.98*2.34+1.05*0.9+4.27*3.2+2.39*1.53+0.6*2.04+1.05*1.04+3.03*3.36+1.3*0.6+1.53*2.44+1.2*1.65)+(2.44*1.53+1.37*2.44))*(10.764)</f>
        <v>883.14206759999979</v>
      </c>
      <c r="E248" s="49">
        <v>0</v>
      </c>
      <c r="F248" s="49">
        <f>D248*(($F$163)+1)+(IF(E248&lt;101,E248,IF(E248&lt;201,E248/2,IF(E248&lt;=301,E248/3,E248/4))))</f>
        <v>1413.0273081599998</v>
      </c>
      <c r="G248" s="101"/>
      <c r="H248" s="102"/>
      <c r="K248" s="76">
        <f>3.66*6.05+1.15*3.04+3.05*2.44+4.27*3.2+0.6*2.04+1.05*1.04+3.03*3.36+1.3*0.6+1.05*0.9+1.98*2.34+2.39*1.53+1.53*2.44</f>
        <v>72.989899999999992</v>
      </c>
      <c r="L248" s="76">
        <f>2.44*1.53</f>
        <v>3.7332000000000001</v>
      </c>
      <c r="M248" s="76"/>
    </row>
    <row r="249" spans="1:16" s="72" customFormat="1" ht="15.75" customHeight="1" x14ac:dyDescent="0.25">
      <c r="A249" s="92" t="s">
        <v>238</v>
      </c>
      <c r="B249" s="93"/>
      <c r="C249" s="92" t="s">
        <v>185</v>
      </c>
      <c r="D249" s="249"/>
      <c r="E249" s="249"/>
      <c r="F249" s="93"/>
      <c r="G249" s="103"/>
      <c r="H249" s="104"/>
      <c r="K249" s="76">
        <f>3.66*6.05+1.15*3.04+3.05*2.44+4.27*3.2+0.6*2.04+1.05*1.04+3.03*3.36+1.3*0.6+1.05*0.9+1.98*2.34+2.39*1.53+1.53*2.44</f>
        <v>72.989899999999992</v>
      </c>
      <c r="L249" s="76">
        <f>2.44*1.53</f>
        <v>3.7332000000000001</v>
      </c>
      <c r="M249" s="76"/>
    </row>
    <row r="250" spans="1:16" s="74" customFormat="1" ht="31.5" customHeight="1" x14ac:dyDescent="0.25">
      <c r="A250" s="89" t="s">
        <v>256</v>
      </c>
      <c r="B250" s="90"/>
      <c r="C250" s="90"/>
      <c r="D250" s="90"/>
      <c r="E250" s="90"/>
      <c r="F250" s="90"/>
      <c r="G250" s="90"/>
      <c r="H250" s="91"/>
      <c r="I250" s="74">
        <v>2</v>
      </c>
      <c r="K250" s="76"/>
      <c r="L250" s="76"/>
      <c r="M250" s="76"/>
      <c r="P250" s="44"/>
    </row>
    <row r="251" spans="1:16" s="72" customFormat="1" ht="15.75" customHeight="1" x14ac:dyDescent="0.25">
      <c r="A251" s="92">
        <v>1</v>
      </c>
      <c r="B251" s="93"/>
      <c r="C251" s="49" t="s">
        <v>201</v>
      </c>
      <c r="D251" s="80">
        <f>((3.41*6.7+1.82*3.59+2.44*3.1+3.51*3.51+1.22*1.78+1.64*1.68+0.8*0.93+1.98*2.45+3.36*3.66+3.36*4.27+1.52*2.44+4.57*3.41+3.36*1.83+1.1*1.05+1.53*2.44+4.65*1.05+0.7)+(2.49*1.69+3.56*1.83))*(10.764)</f>
        <v>1432.3267295999997</v>
      </c>
      <c r="E251" s="49">
        <v>0</v>
      </c>
      <c r="F251" s="49">
        <f>D251*(($F$163)+1)+(IF(E251&lt;101,E251,IF(E251&lt;201,E251/2,IF(E251&lt;=301,E251/3,E251/4))))</f>
        <v>2291.7227673599996</v>
      </c>
      <c r="G251" s="99" t="str">
        <f>A250</f>
        <v>7th &amp; 14th Floor (As per Approved plan)
7th &amp; 15th Floor (As per builder)</v>
      </c>
      <c r="H251" s="100"/>
      <c r="K251" s="76">
        <f>3.41*6.7+2.44*3.1+4.57*3.41+3.36*4.27+3.36*3.66+3.51*3.51+1.82*3.59+1.98*2.45+3.36*1.83+1.1*1.05+1.52*2.44+1.53*2.44+1.64*1.68+1.22*1.78+1.05*4.9+0.8*0.93</f>
        <v>121.90599999999998</v>
      </c>
      <c r="L251" s="76">
        <f>2.49*1.69+3.56*1.83</f>
        <v>10.722899999999999</v>
      </c>
      <c r="M251" s="76"/>
    </row>
    <row r="252" spans="1:16" s="72" customFormat="1" ht="15.75" customHeight="1" x14ac:dyDescent="0.25">
      <c r="A252" s="92">
        <v>2</v>
      </c>
      <c r="B252" s="93"/>
      <c r="C252" s="49" t="s">
        <v>183</v>
      </c>
      <c r="D252" s="80">
        <f>((3.66*6.7+0.92*3.59+2.44*3.05+3.2*3.66+3.2*4.57+0.36*1.65+3.51*3.51+1.64*1.68+0.8*0.93+1.97*1.78+1.53*2.44+2.75*1.53+2.05*1.05+3.5*1.05)+(2.49*1.69+3.81*1.83))*(10.764)</f>
        <v>1146.0570732000001</v>
      </c>
      <c r="E252" s="49">
        <v>0</v>
      </c>
      <c r="F252" s="49">
        <f>D252*(($F$163)+1)+(IF(E252&lt;101,E252,IF(E252&lt;201,E252/2,IF(E252&lt;=301,E252/3,E252/4))))</f>
        <v>1833.6913171200003</v>
      </c>
      <c r="G252" s="101"/>
      <c r="H252" s="102"/>
      <c r="K252" s="76">
        <f>3.66*6.7+2.44*3.05+3.2*4.57+0.36*1.65+3.2*3.66+3.51*3.51+0.97*1.78+0.92*3.59+2.75*1.53+1.53*2.44+0.8*0.93+1.64*1.68+2.05*1.05+2.2*1.05</f>
        <v>92.145900000000026</v>
      </c>
      <c r="L252" s="76">
        <f>2.49*1.69+3.56*1.83</f>
        <v>10.722899999999999</v>
      </c>
      <c r="M252" s="76"/>
    </row>
    <row r="253" spans="1:16" s="72" customFormat="1" ht="15.75" customHeight="1" x14ac:dyDescent="0.25">
      <c r="A253" s="92">
        <v>3</v>
      </c>
      <c r="B253" s="93"/>
      <c r="C253" s="49" t="s">
        <v>199</v>
      </c>
      <c r="D253" s="80">
        <f>((3.66*6.05+1.15*3.04+3.05*2.44+1.98*2.34+1.05*0.9+4.27*3.2+2.39*1.53+0.6*2.04+1.05*1.04+3.03*3.36+1.3*0.6+1.53*2.44+1.2*1.65)+(2.44*1.53+1.37*2.44))*(10.764)</f>
        <v>883.14206759999979</v>
      </c>
      <c r="E253" s="49">
        <v>0</v>
      </c>
      <c r="F253" s="49">
        <f>D253*(($F$163)+1)+(IF(E253&lt;101,E253,IF(E253&lt;201,E253/2,IF(E253&lt;=301,E253/3,E253/4))))</f>
        <v>1413.0273081599998</v>
      </c>
      <c r="G253" s="101"/>
      <c r="H253" s="102"/>
      <c r="K253" s="76">
        <f>3.66*6.05+1.15*3.04+3.05*2.44+4.27*3.2+0.6*2.04+1.05*1.04+3.03*3.36+1.3*0.6+1.05*0.9+1.98*2.34+2.39*1.53+1.53*2.44</f>
        <v>72.989899999999992</v>
      </c>
      <c r="L253" s="76">
        <f>2.44*1.53</f>
        <v>3.7332000000000001</v>
      </c>
      <c r="M253" s="76"/>
    </row>
    <row r="254" spans="1:16" s="72" customFormat="1" ht="15.75" customHeight="1" x14ac:dyDescent="0.25">
      <c r="A254" s="92">
        <v>4</v>
      </c>
      <c r="B254" s="93"/>
      <c r="C254" s="49" t="s">
        <v>199</v>
      </c>
      <c r="D254" s="80">
        <f>((3.66*6.05+1.15*3.04+3.05*2.44+1.98*2.34+1.05*0.9+4.27*3.2+2.44*1.53+0.6*2.04+1.05*1.04+3.03*3.36+1.3*0.6+1.53*2.44+1.2*1.65)+(2.44*1.53+1.37*2.44))*(10.764)</f>
        <v>883.96551359999989</v>
      </c>
      <c r="E254" s="49">
        <v>0</v>
      </c>
      <c r="F254" s="49">
        <f>D254*(($F$163)+1)+(IF(E254&lt;101,E254,IF(E254&lt;201,E254/2,IF(E254&lt;=301,E254/3,E254/4))))</f>
        <v>1414.3448217599998</v>
      </c>
      <c r="G254" s="103"/>
      <c r="H254" s="104"/>
      <c r="K254" s="76">
        <f>3.66*6.05+1.15*3.04+3.05*2.44+4.27*3.2+0.6*2.04+1.05*1.04+3.03*3.36+1.3*0.6+1.05*0.9+1.98*2.34+2.39*1.53+1.53*2.44</f>
        <v>72.989899999999992</v>
      </c>
      <c r="L254" s="76">
        <f>2.44*1.53</f>
        <v>3.7332000000000001</v>
      </c>
      <c r="M254" s="76"/>
    </row>
    <row r="255" spans="1:16" s="72" customFormat="1" ht="15.75" customHeight="1" x14ac:dyDescent="0.25">
      <c r="A255" s="89" t="s">
        <v>264</v>
      </c>
      <c r="B255" s="90"/>
      <c r="C255" s="90"/>
      <c r="D255" s="90"/>
      <c r="E255" s="90"/>
      <c r="F255" s="90"/>
      <c r="G255" s="90"/>
      <c r="H255" s="91"/>
      <c r="K255" s="76"/>
      <c r="L255" s="76"/>
      <c r="M255" s="76"/>
      <c r="P255" s="44"/>
    </row>
    <row r="256" spans="1:16" s="72" customFormat="1" ht="15.75" customHeight="1" x14ac:dyDescent="0.25">
      <c r="A256" s="92">
        <v>1</v>
      </c>
      <c r="B256" s="93"/>
      <c r="C256" s="49" t="s">
        <v>201</v>
      </c>
      <c r="D256" s="80">
        <f>((3.41*6.7+1.82*3.59+2.44*3.1+3.51*3.51+1.22*1.78+1.64*1.68+0.8*0.93+1.98*2.45+3.36*3.66+3.36*4.27+1.52*2.44+4.57*3.41+3.36*1.83+1.1*1.05+1.53*2.44+4.65*1.05+0.7)+(2.49*1.69+3.56*1.83))*(10.764)</f>
        <v>1432.3267295999997</v>
      </c>
      <c r="E256" s="49">
        <v>0</v>
      </c>
      <c r="F256" s="49">
        <f>D256*(($F$163)+1)+(IF(E256&lt;101,E256,IF(E256&lt;201,E256/2,IF(E256&lt;=301,E256/3,E256/4))))</f>
        <v>2291.7227673599996</v>
      </c>
      <c r="G256" s="99" t="str">
        <f>A255</f>
        <v>8th, 10th, 11th &amp; 12th Floor</v>
      </c>
      <c r="H256" s="100"/>
      <c r="K256" s="76">
        <f>3.41*6.7+2.44*3.1+4.57*3.41+3.36*4.27+3.36*3.66+3.51*3.51+1.82*3.59+1.98*2.45+3.36*1.83+1.1*1.05+1.52*2.44+1.53*2.44+1.64*1.68+1.22*1.78+1.05*4.9+0.8*0.93</f>
        <v>121.90599999999998</v>
      </c>
      <c r="L256" s="76">
        <f>2.49*1.69+3.56*1.83</f>
        <v>10.722899999999999</v>
      </c>
      <c r="M256" s="76"/>
    </row>
    <row r="257" spans="1:16" s="72" customFormat="1" ht="15.75" customHeight="1" x14ac:dyDescent="0.25">
      <c r="A257" s="92">
        <v>2</v>
      </c>
      <c r="B257" s="93"/>
      <c r="C257" s="49" t="s">
        <v>183</v>
      </c>
      <c r="D257" s="80">
        <f>((3.66*6.7+0.92*3.59+2.44*3.05+3.2*3.66+3.2*4.57+0.36*1.65+3.51*3.51+1.64*1.68+0.8*0.93+1.97*1.78+1.53*2.44+2.75*1.53+2.05*1.05+3.5*1.05)+(2.49*1.69+3.81*1.83))*(10.764)</f>
        <v>1146.0570732000001</v>
      </c>
      <c r="E257" s="49">
        <v>0</v>
      </c>
      <c r="F257" s="49">
        <f>D257*(($F$163)+1)+(IF(E257&lt;101,E257,IF(E257&lt;201,E257/2,IF(E257&lt;=301,E257/3,E257/4))))</f>
        <v>1833.6913171200003</v>
      </c>
      <c r="G257" s="101"/>
      <c r="H257" s="102"/>
      <c r="K257" s="76">
        <f>3.66*6.7+2.44*3.05+3.2*4.57+0.36*1.65+3.2*3.66+3.51*3.51+0.97*1.78+0.92*3.59+2.75*1.53+1.53*2.44+0.8*0.93+1.64*1.68+2.05*1.05+2.2*1.05</f>
        <v>92.145900000000026</v>
      </c>
      <c r="L257" s="76">
        <f>2.49*1.69+3.56*1.83</f>
        <v>10.722899999999999</v>
      </c>
      <c r="M257" s="76"/>
    </row>
    <row r="258" spans="1:16" s="72" customFormat="1" ht="15.75" customHeight="1" x14ac:dyDescent="0.25">
      <c r="A258" s="92">
        <v>3</v>
      </c>
      <c r="B258" s="93"/>
      <c r="C258" s="49" t="s">
        <v>199</v>
      </c>
      <c r="D258" s="80">
        <f>((3.66*6.05+1.15*3.04+3.05*2.44+1.98*2.34+1.05*0.9+4.27*3.2+2.39*1.53+0.6*2.04+1.05*1.04+3.03*3.36+1.3*0.6+1.53*2.44+1.2*1.65)+(2.44*1.53+1.37*2.44))*(10.764)</f>
        <v>883.14206759999979</v>
      </c>
      <c r="E258" s="49">
        <v>0</v>
      </c>
      <c r="F258" s="49">
        <f>D258*(($F$163)+1)+(IF(E258&lt;101,E258,IF(E258&lt;201,E258/2,IF(E258&lt;=301,E258/3,E258/4))))</f>
        <v>1413.0273081599998</v>
      </c>
      <c r="G258" s="101"/>
      <c r="H258" s="102"/>
      <c r="K258" s="76">
        <f>3.66*6.05+1.15*3.04+3.05*2.44+4.27*3.2+0.6*2.04+1.05*1.04+3.03*3.36+1.3*0.6+1.05*0.9+1.98*2.34+2.39*1.53+1.53*2.44</f>
        <v>72.989899999999992</v>
      </c>
      <c r="L258" s="76">
        <f>2.44*1.53</f>
        <v>3.7332000000000001</v>
      </c>
      <c r="M258" s="76"/>
    </row>
    <row r="259" spans="1:16" s="72" customFormat="1" ht="15.75" customHeight="1" x14ac:dyDescent="0.25">
      <c r="A259" s="92">
        <v>4</v>
      </c>
      <c r="B259" s="93"/>
      <c r="C259" s="49" t="s">
        <v>199</v>
      </c>
      <c r="D259" s="80">
        <f>((3.66*6.05+1.15*3.04+3.05*2.44+1.98*2.34+1.05*0.9+4.27*3.2+2.44*1.53+0.6*2.04+1.05*1.04+3.03*3.36+1.3*0.6+1.53*2.44+1.2*1.65)+(2.44*1.53+1.37*2.44))*(10.764)</f>
        <v>883.96551359999989</v>
      </c>
      <c r="E259" s="49">
        <v>0</v>
      </c>
      <c r="F259" s="49">
        <f>D259*(($F$163)+1)+(IF(E259&lt;101,E259,IF(E259&lt;201,E259/2,IF(E259&lt;=301,E259/3,E259/4))))</f>
        <v>1414.3448217599998</v>
      </c>
      <c r="G259" s="103"/>
      <c r="H259" s="104"/>
      <c r="K259" s="76">
        <f>3.66*6.05+1.15*3.04+3.05*2.44+4.27*3.2+0.6*2.04+1.05*1.04+3.03*3.36+1.3*0.6+1.05*0.9+1.98*2.34+2.39*1.53+1.53*2.44</f>
        <v>72.989899999999992</v>
      </c>
      <c r="L259" s="76">
        <f>2.44*1.53</f>
        <v>3.7332000000000001</v>
      </c>
      <c r="M259" s="76"/>
    </row>
    <row r="260" spans="1:16" s="72" customFormat="1" ht="15.75" customHeight="1" x14ac:dyDescent="0.25">
      <c r="A260" s="89" t="s">
        <v>233</v>
      </c>
      <c r="B260" s="90"/>
      <c r="C260" s="90"/>
      <c r="D260" s="90"/>
      <c r="E260" s="90"/>
      <c r="F260" s="90"/>
      <c r="G260" s="90"/>
      <c r="H260" s="91"/>
      <c r="K260" s="76"/>
      <c r="L260" s="76"/>
      <c r="M260" s="76"/>
      <c r="P260" s="44"/>
    </row>
    <row r="261" spans="1:16" s="72" customFormat="1" ht="31.5" x14ac:dyDescent="0.25">
      <c r="A261" s="92">
        <v>1</v>
      </c>
      <c r="B261" s="93"/>
      <c r="C261" s="82" t="s">
        <v>263</v>
      </c>
      <c r="D261" s="83">
        <f>((3.41*6.7+3.51*3.51+1.32*1.68+1.64*1.68+0.8*0.93+1.98*2.45+2.44*4.3+3.36*3.66+3.36*4.27+1.52*2.44+4.57*3.41+3.36*1.83+5.76*1.05+1.53*2.44+1.83*2.54+0.7)+(2.49*1.69+3.58*1.83))*(10.764)</f>
        <v>1444.5492515999999</v>
      </c>
      <c r="E261" s="82">
        <v>0</v>
      </c>
      <c r="F261" s="82">
        <f>D261*(($F$163)+1)+(IF(E261&lt;101,E261,IF(E261&lt;201,E261/2,IF(E261&lt;=301,E261/3,E261/4))))</f>
        <v>2311.2788025599998</v>
      </c>
      <c r="G261" s="99" t="str">
        <f>A260</f>
        <v>9th Floor</v>
      </c>
      <c r="H261" s="100"/>
      <c r="J261" s="72">
        <f>(3.41*6.7+3.51*3.51+1.32*1.68+1.64*1.68+0.8*0.93+1.98*2.45+2.44*4.3+3.36*3.36+3.36*4.27+1.52*2.44+4.57*3.41+3.36*1.83+5.76*1.05+1.53*2.44+1.83*2.54+0.7)+(2.49*1.69+3.58*1.83)</f>
        <v>133.19389999999999</v>
      </c>
      <c r="K261" s="77" t="s">
        <v>234</v>
      </c>
      <c r="L261" s="76">
        <f>3.41*6.7+2.44*3.1+4.57*3.41+3.36*4.27+3.36*3.66+3.51*3.51+1.82*3.59+1.98*2.45+3.36*1.83+1.1*1.05+1.52*2.44+1.53*2.44+1.64*1.68+1.22*1.78+1.05*4.9+0.8*0.93</f>
        <v>121.90599999999998</v>
      </c>
      <c r="M261" s="76">
        <f>2.49*1.69+3.56*1.83</f>
        <v>10.722899999999999</v>
      </c>
    </row>
    <row r="262" spans="1:16" s="72" customFormat="1" ht="15.75" customHeight="1" x14ac:dyDescent="0.25">
      <c r="A262" s="92">
        <v>2</v>
      </c>
      <c r="B262" s="93"/>
      <c r="C262" s="49" t="s">
        <v>183</v>
      </c>
      <c r="D262" s="80">
        <f>((3.66*6.7+0.92*3.59+2.44*3.05+3.2*3.66+3.2*4.57+0.36*1.65+3.51*3.51+1.64*1.68+0.8*0.93+1.97*1.78+1.53*2.44+2.75*1.53+2.05*1.05+3.5*1.05)+(2.49*1.69+3.81*1.83))*(10.764)</f>
        <v>1146.0570732000001</v>
      </c>
      <c r="E262" s="49">
        <v>0</v>
      </c>
      <c r="F262" s="49">
        <f>D262*(($F$163)+1)+(IF(E262&lt;101,E262,IF(E262&lt;201,E262/2,IF(E262&lt;=301,E262/3,E262/4))))</f>
        <v>1833.6913171200003</v>
      </c>
      <c r="G262" s="101"/>
      <c r="H262" s="102"/>
      <c r="K262" s="76">
        <f>3.66*6.7+2.44*3.05+3.2*4.57+0.36*1.65+3.2*3.66+3.51*3.51+0.97*1.78+0.92*3.59+2.75*1.53+1.53*2.44+0.8*0.93+1.64*1.68+2.05*1.05+2.2*1.05</f>
        <v>92.145900000000026</v>
      </c>
      <c r="L262" s="76">
        <f>2.49*1.69+3.56*1.83</f>
        <v>10.722899999999999</v>
      </c>
      <c r="M262" s="76"/>
    </row>
    <row r="263" spans="1:16" s="72" customFormat="1" ht="15.75" customHeight="1" x14ac:dyDescent="0.25">
      <c r="A263" s="92">
        <v>3</v>
      </c>
      <c r="B263" s="93"/>
      <c r="C263" s="49" t="s">
        <v>199</v>
      </c>
      <c r="D263" s="80">
        <f>((3.66*6.05+1.15*3.04+3.05*2.44+1.98*2.34+1.05*0.9+4.27*3.2+2.39*1.53+0.6*2.04+1.05*1.04+3.03*3.36+1.3*0.6+1.53*2.44+1.2*1.65)+(2.44*1.53+1.37*2.44))*(10.764)</f>
        <v>883.14206759999979</v>
      </c>
      <c r="E263" s="49">
        <v>0</v>
      </c>
      <c r="F263" s="49">
        <f>D263*(($F$163)+1)+(IF(E263&lt;101,E263,IF(E263&lt;201,E263/2,IF(E263&lt;=301,E263/3,E263/4))))</f>
        <v>1413.0273081599998</v>
      </c>
      <c r="G263" s="101"/>
      <c r="H263" s="102"/>
      <c r="K263" s="76">
        <f>3.66*6.05+1.15*3.04+3.05*2.44+4.27*3.2+0.6*2.04+1.05*1.04+3.03*3.36+1.3*0.6+1.05*0.9+1.98*2.34+2.39*1.53+1.53*2.44</f>
        <v>72.989899999999992</v>
      </c>
      <c r="L263" s="76">
        <f>2.44*1.53</f>
        <v>3.7332000000000001</v>
      </c>
      <c r="M263" s="76"/>
    </row>
    <row r="264" spans="1:16" s="72" customFormat="1" ht="15.75" customHeight="1" x14ac:dyDescent="0.25">
      <c r="A264" s="92">
        <v>4</v>
      </c>
      <c r="B264" s="93"/>
      <c r="C264" s="49" t="s">
        <v>199</v>
      </c>
      <c r="D264" s="80">
        <f>((3.66*6.05+1.15*3.04+3.05*2.44+1.98*2.34+1.05*0.9+4.27*3.2+2.44*1.53+0.6*2.04+1.05*1.04+3.03*3.36+1.3*0.6+1.53*2.44+1.2*1.65)+(2.44*1.53+1.37*2.44))*(10.764)</f>
        <v>883.96551359999989</v>
      </c>
      <c r="E264" s="49">
        <v>0</v>
      </c>
      <c r="F264" s="49">
        <f>D264*(($F$163)+1)+(IF(E264&lt;101,E264,IF(E264&lt;201,E264/2,IF(E264&lt;=301,E264/3,E264/4))))</f>
        <v>1414.3448217599998</v>
      </c>
      <c r="G264" s="103"/>
      <c r="H264" s="104"/>
      <c r="K264" s="76">
        <f>3.66*6.05+1.15*3.04+3.05*2.44+4.27*3.2+0.6*2.04+1.05*1.04+3.03*3.36+1.3*0.6+1.05*0.9+1.98*2.34+2.39*1.53+1.53*2.44</f>
        <v>72.989899999999992</v>
      </c>
      <c r="L264" s="76">
        <f>2.44*1.53</f>
        <v>3.7332000000000001</v>
      </c>
      <c r="M264" s="76"/>
    </row>
    <row r="265" spans="1:16" s="74" customFormat="1" ht="32.25" customHeight="1" x14ac:dyDescent="0.25">
      <c r="A265" s="89" t="s">
        <v>258</v>
      </c>
      <c r="B265" s="90"/>
      <c r="C265" s="90"/>
      <c r="D265" s="90"/>
      <c r="E265" s="90"/>
      <c r="F265" s="90"/>
      <c r="G265" s="90"/>
      <c r="H265" s="91"/>
      <c r="I265" s="74">
        <v>1</v>
      </c>
      <c r="K265" s="76"/>
      <c r="L265" s="76"/>
      <c r="M265" s="76"/>
      <c r="P265" s="44"/>
    </row>
    <row r="266" spans="1:16" s="72" customFormat="1" ht="15.75" customHeight="1" x14ac:dyDescent="0.25">
      <c r="A266" s="92">
        <v>1</v>
      </c>
      <c r="B266" s="93"/>
      <c r="C266" s="49" t="s">
        <v>201</v>
      </c>
      <c r="D266" s="80">
        <f>((3.41*6.7+1.82*3.59+2.44*3.1+3.51*3.51+1.22*1.78+1.64*1.68+0.8*0.93+1.98*2.45+3.36*3.66+3.36*4.27+1.52*2.44+4.57*3.41+3.36*1.83+1.1*1.05+1.53*2.44+4.65*1.05+0.7)+(2.49*1.69+3.56*1.83))*(10.764)</f>
        <v>1432.3267295999997</v>
      </c>
      <c r="E266" s="49">
        <v>0</v>
      </c>
      <c r="F266" s="49">
        <f>D266*(($F$163)+1)+(IF(E266&lt;101,E266,IF(E266&lt;201,E266/2,IF(E266&lt;=301,E266/3,E266/4))))</f>
        <v>2291.7227673599996</v>
      </c>
      <c r="G266" s="99" t="str">
        <f>A265</f>
        <v>13th Floor For Residential (Part Refuge Area) (As per Approved plan)
14th Floor (As per builder)</v>
      </c>
      <c r="H266" s="100"/>
      <c r="K266" s="76">
        <f>3.41*6.7+2.44*3.1+4.57*3.41+3.36*4.27+3.36*3.66+3.51*3.51+1.82*3.59+1.98*2.45+3.36*1.83+1.1*1.05+1.52*2.44+1.53*2.44+1.64*1.68+1.22*1.78+1.05*4.9+0.8*0.93</f>
        <v>121.90599999999998</v>
      </c>
      <c r="L266" s="76">
        <f>2.49*1.69+3.56*1.83</f>
        <v>10.722899999999999</v>
      </c>
      <c r="M266" s="76"/>
    </row>
    <row r="267" spans="1:16" s="72" customFormat="1" ht="15.75" customHeight="1" x14ac:dyDescent="0.25">
      <c r="A267" s="92">
        <v>2</v>
      </c>
      <c r="B267" s="93"/>
      <c r="C267" s="49" t="s">
        <v>183</v>
      </c>
      <c r="D267" s="80">
        <f>((3.66*6.7+0.92*3.59+2.44*3.05+3.2*3.66+3.2*4.57+0.36*1.65+3.51*3.51+1.64*1.68+0.8*0.93+1.97*1.78+1.53*2.44+2.75*1.53+2.05*1.05+3.5*1.05)+(2.49*1.69+3.81*1.83))*(10.764)</f>
        <v>1146.0570732000001</v>
      </c>
      <c r="E267" s="49">
        <v>0</v>
      </c>
      <c r="F267" s="49">
        <f>D267*(($F$163)+1)+(IF(E267&lt;101,E267,IF(E267&lt;201,E267/2,IF(E267&lt;=301,E267/3,E267/4))))</f>
        <v>1833.6913171200003</v>
      </c>
      <c r="G267" s="101"/>
      <c r="H267" s="102"/>
      <c r="K267" s="76">
        <f>3.66*6.7+2.44*3.05+3.2*4.57+0.36*1.65+3.2*3.66+3.51*3.51+0.97*1.78+0.92*3.59+2.75*1.53+1.53*2.44+0.8*0.93+1.64*1.68+2.05*1.05+2.2*1.05</f>
        <v>92.145900000000026</v>
      </c>
      <c r="L267" s="76">
        <f>2.49*1.69+3.56*1.83</f>
        <v>10.722899999999999</v>
      </c>
      <c r="M267" s="76"/>
    </row>
    <row r="268" spans="1:16" s="72" customFormat="1" ht="15.75" customHeight="1" x14ac:dyDescent="0.25">
      <c r="A268" s="92">
        <v>3</v>
      </c>
      <c r="B268" s="93"/>
      <c r="C268" s="49" t="s">
        <v>199</v>
      </c>
      <c r="D268" s="80">
        <f>((3.66*6.05+1.15*3.04+3.05*2.44+1.98*2.34+1.05*0.9+4.27*3.2+2.39*1.53+0.6*2.04+1.05*1.04+3.03*3.36+1.3*0.6+1.53*2.44+1.2*1.65)+(2.44*1.53+1.37*2.44))*(10.764)</f>
        <v>883.14206759999979</v>
      </c>
      <c r="E268" s="49">
        <v>0</v>
      </c>
      <c r="F268" s="49">
        <f>D268*(($F$163)+1)+(IF(E268&lt;101,E268,IF(E268&lt;201,E268/2,IF(E268&lt;=301,E268/3,E268/4))))</f>
        <v>1413.0273081599998</v>
      </c>
      <c r="G268" s="101"/>
      <c r="H268" s="102"/>
      <c r="K268" s="76">
        <f>3.66*6.05+1.15*3.04+3.05*2.44+4.27*3.2+0.6*2.04+1.05*1.04+3.03*3.36+1.3*0.6+1.05*0.9+1.98*2.34+2.39*1.53+1.53*2.44</f>
        <v>72.989899999999992</v>
      </c>
      <c r="L268" s="76">
        <f>2.44*1.53</f>
        <v>3.7332000000000001</v>
      </c>
      <c r="M268" s="76"/>
    </row>
    <row r="269" spans="1:16" s="72" customFormat="1" ht="15.75" customHeight="1" x14ac:dyDescent="0.25">
      <c r="A269" s="92" t="s">
        <v>238</v>
      </c>
      <c r="B269" s="93"/>
      <c r="C269" s="92" t="s">
        <v>185</v>
      </c>
      <c r="D269" s="249"/>
      <c r="E269" s="249"/>
      <c r="F269" s="93"/>
      <c r="G269" s="103"/>
      <c r="H269" s="104"/>
      <c r="K269" s="76">
        <f>3.66*6.05+1.15*3.04+3.05*2.44+4.27*3.2+0.6*2.04+1.05*1.04+3.03*3.36+1.3*0.6+1.05*0.9+1.98*2.34+2.39*1.53+1.53*2.44</f>
        <v>72.989899999999992</v>
      </c>
      <c r="L269" s="76">
        <f>2.44*1.53</f>
        <v>3.7332000000000001</v>
      </c>
      <c r="M269" s="76"/>
    </row>
    <row r="270" spans="1:16" s="72" customFormat="1" ht="30.75" customHeight="1" x14ac:dyDescent="0.25">
      <c r="A270" s="98" t="s">
        <v>265</v>
      </c>
      <c r="B270" s="98"/>
      <c r="C270" s="98"/>
      <c r="D270" s="98"/>
      <c r="E270" s="98"/>
      <c r="F270" s="98"/>
      <c r="G270" s="98"/>
      <c r="H270" s="98"/>
      <c r="K270" s="76"/>
      <c r="L270" s="76"/>
      <c r="M270" s="76"/>
      <c r="P270" s="44"/>
    </row>
    <row r="271" spans="1:16" s="72" customFormat="1" ht="15.75" customHeight="1" x14ac:dyDescent="0.25">
      <c r="A271" s="88">
        <v>1</v>
      </c>
      <c r="B271" s="88"/>
      <c r="C271" s="49" t="s">
        <v>201</v>
      </c>
      <c r="D271" s="80">
        <f>((3.41*6.7+1.82*3.59+2.44*3.1+3.51*3.51+1.22*1.78+1.64*1.68+0.8*0.93+1.98*2.45+3.36*3.66+3.36*4.27+1.52*2.44+4.57*3.41+3.36*1.83+1.1*1.05+1.53*2.44+4.65*1.05+0.7)+(2.49*1.69+3.56*1.83))*(10.764)</f>
        <v>1432.3267295999997</v>
      </c>
      <c r="E271" s="49">
        <v>0</v>
      </c>
      <c r="F271" s="49">
        <f>D271*(($F$163)+1)+(IF(E271&lt;101,E271,IF(E271&lt;201,E271/2,IF(E271&lt;=301,E271/3,E271/4))))</f>
        <v>2291.7227673599996</v>
      </c>
      <c r="G271" s="88" t="str">
        <f>A270</f>
        <v>15th &amp; 16th Floor (As per Approved plan)
16th &amp; 17th Floor (As per builder)</v>
      </c>
      <c r="H271" s="88"/>
      <c r="K271" s="76">
        <f>3.41*6.7+2.44*3.1+4.57*3.41+3.36*4.27+3.36*3.66+3.51*3.51+1.82*3.59+1.98*2.45+3.36*1.83+1.1*1.05+1.52*2.44+1.53*2.44+1.64*1.68+1.22*1.78+1.05*4.9+0.8*0.93</f>
        <v>121.90599999999998</v>
      </c>
      <c r="L271" s="76">
        <f>2.49*1.69+3.56*1.83</f>
        <v>10.722899999999999</v>
      </c>
      <c r="M271" s="76"/>
    </row>
    <row r="272" spans="1:16" s="72" customFormat="1" ht="15.75" customHeight="1" x14ac:dyDescent="0.25">
      <c r="A272" s="88">
        <v>2</v>
      </c>
      <c r="B272" s="88"/>
      <c r="C272" s="49" t="s">
        <v>183</v>
      </c>
      <c r="D272" s="80">
        <f>((3.66*6.7+0.92*3.59+2.44*3.05+3.2*3.66+3.2*4.57+0.36*1.65+3.51*3.51+1.64*1.68+0.8*0.93+1.97*1.78+1.53*2.44+2.75*1.53+2.05*1.05+3.5*1.05)+(2.49*1.69+3.81*1.83))*(10.764)</f>
        <v>1146.0570732000001</v>
      </c>
      <c r="E272" s="49">
        <v>0</v>
      </c>
      <c r="F272" s="49">
        <f>D272*(($F$163)+1)+(IF(E272&lt;101,E272,IF(E272&lt;201,E272/2,IF(E272&lt;=301,E272/3,E272/4))))</f>
        <v>1833.6913171200003</v>
      </c>
      <c r="G272" s="88"/>
      <c r="H272" s="88"/>
      <c r="K272" s="76">
        <f>3.66*6.7+2.44*3.05+3.2*4.57+0.36*1.65+3.2*3.66+3.51*3.51+0.97*1.78+0.92*3.59+2.75*1.53+1.53*2.44+0.8*0.93+1.64*1.68+2.05*1.05+2.2*1.05</f>
        <v>92.145900000000026</v>
      </c>
      <c r="L272" s="76">
        <f>2.49*1.69+3.56*1.83</f>
        <v>10.722899999999999</v>
      </c>
      <c r="M272" s="76"/>
    </row>
    <row r="273" spans="1:16" s="72" customFormat="1" ht="15.75" customHeight="1" x14ac:dyDescent="0.25">
      <c r="A273" s="88">
        <v>3</v>
      </c>
      <c r="B273" s="88"/>
      <c r="C273" s="82" t="s">
        <v>201</v>
      </c>
      <c r="D273" s="83">
        <f>((3.66*6.05+4.2*2.44+1.98*2.34+1.15*1.05+1.05*1.29+4.27*3.2+0.6*2.04+2.39*1.53+3.03*3.36+3.03*2.21+3.06*3+0.6*2.01+3.13*1.84+4.27*3.2+2.44*1.53+0.6*2.04+1.57*0.2+1.22*1.78+2.78*2.94+1.22*2.44+1*1.8+3.16*1.8+1.53*2.44+7.85*1.05+1.3*0.6*2+0.35*1.93+1.2*1.8)+(2.44*(1.37+1.53+1.37+1.53)))*(10.764)</f>
        <v>1737.5377967999998</v>
      </c>
      <c r="E273" s="82">
        <v>0</v>
      </c>
      <c r="F273" s="82">
        <f>D273*(($F$163)+1)+(IF(E273&lt;101,E273,IF(E273&lt;201,E273/2,IF(E273&lt;=301,E273/3,E273/4))))</f>
        <v>2780.0604748799997</v>
      </c>
      <c r="G273" s="88"/>
      <c r="H273" s="88"/>
      <c r="K273" s="72">
        <f>(3.66*6.05+4.2*2.44+4.2*2.44+1.15*1.05+1.05*1.29+4.27*3.2+0.6*2.04+2.39*1.53+3.03*3.36+3.03*2.21+3.06*3+0.6*2.01+3.13*1.84+4.27*3.2+2.44*1.53+0.6*2.04+1.57*0.2+1.22*1.78+2.78*2.94+1.22*2.44+1*1.8+3.16*1.8+1.53*2.44+7.85*1.05+1.3*0.6*2+0.35*1.93+1.2*1.8)+(2.44*(1.37+1.53+1.37+1.53))</f>
        <v>167.036</v>
      </c>
      <c r="L273" s="76">
        <f>2.44*(1.37+1.53+1.37+1.53)</f>
        <v>14.152000000000001</v>
      </c>
      <c r="M273" s="76"/>
    </row>
    <row r="274" spans="1:16" s="72" customFormat="1" ht="31.5" customHeight="1" x14ac:dyDescent="0.25">
      <c r="A274" s="98" t="s">
        <v>266</v>
      </c>
      <c r="B274" s="98"/>
      <c r="C274" s="98"/>
      <c r="D274" s="98"/>
      <c r="E274" s="98"/>
      <c r="F274" s="98"/>
      <c r="G274" s="98"/>
      <c r="H274" s="98"/>
      <c r="K274" s="76"/>
      <c r="L274" s="76"/>
      <c r="M274" s="76"/>
      <c r="P274" s="44"/>
    </row>
    <row r="275" spans="1:16" s="72" customFormat="1" ht="15.75" customHeight="1" x14ac:dyDescent="0.25">
      <c r="A275" s="92">
        <v>1</v>
      </c>
      <c r="B275" s="93"/>
      <c r="C275" s="49" t="s">
        <v>201</v>
      </c>
      <c r="D275" s="80">
        <f>((3.41*6.7+1.82*3.59+2.44*3.1+3.51*3.51+1.22*1.78+1.64*1.68+0.8*0.93+1.98*2.45+3.36*3.66+3.36*4.27+1.52*2.44+4.57*3.41+3.36*1.83+1.1*1.05+1.53*2.44+4.65*1.05+0.7)+(2.49*1.69+3.56*1.83))*(10.764)</f>
        <v>1432.3267295999997</v>
      </c>
      <c r="E275" s="49">
        <v>0</v>
      </c>
      <c r="F275" s="49">
        <f>D275*(($F$163)+1)+(IF(E275&lt;101,E275,IF(E275&lt;201,E275/2,IF(E275&lt;=301,E275/3,E275/4))))</f>
        <v>2291.7227673599996</v>
      </c>
      <c r="G275" s="99" t="str">
        <f>A274</f>
        <v>17th Floor (As per Approved plan)
18th Floor (As per builder)</v>
      </c>
      <c r="H275" s="100"/>
      <c r="K275" s="76">
        <f>3.41*6.7+2.44*3.1+4.57*3.41+3.36*4.27+3.36*3.66+3.51*3.51+1.82*3.59+1.98*2.45+3.36*1.83+1.1*1.05+1.52*2.44+1.53*2.44+1.64*1.68+1.22*1.78+1.05*4.9+0.8*0.93</f>
        <v>121.90599999999998</v>
      </c>
      <c r="L275" s="76">
        <f>2.49*1.69+3.56*1.83</f>
        <v>10.722899999999999</v>
      </c>
      <c r="M275" s="76"/>
    </row>
    <row r="276" spans="1:16" s="72" customFormat="1" ht="15.75" customHeight="1" x14ac:dyDescent="0.25">
      <c r="A276" s="92">
        <v>2</v>
      </c>
      <c r="B276" s="93"/>
      <c r="C276" s="49" t="s">
        <v>183</v>
      </c>
      <c r="D276" s="80">
        <f>((3.66*6.7+0.92*3.59+2.44*3.05+3.2*3.66+3.2*4.57+0.36*1.65+3.51*3.51+1.64*1.68+0.8*0.93+1.97*1.78+1.53*2.44+2.75*1.53+2.05*1.05+3.5*1.05)+(2.49*1.69+3.81*1.83))*(10.764)</f>
        <v>1146.0570732000001</v>
      </c>
      <c r="E276" s="49">
        <v>0</v>
      </c>
      <c r="F276" s="49">
        <f>D276*(($F$163)+1)+(IF(E276&lt;101,E276,IF(E276&lt;201,E276/2,IF(E276&lt;=301,E276/3,E276/4))))</f>
        <v>1833.6913171200003</v>
      </c>
      <c r="G276" s="101"/>
      <c r="H276" s="102"/>
      <c r="K276" s="76">
        <f>3.66*6.7+2.44*3.05+3.2*4.57+0.36*1.65+3.2*3.66+3.51*3.51+0.97*1.78+0.92*3.59+2.75*1.53+1.53*2.44+0.8*0.93+1.64*1.68+2.05*1.05+2.2*1.05</f>
        <v>92.145900000000026</v>
      </c>
      <c r="L276" s="76">
        <f>2.49*1.69+3.56*1.83</f>
        <v>10.722899999999999</v>
      </c>
      <c r="M276" s="76"/>
    </row>
    <row r="277" spans="1:16" s="72" customFormat="1" ht="15.75" customHeight="1" x14ac:dyDescent="0.25">
      <c r="A277" s="92">
        <v>3</v>
      </c>
      <c r="B277" s="93"/>
      <c r="C277" s="49" t="s">
        <v>199</v>
      </c>
      <c r="D277" s="80">
        <f>((3.66*6.05+1.15*3.04+3.05*2.44+1.98*2.34+1.05*0.9+4.27*3.2+2.39*1.53+0.6*2.04+1.05*1.04+3.03*3.36+1.3*0.6+1.53*2.44+1.2*1.65)+(2.44*1.53+1.37*2.44))*(10.764)</f>
        <v>883.14206759999979</v>
      </c>
      <c r="E277" s="49">
        <v>0</v>
      </c>
      <c r="F277" s="49">
        <f>D277*(($F$163)+1)+(IF(E277&lt;101,E277,IF(E277&lt;201,E277/2,IF(E277&lt;=301,E277/3,E277/4))))</f>
        <v>1413.0273081599998</v>
      </c>
      <c r="G277" s="101"/>
      <c r="H277" s="102"/>
      <c r="K277" s="76">
        <f>3.66*6.05+1.15*3.04+3.05*2.44+4.27*3.2+0.6*2.04+1.05*1.04+3.03*3.36+1.3*0.6+1.05*0.9+1.98*2.34+2.39*1.53+1.53*2.44</f>
        <v>72.989899999999992</v>
      </c>
      <c r="L277" s="76">
        <f>2.44*1.53</f>
        <v>3.7332000000000001</v>
      </c>
      <c r="M277" s="76"/>
    </row>
    <row r="278" spans="1:16" s="72" customFormat="1" ht="15.75" customHeight="1" x14ac:dyDescent="0.25">
      <c r="A278" s="92">
        <v>4</v>
      </c>
      <c r="B278" s="93"/>
      <c r="C278" s="49" t="s">
        <v>199</v>
      </c>
      <c r="D278" s="80">
        <f>((3.66*6.05+1.15*3.04+3.05*2.44+1.98*2.34+1.05*0.9+4.27*3.2+2.44*1.53+0.6*2.04+1.05*1.04+3.03*3.36+1.3*0.6+1.53*2.44+1.2*1.65)+(2.44*1.53+1.37*2.44))*(10.764)</f>
        <v>883.96551359999989</v>
      </c>
      <c r="E278" s="49">
        <v>0</v>
      </c>
      <c r="F278" s="49">
        <f>D278*(($F$163)+1)+(IF(E278&lt;101,E278,IF(E278&lt;201,E278/2,IF(E278&lt;=301,E278/3,E278/4))))</f>
        <v>1414.3448217599998</v>
      </c>
      <c r="G278" s="103"/>
      <c r="H278" s="104"/>
      <c r="K278" s="76">
        <f>3.66*6.05+1.15*3.04+3.05*2.44+4.27*3.2+0.6*2.04+1.05*1.04+3.03*3.36+1.3*0.6+1.05*0.9+1.98*2.34+2.39*1.53+1.53*2.44</f>
        <v>72.989899999999992</v>
      </c>
      <c r="L278" s="76">
        <f>2.44*1.53</f>
        <v>3.7332000000000001</v>
      </c>
      <c r="M278" s="76"/>
    </row>
    <row r="279" spans="1:16" s="72" customFormat="1" ht="31.5" customHeight="1" x14ac:dyDescent="0.25">
      <c r="A279" s="89" t="s">
        <v>260</v>
      </c>
      <c r="B279" s="90"/>
      <c r="C279" s="90"/>
      <c r="D279" s="90"/>
      <c r="E279" s="90"/>
      <c r="F279" s="90"/>
      <c r="G279" s="90"/>
      <c r="H279" s="91"/>
      <c r="K279" s="76"/>
      <c r="L279" s="76"/>
      <c r="M279" s="76"/>
      <c r="P279" s="44"/>
    </row>
    <row r="280" spans="1:16" s="72" customFormat="1" ht="15.75" customHeight="1" x14ac:dyDescent="0.25">
      <c r="A280" s="92">
        <v>1</v>
      </c>
      <c r="B280" s="93"/>
      <c r="C280" s="49" t="s">
        <v>201</v>
      </c>
      <c r="D280" s="80">
        <f>((3.41*6.7+1.82*3.59+2.44*3.1+3.51*3.51+1.22*1.78+1.64*1.68+0.8*0.93+1.98*2.45+3.36*3.66+3.36*4.27+1.52*2.44+4.57*3.41+3.36*1.83+1.1*1.05+1.53*2.44+4.65*1.05+0.7)+(2.49*1.69+3.56*1.83))*(10.764)</f>
        <v>1432.3267295999997</v>
      </c>
      <c r="E280" s="49">
        <v>0</v>
      </c>
      <c r="F280" s="49">
        <f>D280*(($F$163)+1)+(IF(E280&lt;101,E280,IF(E280&lt;201,E280/2,IF(E280&lt;=301,E280/3,E280/4))))</f>
        <v>2291.7227673599996</v>
      </c>
      <c r="G280" s="99" t="str">
        <f>A279</f>
        <v>18th Floor (As per Approved plan)
19th Floor (As per builder)</v>
      </c>
      <c r="H280" s="100"/>
      <c r="K280" s="76">
        <f>3.41*6.7+2.44*3.1+4.57*3.41+3.36*4.27+3.36*3.66+3.51*3.51+1.82*3.59+1.98*2.45+3.36*1.83+1.1*1.05+1.52*2.44+1.53*2.44+1.64*1.68+1.22*1.78+1.05*4.9+0.8*0.93</f>
        <v>121.90599999999998</v>
      </c>
      <c r="L280" s="76">
        <f>2.49*1.69+3.56*1.83</f>
        <v>10.722899999999999</v>
      </c>
      <c r="M280" s="76"/>
    </row>
    <row r="281" spans="1:16" s="72" customFormat="1" ht="15.75" customHeight="1" x14ac:dyDescent="0.25">
      <c r="A281" s="92">
        <v>2</v>
      </c>
      <c r="B281" s="93"/>
      <c r="C281" s="49" t="s">
        <v>183</v>
      </c>
      <c r="D281" s="80">
        <f>((3.66*6.7+0.92*3.59+2.44*3.05+3.2*3.66+3.2*4.57+0.36*1.65+3.51*3.51+1.64*1.68+0.8*0.93+1.97*1.78+1.53*2.44+2.75*1.53+2.05*1.05+3.5*1.05)+(2.49*1.69+3.81*1.83))*(10.764)</f>
        <v>1146.0570732000001</v>
      </c>
      <c r="E281" s="49">
        <v>0</v>
      </c>
      <c r="F281" s="49">
        <f>D281*(($F$163)+1)+(IF(E281&lt;101,E281,IF(E281&lt;201,E281/2,IF(E281&lt;=301,E281/3,E281/4))))</f>
        <v>1833.6913171200003</v>
      </c>
      <c r="G281" s="101"/>
      <c r="H281" s="102"/>
      <c r="K281" s="76">
        <f>3.66*6.7+2.44*3.05+3.2*4.57+0.36*1.65+3.2*3.66+3.51*3.51+0.97*1.78+0.92*3.59+2.75*1.53+1.53*2.44+0.8*0.93+1.64*1.68+2.05*1.05+2.2*1.05</f>
        <v>92.145900000000026</v>
      </c>
      <c r="L281" s="76">
        <f>2.49*1.69+3.56*1.83</f>
        <v>10.722899999999999</v>
      </c>
      <c r="M281" s="76"/>
    </row>
    <row r="282" spans="1:16" s="72" customFormat="1" ht="15.75" customHeight="1" x14ac:dyDescent="0.25">
      <c r="A282" s="92">
        <v>3</v>
      </c>
      <c r="B282" s="93"/>
      <c r="C282" s="49" t="s">
        <v>199</v>
      </c>
      <c r="D282" s="80">
        <f>((3.66*6.05+1.15*3.04+3.05*2.44+1.98*2.34+1.05*0.9+4.27*3.2+2.39*1.53+0.6*2.04+1.05*1.04+3.03*3.36+1.3*0.6+1.53*2.44+1.2*1.65)+(2.44*1.53+1.37*2.44))*(10.764)</f>
        <v>883.14206759999979</v>
      </c>
      <c r="E282" s="49">
        <v>0</v>
      </c>
      <c r="F282" s="49">
        <f>D282*(($F$163)+1)+(IF(E282&lt;101,E282,IF(E282&lt;201,E282/2,IF(E282&lt;=301,E282/3,E282/4))))</f>
        <v>1413.0273081599998</v>
      </c>
      <c r="G282" s="101"/>
      <c r="H282" s="102"/>
      <c r="K282" s="76">
        <f>3.66*6.05+1.15*3.04+3.05*2.44+4.27*3.2+0.6*2.04+1.05*1.04+3.03*3.36+1.3*0.6+1.05*0.9+1.98*2.34+2.39*1.53+1.53*2.44</f>
        <v>72.989899999999992</v>
      </c>
      <c r="L282" s="76">
        <f>2.44*1.53</f>
        <v>3.7332000000000001</v>
      </c>
      <c r="M282" s="76"/>
    </row>
    <row r="283" spans="1:16" s="72" customFormat="1" ht="15.75" customHeight="1" x14ac:dyDescent="0.25">
      <c r="A283" s="92">
        <v>4</v>
      </c>
      <c r="B283" s="93"/>
      <c r="C283" s="49" t="s">
        <v>199</v>
      </c>
      <c r="D283" s="80">
        <f>((3.66*6.05+1.15*3.04+3.05*2.44+1.98*2.34+1.05*0.9+4.27*3.2+2.44*1.53+0.6*2.04+1.05*1.04+3.03*3.36+1.3*0.6+1.53*2.44+1.2*1.65)+(2.44*1.53+1.37*2.44))*(10.764)</f>
        <v>883.96551359999989</v>
      </c>
      <c r="E283" s="49">
        <v>0</v>
      </c>
      <c r="F283" s="49">
        <f>D283*(($F$163)+1)+(IF(E283&lt;101,E283,IF(E283&lt;201,E283/2,IF(E283&lt;=301,E283/3,E283/4))))</f>
        <v>1414.3448217599998</v>
      </c>
      <c r="G283" s="103"/>
      <c r="H283" s="104"/>
      <c r="K283" s="76">
        <f>3.66*6.05+1.15*3.04+3.05*2.44+4.27*3.2+0.6*2.04+1.05*1.04+3.03*3.36+1.3*0.6+1.05*0.9+1.98*2.34+2.39*1.53+1.53*2.44</f>
        <v>72.989899999999992</v>
      </c>
      <c r="L283" s="76">
        <f>2.44*1.53</f>
        <v>3.7332000000000001</v>
      </c>
      <c r="M283" s="76"/>
    </row>
    <row r="284" spans="1:16" s="72" customFormat="1" ht="33.75" customHeight="1" x14ac:dyDescent="0.25">
      <c r="A284" s="257" t="s">
        <v>261</v>
      </c>
      <c r="B284" s="258"/>
      <c r="C284" s="258"/>
      <c r="D284" s="258"/>
      <c r="E284" s="258"/>
      <c r="F284" s="258"/>
      <c r="G284" s="258"/>
      <c r="H284" s="259"/>
      <c r="K284" s="76"/>
      <c r="L284" s="76"/>
      <c r="M284" s="76"/>
      <c r="P284" s="44"/>
    </row>
    <row r="285" spans="1:16" s="72" customFormat="1" ht="15.75" customHeight="1" x14ac:dyDescent="0.25">
      <c r="A285" s="250">
        <v>1</v>
      </c>
      <c r="B285" s="251"/>
      <c r="C285" s="82" t="s">
        <v>201</v>
      </c>
      <c r="D285" s="80">
        <f>((3.41*6.7+1.82*3.59+2.44*3.1+3.51*3.51+1.22*1.78+1.64*1.68+0.8*0.93+1.98*2.45+3.36*3.66+3.36*4.27+1.52*2.44+4.57*3.41+3.36*1.83+1.1*1.05+1.53*2.44+4.65*1.05+0.7)+(2.49*1.69+3.56*1.83))*(10.764)</f>
        <v>1432.3267295999997</v>
      </c>
      <c r="E285" s="82">
        <v>0</v>
      </c>
      <c r="F285" s="82">
        <f>D285*(($F$163)+1)+(IF(E285&lt;101,E285,IF(E285&lt;201,E285/2,IF(E285&lt;=301,E285/3,E285/4))))</f>
        <v>2291.7227673599996</v>
      </c>
      <c r="G285" s="260" t="str">
        <f>A284</f>
        <v>19th Floor (As per Approved plan)
20th Floor (As per builder)</v>
      </c>
      <c r="H285" s="261"/>
      <c r="K285" s="76">
        <f>3.41*6.7+2.44*3.1+4.57*3.41+3.36*4.27+3.36*3.66+3.51*3.51+1.82*3.59+1.98*2.45+3.36*1.83+1.1*1.05+1.52*2.44+1.53*2.44+1.64*1.68+1.22*1.78+1.05*4.9+0.8*0.93</f>
        <v>121.90599999999998</v>
      </c>
      <c r="L285" s="76">
        <f>2.49*1.69+3.56*1.83</f>
        <v>10.722899999999999</v>
      </c>
      <c r="M285" s="76"/>
    </row>
    <row r="286" spans="1:16" s="72" customFormat="1" ht="47.25" x14ac:dyDescent="0.25">
      <c r="A286" s="250">
        <v>2</v>
      </c>
      <c r="B286" s="251"/>
      <c r="C286" s="82" t="s">
        <v>254</v>
      </c>
      <c r="D286" s="80">
        <f>((3.66*3.01+1.93*3.69+3.51*3.81+2.96*1.53+0.8*0.93+2.54*4.3+2*1.05+3.2*3.66+3.2*4.57+0.36*1.65+1.9*1.05+2.75*1.53+1.25*1.05+1.53*2.44+2.6*2.5)+(3.66*4.16+3.51*3.51+2.7*1.77+0.35*1.7+0.8*0.93+1.93*2.54+4.7*1.05+2.44*3.15+1.75*1.86+1.75*1.7+1*1.5+4.85*3.97+3.56*0.6+0.56*1.05+2.75*1.53+1.53*2.44+3.1*1.05)+(2.49*1.69*2+3.81*1.83*2))*(10.764)</f>
        <v>2248.9903331999999</v>
      </c>
      <c r="E286" s="82">
        <v>0</v>
      </c>
      <c r="F286" s="82">
        <f>D286*(($F$163)+1)+(IF(E286&lt;101,E286,IF(E286&lt;201,E286/2,IF(E286&lt;=301,E286/3,E286/4))))</f>
        <v>3598.38453312</v>
      </c>
      <c r="G286" s="262"/>
      <c r="H286" s="263"/>
      <c r="J286" s="72">
        <f>(3.66*4.16+3.51*3.51+2.7*1.77+0.35*1.7+0.8*0.93+1.93*2.54+4.7*1.05+2.44*3.15+1.75*1.86+1.75*1.7+1*1.5+4.85*3.97+3.56*0.6+0.56*1.05+2.75*1.53+1.53*2.44+3.1*1.05)</f>
        <v>92.091099999999983</v>
      </c>
      <c r="K286" s="72">
        <f>(3.66*3.01+1.93*3.69+3.51*3.81+2.96*1.53+0.8*0.93+2.54*4.3+2*1.05+3.2*3.66+3.2*4.57+0.36*1.65+1.9*1.05+2.75*1.53+1.25*1.05+1.53*2.44+2.6*2.5)+(3.66*4.16+3.51*3.51+2.7*1.77+0.35*1.7+0.8*0.93+1.93*2.54+4.7*1.05+2.44*3.15+1.75*1.86+1.75*1.7+1*1.5+4.85*3.97+3.56*0.6+0.56*1.05+2.75*1.53+1.53*2.44+3.1*1.05)</f>
        <v>186.57549999999998</v>
      </c>
      <c r="L286" s="76">
        <f>2.49*1.69+3.81*1.83</f>
        <v>11.180400000000001</v>
      </c>
      <c r="M286" s="78" t="s">
        <v>235</v>
      </c>
    </row>
    <row r="287" spans="1:16" s="72" customFormat="1" ht="15.75" customHeight="1" x14ac:dyDescent="0.25">
      <c r="A287" s="250">
        <v>3</v>
      </c>
      <c r="B287" s="251"/>
      <c r="C287" s="82" t="s">
        <v>199</v>
      </c>
      <c r="D287" s="80">
        <f>((3.66*6.05+1.15*3.04+3.05*2.44+1.98*2.34+1.05*0.9+4.27*3.2+2.39*1.53+0.6*2.04+1.05*1.04+3.03*3.36+1.3*0.6+1.53*2.44+1.2*1.65)+(2.44*1.53+1.37*2.44))*(10.764)</f>
        <v>883.14206759999979</v>
      </c>
      <c r="E287" s="82">
        <v>0</v>
      </c>
      <c r="F287" s="82">
        <f>D287*(($F$163)+1)+(IF(E287&lt;101,E287,IF(E287&lt;201,E287/2,IF(E287&lt;=301,E287/3,E287/4))))</f>
        <v>1413.0273081599998</v>
      </c>
      <c r="G287" s="262"/>
      <c r="H287" s="263"/>
      <c r="K287" s="76">
        <f>3.66*6.05+1.15*3.04+3.05*2.44+4.27*3.2+0.6*2.04+1.05*1.04+3.03*3.36+1.3*0.6+1.05*0.9+1.98*2.34+2.39*1.53+1.53*2.44</f>
        <v>72.989899999999992</v>
      </c>
      <c r="L287" s="76">
        <f>2.44*1.53</f>
        <v>3.7332000000000001</v>
      </c>
      <c r="M287" s="76"/>
    </row>
    <row r="288" spans="1:16" s="72" customFormat="1" ht="15.75" customHeight="1" x14ac:dyDescent="0.25">
      <c r="A288" s="250">
        <v>4</v>
      </c>
      <c r="B288" s="251"/>
      <c r="C288" s="82" t="s">
        <v>199</v>
      </c>
      <c r="D288" s="80">
        <f>((3.66*6.05+1.15*3.04+3.05*2.44+1.98*2.34+1.05*0.9+4.27*3.2+2.44*1.53+0.6*2.04+1.05*1.04+3.03*3.36+1.3*0.6+1.53*2.44+1.2*1.65)+(2.44*1.53+1.37*2.44))*(10.764)</f>
        <v>883.96551359999989</v>
      </c>
      <c r="E288" s="82">
        <v>0</v>
      </c>
      <c r="F288" s="82">
        <f>D288*(($F$163)+1)+(IF(E288&lt;101,E288,IF(E288&lt;201,E288/2,IF(E288&lt;=301,E288/3,E288/4))))</f>
        <v>1414.3448217599998</v>
      </c>
      <c r="G288" s="264"/>
      <c r="H288" s="265"/>
      <c r="K288" s="76">
        <f>3.66*6.05+1.15*3.04+3.05*2.44+4.27*3.2+0.6*2.04+1.05*1.04+3.03*3.36+1.3*0.6+1.05*0.9+1.98*2.34+2.39*1.53+1.53*2.44</f>
        <v>72.989899999999992</v>
      </c>
      <c r="L288" s="76">
        <f>2.44*1.53</f>
        <v>3.7332000000000001</v>
      </c>
      <c r="M288" s="76"/>
    </row>
    <row r="289" spans="1:16" s="72" customFormat="1" ht="31.5" customHeight="1" x14ac:dyDescent="0.25">
      <c r="A289" s="89" t="s">
        <v>262</v>
      </c>
      <c r="B289" s="90"/>
      <c r="C289" s="90"/>
      <c r="D289" s="90"/>
      <c r="E289" s="90"/>
      <c r="F289" s="90"/>
      <c r="G289" s="90"/>
      <c r="H289" s="91"/>
      <c r="K289" s="76"/>
      <c r="L289" s="76"/>
      <c r="M289" s="76"/>
      <c r="P289" s="44"/>
    </row>
    <row r="290" spans="1:16" s="72" customFormat="1" ht="15.75" customHeight="1" x14ac:dyDescent="0.25">
      <c r="A290" s="92">
        <v>1</v>
      </c>
      <c r="B290" s="93"/>
      <c r="C290" s="82" t="s">
        <v>201</v>
      </c>
      <c r="D290" s="80">
        <f>((3.41*6.7+1.82*3.59+2.44*3.1+3.51*3.51+1.22*1.78+1.64*1.68+0.8*0.93+1.98*2.45+3.36*3.66+3.36*4.27+1.52*2.44+4.57*3.41+3.36*1.83+1.1*1.05+1.53*2.44+4.65*1.05+0.7)+(2.49*1.69+3.56*1.83))*(10.764)</f>
        <v>1432.3267295999997</v>
      </c>
      <c r="E290" s="49">
        <v>0</v>
      </c>
      <c r="F290" s="49">
        <f>D290*(($F$163)+1)+(IF(E290&lt;101,E290,IF(E290&lt;201,E290/2,IF(E290&lt;=301,E290/3,E290/4))))</f>
        <v>2291.7227673599996</v>
      </c>
      <c r="G290" s="99" t="str">
        <f>A289</f>
        <v>20th Floor (As per Approved plan)
21st Floor (As per builder)</v>
      </c>
      <c r="H290" s="100"/>
      <c r="K290" s="76">
        <f>3.41*6.7+2.44*3.1+4.57*3.41+3.36*4.27+3.36*3.66+3.51*3.51+1.82*3.59+1.98*2.45+3.36*1.83+1.1*1.05+1.52*2.44+1.53*2.44+1.64*1.68+1.22*1.78+1.05*4.9+0.8*0.93</f>
        <v>121.90599999999998</v>
      </c>
      <c r="L290" s="76">
        <f>2.49*1.69+3.56*1.83</f>
        <v>10.722899999999999</v>
      </c>
      <c r="M290" s="76"/>
    </row>
    <row r="291" spans="1:16" s="72" customFormat="1" ht="15.75" customHeight="1" x14ac:dyDescent="0.25">
      <c r="A291" s="92">
        <v>2</v>
      </c>
      <c r="B291" s="93"/>
      <c r="C291" s="250" t="s">
        <v>255</v>
      </c>
      <c r="D291" s="266"/>
      <c r="E291" s="266"/>
      <c r="F291" s="251"/>
      <c r="G291" s="101"/>
      <c r="H291" s="102"/>
      <c r="K291" s="76">
        <f>3.66*4.16+2.44*3.15+4.85*3.97+2.05*1.05+0.56*1.05+3.56*0.6+3.9*2.05+3.66*6.7+1.75*1.86+3.51*3.51+0.8*0.93+2.7*1.77+0.35*3.1+1.93*2.54+2.65*1.05+1.05*3+2.75*1.53+1.53*2.44</f>
        <v>120.51809999999998</v>
      </c>
      <c r="L291" s="76">
        <f>2.49*1.69+3.81*1.83</f>
        <v>11.180400000000001</v>
      </c>
      <c r="M291" s="78"/>
    </row>
    <row r="292" spans="1:16" s="72" customFormat="1" ht="31.5" x14ac:dyDescent="0.25">
      <c r="A292" s="92">
        <v>3</v>
      </c>
      <c r="B292" s="93"/>
      <c r="C292" s="82" t="s">
        <v>263</v>
      </c>
      <c r="D292" s="80">
        <f>((1.25*2.49+5.75*2.44+1.17*2.44+6.99*1.5+3.13*0.94+3.66*2.16+1.57*3.4+2.7*3.1+0.6*2.04+2.39*1.53+1.93*0.35+3.03*3.35+1.53*2.44+3.03*3.35+1.93*0.35153*2.44+1.25*2.49+8.43*2.44+3.86*1.5+1.57*5.84+1.56*2.44+2.7*3.2+3.86*1.5+3.66*2.16+0.6*2.04+2.44*1.53+1.2*1.8+1.3*0.6*2)+(2.44*1.53*2+1.37*2.44))*(10.764)</f>
        <v>1835.8306091180639</v>
      </c>
      <c r="E292" s="82">
        <v>0</v>
      </c>
      <c r="F292" s="82">
        <f>D292*(($F$163)+1)+(IF(E292&lt;101,E292,IF(E292&lt;201,E292/2,IF(E292&lt;=301,E292/3,E292/4))))</f>
        <v>2937.3289745889024</v>
      </c>
      <c r="G292" s="101"/>
      <c r="H292" s="102"/>
      <c r="K292" s="76">
        <f>(1.25*2.49+5.75*2.44+1.17*2.44+6.99*1.5+3.13*0.94+3.66*2.16+1.57*3.4+2.7*3.1+0.6*2.04+2.39*1.53+1.93*0.35+3.03*3.35+1.53*2.44+3.03*3.35+1.93*0.35153*2.44+1.25*2.49+8.43*2.44+3.86*1.5+1.57*5.84+1.56*2.44+2.7*3.2+3.86*1.5+3.66*2.16+0.6*2.04+2.44*1.53+1.2*1.8+1.3*0.6*2)+(2.44*1.53*2+1.37*2.44)</f>
        <v>170.552825076</v>
      </c>
      <c r="L292" s="76">
        <f>2.44*1.53*2+1.37*2.44</f>
        <v>10.809200000000001</v>
      </c>
      <c r="M292" s="76"/>
    </row>
    <row r="293" spans="1:16" s="72" customFormat="1" ht="15.75" hidden="1" customHeight="1" x14ac:dyDescent="0.25">
      <c r="A293" s="92">
        <v>4</v>
      </c>
      <c r="B293" s="93"/>
      <c r="C293" s="81" t="s">
        <v>199</v>
      </c>
      <c r="D293" s="81">
        <f>(79.5+2.44*1.53+1.37*2.44)*10.764</f>
        <v>931.90406399999983</v>
      </c>
      <c r="E293" s="81">
        <v>0</v>
      </c>
      <c r="F293" s="81">
        <f>D293*(($F$163)+1)+(IF(E293&lt;101,E293,IF(E293&lt;201,E293/2,IF(E293&lt;=301,E293/3,E293/4))))</f>
        <v>1491.0465023999998</v>
      </c>
      <c r="G293" s="103"/>
      <c r="H293" s="104"/>
      <c r="K293" s="76">
        <f>3.66*6.05+1.15*3.04+3.05*2.44+4.27*3.2+0.6*2.04+1.05*1.04+3.03*3.36+1.3*0.6+1.05*0.9+1.98*2.34+2.39*1.53+1.53*2.44</f>
        <v>72.989899999999992</v>
      </c>
      <c r="L293" s="76">
        <f>2.44*1.53</f>
        <v>3.7332000000000001</v>
      </c>
      <c r="M293" s="76"/>
    </row>
    <row r="294" spans="1:16" s="42" customFormat="1" x14ac:dyDescent="0.25">
      <c r="A294" s="199" t="s">
        <v>71</v>
      </c>
      <c r="B294" s="200"/>
      <c r="C294" s="200"/>
      <c r="D294" s="200"/>
      <c r="E294" s="200"/>
      <c r="F294" s="200"/>
      <c r="G294" s="200"/>
      <c r="H294" s="201"/>
    </row>
    <row r="295" spans="1:16" s="42" customFormat="1" ht="15.75" customHeight="1" x14ac:dyDescent="0.25">
      <c r="A295" s="54" t="s">
        <v>158</v>
      </c>
      <c r="B295" s="95" t="s">
        <v>223</v>
      </c>
      <c r="C295" s="96"/>
      <c r="D295" s="96"/>
      <c r="E295" s="96"/>
      <c r="F295" s="96"/>
      <c r="G295" s="96"/>
      <c r="H295" s="97"/>
    </row>
    <row r="296" spans="1:16" s="42" customFormat="1" ht="15.75" customHeight="1" x14ac:dyDescent="0.25">
      <c r="A296" s="54" t="s">
        <v>158</v>
      </c>
      <c r="B296" s="95" t="str">
        <f>(IF(F162="Saleable area Loading :","We have considered Saleable area of Flats as per our Calculation.","We considered Saleable area of Flat as per Builder area Sheet."))</f>
        <v>We have considered Saleable area of Flats as per our Calculation.</v>
      </c>
      <c r="C296" s="96"/>
      <c r="D296" s="96"/>
      <c r="E296" s="96"/>
      <c r="F296" s="96"/>
      <c r="G296" s="96"/>
      <c r="H296" s="97"/>
    </row>
    <row r="297" spans="1:16" s="42" customFormat="1" ht="15.75" customHeight="1" x14ac:dyDescent="0.25">
      <c r="A297" s="54" t="s">
        <v>158</v>
      </c>
      <c r="B297" s="95" t="str">
        <f>(IF(F121="Saleable area Loading :","We have considered Saleable area of Commercial as per our Calculation.","We considered Saleable area of Commercial as per Builder area Sheet."))</f>
        <v>We have considered Saleable area of Commercial as per our Calculation.</v>
      </c>
      <c r="C297" s="96"/>
      <c r="D297" s="96"/>
      <c r="E297" s="96"/>
      <c r="F297" s="96"/>
      <c r="G297" s="96"/>
      <c r="H297" s="97"/>
    </row>
    <row r="298" spans="1:16" s="42" customFormat="1" ht="15.75" customHeight="1" x14ac:dyDescent="0.25">
      <c r="A298" s="54" t="s">
        <v>158</v>
      </c>
      <c r="B298" s="176" t="s">
        <v>129</v>
      </c>
      <c r="C298" s="177"/>
      <c r="D298" s="177"/>
      <c r="E298" s="177"/>
      <c r="F298" s="177"/>
      <c r="G298" s="177"/>
      <c r="H298" s="178"/>
    </row>
    <row r="299" spans="1:16" s="42" customFormat="1" ht="15.75" customHeight="1" x14ac:dyDescent="0.25">
      <c r="A299" s="54" t="s">
        <v>158</v>
      </c>
      <c r="B299" s="176" t="s">
        <v>187</v>
      </c>
      <c r="C299" s="177"/>
      <c r="D299" s="177"/>
      <c r="E299" s="177"/>
      <c r="F299" s="177"/>
      <c r="G299" s="177"/>
      <c r="H299" s="178"/>
    </row>
    <row r="300" spans="1:16" s="42" customFormat="1" ht="15.75" customHeight="1" x14ac:dyDescent="0.25">
      <c r="A300" s="54" t="s">
        <v>158</v>
      </c>
      <c r="B300" s="176" t="s">
        <v>157</v>
      </c>
      <c r="C300" s="177"/>
      <c r="D300" s="177"/>
      <c r="E300" s="177"/>
      <c r="F300" s="177"/>
      <c r="G300" s="177"/>
      <c r="H300" s="178"/>
    </row>
    <row r="301" spans="1:16" s="42" customFormat="1" ht="15.75" customHeight="1" x14ac:dyDescent="0.25">
      <c r="A301" s="54" t="s">
        <v>158</v>
      </c>
      <c r="B301" s="176" t="s">
        <v>130</v>
      </c>
      <c r="C301" s="177"/>
      <c r="D301" s="177"/>
      <c r="E301" s="177"/>
      <c r="F301" s="177"/>
      <c r="G301" s="177"/>
      <c r="H301" s="178"/>
    </row>
    <row r="302" spans="1:16" s="42" customFormat="1" ht="32.25" customHeight="1" x14ac:dyDescent="0.25">
      <c r="A302" s="54" t="s">
        <v>158</v>
      </c>
      <c r="B302" s="176" t="s">
        <v>159</v>
      </c>
      <c r="C302" s="177"/>
      <c r="D302" s="177"/>
      <c r="E302" s="177"/>
      <c r="F302" s="177"/>
      <c r="G302" s="177"/>
      <c r="H302" s="178"/>
    </row>
    <row r="303" spans="1:16" s="42" customFormat="1" ht="15.75" customHeight="1" x14ac:dyDescent="0.25">
      <c r="A303" s="54" t="s">
        <v>158</v>
      </c>
      <c r="B303" s="176" t="s">
        <v>131</v>
      </c>
      <c r="C303" s="177"/>
      <c r="D303" s="177"/>
      <c r="E303" s="177"/>
      <c r="F303" s="177"/>
      <c r="G303" s="177"/>
      <c r="H303" s="178"/>
    </row>
    <row r="304" spans="1:16" s="42" customFormat="1" ht="15.75" customHeight="1" x14ac:dyDescent="0.25">
      <c r="A304" s="54" t="s">
        <v>158</v>
      </c>
      <c r="B304" s="95" t="s">
        <v>190</v>
      </c>
      <c r="C304" s="96"/>
      <c r="D304" s="96"/>
      <c r="E304" s="96"/>
      <c r="F304" s="96"/>
      <c r="G304" s="96"/>
      <c r="H304" s="97"/>
    </row>
    <row r="305" spans="1:8" s="42" customFormat="1" ht="15.75" customHeight="1" x14ac:dyDescent="0.25">
      <c r="A305" s="57" t="s">
        <v>158</v>
      </c>
      <c r="B305" s="95" t="s">
        <v>193</v>
      </c>
      <c r="C305" s="96"/>
      <c r="D305" s="96"/>
      <c r="E305" s="96"/>
      <c r="F305" s="96"/>
      <c r="G305" s="96"/>
      <c r="H305" s="97"/>
    </row>
    <row r="306" spans="1:8" s="42" customFormat="1" ht="15.75" customHeight="1" x14ac:dyDescent="0.25">
      <c r="A306" s="68" t="s">
        <v>158</v>
      </c>
      <c r="B306" s="95" t="s">
        <v>217</v>
      </c>
      <c r="C306" s="96"/>
      <c r="D306" s="96"/>
      <c r="E306" s="96"/>
      <c r="F306" s="96"/>
      <c r="G306" s="96"/>
      <c r="H306" s="97"/>
    </row>
    <row r="307" spans="1:8" s="42" customFormat="1" ht="15.75" customHeight="1" x14ac:dyDescent="0.25">
      <c r="A307" s="69" t="s">
        <v>158</v>
      </c>
      <c r="B307" s="95" t="s">
        <v>219</v>
      </c>
      <c r="C307" s="96"/>
      <c r="D307" s="96"/>
      <c r="E307" s="96"/>
      <c r="F307" s="96"/>
      <c r="G307" s="96"/>
      <c r="H307" s="97"/>
    </row>
    <row r="308" spans="1:8" s="42" customFormat="1" ht="15.75" customHeight="1" x14ac:dyDescent="0.25">
      <c r="A308" s="60" t="s">
        <v>158</v>
      </c>
      <c r="B308" s="95" t="s">
        <v>222</v>
      </c>
      <c r="C308" s="96"/>
      <c r="D308" s="96"/>
      <c r="E308" s="96"/>
      <c r="F308" s="96"/>
      <c r="G308" s="96"/>
      <c r="H308" s="97"/>
    </row>
    <row r="309" spans="1:8" s="42" customFormat="1" ht="15.75" customHeight="1" x14ac:dyDescent="0.25">
      <c r="A309" s="64" t="s">
        <v>158</v>
      </c>
      <c r="B309" s="66" t="s">
        <v>208</v>
      </c>
      <c r="C309" s="202" t="s">
        <v>209</v>
      </c>
      <c r="D309" s="203"/>
      <c r="E309" s="204"/>
      <c r="F309" s="171" t="s">
        <v>210</v>
      </c>
      <c r="G309" s="171"/>
      <c r="H309" s="171"/>
    </row>
    <row r="310" spans="1:8" s="42" customFormat="1" x14ac:dyDescent="0.25">
      <c r="A310" s="64" t="s">
        <v>158</v>
      </c>
      <c r="B310" s="67">
        <v>1</v>
      </c>
      <c r="C310" s="172" t="s">
        <v>206</v>
      </c>
      <c r="D310" s="173"/>
      <c r="E310" s="174"/>
      <c r="F310" s="175" t="s">
        <v>211</v>
      </c>
      <c r="G310" s="175"/>
      <c r="H310" s="175"/>
    </row>
    <row r="311" spans="1:8" s="42" customFormat="1" x14ac:dyDescent="0.25">
      <c r="A311" s="64" t="s">
        <v>158</v>
      </c>
      <c r="B311" s="67">
        <v>2</v>
      </c>
      <c r="C311" s="172" t="s">
        <v>204</v>
      </c>
      <c r="D311" s="173"/>
      <c r="E311" s="174"/>
      <c r="F311" s="175" t="s">
        <v>212</v>
      </c>
      <c r="G311" s="175"/>
      <c r="H311" s="175"/>
    </row>
    <row r="312" spans="1:8" s="42" customFormat="1" ht="33" hidden="1" customHeight="1" x14ac:dyDescent="0.25">
      <c r="A312" s="75" t="s">
        <v>158</v>
      </c>
      <c r="B312" s="95" t="s">
        <v>225</v>
      </c>
      <c r="C312" s="96"/>
      <c r="D312" s="96"/>
      <c r="E312" s="96"/>
      <c r="F312" s="96"/>
      <c r="G312" s="96"/>
      <c r="H312" s="97"/>
    </row>
    <row r="313" spans="1:8" s="42" customFormat="1" x14ac:dyDescent="0.25">
      <c r="A313" s="75" t="s">
        <v>158</v>
      </c>
      <c r="B313" s="95" t="s">
        <v>270</v>
      </c>
      <c r="C313" s="96"/>
      <c r="D313" s="96"/>
      <c r="E313" s="96"/>
      <c r="F313" s="96"/>
      <c r="G313" s="96"/>
      <c r="H313" s="97"/>
    </row>
    <row r="314" spans="1:8" s="42" customFormat="1" ht="33" customHeight="1" x14ac:dyDescent="0.25">
      <c r="A314" s="75" t="s">
        <v>158</v>
      </c>
      <c r="B314" s="95" t="s">
        <v>275</v>
      </c>
      <c r="C314" s="96"/>
      <c r="D314" s="96"/>
      <c r="E314" s="96"/>
      <c r="F314" s="96"/>
      <c r="G314" s="96"/>
      <c r="H314" s="97"/>
    </row>
    <row r="315" spans="1:8" s="42" customFormat="1" x14ac:dyDescent="0.25">
      <c r="A315" s="75" t="s">
        <v>158</v>
      </c>
      <c r="B315" s="95" t="s">
        <v>269</v>
      </c>
      <c r="C315" s="96"/>
      <c r="D315" s="96"/>
      <c r="E315" s="96"/>
      <c r="F315" s="96"/>
      <c r="G315" s="96"/>
      <c r="H315" s="97"/>
    </row>
    <row r="316" spans="1:8" s="42" customFormat="1" x14ac:dyDescent="0.25">
      <c r="A316" s="85" t="s">
        <v>158</v>
      </c>
      <c r="B316" s="95" t="s">
        <v>285</v>
      </c>
      <c r="C316" s="96"/>
      <c r="D316" s="96"/>
      <c r="E316" s="96"/>
      <c r="F316" s="96"/>
      <c r="G316" s="96"/>
      <c r="H316" s="97"/>
    </row>
    <row r="317" spans="1:8" s="42" customFormat="1" x14ac:dyDescent="0.25">
      <c r="A317" s="70" t="s">
        <v>158</v>
      </c>
      <c r="B317" s="95" t="s">
        <v>281</v>
      </c>
      <c r="C317" s="96"/>
      <c r="D317" s="96"/>
      <c r="E317" s="96"/>
      <c r="F317" s="96"/>
      <c r="G317" s="96"/>
      <c r="H317" s="97"/>
    </row>
    <row r="318" spans="1:8" x14ac:dyDescent="0.25">
      <c r="A318" s="254" t="s">
        <v>64</v>
      </c>
      <c r="B318" s="255"/>
      <c r="C318" s="255"/>
      <c r="D318" s="255"/>
      <c r="E318" s="255"/>
      <c r="F318" s="255"/>
      <c r="G318" s="255"/>
      <c r="H318" s="256"/>
    </row>
    <row r="319" spans="1:8" x14ac:dyDescent="0.25">
      <c r="A319" s="195" t="s">
        <v>65</v>
      </c>
      <c r="B319" s="196"/>
      <c r="C319" s="196"/>
      <c r="D319" s="196"/>
      <c r="E319" s="196"/>
      <c r="F319" s="196"/>
      <c r="G319" s="196"/>
      <c r="H319" s="197"/>
    </row>
    <row r="320" spans="1:8" ht="15.75" customHeight="1" x14ac:dyDescent="0.25">
      <c r="A320" s="205" t="s">
        <v>66</v>
      </c>
      <c r="B320" s="206"/>
      <c r="C320" s="206"/>
      <c r="D320" s="206"/>
      <c r="E320" s="206"/>
      <c r="F320" s="206"/>
      <c r="G320" s="206"/>
      <c r="H320" s="207"/>
    </row>
    <row r="321" spans="1:8" x14ac:dyDescent="0.25">
      <c r="A321" s="195" t="s">
        <v>67</v>
      </c>
      <c r="B321" s="196"/>
      <c r="C321" s="196"/>
      <c r="D321" s="196"/>
      <c r="E321" s="196"/>
      <c r="F321" s="196"/>
      <c r="G321" s="196"/>
      <c r="H321" s="197"/>
    </row>
    <row r="322" spans="1:8" x14ac:dyDescent="0.25">
      <c r="A322" s="195" t="s">
        <v>68</v>
      </c>
      <c r="B322" s="196"/>
      <c r="C322" s="196"/>
      <c r="D322" s="196"/>
      <c r="E322" s="196"/>
      <c r="F322" s="196"/>
      <c r="G322" s="196"/>
      <c r="H322" s="197"/>
    </row>
    <row r="323" spans="1:8" x14ac:dyDescent="0.25">
      <c r="A323" s="195" t="s">
        <v>132</v>
      </c>
      <c r="B323" s="196"/>
      <c r="C323" s="196"/>
      <c r="D323" s="196"/>
      <c r="E323" s="196"/>
      <c r="F323" s="196"/>
      <c r="G323" s="196"/>
      <c r="H323" s="197"/>
    </row>
    <row r="324" spans="1:8" ht="35.25" customHeight="1" x14ac:dyDescent="0.25">
      <c r="A324" s="135" t="s">
        <v>133</v>
      </c>
      <c r="B324" s="136"/>
      <c r="C324" s="136"/>
      <c r="D324" s="136"/>
      <c r="E324" s="136"/>
      <c r="F324" s="136"/>
      <c r="G324" s="136"/>
      <c r="H324" s="137"/>
    </row>
    <row r="325" spans="1:8" x14ac:dyDescent="0.25">
      <c r="A325" s="193" t="s">
        <v>80</v>
      </c>
      <c r="B325" s="193"/>
      <c r="C325" s="193" t="s">
        <v>224</v>
      </c>
      <c r="D325" s="193"/>
      <c r="E325" s="193" t="s">
        <v>109</v>
      </c>
      <c r="F325" s="193"/>
      <c r="G325" s="193" t="s">
        <v>292</v>
      </c>
      <c r="H325" s="193"/>
    </row>
    <row r="326" spans="1:8" ht="15.75" customHeight="1" x14ac:dyDescent="0.25">
      <c r="A326" s="184" t="s">
        <v>82</v>
      </c>
      <c r="B326" s="185"/>
      <c r="C326" s="185"/>
      <c r="D326" s="185"/>
      <c r="E326" s="185"/>
      <c r="F326" s="185"/>
      <c r="G326" s="185"/>
      <c r="H326" s="186"/>
    </row>
    <row r="327" spans="1:8" x14ac:dyDescent="0.25">
      <c r="A327" s="187"/>
      <c r="B327" s="188"/>
      <c r="C327" s="188"/>
      <c r="D327" s="188"/>
      <c r="E327" s="188"/>
      <c r="F327" s="188"/>
      <c r="G327" s="188"/>
      <c r="H327" s="189"/>
    </row>
    <row r="328" spans="1:8" x14ac:dyDescent="0.25">
      <c r="A328" s="187"/>
      <c r="B328" s="188"/>
      <c r="C328" s="188"/>
      <c r="D328" s="188"/>
      <c r="E328" s="188"/>
      <c r="F328" s="188"/>
      <c r="G328" s="188"/>
      <c r="H328" s="189"/>
    </row>
    <row r="329" spans="1:8" x14ac:dyDescent="0.25">
      <c r="A329" s="190"/>
      <c r="B329" s="191"/>
      <c r="C329" s="191"/>
      <c r="D329" s="191"/>
      <c r="E329" s="191"/>
      <c r="F329" s="191"/>
      <c r="G329" s="191"/>
      <c r="H329" s="192"/>
    </row>
    <row r="330" spans="1:8" x14ac:dyDescent="0.25">
      <c r="A330" s="45" t="s">
        <v>69</v>
      </c>
      <c r="B330" s="46"/>
      <c r="C330" s="46"/>
      <c r="D330" s="45" t="str">
        <f>E8</f>
        <v>Lodha Bellagio - Tower C &amp; D</v>
      </c>
      <c r="F330" s="46"/>
      <c r="G330" s="46"/>
      <c r="H330" s="46"/>
    </row>
    <row r="331" spans="1:8" x14ac:dyDescent="0.25">
      <c r="A331" s="46"/>
      <c r="B331" s="46"/>
      <c r="C331" s="46"/>
      <c r="D331" s="46"/>
      <c r="E331" s="46"/>
      <c r="F331" s="46"/>
      <c r="G331" s="46"/>
      <c r="H331" s="46"/>
    </row>
    <row r="332" spans="1:8" x14ac:dyDescent="0.25">
      <c r="A332" s="46"/>
      <c r="B332" s="46"/>
      <c r="C332" s="46"/>
      <c r="D332" s="46"/>
      <c r="E332" s="46"/>
      <c r="F332" s="46"/>
      <c r="G332" s="46"/>
      <c r="H332" s="46"/>
    </row>
    <row r="333" spans="1:8" ht="15" customHeight="1" x14ac:dyDescent="0.25"/>
    <row r="372" spans="1:1" x14ac:dyDescent="0.25">
      <c r="A372" s="48" t="s">
        <v>202</v>
      </c>
    </row>
    <row r="413" spans="1:1" x14ac:dyDescent="0.25">
      <c r="A413" s="48" t="s">
        <v>70</v>
      </c>
    </row>
  </sheetData>
  <mergeCells count="531">
    <mergeCell ref="A172:H172"/>
    <mergeCell ref="A173:B173"/>
    <mergeCell ref="G173:H175"/>
    <mergeCell ref="A174:B174"/>
    <mergeCell ref="A175:B175"/>
    <mergeCell ref="C174:F174"/>
    <mergeCell ref="A123:H123"/>
    <mergeCell ref="E115:F115"/>
    <mergeCell ref="G115:H115"/>
    <mergeCell ref="A124:B124"/>
    <mergeCell ref="G124:H134"/>
    <mergeCell ref="A129:B129"/>
    <mergeCell ref="A134:B134"/>
    <mergeCell ref="A164:H164"/>
    <mergeCell ref="A165:H165"/>
    <mergeCell ref="A166:H166"/>
    <mergeCell ref="A167:H167"/>
    <mergeCell ref="A168:H168"/>
    <mergeCell ref="A169:H169"/>
    <mergeCell ref="A170:H170"/>
    <mergeCell ref="A143:B143"/>
    <mergeCell ref="A318:H318"/>
    <mergeCell ref="L136:M136"/>
    <mergeCell ref="A137:B137"/>
    <mergeCell ref="L137:M137"/>
    <mergeCell ref="G136:H148"/>
    <mergeCell ref="A284:H284"/>
    <mergeCell ref="A285:B285"/>
    <mergeCell ref="G285:H288"/>
    <mergeCell ref="A288:B288"/>
    <mergeCell ref="A289:H289"/>
    <mergeCell ref="A290:B290"/>
    <mergeCell ref="G290:H293"/>
    <mergeCell ref="A291:B291"/>
    <mergeCell ref="A292:B292"/>
    <mergeCell ref="A293:B293"/>
    <mergeCell ref="C291:F291"/>
    <mergeCell ref="A228:B228"/>
    <mergeCell ref="G226:H228"/>
    <mergeCell ref="A261:B261"/>
    <mergeCell ref="B316:H316"/>
    <mergeCell ref="A231:B231"/>
    <mergeCell ref="G231:H234"/>
    <mergeCell ref="A232:B232"/>
    <mergeCell ref="A233:B233"/>
    <mergeCell ref="L124:M124"/>
    <mergeCell ref="A125:B125"/>
    <mergeCell ref="L125:M125"/>
    <mergeCell ref="A126:B126"/>
    <mergeCell ref="L126:M126"/>
    <mergeCell ref="A127:B127"/>
    <mergeCell ref="L127:M127"/>
    <mergeCell ref="A128:B128"/>
    <mergeCell ref="L128:M128"/>
    <mergeCell ref="L129:M129"/>
    <mergeCell ref="A130:B130"/>
    <mergeCell ref="L130:M130"/>
    <mergeCell ref="A131:B131"/>
    <mergeCell ref="L131:M131"/>
    <mergeCell ref="A132:B132"/>
    <mergeCell ref="L132:M132"/>
    <mergeCell ref="A133:B133"/>
    <mergeCell ref="L133:M133"/>
    <mergeCell ref="L134:M134"/>
    <mergeCell ref="A226:B226"/>
    <mergeCell ref="A227:B227"/>
    <mergeCell ref="A240:H240"/>
    <mergeCell ref="A241:B241"/>
    <mergeCell ref="G241:H244"/>
    <mergeCell ref="G251:H254"/>
    <mergeCell ref="A252:B252"/>
    <mergeCell ref="A251:B251"/>
    <mergeCell ref="A217:B217"/>
    <mergeCell ref="G217:H220"/>
    <mergeCell ref="A218:B218"/>
    <mergeCell ref="A234:B234"/>
    <mergeCell ref="A230:H230"/>
    <mergeCell ref="C231:F231"/>
    <mergeCell ref="G222:H224"/>
    <mergeCell ref="A223:B223"/>
    <mergeCell ref="A224:B224"/>
    <mergeCell ref="A225:H225"/>
    <mergeCell ref="A186:H186"/>
    <mergeCell ref="G187:H190"/>
    <mergeCell ref="A190:B190"/>
    <mergeCell ref="C189:F190"/>
    <mergeCell ref="A206:H206"/>
    <mergeCell ref="G202:H205"/>
    <mergeCell ref="A203:B203"/>
    <mergeCell ref="A204:B204"/>
    <mergeCell ref="A205:B205"/>
    <mergeCell ref="A196:H196"/>
    <mergeCell ref="A201:H201"/>
    <mergeCell ref="A202:B202"/>
    <mergeCell ref="A199:B199"/>
    <mergeCell ref="A200:B200"/>
    <mergeCell ref="B317:H317"/>
    <mergeCell ref="A260:H260"/>
    <mergeCell ref="A179:B179"/>
    <mergeCell ref="A180:B180"/>
    <mergeCell ref="A181:H181"/>
    <mergeCell ref="A189:B189"/>
    <mergeCell ref="A187:B187"/>
    <mergeCell ref="A183:B183"/>
    <mergeCell ref="A184:B184"/>
    <mergeCell ref="A185:B185"/>
    <mergeCell ref="G182:H185"/>
    <mergeCell ref="A286:B286"/>
    <mergeCell ref="A287:B287"/>
    <mergeCell ref="B306:H306"/>
    <mergeCell ref="B304:H304"/>
    <mergeCell ref="B308:H308"/>
    <mergeCell ref="B305:H305"/>
    <mergeCell ref="B302:H302"/>
    <mergeCell ref="B300:H300"/>
    <mergeCell ref="C269:F269"/>
    <mergeCell ref="C249:F249"/>
    <mergeCell ref="G266:H269"/>
    <mergeCell ref="A270:H270"/>
    <mergeCell ref="A279:H279"/>
    <mergeCell ref="G280:H283"/>
    <mergeCell ref="A282:B282"/>
    <mergeCell ref="A274:H274"/>
    <mergeCell ref="A275:B275"/>
    <mergeCell ref="G275:H278"/>
    <mergeCell ref="A276:B276"/>
    <mergeCell ref="A277:B277"/>
    <mergeCell ref="A283:B283"/>
    <mergeCell ref="A280:B280"/>
    <mergeCell ref="A281:B281"/>
    <mergeCell ref="A278:B278"/>
    <mergeCell ref="A242:B242"/>
    <mergeCell ref="A272:B272"/>
    <mergeCell ref="G256:H259"/>
    <mergeCell ref="A262:B262"/>
    <mergeCell ref="A263:B263"/>
    <mergeCell ref="A264:B264"/>
    <mergeCell ref="A257:B257"/>
    <mergeCell ref="A250:H250"/>
    <mergeCell ref="A265:H265"/>
    <mergeCell ref="A267:B267"/>
    <mergeCell ref="A268:B268"/>
    <mergeCell ref="A269:B269"/>
    <mergeCell ref="A266:B266"/>
    <mergeCell ref="A245:H245"/>
    <mergeCell ref="A246:B246"/>
    <mergeCell ref="G246:H249"/>
    <mergeCell ref="A247:B247"/>
    <mergeCell ref="A248:B248"/>
    <mergeCell ref="A249:B249"/>
    <mergeCell ref="A271:B271"/>
    <mergeCell ref="G271:H273"/>
    <mergeCell ref="G261:H264"/>
    <mergeCell ref="A98:E98"/>
    <mergeCell ref="E121:E122"/>
    <mergeCell ref="G121:H122"/>
    <mergeCell ref="D162:D163"/>
    <mergeCell ref="E162:E163"/>
    <mergeCell ref="G162:H163"/>
    <mergeCell ref="A154:B154"/>
    <mergeCell ref="A155:B155"/>
    <mergeCell ref="A156:B156"/>
    <mergeCell ref="A157:B157"/>
    <mergeCell ref="A158:B158"/>
    <mergeCell ref="C162:C163"/>
    <mergeCell ref="A161:H161"/>
    <mergeCell ref="A162:A163"/>
    <mergeCell ref="B162:B163"/>
    <mergeCell ref="A150:B150"/>
    <mergeCell ref="F99:H99"/>
    <mergeCell ref="E114:F114"/>
    <mergeCell ref="A119:H119"/>
    <mergeCell ref="A101:E101"/>
    <mergeCell ref="D121:D122"/>
    <mergeCell ref="F106:H106"/>
    <mergeCell ref="A112:B112"/>
    <mergeCell ref="C112:D112"/>
    <mergeCell ref="E112:F112"/>
    <mergeCell ref="G112:H112"/>
    <mergeCell ref="A117:B117"/>
    <mergeCell ref="C117:D117"/>
    <mergeCell ref="E117:F117"/>
    <mergeCell ref="G117:H117"/>
    <mergeCell ref="A109:H109"/>
    <mergeCell ref="A110:B110"/>
    <mergeCell ref="C110:D110"/>
    <mergeCell ref="E110:F110"/>
    <mergeCell ref="G110:H110"/>
    <mergeCell ref="A111:B111"/>
    <mergeCell ref="C111:D111"/>
    <mergeCell ref="E111:F111"/>
    <mergeCell ref="G111:H111"/>
    <mergeCell ref="F102:H102"/>
    <mergeCell ref="A42:D42"/>
    <mergeCell ref="E42:H42"/>
    <mergeCell ref="A40:D40"/>
    <mergeCell ref="E40:H40"/>
    <mergeCell ref="F32:H32"/>
    <mergeCell ref="F33:H33"/>
    <mergeCell ref="C31:E31"/>
    <mergeCell ref="F34:H34"/>
    <mergeCell ref="F35:H35"/>
    <mergeCell ref="A37:B37"/>
    <mergeCell ref="E37:F37"/>
    <mergeCell ref="C37:D37"/>
    <mergeCell ref="G37:H37"/>
    <mergeCell ref="F31:H31"/>
    <mergeCell ref="A32:B32"/>
    <mergeCell ref="A31:B31"/>
    <mergeCell ref="C32:E32"/>
    <mergeCell ref="A33:B33"/>
    <mergeCell ref="C33:E33"/>
    <mergeCell ref="A36:H36"/>
    <mergeCell ref="A35:B35"/>
    <mergeCell ref="A39:H39"/>
    <mergeCell ref="C35:E35"/>
    <mergeCell ref="A38:B38"/>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A21:D22"/>
    <mergeCell ref="E21:H22"/>
    <mergeCell ref="A15:B15"/>
    <mergeCell ref="C15:H15"/>
    <mergeCell ref="C16:H16"/>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11:D11"/>
    <mergeCell ref="E11:H11"/>
    <mergeCell ref="A5:D5"/>
    <mergeCell ref="E5:H5"/>
    <mergeCell ref="A6:D6"/>
    <mergeCell ref="E6:H6"/>
    <mergeCell ref="A7:D7"/>
    <mergeCell ref="E7:H7"/>
    <mergeCell ref="A16:B16"/>
    <mergeCell ref="A12:D12"/>
    <mergeCell ref="E12:H12"/>
    <mergeCell ref="A10:D10"/>
    <mergeCell ref="E10:H10"/>
    <mergeCell ref="A13:D14"/>
    <mergeCell ref="E13:H14"/>
    <mergeCell ref="A1:H1"/>
    <mergeCell ref="A2:H2"/>
    <mergeCell ref="A3:D3"/>
    <mergeCell ref="E3:H3"/>
    <mergeCell ref="A4:D4"/>
    <mergeCell ref="A8:D8"/>
    <mergeCell ref="E8:H8"/>
    <mergeCell ref="A9:D9"/>
    <mergeCell ref="E9:H9"/>
    <mergeCell ref="E4:H4"/>
    <mergeCell ref="E45:H45"/>
    <mergeCell ref="A43:D43"/>
    <mergeCell ref="A44:D44"/>
    <mergeCell ref="A45:D45"/>
    <mergeCell ref="A46:H46"/>
    <mergeCell ref="D58:H58"/>
    <mergeCell ref="G49:H49"/>
    <mergeCell ref="A50:B51"/>
    <mergeCell ref="A47:B47"/>
    <mergeCell ref="C47:H47"/>
    <mergeCell ref="C54:E54"/>
    <mergeCell ref="A49:B49"/>
    <mergeCell ref="A55:H55"/>
    <mergeCell ref="A56:C56"/>
    <mergeCell ref="A57:C57"/>
    <mergeCell ref="D57:H57"/>
    <mergeCell ref="G54:H54"/>
    <mergeCell ref="E43:H43"/>
    <mergeCell ref="E44:H44"/>
    <mergeCell ref="G50:H50"/>
    <mergeCell ref="D56:H56"/>
    <mergeCell ref="C50:E50"/>
    <mergeCell ref="G48:H48"/>
    <mergeCell ref="A48:B48"/>
    <mergeCell ref="A323:H323"/>
    <mergeCell ref="A320:H320"/>
    <mergeCell ref="A114:B114"/>
    <mergeCell ref="B299:H299"/>
    <mergeCell ref="D65:H65"/>
    <mergeCell ref="A68:C68"/>
    <mergeCell ref="D68:H68"/>
    <mergeCell ref="A66:C66"/>
    <mergeCell ref="D66:H66"/>
    <mergeCell ref="A67:C67"/>
    <mergeCell ref="D67:H67"/>
    <mergeCell ref="A73:B73"/>
    <mergeCell ref="G72:H72"/>
    <mergeCell ref="A72:B72"/>
    <mergeCell ref="A75:B75"/>
    <mergeCell ref="A99:E99"/>
    <mergeCell ref="A259:B259"/>
    <mergeCell ref="A256:B256"/>
    <mergeCell ref="A182:B182"/>
    <mergeCell ref="F104:H104"/>
    <mergeCell ref="A120:H120"/>
    <mergeCell ref="F101:H101"/>
    <mergeCell ref="A94:B94"/>
    <mergeCell ref="A95:B95"/>
    <mergeCell ref="A326:H329"/>
    <mergeCell ref="A325:B325"/>
    <mergeCell ref="E325:F325"/>
    <mergeCell ref="C325:D325"/>
    <mergeCell ref="G325:H325"/>
    <mergeCell ref="A107:E107"/>
    <mergeCell ref="F107:H107"/>
    <mergeCell ref="A108:E108"/>
    <mergeCell ref="F108:H108"/>
    <mergeCell ref="A115:B115"/>
    <mergeCell ref="A258:B258"/>
    <mergeCell ref="A321:H321"/>
    <mergeCell ref="A113:H113"/>
    <mergeCell ref="A324:H324"/>
    <mergeCell ref="A322:H322"/>
    <mergeCell ref="A294:H294"/>
    <mergeCell ref="B301:H301"/>
    <mergeCell ref="A255:H255"/>
    <mergeCell ref="A243:B243"/>
    <mergeCell ref="A244:B244"/>
    <mergeCell ref="B303:H303"/>
    <mergeCell ref="A319:H319"/>
    <mergeCell ref="B307:H307"/>
    <mergeCell ref="C309:E309"/>
    <mergeCell ref="C48:E48"/>
    <mergeCell ref="C51:E51"/>
    <mergeCell ref="B297:H297"/>
    <mergeCell ref="B295:H295"/>
    <mergeCell ref="B296:H296"/>
    <mergeCell ref="F309:H309"/>
    <mergeCell ref="C310:E310"/>
    <mergeCell ref="C311:E311"/>
    <mergeCell ref="F310:H310"/>
    <mergeCell ref="F311:H311"/>
    <mergeCell ref="A254:B254"/>
    <mergeCell ref="A253:B253"/>
    <mergeCell ref="A273:B273"/>
    <mergeCell ref="B298:H298"/>
    <mergeCell ref="A92:B92"/>
    <mergeCell ref="A93:B93"/>
    <mergeCell ref="A105:E105"/>
    <mergeCell ref="A82:B82"/>
    <mergeCell ref="A79:B79"/>
    <mergeCell ref="F103:H103"/>
    <mergeCell ref="A80:B80"/>
    <mergeCell ref="E73:F82"/>
    <mergeCell ref="G73:H82"/>
    <mergeCell ref="A81:B81"/>
    <mergeCell ref="F98:H98"/>
    <mergeCell ref="A87:B87"/>
    <mergeCell ref="E87:F96"/>
    <mergeCell ref="G87:H96"/>
    <mergeCell ref="A64:C64"/>
    <mergeCell ref="D64:H64"/>
    <mergeCell ref="A102:E102"/>
    <mergeCell ref="A149:H149"/>
    <mergeCell ref="A96:B96"/>
    <mergeCell ref="A88:B88"/>
    <mergeCell ref="A136:B136"/>
    <mergeCell ref="A89:B89"/>
    <mergeCell ref="A90:B90"/>
    <mergeCell ref="B121:B122"/>
    <mergeCell ref="A121:A122"/>
    <mergeCell ref="C115:D115"/>
    <mergeCell ref="A104:E104"/>
    <mergeCell ref="A103:E103"/>
    <mergeCell ref="A116:B116"/>
    <mergeCell ref="A118:B118"/>
    <mergeCell ref="C121:C122"/>
    <mergeCell ref="A97:E97"/>
    <mergeCell ref="F97:H97"/>
    <mergeCell ref="F100:H100"/>
    <mergeCell ref="C49:E49"/>
    <mergeCell ref="A54:B54"/>
    <mergeCell ref="C85:H85"/>
    <mergeCell ref="A86:B86"/>
    <mergeCell ref="E86:F86"/>
    <mergeCell ref="D63:H63"/>
    <mergeCell ref="A65:C65"/>
    <mergeCell ref="G51:H51"/>
    <mergeCell ref="D59:H59"/>
    <mergeCell ref="D61:H61"/>
    <mergeCell ref="A58:C59"/>
    <mergeCell ref="A60:C61"/>
    <mergeCell ref="A78:B78"/>
    <mergeCell ref="A52:B53"/>
    <mergeCell ref="C52:E52"/>
    <mergeCell ref="G52:H52"/>
    <mergeCell ref="C53:H53"/>
    <mergeCell ref="C38:H38"/>
    <mergeCell ref="A176:H176"/>
    <mergeCell ref="A177:B177"/>
    <mergeCell ref="A178:B178"/>
    <mergeCell ref="G177:H180"/>
    <mergeCell ref="E41:H41"/>
    <mergeCell ref="A41:D41"/>
    <mergeCell ref="A100:E100"/>
    <mergeCell ref="F105:H105"/>
    <mergeCell ref="A106:E106"/>
    <mergeCell ref="C114:D114"/>
    <mergeCell ref="G114:H114"/>
    <mergeCell ref="A71:B71"/>
    <mergeCell ref="A69:B69"/>
    <mergeCell ref="C69:H69"/>
    <mergeCell ref="C71:H71"/>
    <mergeCell ref="A74:B74"/>
    <mergeCell ref="A76:B76"/>
    <mergeCell ref="E72:F72"/>
    <mergeCell ref="A91:B91"/>
    <mergeCell ref="A171:H171"/>
    <mergeCell ref="A135:H135"/>
    <mergeCell ref="A160:B160"/>
    <mergeCell ref="D60:H60"/>
    <mergeCell ref="L150:M150"/>
    <mergeCell ref="L160:M160"/>
    <mergeCell ref="G150:H160"/>
    <mergeCell ref="A147:B147"/>
    <mergeCell ref="L147:M147"/>
    <mergeCell ref="A148:B148"/>
    <mergeCell ref="L148:M148"/>
    <mergeCell ref="A62:C62"/>
    <mergeCell ref="A63:C63"/>
    <mergeCell ref="D62:H62"/>
    <mergeCell ref="C116:D116"/>
    <mergeCell ref="E116:F116"/>
    <mergeCell ref="G116:H116"/>
    <mergeCell ref="C118:D118"/>
    <mergeCell ref="E118:F118"/>
    <mergeCell ref="G118:H118"/>
    <mergeCell ref="A151:B151"/>
    <mergeCell ref="A152:B152"/>
    <mergeCell ref="A153:B153"/>
    <mergeCell ref="A77:B77"/>
    <mergeCell ref="A83:B83"/>
    <mergeCell ref="C83:H83"/>
    <mergeCell ref="A85:B85"/>
    <mergeCell ref="G86:H86"/>
    <mergeCell ref="A144:B144"/>
    <mergeCell ref="L144:M144"/>
    <mergeCell ref="A145:B145"/>
    <mergeCell ref="L145:M145"/>
    <mergeCell ref="A146:B146"/>
    <mergeCell ref="L146:M146"/>
    <mergeCell ref="L138:M138"/>
    <mergeCell ref="A139:B139"/>
    <mergeCell ref="L139:M139"/>
    <mergeCell ref="A140:B140"/>
    <mergeCell ref="L140:M140"/>
    <mergeCell ref="A141:B141"/>
    <mergeCell ref="L141:M141"/>
    <mergeCell ref="A142:B142"/>
    <mergeCell ref="L142:M142"/>
    <mergeCell ref="A138:B138"/>
    <mergeCell ref="L143:M143"/>
    <mergeCell ref="L151:M151"/>
    <mergeCell ref="B313:H313"/>
    <mergeCell ref="B314:H314"/>
    <mergeCell ref="B312:H312"/>
    <mergeCell ref="B315:H315"/>
    <mergeCell ref="A219:B219"/>
    <mergeCell ref="A220:B220"/>
    <mergeCell ref="A191:H191"/>
    <mergeCell ref="A192:B192"/>
    <mergeCell ref="G192:H195"/>
    <mergeCell ref="A193:B193"/>
    <mergeCell ref="A194:B194"/>
    <mergeCell ref="A195:B195"/>
    <mergeCell ref="A197:B197"/>
    <mergeCell ref="G197:H200"/>
    <mergeCell ref="A229:H229"/>
    <mergeCell ref="A235:H235"/>
    <mergeCell ref="A236:B236"/>
    <mergeCell ref="G236:H239"/>
    <mergeCell ref="A237:B237"/>
    <mergeCell ref="L153:M153"/>
    <mergeCell ref="L154:M154"/>
    <mergeCell ref="L155:M155"/>
    <mergeCell ref="L156:M156"/>
    <mergeCell ref="A238:B238"/>
    <mergeCell ref="A239:B239"/>
    <mergeCell ref="A221:H221"/>
    <mergeCell ref="A222:B222"/>
    <mergeCell ref="A198:B198"/>
    <mergeCell ref="L158:M158"/>
    <mergeCell ref="A159:B159"/>
    <mergeCell ref="L159:M159"/>
    <mergeCell ref="L152:M152"/>
    <mergeCell ref="L157:M157"/>
    <mergeCell ref="A211:H211"/>
    <mergeCell ref="A212:B212"/>
    <mergeCell ref="G212:H215"/>
    <mergeCell ref="A213:B213"/>
    <mergeCell ref="A214:B214"/>
    <mergeCell ref="A215:B215"/>
    <mergeCell ref="A216:H216"/>
    <mergeCell ref="A207:B207"/>
    <mergeCell ref="G207:H210"/>
    <mergeCell ref="C209:F210"/>
    <mergeCell ref="A210:B210"/>
    <mergeCell ref="A208:B208"/>
    <mergeCell ref="A209:B209"/>
    <mergeCell ref="A188:B188"/>
  </mergeCells>
  <hyperlinks>
    <hyperlink ref="C38" r:id="rId1"/>
  </hyperlinks>
  <printOptions horizontalCentered="1"/>
  <pageMargins left="0.39370078740157499" right="0.39370078740157499" top="0.82677165354330695" bottom="0.78740157480314998" header="0.15748031496063" footer="0.196850393700787"/>
  <pageSetup paperSize="2" fitToHeight="0" orientation="portrait" r:id="rId2"/>
  <headerFooter>
    <oddHeader>&amp;C&amp;G</oddHeader>
    <oddFooter>&amp;L&amp;"Times New Roman,Bold"&amp;12Ref No: &amp;F&amp;C&amp;G&amp;R&amp;"Times New Roman,Bold"&amp;12&amp;P</oddFooter>
  </headerFooter>
  <rowBreaks count="3" manualBreakCount="3">
    <brk id="329" max="16383" man="1"/>
    <brk id="371" max="16383" man="1"/>
    <brk id="41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2"/>
    <col min="2" max="2" width="22.140625" style="2" customWidth="1"/>
    <col min="3" max="3" width="37" style="2" customWidth="1"/>
    <col min="4" max="5" width="11.42578125" style="2" customWidth="1"/>
    <col min="6" max="6" width="14" style="2" customWidth="1"/>
    <col min="7" max="7" width="20" style="2" customWidth="1"/>
    <col min="8" max="8" width="16.42578125" style="2" customWidth="1"/>
    <col min="9" max="16384" width="8.7109375" style="2"/>
  </cols>
  <sheetData>
    <row r="1" spans="1:9" ht="15" customHeight="1" x14ac:dyDescent="0.25">
      <c r="A1" s="1"/>
      <c r="B1" s="1"/>
      <c r="C1" s="1"/>
      <c r="D1" s="1"/>
      <c r="E1" s="1"/>
      <c r="F1" s="1"/>
      <c r="G1" s="1"/>
      <c r="H1" s="1"/>
    </row>
    <row r="2" spans="1:9" ht="15" customHeight="1" x14ac:dyDescent="0.25">
      <c r="A2" s="3"/>
      <c r="B2" s="3"/>
      <c r="C2" s="3"/>
      <c r="D2" s="3"/>
      <c r="E2" s="3"/>
      <c r="F2" s="3"/>
      <c r="G2" s="3"/>
      <c r="H2" s="3"/>
    </row>
    <row r="3" spans="1:9" ht="15.75" customHeight="1" x14ac:dyDescent="0.25">
      <c r="A3" s="3"/>
      <c r="B3" s="270" t="s">
        <v>110</v>
      </c>
      <c r="C3" s="270"/>
      <c r="D3" s="270"/>
      <c r="E3" s="270"/>
      <c r="F3" s="270"/>
      <c r="G3" s="270"/>
      <c r="H3" s="270"/>
    </row>
    <row r="4" spans="1:9" x14ac:dyDescent="0.25">
      <c r="A4" s="3"/>
      <c r="B4" s="4" t="s">
        <v>111</v>
      </c>
      <c r="C4" s="4" t="s">
        <v>112</v>
      </c>
      <c r="D4" s="4" t="s">
        <v>72</v>
      </c>
      <c r="E4" s="4" t="s">
        <v>113</v>
      </c>
      <c r="F4" s="4" t="s">
        <v>119</v>
      </c>
      <c r="G4" s="4" t="s">
        <v>120</v>
      </c>
      <c r="H4" s="4" t="s">
        <v>114</v>
      </c>
    </row>
    <row r="5" spans="1:9" ht="15" customHeight="1" x14ac:dyDescent="0.25">
      <c r="A5" s="3"/>
      <c r="B5" s="6" t="s">
        <v>115</v>
      </c>
      <c r="C5" s="7"/>
      <c r="D5" s="6"/>
      <c r="E5" s="6"/>
      <c r="F5" s="8">
        <f>E5*1.6</f>
        <v>0</v>
      </c>
      <c r="G5" s="8" t="e">
        <f>H5/F5</f>
        <v>#DIV/0!</v>
      </c>
      <c r="H5" s="9"/>
    </row>
    <row r="6" spans="1:9" x14ac:dyDescent="0.25">
      <c r="A6" s="3"/>
      <c r="B6" s="6" t="s">
        <v>115</v>
      </c>
      <c r="C6" s="10"/>
      <c r="D6" s="6"/>
      <c r="E6" s="6"/>
      <c r="F6" s="8">
        <f t="shared" ref="F6:F11" si="0">E6*1.6</f>
        <v>0</v>
      </c>
      <c r="G6" s="8" t="e">
        <f t="shared" ref="G6:G11" si="1">H6/F6</f>
        <v>#DIV/0!</v>
      </c>
      <c r="H6" s="9"/>
    </row>
    <row r="7" spans="1:9" ht="15" customHeight="1" x14ac:dyDescent="0.25">
      <c r="A7" s="3"/>
      <c r="B7" s="6" t="s">
        <v>115</v>
      </c>
      <c r="C7" s="7"/>
      <c r="D7" s="6"/>
      <c r="E7" s="6"/>
      <c r="F7" s="8">
        <f t="shared" si="0"/>
        <v>0</v>
      </c>
      <c r="G7" s="8" t="e">
        <f t="shared" si="1"/>
        <v>#DIV/0!</v>
      </c>
      <c r="H7" s="9"/>
    </row>
    <row r="8" spans="1:9" x14ac:dyDescent="0.25">
      <c r="A8" s="3"/>
      <c r="B8" s="6" t="s">
        <v>115</v>
      </c>
      <c r="C8" s="10"/>
      <c r="D8" s="6"/>
      <c r="E8" s="6"/>
      <c r="F8" s="8">
        <f t="shared" si="0"/>
        <v>0</v>
      </c>
      <c r="G8" s="8" t="e">
        <f t="shared" si="1"/>
        <v>#DIV/0!</v>
      </c>
      <c r="H8" s="9"/>
    </row>
    <row r="9" spans="1:9" ht="15" customHeight="1" x14ac:dyDescent="0.25">
      <c r="A9" s="3"/>
      <c r="B9" s="6" t="s">
        <v>115</v>
      </c>
      <c r="C9" s="10"/>
      <c r="D9" s="6"/>
      <c r="E9" s="6"/>
      <c r="F9" s="8">
        <f t="shared" si="0"/>
        <v>0</v>
      </c>
      <c r="G9" s="8" t="e">
        <f t="shared" si="1"/>
        <v>#DIV/0!</v>
      </c>
      <c r="H9" s="9"/>
    </row>
    <row r="10" spans="1:9" ht="15" customHeight="1" x14ac:dyDescent="0.25">
      <c r="A10" s="3"/>
      <c r="B10" s="6" t="s">
        <v>116</v>
      </c>
      <c r="C10" s="7"/>
      <c r="D10" s="6"/>
      <c r="E10" s="6"/>
      <c r="F10" s="8">
        <f t="shared" si="0"/>
        <v>0</v>
      </c>
      <c r="G10" s="8" t="e">
        <f t="shared" si="1"/>
        <v>#DIV/0!</v>
      </c>
      <c r="H10" s="9"/>
    </row>
    <row r="11" spans="1:9" ht="15" customHeight="1" x14ac:dyDescent="0.25">
      <c r="A11" s="3"/>
      <c r="B11" s="6" t="s">
        <v>116</v>
      </c>
      <c r="C11" s="7"/>
      <c r="D11" s="6"/>
      <c r="E11" s="6"/>
      <c r="F11" s="8">
        <f t="shared" si="0"/>
        <v>0</v>
      </c>
      <c r="G11" s="8" t="e">
        <f t="shared" si="1"/>
        <v>#DIV/0!</v>
      </c>
      <c r="H11" s="9"/>
    </row>
    <row r="12" spans="1:9" ht="15" customHeight="1" x14ac:dyDescent="0.25">
      <c r="A12" s="3"/>
      <c r="B12" s="11" t="s">
        <v>117</v>
      </c>
      <c r="C12" s="6"/>
      <c r="D12" s="6"/>
      <c r="E12" s="6"/>
      <c r="F12" s="6"/>
      <c r="G12" s="12" t="e">
        <f>AVERAGE(G5:G11)</f>
        <v>#DIV/0!</v>
      </c>
      <c r="H12" s="6"/>
    </row>
    <row r="13" spans="1:9" ht="15" customHeight="1" x14ac:dyDescent="0.25">
      <c r="A13" s="1"/>
      <c r="B13" s="11" t="s">
        <v>118</v>
      </c>
      <c r="C13" s="13"/>
      <c r="D13" s="13"/>
      <c r="E13" s="13"/>
      <c r="F13" s="14"/>
      <c r="G13" s="11"/>
      <c r="H13" s="11"/>
      <c r="I13" s="5"/>
    </row>
    <row r="14" spans="1:9" ht="15" customHeight="1" x14ac:dyDescent="0.25">
      <c r="B14" s="1"/>
      <c r="C14" s="1"/>
      <c r="D14" s="1"/>
      <c r="E14" s="1"/>
    </row>
    <row r="15" spans="1:9" ht="15" customHeight="1" x14ac:dyDescent="0.25">
      <c r="B15" s="1"/>
      <c r="C15" s="1"/>
      <c r="D15" s="1"/>
      <c r="E15" s="1"/>
    </row>
    <row r="16" spans="1:9" ht="15" customHeight="1" x14ac:dyDescent="0.25">
      <c r="B16" s="1"/>
      <c r="C16" s="1"/>
      <c r="D16" s="1"/>
      <c r="E16" s="1"/>
    </row>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2025-08-13T11:27:22Z</cp:lastPrinted>
  <dcterms:created xsi:type="dcterms:W3CDTF">2019-07-16T09:29:46Z</dcterms:created>
  <dcterms:modified xsi:type="dcterms:W3CDTF">2025-08-13T11:34:24Z</dcterms:modified>
</cp:coreProperties>
</file>