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3" i="1" l="1"/>
  <c r="D159" i="1" l="1"/>
  <c r="F159" i="1" s="1"/>
  <c r="D158" i="1"/>
  <c r="D157" i="1"/>
  <c r="D156" i="1"/>
  <c r="D155" i="1"/>
  <c r="D154" i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K145" i="1" s="1"/>
  <c r="D144" i="1"/>
  <c r="F144" i="1" s="1"/>
  <c r="D143" i="1"/>
  <c r="I154" i="1"/>
  <c r="A155" i="1"/>
  <c r="A156" i="1" s="1"/>
  <c r="A157" i="1" s="1"/>
  <c r="A158" i="1" s="1"/>
  <c r="A159" i="1" s="1"/>
  <c r="I146" i="1"/>
  <c r="J145" i="1"/>
  <c r="I145" i="1"/>
  <c r="D136" i="1"/>
  <c r="E112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D127" i="1"/>
  <c r="D126" i="1"/>
  <c r="D125" i="1"/>
  <c r="J125" i="1"/>
  <c r="I136" i="1"/>
  <c r="I126" i="1"/>
  <c r="I125" i="1"/>
  <c r="F136" i="1"/>
  <c r="G112" i="1" s="1"/>
  <c r="E116" i="1" l="1"/>
  <c r="E118" i="1" s="1"/>
  <c r="E117" i="1"/>
  <c r="C112" i="1"/>
  <c r="C111" i="1"/>
  <c r="C113" i="1" s="1"/>
  <c r="C116" i="1"/>
  <c r="C117" i="1"/>
  <c r="F143" i="1"/>
  <c r="G116" i="1" s="1"/>
  <c r="E111" i="1"/>
  <c r="E113" i="1" s="1"/>
  <c r="E7" i="1"/>
  <c r="C118" i="1" l="1"/>
  <c r="E42" i="1"/>
  <c r="E43" i="1" s="1"/>
  <c r="C14" i="1" l="1"/>
  <c r="E29" i="1" l="1"/>
  <c r="A144" i="1" l="1"/>
  <c r="A145" i="1" s="1"/>
  <c r="A146" i="1" s="1"/>
  <c r="A147" i="1" s="1"/>
  <c r="A148" i="1" s="1"/>
  <c r="A149" i="1" s="1"/>
  <c r="A150" i="1" s="1"/>
  <c r="G143" i="1"/>
  <c r="F108" i="1" l="1"/>
  <c r="F126" i="1" l="1"/>
  <c r="F127" i="1"/>
  <c r="F128" i="1"/>
  <c r="F125" i="1"/>
  <c r="G111" i="1" l="1"/>
  <c r="G113" i="1" s="1"/>
  <c r="B162" i="1"/>
  <c r="F158" i="1" l="1"/>
  <c r="F157" i="1"/>
  <c r="F156" i="1"/>
  <c r="K156" i="1" s="1"/>
  <c r="F155" i="1"/>
  <c r="F154" i="1"/>
  <c r="K155" i="1" s="1"/>
  <c r="G117" i="1" l="1"/>
  <c r="G118" i="1" s="1"/>
  <c r="B16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3" i="1"/>
  <c r="G154" i="1"/>
  <c r="A126" i="1"/>
  <c r="A127" i="1" s="1"/>
  <c r="A128" i="1" s="1"/>
  <c r="G125" i="1"/>
  <c r="J92" i="1"/>
  <c r="J91" i="1"/>
  <c r="J90" i="1"/>
  <c r="J89" i="1"/>
  <c r="C81" i="1"/>
  <c r="J77" i="1"/>
  <c r="J76" i="1"/>
  <c r="J75" i="1"/>
  <c r="J74" i="1"/>
  <c r="C66" i="1"/>
  <c r="D54" i="1"/>
  <c r="G49" i="1"/>
  <c r="G50" i="1" s="1"/>
  <c r="C49" i="1"/>
  <c r="C50" i="1" s="1"/>
  <c r="E26" i="1"/>
  <c r="E24" i="1"/>
  <c r="E3" i="1"/>
  <c r="H82" i="1"/>
  <c r="H67" i="1"/>
  <c r="A129" i="1" l="1"/>
  <c r="A130" i="1" s="1"/>
  <c r="A131" i="1" s="1"/>
  <c r="A132" i="1" s="1"/>
  <c r="D60" i="1"/>
  <c r="D92" i="1"/>
  <c r="D93" i="1"/>
  <c r="D94" i="1"/>
  <c r="D88" i="1"/>
  <c r="D89" i="1"/>
  <c r="D90" i="1"/>
  <c r="D91" i="1"/>
  <c r="J81" i="1"/>
  <c r="J83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J87" i="1"/>
  <c r="J85" i="1"/>
  <c r="J86" i="1"/>
  <c r="C85" i="1" s="1"/>
  <c r="J84" i="1"/>
  <c r="C71" i="1" l="1"/>
  <c r="G70" i="1" s="1"/>
  <c r="J80" i="1"/>
  <c r="J88" i="1"/>
  <c r="J93" i="1" s="1"/>
  <c r="J94" i="1" s="1"/>
  <c r="C86" i="1" s="1"/>
  <c r="E85" i="1" s="1"/>
  <c r="A133" i="1"/>
  <c r="A134" i="1" s="1"/>
  <c r="A135" i="1" s="1"/>
  <c r="D87" i="1"/>
  <c r="D72" i="1"/>
  <c r="J68" i="1"/>
  <c r="D70" i="1"/>
  <c r="D85" i="1"/>
  <c r="D64" i="1" l="1"/>
  <c r="D65" i="1" s="1"/>
  <c r="G80" i="1"/>
  <c r="D71" i="1"/>
  <c r="I67" i="1" s="1"/>
  <c r="E70" i="1"/>
  <c r="C80" i="1" s="1"/>
  <c r="J82" i="1"/>
  <c r="G85" i="1"/>
  <c r="D86" i="1"/>
  <c r="I82" i="1" s="1"/>
  <c r="J67" i="1"/>
  <c r="F65" i="1" l="1"/>
  <c r="I68" i="1"/>
  <c r="I66" i="1" s="1"/>
  <c r="C68" i="1" s="1"/>
  <c r="I83" i="1"/>
  <c r="I81" i="1" s="1"/>
  <c r="C83" i="1" s="1"/>
</calcChain>
</file>

<file path=xl/sharedStrings.xml><?xml version="1.0" encoding="utf-8"?>
<sst xmlns="http://schemas.openxmlformats.org/spreadsheetml/2006/main" count="333" uniqueCount="225">
  <si>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</si>
  <si>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</si>
  <si>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</si>
  <si>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</si>
  <si>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</si>
  <si>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</si>
  <si>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</si>
  <si>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</si>
  <si>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</si>
  <si>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</si>
  <si>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</si>
  <si>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</si>
  <si>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</si>
  <si>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</si>
  <si>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</si>
  <si>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</si>
  <si>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</si>
  <si>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</si>
  <si>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</si>
  <si>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</si>
  <si>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</si>
  <si>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</si>
  <si>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</si>
  <si>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</si>
  <si>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</si>
  <si>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</si>
  <si>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</si>
  <si>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</si>
  <si>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</si>
  <si>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</si>
  <si>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</si>
  <si>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</si>
  <si>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</si>
  <si>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</si>
  <si>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</si>
  <si>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</si>
  <si>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</si>
  <si>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</si>
  <si>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</si>
  <si>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</si>
  <si>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</si>
  <si>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</si>
  <si>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</si>
  <si>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</si>
  <si>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</si>
  <si>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</si>
  <si>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</si>
  <si>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</si>
  <si>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</si>
  <si>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</si>
  <si>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</si>
  <si>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</si>
  <si>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</si>
  <si>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</si>
  <si>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</si>
  <si>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</si>
  <si>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</si>
  <si>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</si>
  <si>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</si>
  <si>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</si>
  <si>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</si>
  <si>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</si>
  <si>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</si>
  <si>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</si>
  <si>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</si>
  <si>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</si>
  <si>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</si>
  <si>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</si>
  <si>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</si>
  <si>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</si>
  <si>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</si>
  <si>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</si>
  <si>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</si>
  <si>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</si>
  <si>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</si>
  <si>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</si>
  <si>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</si>
  <si>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</si>
  <si>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</si>
  <si>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</si>
  <si>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</si>
  <si>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</si>
  <si>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</si>
  <si>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</si>
  <si>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</si>
  <si>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</si>
  <si>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</si>
  <si>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</si>
  <si>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</si>
  <si>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</si>
  <si>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</si>
  <si>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</si>
  <si>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</si>
  <si>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</si>
  <si>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</si>
  <si>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</si>
  <si>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</si>
  <si>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</si>
  <si>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</si>
  <si>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</si>
  <si>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</si>
  <si>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</si>
  <si>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</si>
  <si>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</si>
  <si>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</si>
  <si>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</si>
  <si>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</si>
  <si>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</si>
  <si>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</si>
  <si>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</si>
  <si>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</si>
  <si>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</si>
  <si>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</si>
  <si>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</si>
  <si>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</si>
  <si>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</si>
  <si>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</si>
  <si>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</si>
  <si>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</si>
  <si>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</si>
  <si>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</si>
  <si>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</si>
  <si>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</si>
  <si>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</si>
  <si>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</si>
  <si>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</si>
  <si>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</si>
  <si>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</si>
  <si>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</si>
  <si>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</si>
  <si>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</si>
  <si>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</si>
  <si>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</si>
  <si>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</si>
  <si>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</si>
  <si>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</si>
  <si>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</si>
  <si>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</si>
  <si>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</si>
  <si>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</si>
  <si>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</si>
  <si>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</si>
  <si>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</si>
  <si>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</si>
  <si>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</si>
  <si>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</si>
  <si>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</si>
  <si>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</si>
  <si>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</si>
  <si>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</si>
  <si>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</si>
  <si>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</si>
  <si>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</si>
  <si>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</si>
  <si>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</si>
  <si>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</si>
  <si>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</si>
  <si>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</si>
  <si>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</si>
  <si>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</si>
  <si>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</si>
  <si>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</si>
  <si>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</si>
  <si>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</si>
  <si>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</si>
  <si>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</si>
  <si>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</si>
  <si>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</si>
  <si>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</si>
  <si>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</si>
  <si>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</si>
  <si>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</si>
  <si>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</si>
  <si>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Latitude, Longitude</t>
  </si>
  <si>
    <t>Axis Badlapur</t>
  </si>
  <si>
    <t>P51700046671</t>
  </si>
  <si>
    <t>Mohan Atmaram Sase</t>
  </si>
  <si>
    <t>Approved Plans, CC, Cost Sheet</t>
  </si>
  <si>
    <t>65/4/2</t>
  </si>
  <si>
    <t>Murbad</t>
  </si>
  <si>
    <t>Thane</t>
  </si>
  <si>
    <t>Survey No</t>
  </si>
  <si>
    <t>Internal Road</t>
  </si>
  <si>
    <t>Tondalikar nagar</t>
  </si>
  <si>
    <t>Murbad Municipal Council (MMC)</t>
  </si>
  <si>
    <t>60/2022</t>
  </si>
  <si>
    <t>Building No. 1
Building No. 2</t>
  </si>
  <si>
    <t>Building No. 2 = Gr + 1st to 7th Floor</t>
  </si>
  <si>
    <t>As per RERA - 30/06/2026</t>
  </si>
  <si>
    <t>Lower Ground Floor For Commercial</t>
  </si>
  <si>
    <t>Shop</t>
  </si>
  <si>
    <t>Office</t>
  </si>
  <si>
    <t>Upper Ground Floor For Meter Room, Drivers Room &amp; Parking</t>
  </si>
  <si>
    <t>Building No. 2</t>
  </si>
  <si>
    <t>1st, 2nd, 3rd, 4th, 5th &amp; 6th Floor For Residential</t>
  </si>
  <si>
    <t>1BHK</t>
  </si>
  <si>
    <t>2BHK</t>
  </si>
  <si>
    <t>3BHK</t>
  </si>
  <si>
    <t>Building No. 1</t>
  </si>
  <si>
    <t>Ground Floor For Society Office, Meter Room &amp; Parking</t>
  </si>
  <si>
    <t>1st, 2nd, 3rd, 4th, 5th, 6th &amp; 7th Floor For Residential</t>
  </si>
  <si>
    <t>We considered Gross carpet area = Net carpet + Balcony + E.P Area.</t>
  </si>
  <si>
    <t>Flats - 90, Shops - 11, Offices - 01</t>
  </si>
  <si>
    <t>https://goo.gl/maps/1r4tqcf8MFQ7aMdK8</t>
  </si>
  <si>
    <t>Mauli Nagar Park</t>
  </si>
  <si>
    <t>Trimurti Apartment</t>
  </si>
  <si>
    <t>1.8KM from Murbad Bus Station</t>
  </si>
  <si>
    <t>Mohan Heights</t>
  </si>
  <si>
    <t>Building No. 1 = Lower Gr + Gr + 1st to 6th Floor
Building No. 2 = Gr + 1st to 7th Floor</t>
  </si>
  <si>
    <t>Building No. 1 = Lower Gr + Upper Gr + 1st to 6th Floor
Building No. 2 = Gr + 1st to 7th Floor</t>
  </si>
  <si>
    <t>Building No. 1 = Lower Gr + Upper Gr + 1st to 6th Floor</t>
  </si>
  <si>
    <t>Sai Sansar Shelter</t>
  </si>
  <si>
    <t>Rushikesh</t>
  </si>
  <si>
    <t>3200 to 3500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</si>
  <si>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</si>
  <si>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19.249732,73.395707</t>
  </si>
  <si>
    <t xml:space="preserve">1. Vitrified tiles flooring 2. Granite Kitchen Platform 3. Decorative Enternace etc.
</t>
  </si>
  <si>
    <t>Shops</t>
  </si>
  <si>
    <t>J.K./MNP/NRV/70/2025
Approved upto : LG + Gr/St + 1st to 6th Floor
11 Shops, 2 Cabins &amp; 48 flats</t>
  </si>
  <si>
    <t>We have updated OC for Building No.1 (On 14/05/2025).</t>
  </si>
  <si>
    <t>Mr.Nainil Dhalpe 8208288692</t>
  </si>
  <si>
    <t>02 Buildings</t>
  </si>
  <si>
    <t>Shruti Tathare</t>
  </si>
  <si>
    <t>Krishna Kambali</t>
  </si>
  <si>
    <t>Building No. 1 = All work Completed. OC Received.
Building No. 2 = Construction work is in process at the time of Visit. 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</si>
</sst>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6" xfId="0" applyFont="1" applyFill="1" applyBorder="1"/>
    <xf numFmtId="0" fontId="25" fillId="0" borderId="27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3" xfId="0" applyFont="1" applyFill="1" applyBorder="1"/>
    <xf numFmtId="0" fontId="25" fillId="0" borderId="9" xfId="0" applyFont="1" applyBorder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3" xfId="8" applyFont="1" applyFill="1" applyBorder="1" applyAlignment="1" applyProtection="1">
      <alignment horizontal="center" vertical="top" wrapText="1"/>
      <protection locked="0"/>
    </xf>
    <xf numFmtId="0" fontId="7" fillId="0" borderId="30" xfId="1" applyFont="1" applyBorder="1" applyAlignment="1" applyProtection="1">
      <alignment horizontal="center" vertical="center" wrapText="1"/>
      <protection locked="0"/>
    </xf>
    <xf numFmtId="0" fontId="7" fillId="0" borderId="31" xfId="1" applyFont="1" applyBorder="1" applyAlignment="1" applyProtection="1">
      <alignment horizontal="center" vertical="center" wrapText="1"/>
      <protection locked="0"/>
    </xf>
    <xf numFmtId="9" fontId="7" fillId="0" borderId="32" xfId="8" applyFont="1" applyFill="1" applyBorder="1" applyAlignment="1" applyProtection="1">
      <alignment horizontal="center" vertical="center" wrapText="1"/>
      <protection locked="0"/>
    </xf>
    <xf numFmtId="9" fontId="7" fillId="0" borderId="33" xfId="8" applyFont="1" applyFill="1" applyBorder="1" applyAlignment="1" applyProtection="1">
      <alignment horizontal="center" vertical="center" wrapText="1"/>
      <protection locked="0"/>
    </xf>
    <xf numFmtId="9" fontId="7" fillId="0" borderId="32" xfId="1" applyNumberFormat="1" applyFont="1" applyBorder="1" applyAlignment="1" applyProtection="1">
      <alignment horizontal="center" vertical="center" wrapText="1"/>
      <protection locked="0"/>
    </xf>
    <xf numFmtId="0" fontId="7" fillId="0" borderId="33" xfId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9" fontId="7" fillId="0" borderId="3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552543</xdr:colOff>
      <xdr:row>228</xdr:row>
      <xdr:rowOff>17318</xdr:rowOff>
    </xdr:from>
    <xdr:to>
      <xdr:col>3</xdr:col>
      <xdr:colOff>578969</xdr:colOff>
      <xdr:row>242</xdr:row>
      <xdr:rowOff>109091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6" t="13396" r="14361" b="35472"/>
        <a:stretch/>
      </xdr:blipFill>
      <xdr:spPr>
        <a:xfrm>
          <a:off x="552543" y="48819954"/>
          <a:ext cx="2433653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0</xdr:colOff>
      <xdr:row>228</xdr:row>
      <xdr:rowOff>5490</xdr:rowOff>
    </xdr:from>
    <xdr:to>
      <xdr:col>7</xdr:col>
      <xdr:colOff>334872</xdr:colOff>
      <xdr:row>242</xdr:row>
      <xdr:rowOff>97263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43" t="804" r="40378" b="13417"/>
        <a:stretch/>
      </xdr:blipFill>
      <xdr:spPr>
        <a:xfrm>
          <a:off x="3368386" y="48808126"/>
          <a:ext cx="2672827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4</xdr:col>
      <xdr:colOff>684069</xdr:colOff>
      <xdr:row>235</xdr:row>
      <xdr:rowOff>77931</xdr:rowOff>
    </xdr:from>
    <xdr:to>
      <xdr:col>6</xdr:col>
      <xdr:colOff>458932</xdr:colOff>
      <xdr:row>238</xdr:row>
      <xdr:rowOff>60613</xdr:rowOff>
    </xdr:to>
    <xdr:sp macro="" textlink="">
      <xdr:nvSpPr>
        <xdr:cNvPr id="4" name="Rectangle 3"/>
        <xdr:cNvSpPr/>
      </xdr:nvSpPr>
      <xdr:spPr>
        <a:xfrm>
          <a:off x="4052455" y="50274681"/>
          <a:ext cx="1333500" cy="580159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181840</xdr:colOff>
      <xdr:row>231</xdr:row>
      <xdr:rowOff>190500</xdr:rowOff>
    </xdr:from>
    <xdr:to>
      <xdr:col>6</xdr:col>
      <xdr:colOff>381000</xdr:colOff>
      <xdr:row>234</xdr:row>
      <xdr:rowOff>164523</xdr:rowOff>
    </xdr:to>
    <xdr:sp macro="" textlink="">
      <xdr:nvSpPr>
        <xdr:cNvPr id="5" name="Rectangle 4"/>
        <xdr:cNvSpPr/>
      </xdr:nvSpPr>
      <xdr:spPr>
        <a:xfrm>
          <a:off x="4329545" y="49590614"/>
          <a:ext cx="978478" cy="57150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69272</xdr:colOff>
      <xdr:row>238</xdr:row>
      <xdr:rowOff>69274</xdr:rowOff>
    </xdr:from>
    <xdr:to>
      <xdr:col>6</xdr:col>
      <xdr:colOff>285750</xdr:colOff>
      <xdr:row>239</xdr:row>
      <xdr:rowOff>147205</xdr:rowOff>
    </xdr:to>
    <xdr:sp macro="" textlink="">
      <xdr:nvSpPr>
        <xdr:cNvPr id="6" name="TextBox 5"/>
        <xdr:cNvSpPr txBox="1"/>
      </xdr:nvSpPr>
      <xdr:spPr>
        <a:xfrm>
          <a:off x="4216977" y="50863501"/>
          <a:ext cx="995796" cy="277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0000"/>
              </a:solidFill>
            </a:rPr>
            <a:t>Building No.</a:t>
          </a:r>
          <a:r>
            <a:rPr lang="en-IN" sz="1100" b="1" baseline="0">
              <a:solidFill>
                <a:srgbClr val="FF0000"/>
              </a:solidFill>
            </a:rPr>
            <a:t> 1</a:t>
          </a:r>
          <a:endParaRPr lang="en-IN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147204</xdr:colOff>
      <xdr:row>230</xdr:row>
      <xdr:rowOff>126717</xdr:rowOff>
    </xdr:from>
    <xdr:to>
      <xdr:col>6</xdr:col>
      <xdr:colOff>363682</xdr:colOff>
      <xdr:row>232</xdr:row>
      <xdr:rowOff>5489</xdr:rowOff>
    </xdr:to>
    <xdr:sp macro="" textlink="">
      <xdr:nvSpPr>
        <xdr:cNvPr id="7" name="TextBox 6"/>
        <xdr:cNvSpPr txBox="1"/>
      </xdr:nvSpPr>
      <xdr:spPr>
        <a:xfrm>
          <a:off x="4294909" y="49327672"/>
          <a:ext cx="995796" cy="277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0000"/>
              </a:solidFill>
            </a:rPr>
            <a:t>Building No.</a:t>
          </a:r>
          <a:r>
            <a:rPr lang="en-IN" sz="1100" b="1" baseline="0">
              <a:solidFill>
                <a:srgbClr val="FF0000"/>
              </a:solidFill>
            </a:rPr>
            <a:t> 2</a:t>
          </a:r>
          <a:endParaRPr lang="en-IN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484908</xdr:colOff>
      <xdr:row>270</xdr:row>
      <xdr:rowOff>189634</xdr:rowOff>
    </xdr:from>
    <xdr:to>
      <xdr:col>6</xdr:col>
      <xdr:colOff>428686</xdr:colOff>
      <xdr:row>285</xdr:row>
      <xdr:rowOff>81382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6908" y="50357809"/>
          <a:ext cx="4115728" cy="2892123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1</xdr:col>
      <xdr:colOff>475383</xdr:colOff>
      <xdr:row>285</xdr:row>
      <xdr:rowOff>188474</xdr:rowOff>
    </xdr:from>
    <xdr:to>
      <xdr:col>6</xdr:col>
      <xdr:colOff>413722</xdr:colOff>
      <xdr:row>300</xdr:row>
      <xdr:rowOff>81087</xdr:rowOff>
    </xdr:to>
    <xdr:grpSp>
      <xdr:nvGrpSpPr>
        <xdr:cNvPr id="14" name="Group 13"/>
        <xdr:cNvGrpSpPr/>
      </xdr:nvGrpSpPr>
      <xdr:grpSpPr>
        <a:xfrm>
          <a:off x="1237383" y="53585624"/>
          <a:ext cx="4110289" cy="2892988"/>
          <a:chOff x="1151658" y="53738024"/>
          <a:chExt cx="4110289" cy="2892988"/>
        </a:xfrm>
      </xdr:grpSpPr>
      <xdr:pic>
        <xdr:nvPicPr>
          <xdr:cNvPr id="18" name="Picture 17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51658" y="53738024"/>
            <a:ext cx="4110289" cy="2892988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19" name="Rectangle 18"/>
          <xdr:cNvSpPr/>
        </xdr:nvSpPr>
        <xdr:spPr>
          <a:xfrm rot="2994769">
            <a:off x="2709769" y="54888958"/>
            <a:ext cx="581067" cy="647306"/>
          </a:xfrm>
          <a:prstGeom prst="rect">
            <a:avLst/>
          </a:prstGeom>
          <a:noFill/>
          <a:ln w="190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2505074" y="54555442"/>
            <a:ext cx="1135208" cy="2788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Mohan Heights</a:t>
            </a:r>
          </a:p>
        </xdr:txBody>
      </xdr:sp>
    </xdr:grpSp>
    <xdr:clientData/>
  </xdr:twoCellAnchor>
  <xdr:twoCellAnchor>
    <xdr:from>
      <xdr:col>0</xdr:col>
      <xdr:colOff>133351</xdr:colOff>
      <xdr:row>183</xdr:row>
      <xdr:rowOff>57150</xdr:rowOff>
    </xdr:from>
    <xdr:to>
      <xdr:col>7</xdr:col>
      <xdr:colOff>701644</xdr:colOff>
      <xdr:row>224</xdr:row>
      <xdr:rowOff>126411</xdr:rowOff>
    </xdr:to>
    <xdr:grpSp>
      <xdr:nvGrpSpPr>
        <xdr:cNvPr id="13" name="Group 12"/>
        <xdr:cNvGrpSpPr/>
      </xdr:nvGrpSpPr>
      <xdr:grpSpPr>
        <a:xfrm>
          <a:off x="133351" y="37461825"/>
          <a:ext cx="6283293" cy="8260761"/>
          <a:chOff x="133351" y="37233225"/>
          <a:chExt cx="6283293" cy="8260761"/>
        </a:xfrm>
      </xdr:grpSpPr>
      <xdr:grpSp>
        <xdr:nvGrpSpPr>
          <xdr:cNvPr id="9" name="Group 8"/>
          <xdr:cNvGrpSpPr/>
        </xdr:nvGrpSpPr>
        <xdr:grpSpPr>
          <a:xfrm>
            <a:off x="133351" y="37233225"/>
            <a:ext cx="6283293" cy="8260761"/>
            <a:chOff x="123826" y="37233225"/>
            <a:chExt cx="6283293" cy="8260761"/>
          </a:xfrm>
        </xdr:grpSpPr>
        <xdr:pic>
          <xdr:nvPicPr>
            <xdr:cNvPr id="59" name="Picture 58" descr="https://vsjcllp.vsjadon.com/upload/insp-243267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09776" y="44028160"/>
              <a:ext cx="1952624" cy="146582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2" name="Picture 71" descr="https://vsjcllp.vsjadon.com/upload/insp-243267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9575" y="37237987"/>
              <a:ext cx="3704966" cy="27813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4" name="Picture 73" descr="https://vsjcllp.vsjadon.com/upload/insp-243267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90901" y="42195749"/>
              <a:ext cx="2338082" cy="175518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5" name="Picture 74" descr="https://vsjcllp.vsjadon.com/upload/insp-243267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895851" y="40100249"/>
              <a:ext cx="1511268" cy="20171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6" name="Picture 75" descr="https://vsjcllp.vsjadon.com/upload/insp-243267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2501" y="42205274"/>
              <a:ext cx="2338082" cy="175518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7" name="Picture 76" descr="https://vsjcllp.vsjadon.com/upload/insp-243267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00525" y="37233225"/>
              <a:ext cx="2083803" cy="27813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8" name="Picture 77" descr="https://vsjcllp.vsjadon.com/upload/insp-243267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05176" y="40100249"/>
              <a:ext cx="1511268" cy="20171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9" name="Picture 78" descr="https://vsjcllp.vsjadon.com/upload/insp-243267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3826" y="40100249"/>
              <a:ext cx="1511268" cy="20171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0" name="Picture 79" descr="https://vsjcllp.vsjadon.com/upload/insp-243267-87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14501" y="40100249"/>
              <a:ext cx="1511268" cy="20171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5505451" y="37261800"/>
            <a:ext cx="768163" cy="298730"/>
          </a:xfrm>
          <a:prstGeom prst="rect">
            <a:avLst/>
          </a:prstGeom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3276601" y="37280850"/>
            <a:ext cx="768163" cy="29873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1467970</xdr:colOff>
      <xdr:row>16</xdr:row>
      <xdr:rowOff>78441</xdr:rowOff>
    </xdr:from>
    <xdr:to>
      <xdr:col>7</xdr:col>
      <xdr:colOff>593911</xdr:colOff>
      <xdr:row>36</xdr:row>
      <xdr:rowOff>124183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676" y="3137647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r4tqcf8MFQ7aMdK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13"/>
  <sheetViews>
    <sheetView tabSelected="1" view="pageBreakPreview" topLeftCell="A62" zoomScaleNormal="100" zoomScaleSheetLayoutView="100" workbookViewId="0">
      <selection activeCell="K84" sqref="K84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425781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1.8554687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16" t="s">
        <v>214</v>
      </c>
      <c r="B1" s="116"/>
      <c r="C1" s="116"/>
      <c r="D1" s="116"/>
      <c r="E1" s="116"/>
      <c r="F1" s="116"/>
      <c r="G1" s="116"/>
      <c r="H1" s="116"/>
    </row>
    <row r="2" spans="1:8" ht="16.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8" x14ac:dyDescent="0.25">
      <c r="A3" s="118" t="s">
        <v>1</v>
      </c>
      <c r="B3" s="118"/>
      <c r="C3" s="118"/>
      <c r="D3" s="118"/>
      <c r="E3" s="118" t="str">
        <f ca="1">TEXT(TODAY(),"DD/MM/YYYY")</f>
        <v>16/08/2025</v>
      </c>
      <c r="F3" s="118"/>
      <c r="G3" s="118"/>
      <c r="H3" s="118"/>
    </row>
    <row r="4" spans="1:8" x14ac:dyDescent="0.25">
      <c r="A4" s="118" t="s">
        <v>2</v>
      </c>
      <c r="B4" s="118"/>
      <c r="C4" s="118"/>
      <c r="D4" s="118"/>
      <c r="E4" s="118" t="s">
        <v>174</v>
      </c>
      <c r="F4" s="118"/>
      <c r="G4" s="118"/>
      <c r="H4" s="118"/>
    </row>
    <row r="5" spans="1:8" x14ac:dyDescent="0.25">
      <c r="A5" s="118" t="s">
        <v>3</v>
      </c>
      <c r="B5" s="118"/>
      <c r="C5" s="118"/>
      <c r="D5" s="118"/>
      <c r="E5" s="121">
        <v>45882</v>
      </c>
      <c r="F5" s="118"/>
      <c r="G5" s="118"/>
      <c r="H5" s="118"/>
    </row>
    <row r="6" spans="1:8" ht="16.5" customHeight="1" x14ac:dyDescent="0.25">
      <c r="A6" s="118" t="s">
        <v>4</v>
      </c>
      <c r="B6" s="118"/>
      <c r="C6" s="118"/>
      <c r="D6" s="118"/>
      <c r="E6" s="109" t="s">
        <v>176</v>
      </c>
      <c r="F6" s="118"/>
      <c r="G6" s="118"/>
      <c r="H6" s="118"/>
    </row>
    <row r="7" spans="1:8" x14ac:dyDescent="0.25">
      <c r="A7" s="118" t="s">
        <v>5</v>
      </c>
      <c r="B7" s="118"/>
      <c r="C7" s="118"/>
      <c r="D7" s="118"/>
      <c r="E7" s="118" t="str">
        <f>E6</f>
        <v>Mohan Atmaram Sase</v>
      </c>
      <c r="F7" s="118"/>
      <c r="G7" s="118"/>
      <c r="H7" s="118"/>
    </row>
    <row r="8" spans="1:8" x14ac:dyDescent="0.25">
      <c r="A8" s="118" t="s">
        <v>6</v>
      </c>
      <c r="B8" s="118"/>
      <c r="C8" s="118"/>
      <c r="D8" s="118"/>
      <c r="E8" s="119" t="s">
        <v>207</v>
      </c>
      <c r="F8" s="120"/>
      <c r="G8" s="120"/>
      <c r="H8" s="120"/>
    </row>
    <row r="9" spans="1:8" x14ac:dyDescent="0.25">
      <c r="A9" s="118" t="s">
        <v>170</v>
      </c>
      <c r="B9" s="118"/>
      <c r="C9" s="118"/>
      <c r="D9" s="118"/>
      <c r="E9" s="118" t="s">
        <v>220</v>
      </c>
      <c r="F9" s="118"/>
      <c r="G9" s="118"/>
      <c r="H9" s="118"/>
    </row>
    <row r="10" spans="1:8" x14ac:dyDescent="0.25">
      <c r="A10" s="118" t="s">
        <v>171</v>
      </c>
      <c r="B10" s="118"/>
      <c r="C10" s="118"/>
      <c r="D10" s="118"/>
      <c r="E10" s="118">
        <v>8208288692</v>
      </c>
      <c r="F10" s="118"/>
      <c r="G10" s="118"/>
      <c r="H10" s="118"/>
    </row>
    <row r="11" spans="1:8" ht="32.25" customHeight="1" x14ac:dyDescent="0.25">
      <c r="A11" s="118" t="s">
        <v>7</v>
      </c>
      <c r="B11" s="118"/>
      <c r="C11" s="118"/>
      <c r="D11" s="118"/>
      <c r="E11" s="109" t="s">
        <v>186</v>
      </c>
      <c r="F11" s="118"/>
      <c r="G11" s="118"/>
      <c r="H11" s="118"/>
    </row>
    <row r="12" spans="1:8" x14ac:dyDescent="0.25">
      <c r="A12" s="78" t="s">
        <v>8</v>
      </c>
      <c r="B12" s="78"/>
      <c r="C12" s="78"/>
      <c r="D12" s="78"/>
      <c r="E12" s="109" t="s">
        <v>177</v>
      </c>
      <c r="F12" s="109"/>
      <c r="G12" s="109"/>
      <c r="H12" s="109"/>
    </row>
    <row r="13" spans="1:8" x14ac:dyDescent="0.25">
      <c r="A13" s="78" t="s">
        <v>9</v>
      </c>
      <c r="B13" s="78"/>
      <c r="C13" s="78"/>
      <c r="D13" s="78"/>
      <c r="E13" s="109" t="s">
        <v>175</v>
      </c>
      <c r="F13" s="118"/>
      <c r="G13" s="118"/>
      <c r="H13" s="118"/>
    </row>
    <row r="14" spans="1:8" ht="31.5" customHeight="1" x14ac:dyDescent="0.25">
      <c r="A14" s="108" t="s">
        <v>10</v>
      </c>
      <c r="B14" s="108"/>
      <c r="C14" s="10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Mohan Heights, Survey No.65/4/2, near Sai Sansar Shelter, Internal Road, Tondalikar nagar, Murbad, Murbad, Murbad, Thane - 421401.</v>
      </c>
      <c r="D14" s="108"/>
      <c r="E14" s="108"/>
      <c r="F14" s="108"/>
      <c r="G14" s="108"/>
      <c r="H14" s="108"/>
    </row>
    <row r="15" spans="1:8" x14ac:dyDescent="0.25">
      <c r="A15" s="109" t="s">
        <v>181</v>
      </c>
      <c r="B15" s="109"/>
      <c r="C15" s="109" t="s">
        <v>178</v>
      </c>
      <c r="D15" s="109"/>
      <c r="E15" s="109"/>
      <c r="F15" s="109"/>
      <c r="G15" s="109"/>
      <c r="H15" s="109"/>
    </row>
    <row r="16" spans="1:8" ht="15.75" customHeight="1" x14ac:dyDescent="0.25">
      <c r="A16" s="109" t="s">
        <v>169</v>
      </c>
      <c r="B16" s="109"/>
      <c r="C16" s="109" t="s">
        <v>183</v>
      </c>
      <c r="D16" s="109"/>
      <c r="E16" s="109"/>
      <c r="F16" s="109"/>
      <c r="G16" s="109"/>
      <c r="H16" s="109"/>
    </row>
    <row r="17" spans="1:8" ht="15.75" customHeight="1" x14ac:dyDescent="0.25">
      <c r="A17" s="108" t="s">
        <v>11</v>
      </c>
      <c r="B17" s="108"/>
      <c r="C17" s="118" t="s">
        <v>182</v>
      </c>
      <c r="D17" s="118"/>
      <c r="E17" s="108" t="s">
        <v>75</v>
      </c>
      <c r="F17" s="108"/>
      <c r="G17" s="109" t="s">
        <v>179</v>
      </c>
      <c r="H17" s="109"/>
    </row>
    <row r="18" spans="1:8" x14ac:dyDescent="0.25">
      <c r="A18" s="78" t="s">
        <v>13</v>
      </c>
      <c r="B18" s="78"/>
      <c r="C18" s="109" t="s">
        <v>179</v>
      </c>
      <c r="D18" s="109"/>
      <c r="E18" s="108" t="s">
        <v>12</v>
      </c>
      <c r="F18" s="108"/>
      <c r="G18" s="122" t="s">
        <v>180</v>
      </c>
      <c r="H18" s="122"/>
    </row>
    <row r="19" spans="1:8" x14ac:dyDescent="0.25">
      <c r="A19" s="78" t="s">
        <v>76</v>
      </c>
      <c r="B19" s="78"/>
      <c r="C19" s="109" t="s">
        <v>179</v>
      </c>
      <c r="D19" s="109"/>
      <c r="E19" s="108" t="s">
        <v>14</v>
      </c>
      <c r="F19" s="108"/>
      <c r="G19" s="109">
        <v>421401</v>
      </c>
      <c r="H19" s="109"/>
    </row>
    <row r="20" spans="1:8" ht="32.25" customHeight="1" x14ac:dyDescent="0.25">
      <c r="A20" s="78" t="s">
        <v>126</v>
      </c>
      <c r="B20" s="78"/>
      <c r="C20" s="109" t="s">
        <v>211</v>
      </c>
      <c r="D20" s="109"/>
      <c r="E20" s="108" t="s">
        <v>15</v>
      </c>
      <c r="F20" s="108"/>
      <c r="G20" s="109" t="s">
        <v>206</v>
      </c>
      <c r="H20" s="109"/>
    </row>
    <row r="21" spans="1:8" ht="15" customHeight="1" x14ac:dyDescent="0.25">
      <c r="A21" s="108" t="s">
        <v>79</v>
      </c>
      <c r="B21" s="108"/>
      <c r="C21" s="108"/>
      <c r="D21" s="108"/>
      <c r="E21" s="118" t="s">
        <v>16</v>
      </c>
      <c r="F21" s="118"/>
      <c r="G21" s="118"/>
      <c r="H21" s="118"/>
    </row>
    <row r="22" spans="1:8" ht="18.75" customHeight="1" x14ac:dyDescent="0.25">
      <c r="A22" s="108"/>
      <c r="B22" s="108"/>
      <c r="C22" s="108"/>
      <c r="D22" s="108"/>
      <c r="E22" s="118"/>
      <c r="F22" s="118"/>
      <c r="G22" s="118"/>
      <c r="H22" s="118"/>
    </row>
    <row r="23" spans="1:8" ht="15" customHeight="1" x14ac:dyDescent="0.25">
      <c r="A23" s="108" t="s">
        <v>17</v>
      </c>
      <c r="B23" s="108"/>
      <c r="C23" s="108"/>
      <c r="D23" s="108"/>
      <c r="E23" s="109" t="s">
        <v>18</v>
      </c>
      <c r="F23" s="109"/>
      <c r="G23" s="109"/>
      <c r="H23" s="109"/>
    </row>
    <row r="24" spans="1:8" ht="15" customHeight="1" x14ac:dyDescent="0.25">
      <c r="A24" s="78" t="s">
        <v>19</v>
      </c>
      <c r="B24" s="78"/>
      <c r="C24" s="78"/>
      <c r="D24" s="78"/>
      <c r="E24" s="109" t="str">
        <f>IF(AND(G18="Mumbai"),"Upper Class","Middle Class")</f>
        <v>Middle Class</v>
      </c>
      <c r="F24" s="109"/>
      <c r="G24" s="109"/>
      <c r="H24" s="109"/>
    </row>
    <row r="25" spans="1:8" x14ac:dyDescent="0.25">
      <c r="A25" s="78" t="s">
        <v>20</v>
      </c>
      <c r="B25" s="78"/>
      <c r="C25" s="78"/>
      <c r="D25" s="78"/>
      <c r="E25" s="109" t="s">
        <v>21</v>
      </c>
      <c r="F25" s="109"/>
      <c r="G25" s="109"/>
      <c r="H25" s="109"/>
    </row>
    <row r="26" spans="1:8" ht="15.75" customHeight="1" x14ac:dyDescent="0.25">
      <c r="A26" s="78" t="s">
        <v>22</v>
      </c>
      <c r="B26" s="78"/>
      <c r="C26" s="78"/>
      <c r="D26" s="78"/>
      <c r="E26" s="109" t="str">
        <f>IF(AND(G18="Mumbai"),"Developed","Developing")</f>
        <v>Developing</v>
      </c>
      <c r="F26" s="109"/>
      <c r="G26" s="109"/>
      <c r="H26" s="109"/>
    </row>
    <row r="27" spans="1:8" x14ac:dyDescent="0.25">
      <c r="A27" s="78" t="s">
        <v>23</v>
      </c>
      <c r="B27" s="78"/>
      <c r="C27" s="78"/>
      <c r="D27" s="78"/>
      <c r="E27" s="109" t="s">
        <v>24</v>
      </c>
      <c r="F27" s="109"/>
      <c r="G27" s="109"/>
      <c r="H27" s="109"/>
    </row>
    <row r="28" spans="1:8" ht="15.75" customHeight="1" x14ac:dyDescent="0.25">
      <c r="A28" s="78" t="s">
        <v>84</v>
      </c>
      <c r="B28" s="78"/>
      <c r="C28" s="78"/>
      <c r="D28" s="78"/>
      <c r="E28" s="109" t="s">
        <v>85</v>
      </c>
      <c r="F28" s="109"/>
      <c r="G28" s="109"/>
      <c r="H28" s="109"/>
    </row>
    <row r="29" spans="1:8" ht="15" customHeight="1" x14ac:dyDescent="0.25">
      <c r="A29" s="78" t="s">
        <v>33</v>
      </c>
      <c r="B29" s="78"/>
      <c r="C29" s="78"/>
      <c r="D29" s="78"/>
      <c r="E29" s="10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09"/>
      <c r="G29" s="109"/>
      <c r="H29" s="109"/>
    </row>
    <row r="30" spans="1:8" ht="15.75" customHeight="1" x14ac:dyDescent="0.25">
      <c r="A30" s="78" t="s">
        <v>96</v>
      </c>
      <c r="B30" s="78"/>
      <c r="C30" s="78"/>
      <c r="D30" s="78"/>
      <c r="E30" s="109" t="s">
        <v>34</v>
      </c>
      <c r="F30" s="109"/>
      <c r="G30" s="109"/>
      <c r="H30" s="109"/>
    </row>
    <row r="31" spans="1:8" s="22" customFormat="1" x14ac:dyDescent="0.25">
      <c r="A31" s="126" t="s">
        <v>97</v>
      </c>
      <c r="B31" s="126"/>
      <c r="C31" s="123" t="s">
        <v>29</v>
      </c>
      <c r="D31" s="123"/>
      <c r="E31" s="123"/>
      <c r="F31" s="123" t="s">
        <v>31</v>
      </c>
      <c r="G31" s="123"/>
      <c r="H31" s="123"/>
    </row>
    <row r="32" spans="1:8" s="22" customFormat="1" x14ac:dyDescent="0.25">
      <c r="A32" s="125" t="s">
        <v>25</v>
      </c>
      <c r="B32" s="125" t="s">
        <v>30</v>
      </c>
      <c r="C32" s="124" t="s">
        <v>30</v>
      </c>
      <c r="D32" s="124"/>
      <c r="E32" s="124"/>
      <c r="F32" s="124" t="s">
        <v>204</v>
      </c>
      <c r="G32" s="124"/>
      <c r="H32" s="124"/>
    </row>
    <row r="33" spans="1:8" x14ac:dyDescent="0.25">
      <c r="A33" s="125" t="s">
        <v>26</v>
      </c>
      <c r="B33" s="125" t="s">
        <v>30</v>
      </c>
      <c r="C33" s="124" t="s">
        <v>30</v>
      </c>
      <c r="D33" s="124"/>
      <c r="E33" s="124"/>
      <c r="F33" s="124" t="s">
        <v>211</v>
      </c>
      <c r="G33" s="124"/>
      <c r="H33" s="124"/>
    </row>
    <row r="34" spans="1:8" s="22" customFormat="1" x14ac:dyDescent="0.25">
      <c r="A34" s="125" t="s">
        <v>28</v>
      </c>
      <c r="B34" s="125" t="s">
        <v>30</v>
      </c>
      <c r="C34" s="124" t="s">
        <v>30</v>
      </c>
      <c r="D34" s="124"/>
      <c r="E34" s="124"/>
      <c r="F34" s="124" t="s">
        <v>205</v>
      </c>
      <c r="G34" s="124"/>
      <c r="H34" s="124"/>
    </row>
    <row r="35" spans="1:8" x14ac:dyDescent="0.25">
      <c r="A35" s="125" t="s">
        <v>27</v>
      </c>
      <c r="B35" s="125" t="s">
        <v>30</v>
      </c>
      <c r="C35" s="124" t="s">
        <v>30</v>
      </c>
      <c r="D35" s="124"/>
      <c r="E35" s="124"/>
      <c r="F35" s="146" t="s">
        <v>182</v>
      </c>
      <c r="G35" s="124"/>
      <c r="H35" s="124"/>
    </row>
    <row r="36" spans="1:8" x14ac:dyDescent="0.25">
      <c r="A36" s="78" t="s">
        <v>32</v>
      </c>
      <c r="B36" s="78"/>
      <c r="C36" s="78"/>
      <c r="D36" s="78"/>
      <c r="E36" s="78"/>
      <c r="F36" s="78"/>
      <c r="G36" s="78"/>
      <c r="H36" s="78"/>
    </row>
    <row r="37" spans="1:8" ht="15.75" customHeight="1" x14ac:dyDescent="0.25">
      <c r="A37" s="117" t="s">
        <v>173</v>
      </c>
      <c r="B37" s="117"/>
      <c r="C37" s="78" t="s">
        <v>215</v>
      </c>
      <c r="D37" s="78"/>
      <c r="E37" s="78"/>
      <c r="F37" s="78"/>
      <c r="G37" s="78"/>
      <c r="H37" s="78"/>
    </row>
    <row r="38" spans="1:8" x14ac:dyDescent="0.25">
      <c r="A38" s="117" t="s">
        <v>168</v>
      </c>
      <c r="B38" s="117"/>
      <c r="C38" s="187" t="s">
        <v>203</v>
      </c>
      <c r="D38" s="109"/>
      <c r="E38" s="109"/>
      <c r="F38" s="109"/>
      <c r="G38" s="109"/>
      <c r="H38" s="109"/>
    </row>
    <row r="39" spans="1:8" x14ac:dyDescent="0.25">
      <c r="A39" s="112" t="s">
        <v>35</v>
      </c>
      <c r="B39" s="112"/>
      <c r="C39" s="112"/>
      <c r="D39" s="112"/>
      <c r="E39" s="112"/>
      <c r="F39" s="112"/>
      <c r="G39" s="112"/>
      <c r="H39" s="112"/>
    </row>
    <row r="40" spans="1:8" x14ac:dyDescent="0.25">
      <c r="A40" s="78" t="s">
        <v>36</v>
      </c>
      <c r="B40" s="78"/>
      <c r="C40" s="78"/>
      <c r="D40" s="78"/>
      <c r="E40" s="145">
        <v>2662.75</v>
      </c>
      <c r="F40" s="145"/>
      <c r="G40" s="145"/>
      <c r="H40" s="145"/>
    </row>
    <row r="41" spans="1:8" x14ac:dyDescent="0.25">
      <c r="A41" s="78" t="s">
        <v>37</v>
      </c>
      <c r="B41" s="78"/>
      <c r="C41" s="78"/>
      <c r="D41" s="78"/>
      <c r="E41" s="77">
        <v>1.1000000000000001</v>
      </c>
      <c r="F41" s="77"/>
      <c r="G41" s="77"/>
      <c r="H41" s="77"/>
    </row>
    <row r="42" spans="1:8" x14ac:dyDescent="0.25">
      <c r="A42" s="78" t="s">
        <v>38</v>
      </c>
      <c r="B42" s="78"/>
      <c r="C42" s="78"/>
      <c r="D42" s="78"/>
      <c r="E42" s="77">
        <f>E44/E40-E41</f>
        <v>1.1555328138202987</v>
      </c>
      <c r="F42" s="77"/>
      <c r="G42" s="77"/>
      <c r="H42" s="77"/>
    </row>
    <row r="43" spans="1:8" x14ac:dyDescent="0.25">
      <c r="A43" s="78" t="s">
        <v>39</v>
      </c>
      <c r="B43" s="78"/>
      <c r="C43" s="78"/>
      <c r="D43" s="78"/>
      <c r="E43" s="77">
        <f>E41+E42</f>
        <v>2.2555328138202988</v>
      </c>
      <c r="F43" s="77"/>
      <c r="G43" s="77"/>
      <c r="H43" s="77"/>
    </row>
    <row r="44" spans="1:8" x14ac:dyDescent="0.25">
      <c r="A44" s="78" t="s">
        <v>95</v>
      </c>
      <c r="B44" s="78"/>
      <c r="C44" s="78"/>
      <c r="D44" s="78"/>
      <c r="E44" s="142">
        <v>6005.92</v>
      </c>
      <c r="F44" s="142"/>
      <c r="G44" s="142"/>
      <c r="H44" s="142"/>
    </row>
    <row r="45" spans="1:8" x14ac:dyDescent="0.25">
      <c r="A45" s="118" t="s">
        <v>40</v>
      </c>
      <c r="B45" s="118"/>
      <c r="C45" s="118"/>
      <c r="D45" s="118"/>
      <c r="E45" s="118" t="s">
        <v>221</v>
      </c>
      <c r="F45" s="118"/>
      <c r="G45" s="118"/>
      <c r="H45" s="118"/>
    </row>
    <row r="46" spans="1:8" x14ac:dyDescent="0.25">
      <c r="A46" s="112" t="s">
        <v>41</v>
      </c>
      <c r="B46" s="112"/>
      <c r="C46" s="112"/>
      <c r="D46" s="112"/>
      <c r="E46" s="112"/>
      <c r="F46" s="112"/>
      <c r="G46" s="112"/>
      <c r="H46" s="112"/>
    </row>
    <row r="47" spans="1:8" ht="33.75" customHeight="1" x14ac:dyDescent="0.25">
      <c r="A47" s="99" t="s">
        <v>155</v>
      </c>
      <c r="B47" s="100"/>
      <c r="C47" s="178" t="s">
        <v>184</v>
      </c>
      <c r="D47" s="179"/>
      <c r="E47" s="179"/>
      <c r="F47" s="179"/>
      <c r="G47" s="179"/>
      <c r="H47" s="180"/>
    </row>
    <row r="48" spans="1:8" ht="15.75" customHeight="1" x14ac:dyDescent="0.25">
      <c r="A48" s="99" t="s">
        <v>42</v>
      </c>
      <c r="B48" s="100"/>
      <c r="C48" s="99" t="s">
        <v>185</v>
      </c>
      <c r="D48" s="101"/>
      <c r="E48" s="100"/>
      <c r="F48" s="18" t="s">
        <v>43</v>
      </c>
      <c r="G48" s="131">
        <v>44690</v>
      </c>
      <c r="H48" s="100"/>
    </row>
    <row r="49" spans="1:14" x14ac:dyDescent="0.25">
      <c r="A49" s="99" t="s">
        <v>44</v>
      </c>
      <c r="B49" s="100"/>
      <c r="C49" s="99" t="str">
        <f>C48</f>
        <v>60/2022</v>
      </c>
      <c r="D49" s="101"/>
      <c r="E49" s="100"/>
      <c r="F49" s="18" t="s">
        <v>43</v>
      </c>
      <c r="G49" s="131">
        <f>G48</f>
        <v>44690</v>
      </c>
      <c r="H49" s="132"/>
    </row>
    <row r="50" spans="1:14" s="23" customFormat="1" ht="15.75" customHeight="1" x14ac:dyDescent="0.25">
      <c r="A50" s="133" t="s">
        <v>159</v>
      </c>
      <c r="B50" s="134"/>
      <c r="C50" s="99" t="str">
        <f>C49</f>
        <v>60/2022</v>
      </c>
      <c r="D50" s="101"/>
      <c r="E50" s="100"/>
      <c r="F50" s="18" t="s">
        <v>43</v>
      </c>
      <c r="G50" s="131">
        <f>G49</f>
        <v>44690</v>
      </c>
      <c r="H50" s="132"/>
    </row>
    <row r="51" spans="1:14" s="23" customFormat="1" ht="33.75" customHeight="1" x14ac:dyDescent="0.25">
      <c r="A51" s="135"/>
      <c r="B51" s="136"/>
      <c r="C51" s="139" t="s">
        <v>208</v>
      </c>
      <c r="D51" s="140"/>
      <c r="E51" s="140"/>
      <c r="F51" s="140"/>
      <c r="G51" s="140"/>
      <c r="H51" s="141"/>
    </row>
    <row r="52" spans="1:14" ht="63.75" customHeight="1" x14ac:dyDescent="0.25">
      <c r="A52" s="155" t="s">
        <v>45</v>
      </c>
      <c r="B52" s="156"/>
      <c r="C52" s="155" t="s">
        <v>218</v>
      </c>
      <c r="D52" s="157"/>
      <c r="E52" s="156"/>
      <c r="F52" s="46" t="s">
        <v>43</v>
      </c>
      <c r="G52" s="137">
        <v>45771</v>
      </c>
      <c r="H52" s="138"/>
    </row>
    <row r="53" spans="1:14" x14ac:dyDescent="0.25">
      <c r="A53" s="115" t="s">
        <v>47</v>
      </c>
      <c r="B53" s="115"/>
      <c r="C53" s="115"/>
      <c r="D53" s="115"/>
      <c r="E53" s="115"/>
      <c r="F53" s="115"/>
      <c r="G53" s="115"/>
      <c r="H53" s="115"/>
    </row>
    <row r="54" spans="1:14" x14ac:dyDescent="0.25">
      <c r="A54" s="108" t="s">
        <v>94</v>
      </c>
      <c r="B54" s="108"/>
      <c r="C54" s="108"/>
      <c r="D54" s="78">
        <f>E44</f>
        <v>6005.92</v>
      </c>
      <c r="E54" s="78"/>
      <c r="F54" s="78"/>
      <c r="G54" s="78"/>
      <c r="H54" s="78"/>
    </row>
    <row r="55" spans="1:14" x14ac:dyDescent="0.25">
      <c r="A55" s="109" t="s">
        <v>48</v>
      </c>
      <c r="B55" s="118"/>
      <c r="C55" s="118"/>
      <c r="D55" s="118" t="s">
        <v>202</v>
      </c>
      <c r="E55" s="118"/>
      <c r="F55" s="118"/>
      <c r="G55" s="118"/>
      <c r="H55" s="118"/>
      <c r="I55" s="24"/>
    </row>
    <row r="56" spans="1:14" ht="32.25" customHeight="1" x14ac:dyDescent="0.25">
      <c r="A56" s="128" t="s">
        <v>49</v>
      </c>
      <c r="B56" s="129"/>
      <c r="C56" s="130"/>
      <c r="D56" s="143" t="s">
        <v>209</v>
      </c>
      <c r="E56" s="144"/>
      <c r="F56" s="144"/>
      <c r="G56" s="144"/>
      <c r="H56" s="144"/>
    </row>
    <row r="57" spans="1:14" ht="15.75" customHeight="1" x14ac:dyDescent="0.25">
      <c r="A57" s="128" t="s">
        <v>92</v>
      </c>
      <c r="B57" s="129"/>
      <c r="C57" s="129"/>
      <c r="D57" s="149" t="s">
        <v>210</v>
      </c>
      <c r="E57" s="150"/>
      <c r="F57" s="150"/>
      <c r="G57" s="150"/>
      <c r="H57" s="151"/>
    </row>
    <row r="58" spans="1:14" ht="15.75" customHeight="1" x14ac:dyDescent="0.25">
      <c r="A58" s="147"/>
      <c r="B58" s="148"/>
      <c r="C58" s="148"/>
      <c r="D58" s="152" t="s">
        <v>187</v>
      </c>
      <c r="E58" s="153"/>
      <c r="F58" s="153"/>
      <c r="G58" s="153"/>
      <c r="H58" s="154"/>
    </row>
    <row r="59" spans="1:14" ht="15.75" customHeight="1" x14ac:dyDescent="0.25">
      <c r="A59" s="78" t="s">
        <v>46</v>
      </c>
      <c r="B59" s="78"/>
      <c r="C59" s="78"/>
      <c r="D59" s="190" t="s">
        <v>188</v>
      </c>
      <c r="E59" s="190"/>
      <c r="F59" s="190"/>
      <c r="G59" s="190"/>
      <c r="H59" s="190"/>
      <c r="J59" s="25"/>
      <c r="K59" s="24"/>
      <c r="N59" s="24"/>
    </row>
    <row r="60" spans="1:14" ht="15.75" customHeight="1" x14ac:dyDescent="0.25">
      <c r="A60" s="78" t="s">
        <v>90</v>
      </c>
      <c r="B60" s="78"/>
      <c r="C60" s="78"/>
      <c r="D60" s="194" t="str">
        <f ca="1">(IF(G52="NA","60 Years After Completion",IF(G52&lt;&gt;"NA",""&amp;60-ROUNDDOWN((E3-G52)/360,0)&amp;" Years"," ")))</f>
        <v>60 Years</v>
      </c>
      <c r="E60" s="194"/>
      <c r="F60" s="194"/>
      <c r="G60" s="194"/>
      <c r="H60" s="194"/>
      <c r="N60" s="24"/>
    </row>
    <row r="61" spans="1:14" ht="15.75" customHeight="1" x14ac:dyDescent="0.25">
      <c r="A61" s="78" t="s">
        <v>91</v>
      </c>
      <c r="B61" s="78"/>
      <c r="C61" s="78"/>
      <c r="D61" s="108" t="s">
        <v>24</v>
      </c>
      <c r="E61" s="108"/>
      <c r="F61" s="108"/>
      <c r="G61" s="108"/>
      <c r="H61" s="108"/>
      <c r="J61" s="26"/>
      <c r="K61" s="26"/>
    </row>
    <row r="62" spans="1:14" ht="30" customHeight="1" x14ac:dyDescent="0.25">
      <c r="A62" s="78" t="s">
        <v>77</v>
      </c>
      <c r="B62" s="78"/>
      <c r="C62" s="78"/>
      <c r="D62" s="109" t="s">
        <v>216</v>
      </c>
      <c r="E62" s="108"/>
      <c r="F62" s="108"/>
      <c r="G62" s="108"/>
      <c r="H62" s="108"/>
    </row>
    <row r="63" spans="1:14" x14ac:dyDescent="0.25">
      <c r="A63" s="108" t="s">
        <v>152</v>
      </c>
      <c r="B63" s="108"/>
      <c r="C63" s="108"/>
      <c r="D63" s="108" t="s">
        <v>30</v>
      </c>
      <c r="E63" s="108"/>
      <c r="F63" s="108"/>
      <c r="G63" s="108"/>
      <c r="H63" s="108"/>
      <c r="I63" s="27"/>
      <c r="J63" s="27"/>
      <c r="K63" s="27"/>
      <c r="L63" s="27"/>
      <c r="M63" s="27"/>
      <c r="N63" s="27"/>
    </row>
    <row r="64" spans="1:14" ht="15.75" customHeight="1" x14ac:dyDescent="0.25">
      <c r="A64" s="78" t="s">
        <v>89</v>
      </c>
      <c r="B64" s="78"/>
      <c r="C64" s="78"/>
      <c r="D64" s="109" t="str">
        <f ca="1">(IF(G70&gt;95%,"Nothing",IF(G70&gt;0%,"Cement, Aggregate, Steel, etc",IF(G70=0%,"Work not yet Started"))))</f>
        <v>Nothing</v>
      </c>
      <c r="E64" s="109"/>
      <c r="F64" s="109"/>
      <c r="G64" s="109"/>
      <c r="H64" s="109"/>
      <c r="J64" s="26"/>
    </row>
    <row r="65" spans="1:10" ht="33.75" customHeight="1" thickBot="1" x14ac:dyDescent="0.3">
      <c r="A65" s="108" t="s">
        <v>121</v>
      </c>
      <c r="B65" s="108"/>
      <c r="C65" s="108"/>
      <c r="D65" s="109" t="str">
        <f ca="1">(IF(D64="Nothing","Yes",IF(D64="Cement, Aggregate, Steel, etc","Under Construction",IF(D64="Work not yet Started","Work not yet Started"))))</f>
        <v>Yes</v>
      </c>
      <c r="E65" s="109"/>
      <c r="F65" s="109" t="str">
        <f ca="1">(IF(D64="Nothing","Yes",IF(D64="Cement, Aggregate, Steel, etc","Under Construction",IF(D64="Work not yet Started","Work not yet Started"))))</f>
        <v>Yes</v>
      </c>
      <c r="G65" s="109"/>
      <c r="H65" s="109"/>
    </row>
    <row r="66" spans="1:10" ht="15.75" customHeight="1" x14ac:dyDescent="0.25">
      <c r="A66" s="127" t="s">
        <v>144</v>
      </c>
      <c r="B66" s="127"/>
      <c r="C66" s="127" t="str">
        <f>D57</f>
        <v>Building No. 1 = Lower Gr + Upper Gr + 1st to 6th Floor</v>
      </c>
      <c r="D66" s="127"/>
      <c r="E66" s="127"/>
      <c r="F66" s="127"/>
      <c r="G66" s="127"/>
      <c r="H66" s="127"/>
      <c r="I66" s="63" t="str">
        <f ca="1">IF(D79=100%,"All work Completed. Possession granted to the Building.",IF(D78=100%,"All work Completed, Waiting for OC",I67&amp;""&amp;I68&amp;""&amp;J67&amp;""&amp;J66&amp;" "&amp;J68))</f>
        <v>All work Completed. Possession granted to the Building.</v>
      </c>
      <c r="J66" s="5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/>
      </c>
    </row>
    <row r="67" spans="1:10" x14ac:dyDescent="0.25">
      <c r="A67" s="62" t="s">
        <v>146</v>
      </c>
      <c r="B67" s="62">
        <v>0</v>
      </c>
      <c r="C67" s="62" t="s">
        <v>74</v>
      </c>
      <c r="D67" s="62">
        <v>2</v>
      </c>
      <c r="E67" s="62" t="s">
        <v>73</v>
      </c>
      <c r="F67" s="62">
        <v>0</v>
      </c>
      <c r="G67" s="48" t="s">
        <v>83</v>
      </c>
      <c r="H67" s="62">
        <f ca="1">--TRIM(RIGHT(SUBSTITUTE(LEFT(C66,_xlfn.AGGREGATE(16,6,FIND({0,1,2,3,4,5,6,7,8,9},C66,ROW(INDIRECT("1:"&amp;LEN(C66)))),1))," ",REPT(" ",LEN(C66))),LEN(C66)))</f>
        <v>6</v>
      </c>
      <c r="I67" s="64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Painting, Building common Amenities</v>
      </c>
      <c r="J67" s="5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16.5" thickBot="1" x14ac:dyDescent="0.3">
      <c r="A68" s="120" t="s">
        <v>93</v>
      </c>
      <c r="B68" s="120"/>
      <c r="C68" s="119" t="str">
        <f ca="1">I66</f>
        <v>All work Completed. Possession granted to the Building.</v>
      </c>
      <c r="D68" s="119"/>
      <c r="E68" s="119"/>
      <c r="F68" s="119"/>
      <c r="G68" s="119"/>
      <c r="H68" s="119"/>
      <c r="I68" s="64" t="str">
        <f ca="1">IF(I67&lt;&gt;""," Completed","")</f>
        <v xml:space="preserve"> Completed</v>
      </c>
      <c r="J68" s="52" t="str">
        <f ca="1">IF(J66&lt;&gt;"","Completed","")</f>
        <v/>
      </c>
    </row>
    <row r="69" spans="1:10" ht="15.75" hidden="1" customHeight="1" x14ac:dyDescent="0.25">
      <c r="A69" s="90" t="s">
        <v>50</v>
      </c>
      <c r="B69" s="90"/>
      <c r="C69" s="61" t="s">
        <v>143</v>
      </c>
      <c r="D69" s="61" t="s">
        <v>86</v>
      </c>
      <c r="E69" s="90" t="s">
        <v>88</v>
      </c>
      <c r="F69" s="90"/>
      <c r="G69" s="90" t="s">
        <v>88</v>
      </c>
      <c r="H69" s="90"/>
      <c r="I69" s="14" t="s">
        <v>145</v>
      </c>
      <c r="J69" s="28">
        <f ca="1">H67*25%</f>
        <v>1.5</v>
      </c>
    </row>
    <row r="70" spans="1:10" hidden="1" x14ac:dyDescent="0.25">
      <c r="A70" s="90" t="s">
        <v>132</v>
      </c>
      <c r="B70" s="90"/>
      <c r="C70" s="61">
        <f ca="1">J71</f>
        <v>6</v>
      </c>
      <c r="D70" s="19">
        <f ca="1">((100/H67)*C70)/100</f>
        <v>1</v>
      </c>
      <c r="E70" s="191">
        <f ca="1">(((C71/H67*10)+(40/(D67+F67+H67)*C72)+(7.5/(H67)*C73)+(7.5/(H67)*C74)+(10/H67*C75)+(10/H67*C76)+(5/H67*C77)+(5/H67*C78)+(5/H67*C79))/100)</f>
        <v>1</v>
      </c>
      <c r="F70" s="191"/>
      <c r="G70" s="191">
        <f ca="1">((((C70/H67)*20)+((C71/H67)*25)+(30/(H67+F67+D67)*C72)+(5/H67*C73)+(5/H67*C74)+(5/H67*C75)+(5/H67*C76)+(0/H67*C77)+(0/H67*C78)+(5/H67*C79))/100)</f>
        <v>1</v>
      </c>
      <c r="H70" s="191"/>
      <c r="I70" s="14" t="s">
        <v>104</v>
      </c>
      <c r="J70" s="29">
        <f ca="1">H67*50%</f>
        <v>3</v>
      </c>
    </row>
    <row r="71" spans="1:10" hidden="1" x14ac:dyDescent="0.25">
      <c r="A71" s="90" t="s">
        <v>51</v>
      </c>
      <c r="B71" s="90"/>
      <c r="C71" s="61">
        <f ca="1">J79</f>
        <v>6</v>
      </c>
      <c r="D71" s="19">
        <f ca="1">((100/H67)*C71)/100</f>
        <v>1</v>
      </c>
      <c r="E71" s="191"/>
      <c r="F71" s="191"/>
      <c r="G71" s="191"/>
      <c r="H71" s="191"/>
      <c r="I71" s="14" t="s">
        <v>105</v>
      </c>
      <c r="J71" s="29">
        <f ca="1">H67</f>
        <v>6</v>
      </c>
    </row>
    <row r="72" spans="1:10" ht="15.75" hidden="1" customHeight="1" x14ac:dyDescent="0.25">
      <c r="A72" s="90" t="s">
        <v>133</v>
      </c>
      <c r="B72" s="90"/>
      <c r="C72" s="61">
        <v>8</v>
      </c>
      <c r="D72" s="19">
        <f ca="1">((100/(D67+F67+H67))*C72)/100</f>
        <v>1</v>
      </c>
      <c r="E72" s="191"/>
      <c r="F72" s="191"/>
      <c r="G72" s="191"/>
      <c r="H72" s="191"/>
      <c r="I72" s="14" t="s">
        <v>106</v>
      </c>
      <c r="J72" s="30">
        <f ca="1">(IF(B67&gt;1,(H67/(B67+2)),H67/4))</f>
        <v>1.5</v>
      </c>
    </row>
    <row r="73" spans="1:10" ht="15.75" hidden="1" customHeight="1" x14ac:dyDescent="0.25">
      <c r="A73" s="90" t="s">
        <v>140</v>
      </c>
      <c r="B73" s="90" t="s">
        <v>134</v>
      </c>
      <c r="C73" s="61">
        <v>6</v>
      </c>
      <c r="D73" s="19">
        <f ca="1">((100/H67)*C73)/100</f>
        <v>1</v>
      </c>
      <c r="E73" s="191"/>
      <c r="F73" s="191"/>
      <c r="G73" s="191"/>
      <c r="H73" s="191"/>
      <c r="I73" s="14" t="s">
        <v>107</v>
      </c>
      <c r="J73" s="30">
        <f ca="1">(IF(B67&gt;1,(H67/(B67+2)+J72),H67/4+J72))</f>
        <v>3</v>
      </c>
    </row>
    <row r="74" spans="1:10" ht="15.75" hidden="1" customHeight="1" x14ac:dyDescent="0.25">
      <c r="A74" s="90" t="s">
        <v>141</v>
      </c>
      <c r="B74" s="90" t="s">
        <v>134</v>
      </c>
      <c r="C74" s="61">
        <v>6</v>
      </c>
      <c r="D74" s="19">
        <f ca="1">((100/H67)*C74)/100</f>
        <v>1</v>
      </c>
      <c r="E74" s="191"/>
      <c r="F74" s="191"/>
      <c r="G74" s="191"/>
      <c r="H74" s="191"/>
      <c r="I74" s="14" t="s">
        <v>150</v>
      </c>
      <c r="J74" s="30">
        <f>(IF(B67&gt;1,(H67/(B67+2)+J73),0))</f>
        <v>0</v>
      </c>
    </row>
    <row r="75" spans="1:10" ht="15" hidden="1" customHeight="1" x14ac:dyDescent="0.25">
      <c r="A75" s="90" t="s">
        <v>139</v>
      </c>
      <c r="B75" s="90" t="s">
        <v>136</v>
      </c>
      <c r="C75" s="61">
        <v>6</v>
      </c>
      <c r="D75" s="19">
        <f ca="1">((100/(H67))*C75)/100</f>
        <v>1</v>
      </c>
      <c r="E75" s="191"/>
      <c r="F75" s="191"/>
      <c r="G75" s="191"/>
      <c r="H75" s="191"/>
      <c r="I75" s="14" t="s">
        <v>147</v>
      </c>
      <c r="J75" s="30">
        <f>(IF(B67&gt;2,(H67/(B67+2)+J74),0))</f>
        <v>0</v>
      </c>
    </row>
    <row r="76" spans="1:10" ht="15.75" hidden="1" customHeight="1" x14ac:dyDescent="0.25">
      <c r="A76" s="90" t="s">
        <v>135</v>
      </c>
      <c r="B76" s="90" t="s">
        <v>135</v>
      </c>
      <c r="C76" s="61">
        <v>6</v>
      </c>
      <c r="D76" s="19">
        <f ca="1">((100/H67)*C76)/100</f>
        <v>1</v>
      </c>
      <c r="E76" s="191"/>
      <c r="F76" s="191"/>
      <c r="G76" s="191"/>
      <c r="H76" s="191"/>
      <c r="I76" s="14" t="s">
        <v>148</v>
      </c>
      <c r="J76" s="31">
        <f>(IF(B67&gt;3,(H67/(B67+2)+J75),0))</f>
        <v>0</v>
      </c>
    </row>
    <row r="77" spans="1:10" ht="15.75" hidden="1" customHeight="1" x14ac:dyDescent="0.25">
      <c r="A77" s="90" t="s">
        <v>142</v>
      </c>
      <c r="B77" s="90"/>
      <c r="C77" s="61">
        <v>6</v>
      </c>
      <c r="D77" s="19">
        <f ca="1">((100/H67)*C77)/100</f>
        <v>1</v>
      </c>
      <c r="E77" s="191"/>
      <c r="F77" s="191"/>
      <c r="G77" s="191"/>
      <c r="H77" s="191"/>
      <c r="I77" s="14" t="s">
        <v>149</v>
      </c>
      <c r="J77" s="30">
        <f>(IF(B67&gt;4,(H67/(B67+2)+J76),0))</f>
        <v>0</v>
      </c>
    </row>
    <row r="78" spans="1:10" ht="15.75" hidden="1" customHeight="1" x14ac:dyDescent="0.25">
      <c r="A78" s="90" t="s">
        <v>137</v>
      </c>
      <c r="B78" s="90" t="s">
        <v>137</v>
      </c>
      <c r="C78" s="61">
        <v>6</v>
      </c>
      <c r="D78" s="19">
        <f ca="1">((100/(H67))*C78)/100</f>
        <v>1</v>
      </c>
      <c r="E78" s="191"/>
      <c r="F78" s="191"/>
      <c r="G78" s="191"/>
      <c r="H78" s="191"/>
      <c r="I78" s="14" t="s">
        <v>151</v>
      </c>
      <c r="J78" s="30">
        <f ca="1">(IF(B67=1,(H67/(B67+3)+J73),IF(B67=0,(H67/4+J73),IF(B67&gt;1,0))))</f>
        <v>4.5</v>
      </c>
    </row>
    <row r="79" spans="1:10" ht="16.5" hidden="1" thickBot="1" x14ac:dyDescent="0.3">
      <c r="A79" s="193" t="s">
        <v>138</v>
      </c>
      <c r="B79" s="193"/>
      <c r="C79" s="66">
        <v>6</v>
      </c>
      <c r="D79" s="67">
        <f ca="1">((100/(H67))*C79)/100</f>
        <v>1</v>
      </c>
      <c r="E79" s="192"/>
      <c r="F79" s="192"/>
      <c r="G79" s="192"/>
      <c r="H79" s="192"/>
      <c r="I79" s="15" t="s">
        <v>108</v>
      </c>
      <c r="J79" s="32">
        <f ca="1">(IF(B67&gt;1.5,(H67/(B67+2)+J73+MAX(0,J74-J73)+MAX(0,J75-J74)+MAX(0,J76-J75)+MAX(0,J77-J76)+MAX(0,J78-J77)),IF(B67=1,(H67/(B67+3)+J78),IF(B67=0,H67/4+J78))))</f>
        <v>6</v>
      </c>
    </row>
    <row r="80" spans="1:10" ht="33.75" customHeight="1" thickBot="1" x14ac:dyDescent="0.3">
      <c r="A80" s="68" t="s">
        <v>88</v>
      </c>
      <c r="B80" s="69"/>
      <c r="C80" s="72">
        <f ca="1">E70</f>
        <v>1</v>
      </c>
      <c r="D80" s="73"/>
      <c r="E80" s="70" t="s">
        <v>88</v>
      </c>
      <c r="F80" s="71"/>
      <c r="G80" s="70">
        <f ca="1">G70</f>
        <v>1</v>
      </c>
      <c r="H80" s="71"/>
      <c r="I80" s="15" t="s">
        <v>108</v>
      </c>
      <c r="J80" s="32">
        <f ca="1">(IF(B68&gt;1.5,(H68/(B68+2)+J74+MAX(0,J75-J74)+MAX(0,J76-J75)+MAX(0,J77-J76)+MAX(0,J78-J77)+MAX(0,J79-J78)),IF(B68=1,(H68/(B68+3)+J79),IF(B68=0,H68/4+J79))))</f>
        <v>6</v>
      </c>
    </row>
    <row r="81" spans="1:13" ht="15.75" customHeight="1" x14ac:dyDescent="0.25">
      <c r="A81" s="91" t="s">
        <v>144</v>
      </c>
      <c r="B81" s="92"/>
      <c r="C81" s="93" t="str">
        <f>D58</f>
        <v>Building No. 2 = Gr + 1st to 7th Floor</v>
      </c>
      <c r="D81" s="94"/>
      <c r="E81" s="94"/>
      <c r="F81" s="94"/>
      <c r="G81" s="94"/>
      <c r="H81" s="95"/>
      <c r="I81" s="49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6 Floor, Flooring upto 4 Floor, Painting upto 1 Floor Completed</v>
      </c>
      <c r="J81" s="50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6 Floor, Flooring upto 4 Floor, Painting upto 1 Floor</v>
      </c>
    </row>
    <row r="82" spans="1:13" x14ac:dyDescent="0.25">
      <c r="A82" s="16" t="s">
        <v>146</v>
      </c>
      <c r="B82" s="56">
        <v>0</v>
      </c>
      <c r="C82" s="56" t="s">
        <v>74</v>
      </c>
      <c r="D82" s="56">
        <v>1</v>
      </c>
      <c r="E82" s="56" t="s">
        <v>73</v>
      </c>
      <c r="F82" s="56">
        <v>0</v>
      </c>
      <c r="G82" s="48" t="s">
        <v>83</v>
      </c>
      <c r="H82" s="17">
        <f ca="1">--TRIM(RIGHT(SUBSTITUTE(LEFT(C81,_xlfn.AGGREGATE(16,6,FIND({0,1,2,3,4,5,6,7,8,9},C81,ROW(INDIRECT("1:"&amp;LEN(C81)))),1))," ",REPT(" ",LEN(C81))),LEN(C81)))</f>
        <v>7</v>
      </c>
      <c r="I82" s="51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52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3" ht="49.5" customHeight="1" x14ac:dyDescent="0.25">
      <c r="A83" s="184" t="s">
        <v>93</v>
      </c>
      <c r="B83" s="120"/>
      <c r="C83" s="119" t="str">
        <f ca="1">I81</f>
        <v>Excavation, Plinth, RCC Slab, Brickwork, Internal Plaster Completed, External Plaster upto 6 Floor, Flooring upto 4 Floor, Painting upto 1 Floor Completed</v>
      </c>
      <c r="D83" s="119"/>
      <c r="E83" s="119"/>
      <c r="F83" s="119"/>
      <c r="G83" s="119"/>
      <c r="H83" s="185"/>
      <c r="I83" s="51" t="str">
        <f ca="1">IF(I82&lt;&gt;""," Completed","")</f>
        <v xml:space="preserve"> Completed</v>
      </c>
      <c r="J83" s="52" t="str">
        <f ca="1">IF(J81&lt;&gt;"","Completed","")</f>
        <v>Completed</v>
      </c>
    </row>
    <row r="84" spans="1:13" ht="15.75" customHeight="1" x14ac:dyDescent="0.25">
      <c r="A84" s="89" t="s">
        <v>50</v>
      </c>
      <c r="B84" s="90"/>
      <c r="C84" s="44" t="s">
        <v>143</v>
      </c>
      <c r="D84" s="44" t="s">
        <v>86</v>
      </c>
      <c r="E84" s="90" t="s">
        <v>88</v>
      </c>
      <c r="F84" s="90"/>
      <c r="G84" s="90" t="s">
        <v>87</v>
      </c>
      <c r="H84" s="168"/>
      <c r="I84" s="14" t="s">
        <v>145</v>
      </c>
      <c r="J84" s="28">
        <f ca="1">H82*25%</f>
        <v>1.75</v>
      </c>
    </row>
    <row r="85" spans="1:13" x14ac:dyDescent="0.25">
      <c r="A85" s="89" t="s">
        <v>132</v>
      </c>
      <c r="B85" s="90"/>
      <c r="C85" s="44">
        <f ca="1">J86</f>
        <v>7</v>
      </c>
      <c r="D85" s="19">
        <f ca="1">((100/H82)*C85)/100</f>
        <v>1</v>
      </c>
      <c r="E85" s="162">
        <f ca="1">(((C86/H82*10)+(40/(D82+F82+H82)*C87)+(7.5/(H82)*C88)+(7.5/(H82)*C89)+(10/H82*C90)+(10/H82*C91)+(5/H82*C92)+(5/H82*C93)+(5/H82*C94))/100)</f>
        <v>0.79999999999999982</v>
      </c>
      <c r="F85" s="163"/>
      <c r="G85" s="162">
        <f ca="1">((((C85/H82)*20)+((C86/H82)*25)+(30/(H82+F82+D82)*C87)+(5/H82*C88)+(5/H82*C89)+(5/H82*C90)+(5/H82*C91)+(0/H82*C92)+(0/H82*C93)+(5/H82*C94))/100)</f>
        <v>0.92142857142857149</v>
      </c>
      <c r="H85" s="181"/>
      <c r="I85" s="14" t="s">
        <v>104</v>
      </c>
      <c r="J85" s="29">
        <f ca="1">H82*50%</f>
        <v>3.5</v>
      </c>
    </row>
    <row r="86" spans="1:13" x14ac:dyDescent="0.25">
      <c r="A86" s="89" t="s">
        <v>51</v>
      </c>
      <c r="B86" s="90"/>
      <c r="C86" s="60">
        <f ca="1">J94</f>
        <v>7</v>
      </c>
      <c r="D86" s="19">
        <f ca="1">((100/H82)*C86)/100</f>
        <v>1</v>
      </c>
      <c r="E86" s="164"/>
      <c r="F86" s="165"/>
      <c r="G86" s="164"/>
      <c r="H86" s="182"/>
      <c r="I86" s="14" t="s">
        <v>105</v>
      </c>
      <c r="J86" s="29">
        <f ca="1">H82</f>
        <v>7</v>
      </c>
    </row>
    <row r="87" spans="1:13" ht="15.75" customHeight="1" x14ac:dyDescent="0.25">
      <c r="A87" s="89" t="s">
        <v>133</v>
      </c>
      <c r="B87" s="90"/>
      <c r="C87" s="44">
        <v>8</v>
      </c>
      <c r="D87" s="19">
        <f ca="1">((100/(D82+F82+H82))*C87)/100</f>
        <v>1</v>
      </c>
      <c r="E87" s="164"/>
      <c r="F87" s="165"/>
      <c r="G87" s="164"/>
      <c r="H87" s="182"/>
      <c r="I87" s="14" t="s">
        <v>106</v>
      </c>
      <c r="J87" s="30">
        <f ca="1">(IF(B82&gt;1,(H82/(B82+2)),H82/4))</f>
        <v>1.75</v>
      </c>
    </row>
    <row r="88" spans="1:13" ht="15.75" customHeight="1" x14ac:dyDescent="0.25">
      <c r="A88" s="89" t="s">
        <v>140</v>
      </c>
      <c r="B88" s="90" t="s">
        <v>134</v>
      </c>
      <c r="C88" s="44">
        <v>7</v>
      </c>
      <c r="D88" s="19">
        <f ca="1">((100/H82)*C88)/100</f>
        <v>1</v>
      </c>
      <c r="E88" s="164"/>
      <c r="F88" s="165"/>
      <c r="G88" s="164"/>
      <c r="H88" s="182"/>
      <c r="I88" s="14" t="s">
        <v>107</v>
      </c>
      <c r="J88" s="30">
        <f ca="1">(IF(B82&gt;1,(H82/(B82+2)+J87),H82/4+J87))</f>
        <v>3.5</v>
      </c>
    </row>
    <row r="89" spans="1:13" ht="15.75" customHeight="1" x14ac:dyDescent="0.25">
      <c r="A89" s="89" t="s">
        <v>141</v>
      </c>
      <c r="B89" s="90" t="s">
        <v>134</v>
      </c>
      <c r="C89" s="44">
        <v>7</v>
      </c>
      <c r="D89" s="19">
        <f ca="1">((100/H82)*C89)/100</f>
        <v>1</v>
      </c>
      <c r="E89" s="164"/>
      <c r="F89" s="165"/>
      <c r="G89" s="164"/>
      <c r="H89" s="182"/>
      <c r="I89" s="14" t="s">
        <v>150</v>
      </c>
      <c r="J89" s="30">
        <f>(IF(B82&gt;1,(H82/(B82+2)+J88),0))</f>
        <v>0</v>
      </c>
    </row>
    <row r="90" spans="1:13" ht="15" customHeight="1" x14ac:dyDescent="0.25">
      <c r="A90" s="89" t="s">
        <v>139</v>
      </c>
      <c r="B90" s="90" t="s">
        <v>136</v>
      </c>
      <c r="C90" s="44">
        <v>6</v>
      </c>
      <c r="D90" s="19">
        <f ca="1">((100/(H82))*C90)/100</f>
        <v>0.85714285714285721</v>
      </c>
      <c r="E90" s="164"/>
      <c r="F90" s="165"/>
      <c r="G90" s="164"/>
      <c r="H90" s="182"/>
      <c r="I90" s="14" t="s">
        <v>147</v>
      </c>
      <c r="J90" s="30">
        <f>(IF(B82&gt;2,(H82/(B82+2)+J89),0))</f>
        <v>0</v>
      </c>
    </row>
    <row r="91" spans="1:13" ht="15.75" customHeight="1" x14ac:dyDescent="0.25">
      <c r="A91" s="89" t="s">
        <v>135</v>
      </c>
      <c r="B91" s="90" t="s">
        <v>135</v>
      </c>
      <c r="C91" s="44">
        <v>4</v>
      </c>
      <c r="D91" s="19">
        <f ca="1">((100/H82)*C91)/100</f>
        <v>0.57142857142857151</v>
      </c>
      <c r="E91" s="164"/>
      <c r="F91" s="165"/>
      <c r="G91" s="164"/>
      <c r="H91" s="182"/>
      <c r="I91" s="14" t="s">
        <v>148</v>
      </c>
      <c r="J91" s="31">
        <f>(IF(B82&gt;3,(H82/(B82+2)+J90),0))</f>
        <v>0</v>
      </c>
    </row>
    <row r="92" spans="1:13" ht="15.75" customHeight="1" x14ac:dyDescent="0.25">
      <c r="A92" s="89" t="s">
        <v>142</v>
      </c>
      <c r="B92" s="90"/>
      <c r="C92" s="44">
        <v>1</v>
      </c>
      <c r="D92" s="19">
        <f ca="1">((100/H82)*C92)/100</f>
        <v>0.14285714285714288</v>
      </c>
      <c r="E92" s="164"/>
      <c r="F92" s="165"/>
      <c r="G92" s="164"/>
      <c r="H92" s="182"/>
      <c r="I92" s="14" t="s">
        <v>149</v>
      </c>
      <c r="J92" s="30">
        <f>(IF(B82&gt;4,(H82/(B82+2)+J91),0))</f>
        <v>0</v>
      </c>
    </row>
    <row r="93" spans="1:13" ht="15.75" customHeight="1" x14ac:dyDescent="0.25">
      <c r="A93" s="89" t="s">
        <v>137</v>
      </c>
      <c r="B93" s="90" t="s">
        <v>137</v>
      </c>
      <c r="C93" s="44">
        <v>0</v>
      </c>
      <c r="D93" s="19">
        <f ca="1">((100/(H82))*C93)/100</f>
        <v>0</v>
      </c>
      <c r="E93" s="164"/>
      <c r="F93" s="165"/>
      <c r="G93" s="164"/>
      <c r="H93" s="182"/>
      <c r="I93" s="14" t="s">
        <v>151</v>
      </c>
      <c r="J93" s="30">
        <f ca="1">(IF(B82=1,(H82/(B82+3)+J88),IF(B82=0,(H82/4+J88),IF(B82&gt;1,0))))</f>
        <v>5.25</v>
      </c>
    </row>
    <row r="94" spans="1:13" ht="16.5" thickBot="1" x14ac:dyDescent="0.3">
      <c r="A94" s="188" t="s">
        <v>138</v>
      </c>
      <c r="B94" s="189"/>
      <c r="C94" s="45">
        <v>0</v>
      </c>
      <c r="D94" s="20">
        <f ca="1">((100/(H82))*C94)/100</f>
        <v>0</v>
      </c>
      <c r="E94" s="166"/>
      <c r="F94" s="167"/>
      <c r="G94" s="166"/>
      <c r="H94" s="183"/>
      <c r="I94" s="15" t="s">
        <v>108</v>
      </c>
      <c r="J94" s="32">
        <f ca="1">(IF(B82&gt;1.5,(H82/(B82+2)+J88+MAX(0,J89-J88)+MAX(0,J90-J89)+MAX(0,J91-J90)+MAX(0,J92-J91)+MAX(0,J93-J92)),IF(B82=1,(H82/(B82+3)+J93),IF(B82=0,H82/4+J93))))</f>
        <v>7</v>
      </c>
    </row>
    <row r="95" spans="1:13" x14ac:dyDescent="0.25">
      <c r="A95" s="186" t="s">
        <v>161</v>
      </c>
      <c r="B95" s="186"/>
      <c r="C95" s="186"/>
      <c r="D95" s="186"/>
      <c r="E95" s="186"/>
      <c r="F95" s="170" t="s">
        <v>166</v>
      </c>
      <c r="G95" s="170"/>
      <c r="H95" s="170"/>
    </row>
    <row r="96" spans="1:13" x14ac:dyDescent="0.25">
      <c r="A96" s="78" t="s">
        <v>164</v>
      </c>
      <c r="B96" s="78"/>
      <c r="C96" s="78"/>
      <c r="D96" s="78"/>
      <c r="E96" s="78"/>
      <c r="F96" s="96">
        <v>3650</v>
      </c>
      <c r="G96" s="96"/>
      <c r="H96" s="96"/>
      <c r="J96" s="58" t="s">
        <v>212</v>
      </c>
      <c r="K96" s="59">
        <v>45045</v>
      </c>
      <c r="L96" s="58" t="s">
        <v>213</v>
      </c>
      <c r="M96" s="58"/>
    </row>
    <row r="97" spans="1:8" x14ac:dyDescent="0.25">
      <c r="A97" s="78" t="s">
        <v>163</v>
      </c>
      <c r="B97" s="78"/>
      <c r="C97" s="78"/>
      <c r="D97" s="78"/>
      <c r="E97" s="78"/>
      <c r="F97" s="96">
        <v>6000</v>
      </c>
      <c r="G97" s="96"/>
      <c r="H97" s="96"/>
    </row>
    <row r="98" spans="1:8" x14ac:dyDescent="0.25">
      <c r="A98" s="78" t="s">
        <v>165</v>
      </c>
      <c r="B98" s="78"/>
      <c r="C98" s="78"/>
      <c r="D98" s="78"/>
      <c r="E98" s="78"/>
      <c r="F98" s="96">
        <v>5000</v>
      </c>
      <c r="G98" s="96"/>
      <c r="H98" s="96"/>
    </row>
    <row r="99" spans="1:8" s="33" customFormat="1" hidden="1" x14ac:dyDescent="0.25">
      <c r="A99" s="78" t="s">
        <v>162</v>
      </c>
      <c r="B99" s="78"/>
      <c r="C99" s="78"/>
      <c r="D99" s="78"/>
      <c r="E99" s="78"/>
      <c r="F99" s="96"/>
      <c r="G99" s="96"/>
      <c r="H99" s="96"/>
    </row>
    <row r="100" spans="1:8" s="33" customFormat="1" hidden="1" x14ac:dyDescent="0.25">
      <c r="A100" s="78" t="s">
        <v>98</v>
      </c>
      <c r="B100" s="78"/>
      <c r="C100" s="78"/>
      <c r="D100" s="78"/>
      <c r="E100" s="78"/>
      <c r="F100" s="96"/>
      <c r="G100" s="96"/>
      <c r="H100" s="96"/>
    </row>
    <row r="101" spans="1:8" s="33" customFormat="1" hidden="1" x14ac:dyDescent="0.25">
      <c r="A101" s="78" t="s">
        <v>99</v>
      </c>
      <c r="B101" s="78"/>
      <c r="C101" s="78"/>
      <c r="D101" s="78"/>
      <c r="E101" s="78"/>
      <c r="F101" s="96"/>
      <c r="G101" s="96"/>
      <c r="H101" s="96"/>
    </row>
    <row r="102" spans="1:8" s="33" customFormat="1" hidden="1" x14ac:dyDescent="0.25">
      <c r="A102" s="78" t="s">
        <v>167</v>
      </c>
      <c r="B102" s="78"/>
      <c r="C102" s="78"/>
      <c r="D102" s="78"/>
      <c r="E102" s="78"/>
      <c r="F102" s="96"/>
      <c r="G102" s="96"/>
      <c r="H102" s="96"/>
    </row>
    <row r="103" spans="1:8" s="33" customFormat="1" hidden="1" x14ac:dyDescent="0.25">
      <c r="A103" s="78" t="s">
        <v>100</v>
      </c>
      <c r="B103" s="78"/>
      <c r="C103" s="78"/>
      <c r="D103" s="78"/>
      <c r="E103" s="78"/>
      <c r="F103" s="96"/>
      <c r="G103" s="96"/>
      <c r="H103" s="96"/>
    </row>
    <row r="104" spans="1:8" s="33" customFormat="1" hidden="1" x14ac:dyDescent="0.25">
      <c r="A104" s="78" t="s">
        <v>101</v>
      </c>
      <c r="B104" s="78"/>
      <c r="C104" s="78"/>
      <c r="D104" s="78"/>
      <c r="E104" s="78"/>
      <c r="F104" s="96"/>
      <c r="G104" s="96"/>
      <c r="H104" s="96"/>
    </row>
    <row r="105" spans="1:8" s="33" customFormat="1" hidden="1" x14ac:dyDescent="0.25">
      <c r="A105" s="78" t="s">
        <v>102</v>
      </c>
      <c r="B105" s="78"/>
      <c r="C105" s="78"/>
      <c r="D105" s="78"/>
      <c r="E105" s="78"/>
      <c r="F105" s="96"/>
      <c r="G105" s="96"/>
      <c r="H105" s="96"/>
    </row>
    <row r="106" spans="1:8" s="33" customFormat="1" hidden="1" x14ac:dyDescent="0.25">
      <c r="A106" s="78" t="s">
        <v>103</v>
      </c>
      <c r="B106" s="78"/>
      <c r="C106" s="78"/>
      <c r="D106" s="78"/>
      <c r="E106" s="78"/>
      <c r="F106" s="96"/>
      <c r="G106" s="96"/>
      <c r="H106" s="96"/>
    </row>
    <row r="107" spans="1:8" x14ac:dyDescent="0.25">
      <c r="A107" s="78" t="s">
        <v>52</v>
      </c>
      <c r="B107" s="78"/>
      <c r="C107" s="78"/>
      <c r="D107" s="78"/>
      <c r="E107" s="78"/>
      <c r="F107" s="96">
        <v>100000</v>
      </c>
      <c r="G107" s="96"/>
      <c r="H107" s="96"/>
    </row>
    <row r="108" spans="1:8" s="34" customFormat="1" x14ac:dyDescent="0.25">
      <c r="A108" s="112" t="s">
        <v>53</v>
      </c>
      <c r="B108" s="112"/>
      <c r="C108" s="112"/>
      <c r="D108" s="112"/>
      <c r="E108" s="112"/>
      <c r="F108" s="96">
        <f>F96*0.8</f>
        <v>2920</v>
      </c>
      <c r="G108" s="96"/>
      <c r="H108" s="96"/>
    </row>
    <row r="109" spans="1:8" s="35" customFormat="1" ht="15.75" customHeight="1" x14ac:dyDescent="0.25">
      <c r="A109" s="107" t="s">
        <v>78</v>
      </c>
      <c r="B109" s="107"/>
      <c r="C109" s="107"/>
      <c r="D109" s="107"/>
      <c r="E109" s="107"/>
      <c r="F109" s="107"/>
      <c r="G109" s="107"/>
      <c r="H109" s="107"/>
    </row>
    <row r="110" spans="1:8" s="35" customFormat="1" ht="15.75" customHeight="1" x14ac:dyDescent="0.25">
      <c r="A110" s="80" t="s">
        <v>54</v>
      </c>
      <c r="B110" s="80"/>
      <c r="C110" s="102" t="s">
        <v>81</v>
      </c>
      <c r="D110" s="102"/>
      <c r="E110" s="106" t="s">
        <v>55</v>
      </c>
      <c r="F110" s="106"/>
      <c r="G110" s="80" t="s">
        <v>56</v>
      </c>
      <c r="H110" s="80"/>
    </row>
    <row r="111" spans="1:8" s="35" customFormat="1" ht="15.75" customHeight="1" x14ac:dyDescent="0.25">
      <c r="A111" s="114" t="s">
        <v>198</v>
      </c>
      <c r="B111" s="55" t="s">
        <v>217</v>
      </c>
      <c r="C111" s="103">
        <f>COUNT(D125:D135)</f>
        <v>11</v>
      </c>
      <c r="D111" s="104"/>
      <c r="E111" s="97">
        <f>SUM(D125:D135)</f>
        <v>1687.5799199999999</v>
      </c>
      <c r="F111" s="98"/>
      <c r="G111" s="97">
        <f>SUM(F125:F135)</f>
        <v>2615.7488760000001</v>
      </c>
      <c r="H111" s="98"/>
    </row>
    <row r="112" spans="1:8" s="35" customFormat="1" x14ac:dyDescent="0.25">
      <c r="A112" s="114"/>
      <c r="B112" s="55" t="s">
        <v>191</v>
      </c>
      <c r="C112" s="103">
        <f>COUNT(D136)</f>
        <v>1</v>
      </c>
      <c r="D112" s="104"/>
      <c r="E112" s="97">
        <f>SUM(D136)</f>
        <v>494.92871999999994</v>
      </c>
      <c r="F112" s="98"/>
      <c r="G112" s="97">
        <f>SUM(F136)</f>
        <v>767.13951599999996</v>
      </c>
      <c r="H112" s="98"/>
    </row>
    <row r="113" spans="1:14" s="35" customFormat="1" x14ac:dyDescent="0.25">
      <c r="A113" s="107" t="s">
        <v>154</v>
      </c>
      <c r="B113" s="107"/>
      <c r="C113" s="105">
        <f>SUM(C111:C112)</f>
        <v>12</v>
      </c>
      <c r="D113" s="102"/>
      <c r="E113" s="105">
        <f t="shared" ref="E113" si="0">SUM(E111:E112)</f>
        <v>2182.50864</v>
      </c>
      <c r="F113" s="102"/>
      <c r="G113" s="105">
        <f t="shared" ref="G113" si="1">SUM(G111:G112)</f>
        <v>3382.8883919999998</v>
      </c>
      <c r="H113" s="102"/>
    </row>
    <row r="114" spans="1:14" s="35" customFormat="1" x14ac:dyDescent="0.25">
      <c r="A114" s="107" t="s">
        <v>72</v>
      </c>
      <c r="B114" s="107"/>
      <c r="C114" s="107"/>
      <c r="D114" s="107"/>
      <c r="E114" s="107"/>
      <c r="F114" s="107"/>
      <c r="G114" s="107"/>
      <c r="H114" s="107"/>
    </row>
    <row r="115" spans="1:14" s="35" customFormat="1" ht="15.75" customHeight="1" x14ac:dyDescent="0.25">
      <c r="A115" s="80" t="s">
        <v>54</v>
      </c>
      <c r="B115" s="80"/>
      <c r="C115" s="102" t="s">
        <v>81</v>
      </c>
      <c r="D115" s="102"/>
      <c r="E115" s="106" t="s">
        <v>55</v>
      </c>
      <c r="F115" s="106"/>
      <c r="G115" s="80" t="s">
        <v>56</v>
      </c>
      <c r="H115" s="80"/>
    </row>
    <row r="116" spans="1:14" s="35" customFormat="1" ht="15.75" customHeight="1" x14ac:dyDescent="0.25">
      <c r="A116" s="114" t="s">
        <v>198</v>
      </c>
      <c r="B116" s="114"/>
      <c r="C116" s="103">
        <f>COUNT(D143:D150)*6</f>
        <v>48</v>
      </c>
      <c r="D116" s="103"/>
      <c r="E116" s="97">
        <f>SUM(D143:D150)*6</f>
        <v>27960.18966</v>
      </c>
      <c r="F116" s="97"/>
      <c r="G116" s="97">
        <f>SUM(F143:F150)*6</f>
        <v>40542.275006999997</v>
      </c>
      <c r="H116" s="97"/>
    </row>
    <row r="117" spans="1:14" s="35" customFormat="1" x14ac:dyDescent="0.25">
      <c r="A117" s="114" t="s">
        <v>193</v>
      </c>
      <c r="B117" s="114"/>
      <c r="C117" s="103">
        <f>COUNT(D154:D159)*7</f>
        <v>42</v>
      </c>
      <c r="D117" s="103"/>
      <c r="E117" s="97">
        <f>SUM(D154:D159)*7</f>
        <v>25441.628939999999</v>
      </c>
      <c r="F117" s="97"/>
      <c r="G117" s="97">
        <f>SUM(F154:F159)*7</f>
        <v>36890.361962999996</v>
      </c>
      <c r="H117" s="97"/>
    </row>
    <row r="118" spans="1:14" s="35" customFormat="1" x14ac:dyDescent="0.25">
      <c r="A118" s="107" t="s">
        <v>154</v>
      </c>
      <c r="B118" s="107"/>
      <c r="C118" s="105">
        <f>SUM(C116:C117)</f>
        <v>90</v>
      </c>
      <c r="D118" s="102"/>
      <c r="E118" s="105">
        <f t="shared" ref="E118" si="2">SUM(E116:E117)</f>
        <v>53401.818599999999</v>
      </c>
      <c r="F118" s="102"/>
      <c r="G118" s="105">
        <f t="shared" ref="G118" si="3">SUM(G116:G117)</f>
        <v>77432.636969999992</v>
      </c>
      <c r="H118" s="102"/>
    </row>
    <row r="119" spans="1:14" s="34" customFormat="1" x14ac:dyDescent="0.25">
      <c r="A119" s="117" t="s">
        <v>57</v>
      </c>
      <c r="B119" s="117"/>
      <c r="C119" s="117"/>
      <c r="D119" s="117"/>
      <c r="E119" s="117"/>
      <c r="F119" s="117"/>
      <c r="G119" s="117"/>
      <c r="H119" s="117"/>
    </row>
    <row r="120" spans="1:14" x14ac:dyDescent="0.25">
      <c r="A120" s="117" t="s">
        <v>58</v>
      </c>
      <c r="B120" s="117"/>
      <c r="C120" s="117"/>
      <c r="D120" s="117"/>
      <c r="E120" s="117"/>
      <c r="F120" s="117"/>
      <c r="G120" s="117"/>
      <c r="H120" s="117"/>
    </row>
    <row r="121" spans="1:14" ht="47.25" customHeight="1" x14ac:dyDescent="0.25">
      <c r="A121" s="81" t="s">
        <v>123</v>
      </c>
      <c r="B121" s="81" t="s">
        <v>122</v>
      </c>
      <c r="C121" s="81" t="s">
        <v>59</v>
      </c>
      <c r="D121" s="81" t="s">
        <v>60</v>
      </c>
      <c r="E121" s="83" t="s">
        <v>160</v>
      </c>
      <c r="F121" s="43" t="s">
        <v>153</v>
      </c>
      <c r="G121" s="85" t="s">
        <v>62</v>
      </c>
      <c r="H121" s="86"/>
    </row>
    <row r="122" spans="1:14" s="37" customFormat="1" x14ac:dyDescent="0.25">
      <c r="A122" s="82"/>
      <c r="B122" s="82"/>
      <c r="C122" s="82"/>
      <c r="D122" s="82"/>
      <c r="E122" s="84"/>
      <c r="F122" s="13">
        <v>0.55000000000000004</v>
      </c>
      <c r="G122" s="87"/>
      <c r="H122" s="88"/>
    </row>
    <row r="123" spans="1:14" s="54" customFormat="1" x14ac:dyDescent="0.25">
      <c r="A123" s="159" t="s">
        <v>198</v>
      </c>
      <c r="B123" s="160"/>
      <c r="C123" s="160"/>
      <c r="D123" s="160"/>
      <c r="E123" s="160"/>
      <c r="F123" s="160"/>
      <c r="G123" s="160"/>
      <c r="H123" s="161"/>
      <c r="J123" s="36"/>
    </row>
    <row r="124" spans="1:14" s="37" customFormat="1" x14ac:dyDescent="0.25">
      <c r="A124" s="159" t="s">
        <v>189</v>
      </c>
      <c r="B124" s="160"/>
      <c r="C124" s="160"/>
      <c r="D124" s="160"/>
      <c r="E124" s="160"/>
      <c r="F124" s="160"/>
      <c r="G124" s="160"/>
      <c r="H124" s="161"/>
      <c r="J124" s="36"/>
    </row>
    <row r="125" spans="1:14" s="37" customFormat="1" ht="15.75" customHeight="1" x14ac:dyDescent="0.25">
      <c r="A125" s="171">
        <v>1</v>
      </c>
      <c r="B125" s="173"/>
      <c r="C125" s="42" t="s">
        <v>190</v>
      </c>
      <c r="D125" s="57">
        <f>(16.98)*(10.764)</f>
        <v>182.77271999999999</v>
      </c>
      <c r="E125" s="42">
        <v>0</v>
      </c>
      <c r="F125" s="42">
        <f>(D125+E125)*(($F$122)+1)</f>
        <v>283.29771599999998</v>
      </c>
      <c r="G125" s="195" t="str">
        <f>A124</f>
        <v>Lower Ground Floor For Commercial</v>
      </c>
      <c r="H125" s="196"/>
      <c r="I125" s="36">
        <f>3.05*5.45</f>
        <v>16.622499999999999</v>
      </c>
      <c r="J125" s="57">
        <f>10.764</f>
        <v>10.763999999999999</v>
      </c>
      <c r="L125" s="158"/>
      <c r="M125" s="158"/>
      <c r="N125" s="36"/>
    </row>
    <row r="126" spans="1:14" s="37" customFormat="1" ht="15.75" customHeight="1" x14ac:dyDescent="0.25">
      <c r="A126" s="171">
        <f t="shared" ref="A126:A135" si="4">A125+1</f>
        <v>2</v>
      </c>
      <c r="B126" s="173"/>
      <c r="C126" s="53" t="s">
        <v>190</v>
      </c>
      <c r="D126" s="57">
        <f>(14.48)*(10.764)</f>
        <v>155.86272</v>
      </c>
      <c r="E126" s="42">
        <v>0</v>
      </c>
      <c r="F126" s="42">
        <f t="shared" ref="F126:F128" si="5">(D126+E126)*(($F$122)+1)</f>
        <v>241.58721600000001</v>
      </c>
      <c r="G126" s="197"/>
      <c r="H126" s="198"/>
      <c r="I126" s="36">
        <f>2.6*5.45</f>
        <v>14.170000000000002</v>
      </c>
      <c r="L126" s="158"/>
      <c r="M126" s="158"/>
      <c r="N126" s="36"/>
    </row>
    <row r="127" spans="1:14" s="37" customFormat="1" ht="15.75" customHeight="1" x14ac:dyDescent="0.25">
      <c r="A127" s="171">
        <f t="shared" si="4"/>
        <v>3</v>
      </c>
      <c r="B127" s="173"/>
      <c r="C127" s="53" t="s">
        <v>190</v>
      </c>
      <c r="D127" s="57">
        <f>(16.71)*(10.764)</f>
        <v>179.86644000000001</v>
      </c>
      <c r="E127" s="42">
        <v>0</v>
      </c>
      <c r="F127" s="42">
        <f t="shared" si="5"/>
        <v>278.79298200000005</v>
      </c>
      <c r="G127" s="197"/>
      <c r="H127" s="198"/>
      <c r="I127" s="36"/>
      <c r="L127" s="158"/>
      <c r="M127" s="158"/>
      <c r="N127" s="36"/>
    </row>
    <row r="128" spans="1:14" s="37" customFormat="1" ht="15.75" customHeight="1" x14ac:dyDescent="0.25">
      <c r="A128" s="171">
        <f t="shared" si="4"/>
        <v>4</v>
      </c>
      <c r="B128" s="173"/>
      <c r="C128" s="53" t="s">
        <v>190</v>
      </c>
      <c r="D128" s="57">
        <f>(16.16)*(10.764)</f>
        <v>173.94623999999999</v>
      </c>
      <c r="E128" s="42">
        <v>0</v>
      </c>
      <c r="F128" s="42">
        <f t="shared" si="5"/>
        <v>269.61667199999999</v>
      </c>
      <c r="G128" s="197"/>
      <c r="H128" s="198"/>
      <c r="I128" s="36"/>
      <c r="L128" s="158"/>
      <c r="M128" s="158"/>
      <c r="N128" s="36"/>
    </row>
    <row r="129" spans="1:14" s="54" customFormat="1" x14ac:dyDescent="0.25">
      <c r="A129" s="171">
        <f t="shared" si="4"/>
        <v>5</v>
      </c>
      <c r="B129" s="173"/>
      <c r="C129" s="53" t="s">
        <v>190</v>
      </c>
      <c r="D129" s="57">
        <f>(12.34)*(10.764)</f>
        <v>132.82775999999998</v>
      </c>
      <c r="E129" s="53">
        <v>0</v>
      </c>
      <c r="F129" s="53">
        <f>(D129+E129)*(($F$122)+1)</f>
        <v>205.88302799999997</v>
      </c>
      <c r="G129" s="197"/>
      <c r="H129" s="198"/>
      <c r="I129" s="36"/>
      <c r="L129" s="158"/>
      <c r="M129" s="158"/>
      <c r="N129" s="36"/>
    </row>
    <row r="130" spans="1:14" s="54" customFormat="1" x14ac:dyDescent="0.25">
      <c r="A130" s="171">
        <f t="shared" si="4"/>
        <v>6</v>
      </c>
      <c r="B130" s="173"/>
      <c r="C130" s="53" t="s">
        <v>190</v>
      </c>
      <c r="D130" s="57">
        <f>(10.37)*(10.764)</f>
        <v>111.62267999999999</v>
      </c>
      <c r="E130" s="53">
        <v>0</v>
      </c>
      <c r="F130" s="53">
        <f t="shared" ref="F130:F132" si="6">(D130+E130)*(($F$122)+1)</f>
        <v>173.015154</v>
      </c>
      <c r="G130" s="197"/>
      <c r="H130" s="198"/>
      <c r="I130" s="36"/>
      <c r="L130" s="158"/>
      <c r="M130" s="158"/>
      <c r="N130" s="36"/>
    </row>
    <row r="131" spans="1:14" s="54" customFormat="1" x14ac:dyDescent="0.25">
      <c r="A131" s="171">
        <f t="shared" si="4"/>
        <v>7</v>
      </c>
      <c r="B131" s="173"/>
      <c r="C131" s="53" t="s">
        <v>190</v>
      </c>
      <c r="D131" s="57">
        <f>(10.37)*(10.764)</f>
        <v>111.62267999999999</v>
      </c>
      <c r="E131" s="53">
        <v>0</v>
      </c>
      <c r="F131" s="53">
        <f t="shared" si="6"/>
        <v>173.015154</v>
      </c>
      <c r="G131" s="197"/>
      <c r="H131" s="198"/>
      <c r="I131" s="36"/>
      <c r="L131" s="158"/>
      <c r="M131" s="158"/>
      <c r="N131" s="36"/>
    </row>
    <row r="132" spans="1:14" s="54" customFormat="1" x14ac:dyDescent="0.25">
      <c r="A132" s="171">
        <f t="shared" si="4"/>
        <v>8</v>
      </c>
      <c r="B132" s="173"/>
      <c r="C132" s="53" t="s">
        <v>190</v>
      </c>
      <c r="D132" s="57">
        <f>(12.34)*(10.764)</f>
        <v>132.82775999999998</v>
      </c>
      <c r="E132" s="53">
        <v>0</v>
      </c>
      <c r="F132" s="53">
        <f t="shared" si="6"/>
        <v>205.88302799999997</v>
      </c>
      <c r="G132" s="197"/>
      <c r="H132" s="198"/>
      <c r="I132" s="36"/>
      <c r="L132" s="158"/>
      <c r="M132" s="158"/>
      <c r="N132" s="36"/>
    </row>
    <row r="133" spans="1:14" s="54" customFormat="1" x14ac:dyDescent="0.25">
      <c r="A133" s="171">
        <f t="shared" si="4"/>
        <v>9</v>
      </c>
      <c r="B133" s="173"/>
      <c r="C133" s="53" t="s">
        <v>190</v>
      </c>
      <c r="D133" s="57">
        <f>(16.16)*(10.764)</f>
        <v>173.94623999999999</v>
      </c>
      <c r="E133" s="53">
        <v>0</v>
      </c>
      <c r="F133" s="53">
        <f>(D133+E133)*(($F$122)+1)</f>
        <v>269.61667199999999</v>
      </c>
      <c r="G133" s="197"/>
      <c r="H133" s="198"/>
      <c r="I133" s="36"/>
      <c r="L133" s="158"/>
      <c r="M133" s="158"/>
      <c r="N133" s="36"/>
    </row>
    <row r="134" spans="1:14" s="54" customFormat="1" x14ac:dyDescent="0.25">
      <c r="A134" s="171">
        <f t="shared" si="4"/>
        <v>10</v>
      </c>
      <c r="B134" s="173"/>
      <c r="C134" s="53" t="s">
        <v>190</v>
      </c>
      <c r="D134" s="57">
        <f>(18.07)*(10.764)</f>
        <v>194.50547999999998</v>
      </c>
      <c r="E134" s="53">
        <v>0</v>
      </c>
      <c r="F134" s="53">
        <f t="shared" ref="F134:F136" si="7">(D134+E134)*(($F$122)+1)</f>
        <v>301.48349399999995</v>
      </c>
      <c r="G134" s="197"/>
      <c r="H134" s="198"/>
      <c r="I134" s="36"/>
      <c r="L134" s="158"/>
      <c r="M134" s="158"/>
      <c r="N134" s="36"/>
    </row>
    <row r="135" spans="1:14" s="54" customFormat="1" x14ac:dyDescent="0.25">
      <c r="A135" s="171">
        <f t="shared" si="4"/>
        <v>11</v>
      </c>
      <c r="B135" s="173"/>
      <c r="C135" s="53" t="s">
        <v>190</v>
      </c>
      <c r="D135" s="57">
        <f>(12.8)*(10.764)</f>
        <v>137.7792</v>
      </c>
      <c r="E135" s="53">
        <v>0</v>
      </c>
      <c r="F135" s="53">
        <f t="shared" si="7"/>
        <v>213.55776</v>
      </c>
      <c r="G135" s="197"/>
      <c r="H135" s="198"/>
      <c r="I135" s="36"/>
      <c r="L135" s="158"/>
      <c r="M135" s="158"/>
      <c r="N135" s="36"/>
    </row>
    <row r="136" spans="1:14" s="54" customFormat="1" x14ac:dyDescent="0.25">
      <c r="A136" s="171">
        <v>1</v>
      </c>
      <c r="B136" s="173"/>
      <c r="C136" s="53" t="s">
        <v>191</v>
      </c>
      <c r="D136" s="57">
        <f>(45.98)*(10.764)</f>
        <v>494.92871999999994</v>
      </c>
      <c r="E136" s="53">
        <v>0</v>
      </c>
      <c r="F136" s="53">
        <f t="shared" si="7"/>
        <v>767.13951599999996</v>
      </c>
      <c r="G136" s="199"/>
      <c r="H136" s="200"/>
      <c r="I136" s="36">
        <f>3*5.45+4.25*3+2.1*1.2+3.35*3.35</f>
        <v>42.842500000000001</v>
      </c>
      <c r="L136" s="158"/>
      <c r="M136" s="158"/>
      <c r="N136" s="36"/>
    </row>
    <row r="137" spans="1:14" s="54" customFormat="1" x14ac:dyDescent="0.25">
      <c r="A137" s="159" t="s">
        <v>192</v>
      </c>
      <c r="B137" s="160"/>
      <c r="C137" s="160"/>
      <c r="D137" s="160"/>
      <c r="E137" s="160"/>
      <c r="F137" s="160"/>
      <c r="G137" s="160"/>
      <c r="H137" s="161"/>
      <c r="J137" s="36"/>
    </row>
    <row r="138" spans="1:14" s="37" customFormat="1" x14ac:dyDescent="0.25">
      <c r="A138" s="171"/>
      <c r="B138" s="172"/>
      <c r="C138" s="172"/>
      <c r="D138" s="172"/>
      <c r="E138" s="172"/>
      <c r="F138" s="172"/>
      <c r="G138" s="172"/>
      <c r="H138" s="173"/>
      <c r="I138" s="36"/>
      <c r="N138" s="36"/>
    </row>
    <row r="139" spans="1:14" ht="47.25" customHeight="1" x14ac:dyDescent="0.25">
      <c r="A139" s="85" t="s">
        <v>124</v>
      </c>
      <c r="B139" s="85" t="s">
        <v>125</v>
      </c>
      <c r="C139" s="81" t="s">
        <v>59</v>
      </c>
      <c r="D139" s="81" t="s">
        <v>60</v>
      </c>
      <c r="E139" s="83" t="s">
        <v>61</v>
      </c>
      <c r="F139" s="43" t="s">
        <v>153</v>
      </c>
      <c r="G139" s="85" t="s">
        <v>62</v>
      </c>
      <c r="H139" s="86"/>
      <c r="I139" s="36"/>
    </row>
    <row r="140" spans="1:14" s="37" customFormat="1" x14ac:dyDescent="0.25">
      <c r="A140" s="87"/>
      <c r="B140" s="87"/>
      <c r="C140" s="82"/>
      <c r="D140" s="82"/>
      <c r="E140" s="84"/>
      <c r="F140" s="13">
        <v>0.45</v>
      </c>
      <c r="G140" s="87"/>
      <c r="H140" s="88"/>
      <c r="I140" s="36"/>
    </row>
    <row r="141" spans="1:14" s="54" customFormat="1" x14ac:dyDescent="0.25">
      <c r="A141" s="159" t="s">
        <v>198</v>
      </c>
      <c r="B141" s="160"/>
      <c r="C141" s="160"/>
      <c r="D141" s="160"/>
      <c r="E141" s="160"/>
      <c r="F141" s="160"/>
      <c r="G141" s="160"/>
      <c r="H141" s="161"/>
      <c r="J141" s="36"/>
    </row>
    <row r="142" spans="1:14" s="37" customFormat="1" x14ac:dyDescent="0.25">
      <c r="A142" s="113" t="s">
        <v>194</v>
      </c>
      <c r="B142" s="113"/>
      <c r="C142" s="113"/>
      <c r="D142" s="113"/>
      <c r="E142" s="113"/>
      <c r="F142" s="113"/>
      <c r="G142" s="113"/>
      <c r="H142" s="113"/>
      <c r="J142" s="36"/>
    </row>
    <row r="143" spans="1:14" s="37" customFormat="1" ht="15.75" customHeight="1" x14ac:dyDescent="0.25">
      <c r="A143" s="169">
        <v>1</v>
      </c>
      <c r="B143" s="169"/>
      <c r="C143" s="53" t="s">
        <v>195</v>
      </c>
      <c r="D143" s="57">
        <f>(36.75+0.75*(2.9+2.4+2.75))*(10.764)</f>
        <v>460.56464999999997</v>
      </c>
      <c r="E143" s="53">
        <v>0</v>
      </c>
      <c r="F143" s="53">
        <f>D143*(($F$140)+1)+(IF(E143&lt;101,E143,IF(E143&lt;201,E143/2,IF(E143&lt;=301,E143/3,E143/4))))</f>
        <v>667.81874249999998</v>
      </c>
      <c r="G143" s="169" t="str">
        <f>A142</f>
        <v>1st, 2nd, 3rd, 4th, 5th &amp; 6th Floor For Residential</v>
      </c>
      <c r="H143" s="169"/>
      <c r="I143" s="36">
        <f>2.9*4.3+2.4*2.4+2.75*3.45+1.2*0.9+1.2*1.55+2.5*0.9+1*1.4</f>
        <v>34.307499999999997</v>
      </c>
      <c r="L143" s="158"/>
      <c r="M143" s="158"/>
      <c r="N143" s="36"/>
    </row>
    <row r="144" spans="1:14" s="37" customFormat="1" ht="15.75" customHeight="1" x14ac:dyDescent="0.25">
      <c r="A144" s="169">
        <f t="shared" ref="A144:A150" si="8">A143+1</f>
        <v>2</v>
      </c>
      <c r="B144" s="169"/>
      <c r="C144" s="53" t="s">
        <v>195</v>
      </c>
      <c r="D144" s="57">
        <f>(35.86+0.75*(2.75+2.25)+1.05*2.75)*(10.764)</f>
        <v>457.44308999999998</v>
      </c>
      <c r="E144" s="53">
        <v>0</v>
      </c>
      <c r="F144" s="53">
        <f t="shared" ref="F144:F150" si="9">D144*(($F$140)+1)+(IF(E144&lt;101,E144,IF(E144&lt;201,E144/2,IF(E144&lt;=301,E144/3,E144/4))))</f>
        <v>663.29248050000001</v>
      </c>
      <c r="G144" s="169"/>
      <c r="H144" s="169"/>
      <c r="I144" s="36"/>
      <c r="L144" s="158"/>
      <c r="M144" s="158"/>
      <c r="N144" s="36"/>
    </row>
    <row r="145" spans="1:14" s="37" customFormat="1" ht="15.75" customHeight="1" x14ac:dyDescent="0.25">
      <c r="A145" s="169">
        <f t="shared" si="8"/>
        <v>3</v>
      </c>
      <c r="B145" s="169"/>
      <c r="C145" s="53" t="s">
        <v>197</v>
      </c>
      <c r="D145" s="57">
        <f>(75.04+0.75*(3.25+2.3)+1.05*(3+3.35+3))*(10.764)</f>
        <v>958.21127999999987</v>
      </c>
      <c r="E145" s="53">
        <v>0</v>
      </c>
      <c r="F145" s="53">
        <f t="shared" si="9"/>
        <v>1389.4063559999997</v>
      </c>
      <c r="G145" s="169"/>
      <c r="H145" s="169"/>
      <c r="I145" s="36">
        <f>3.25*4.7+2.45*2.55+2.3*2.75+3*2.75+3.35*3.35+2.1*1.2+2.1*1.2+3.2*3+1.2*2.25+2.1*1.2+3*1.2+1*1</f>
        <v>71.779999999999987</v>
      </c>
      <c r="J145" s="37">
        <f>1.05*(3+3.35+3)</f>
        <v>9.8175000000000008</v>
      </c>
      <c r="K145" s="37">
        <f>3850000/F145</f>
        <v>2770.967603087603</v>
      </c>
      <c r="L145" s="158"/>
      <c r="M145" s="158"/>
      <c r="N145" s="36"/>
    </row>
    <row r="146" spans="1:14" s="37" customFormat="1" ht="15.75" customHeight="1" x14ac:dyDescent="0.25">
      <c r="A146" s="169">
        <f t="shared" si="8"/>
        <v>4</v>
      </c>
      <c r="B146" s="169"/>
      <c r="C146" s="53" t="s">
        <v>195</v>
      </c>
      <c r="D146" s="57">
        <f>(37.11+0.75*(2.9+2.4)+1.05*2.9)*(10.764)</f>
        <v>475.01531999999997</v>
      </c>
      <c r="E146" s="53">
        <v>0</v>
      </c>
      <c r="F146" s="53">
        <f t="shared" si="9"/>
        <v>688.77221399999996</v>
      </c>
      <c r="G146" s="169"/>
      <c r="H146" s="169"/>
      <c r="I146" s="36">
        <f>2.9*4.7+2.4*2.4+2.9*3.45+1.2*0.9+1.2*1.55+2.5*1</f>
        <v>34.835000000000001</v>
      </c>
      <c r="L146" s="158"/>
      <c r="M146" s="158"/>
      <c r="N146" s="36"/>
    </row>
    <row r="147" spans="1:14" s="54" customFormat="1" x14ac:dyDescent="0.25">
      <c r="A147" s="169">
        <f t="shared" si="8"/>
        <v>5</v>
      </c>
      <c r="B147" s="169"/>
      <c r="C147" s="53" t="s">
        <v>195</v>
      </c>
      <c r="D147" s="57">
        <f>(37.11+0.75*(2.9+2.4)+1.05*2.9)*(10.764)</f>
        <v>475.01531999999997</v>
      </c>
      <c r="E147" s="53">
        <v>0</v>
      </c>
      <c r="F147" s="53">
        <f t="shared" si="9"/>
        <v>688.77221399999996</v>
      </c>
      <c r="G147" s="169"/>
      <c r="H147" s="169"/>
      <c r="I147" s="36"/>
      <c r="L147" s="158"/>
      <c r="M147" s="158"/>
      <c r="N147" s="36"/>
    </row>
    <row r="148" spans="1:14" s="54" customFormat="1" x14ac:dyDescent="0.25">
      <c r="A148" s="169">
        <f t="shared" si="8"/>
        <v>6</v>
      </c>
      <c r="B148" s="169"/>
      <c r="C148" s="53" t="s">
        <v>196</v>
      </c>
      <c r="D148" s="57">
        <f>(53.11+0.75*(3+2.6)+1.05*(3.05+3.2))*(10.764)</f>
        <v>687.52359000000001</v>
      </c>
      <c r="E148" s="53">
        <v>0</v>
      </c>
      <c r="F148" s="53">
        <f t="shared" si="9"/>
        <v>996.90920549999998</v>
      </c>
      <c r="G148" s="169"/>
      <c r="H148" s="169"/>
      <c r="I148" s="36"/>
      <c r="L148" s="158"/>
      <c r="M148" s="158"/>
      <c r="N148" s="36"/>
    </row>
    <row r="149" spans="1:14" s="54" customFormat="1" x14ac:dyDescent="0.25">
      <c r="A149" s="169">
        <f t="shared" si="8"/>
        <v>7</v>
      </c>
      <c r="B149" s="169"/>
      <c r="C149" s="53" t="s">
        <v>196</v>
      </c>
      <c r="D149" s="57">
        <f>(53.11+0.75*(3+2.6)+1.05*(3.05+3.2))*(10.764)</f>
        <v>687.52359000000001</v>
      </c>
      <c r="E149" s="53">
        <v>0</v>
      </c>
      <c r="F149" s="53">
        <f t="shared" si="9"/>
        <v>996.90920549999998</v>
      </c>
      <c r="G149" s="169"/>
      <c r="H149" s="169"/>
      <c r="I149" s="36"/>
      <c r="L149" s="158"/>
      <c r="M149" s="158"/>
      <c r="N149" s="36"/>
    </row>
    <row r="150" spans="1:14" s="54" customFormat="1" x14ac:dyDescent="0.25">
      <c r="A150" s="169">
        <f t="shared" si="8"/>
        <v>8</v>
      </c>
      <c r="B150" s="169"/>
      <c r="C150" s="53" t="s">
        <v>195</v>
      </c>
      <c r="D150" s="57">
        <f>(36.58+0.75*(2.9+2.4+2.75))*(10.764)</f>
        <v>458.73476999999997</v>
      </c>
      <c r="E150" s="53">
        <v>0</v>
      </c>
      <c r="F150" s="53">
        <f t="shared" si="9"/>
        <v>665.16541649999988</v>
      </c>
      <c r="G150" s="169"/>
      <c r="H150" s="169"/>
      <c r="I150" s="36"/>
      <c r="L150" s="158"/>
      <c r="M150" s="158"/>
      <c r="N150" s="36"/>
    </row>
    <row r="151" spans="1:14" s="54" customFormat="1" x14ac:dyDescent="0.25">
      <c r="A151" s="113" t="s">
        <v>193</v>
      </c>
      <c r="B151" s="113"/>
      <c r="C151" s="113"/>
      <c r="D151" s="113"/>
      <c r="E151" s="113"/>
      <c r="F151" s="113"/>
      <c r="G151" s="113"/>
      <c r="H151" s="113"/>
      <c r="J151" s="36"/>
    </row>
    <row r="152" spans="1:14" s="37" customFormat="1" x14ac:dyDescent="0.25">
      <c r="A152" s="113" t="s">
        <v>199</v>
      </c>
      <c r="B152" s="113"/>
      <c r="C152" s="113"/>
      <c r="D152" s="113"/>
      <c r="E152" s="113"/>
      <c r="F152" s="113"/>
      <c r="G152" s="113"/>
      <c r="H152" s="113"/>
      <c r="I152" s="36"/>
      <c r="L152" s="158"/>
      <c r="M152" s="158"/>
    </row>
    <row r="153" spans="1:14" s="37" customFormat="1" ht="15.75" customHeight="1" x14ac:dyDescent="0.25">
      <c r="A153" s="113" t="s">
        <v>200</v>
      </c>
      <c r="B153" s="113"/>
      <c r="C153" s="113"/>
      <c r="D153" s="113"/>
      <c r="E153" s="113"/>
      <c r="F153" s="113"/>
      <c r="G153" s="113"/>
      <c r="H153" s="113"/>
      <c r="I153" s="36"/>
    </row>
    <row r="154" spans="1:14" s="37" customFormat="1" ht="15.75" customHeight="1" x14ac:dyDescent="0.25">
      <c r="A154" s="169">
        <v>1</v>
      </c>
      <c r="B154" s="169"/>
      <c r="C154" s="53" t="s">
        <v>196</v>
      </c>
      <c r="D154" s="57">
        <f>(53.14+0.75*(3+2.55+3)+1.2*3.3)*(10.764)</f>
        <v>683.64855</v>
      </c>
      <c r="E154" s="53">
        <v>0</v>
      </c>
      <c r="F154" s="53">
        <f t="shared" ref="F154:F159" si="10">D154*(($F$140)+1)+(IF(E154&lt;101,E154,IF(E154&lt;201,E154/2,IF(E154&lt;=301,E154/3,E154/4))))</f>
        <v>991.29039749999993</v>
      </c>
      <c r="G154" s="169" t="str">
        <f>A153</f>
        <v>1st, 2nd, 3rd, 4th, 5th, 6th &amp; 7th Floor For Residential</v>
      </c>
      <c r="H154" s="169"/>
      <c r="I154" s="36">
        <f>3*4.9+2.55*2.35+3*3.1+3.35*3.3+1.2*2.1+1.2*2.1+3*0.9+1.2*1+1.5*1</f>
        <v>51.487500000000011</v>
      </c>
    </row>
    <row r="155" spans="1:14" s="37" customFormat="1" ht="15.75" customHeight="1" x14ac:dyDescent="0.25">
      <c r="A155" s="169">
        <f>A154+1</f>
        <v>2</v>
      </c>
      <c r="B155" s="169"/>
      <c r="C155" s="53" t="s">
        <v>196</v>
      </c>
      <c r="D155" s="57">
        <f>(53.14+0.75*(3+2.55+3)+1.2*3.3)*(10.764)</f>
        <v>683.64855</v>
      </c>
      <c r="E155" s="53">
        <v>0</v>
      </c>
      <c r="F155" s="53">
        <f t="shared" si="10"/>
        <v>991.29039749999993</v>
      </c>
      <c r="G155" s="169"/>
      <c r="H155" s="169"/>
      <c r="I155" s="36"/>
      <c r="K155" s="37">
        <f>3600000/F154</f>
        <v>3631.6300541991282</v>
      </c>
    </row>
    <row r="156" spans="1:14" s="37" customFormat="1" ht="15.75" customHeight="1" x14ac:dyDescent="0.25">
      <c r="A156" s="169">
        <f t="shared" ref="A156:A158" si="11">A155+1</f>
        <v>3</v>
      </c>
      <c r="B156" s="169"/>
      <c r="C156" s="53" t="s">
        <v>195</v>
      </c>
      <c r="D156" s="57">
        <f>(35.99+0.75*(2.75+2.25+2.75))*(10.764)</f>
        <v>449.96211</v>
      </c>
      <c r="E156" s="53">
        <v>0</v>
      </c>
      <c r="F156" s="53">
        <f t="shared" si="10"/>
        <v>652.44505949999996</v>
      </c>
      <c r="G156" s="169"/>
      <c r="H156" s="169"/>
      <c r="I156" s="36"/>
      <c r="K156" s="37">
        <f>2200000/F156</f>
        <v>3371.9314262046305</v>
      </c>
    </row>
    <row r="157" spans="1:14" s="37" customFormat="1" ht="15.75" customHeight="1" x14ac:dyDescent="0.25">
      <c r="A157" s="169">
        <f t="shared" si="11"/>
        <v>4</v>
      </c>
      <c r="B157" s="169"/>
      <c r="C157" s="53" t="s">
        <v>196</v>
      </c>
      <c r="D157" s="57">
        <f>(53.14+0.75*(3+2.55+3)+1.2*3.3)*(10.764)</f>
        <v>683.64855</v>
      </c>
      <c r="E157" s="53">
        <v>0</v>
      </c>
      <c r="F157" s="53">
        <f t="shared" si="10"/>
        <v>991.29039749999993</v>
      </c>
      <c r="G157" s="169"/>
      <c r="H157" s="169"/>
      <c r="I157" s="36"/>
    </row>
    <row r="158" spans="1:14" s="37" customFormat="1" ht="15.75" customHeight="1" x14ac:dyDescent="0.25">
      <c r="A158" s="169">
        <f t="shared" si="11"/>
        <v>5</v>
      </c>
      <c r="B158" s="169"/>
      <c r="C158" s="53" t="s">
        <v>196</v>
      </c>
      <c r="D158" s="57">
        <f>(53.14+0.75*(3+2.55+3)+1.2*3.3)*(10.764)</f>
        <v>683.64855</v>
      </c>
      <c r="E158" s="53">
        <v>0</v>
      </c>
      <c r="F158" s="53">
        <f t="shared" si="10"/>
        <v>991.29039749999993</v>
      </c>
      <c r="G158" s="169"/>
      <c r="H158" s="169"/>
      <c r="I158" s="36"/>
    </row>
    <row r="159" spans="1:14" s="54" customFormat="1" ht="15.75" customHeight="1" x14ac:dyDescent="0.25">
      <c r="A159" s="169">
        <f t="shared" ref="A159" si="12">A158+1</f>
        <v>6</v>
      </c>
      <c r="B159" s="169"/>
      <c r="C159" s="53" t="s">
        <v>195</v>
      </c>
      <c r="D159" s="57">
        <f>(35.99+0.75*(2.75+2.25+2.75))*(10.764)</f>
        <v>449.96211</v>
      </c>
      <c r="E159" s="53">
        <v>0</v>
      </c>
      <c r="F159" s="53">
        <f t="shared" si="10"/>
        <v>652.44505949999996</v>
      </c>
      <c r="G159" s="169"/>
      <c r="H159" s="169"/>
      <c r="I159" s="36"/>
    </row>
    <row r="160" spans="1:14" s="35" customFormat="1" x14ac:dyDescent="0.25">
      <c r="A160" s="174" t="s">
        <v>70</v>
      </c>
      <c r="B160" s="174"/>
      <c r="C160" s="174"/>
      <c r="D160" s="174"/>
      <c r="E160" s="174"/>
      <c r="F160" s="174"/>
      <c r="G160" s="174"/>
      <c r="H160" s="174"/>
    </row>
    <row r="161" spans="1:8" s="35" customFormat="1" ht="32.25" customHeight="1" x14ac:dyDescent="0.25">
      <c r="A161" s="47" t="s">
        <v>157</v>
      </c>
      <c r="B161" s="175" t="s">
        <v>224</v>
      </c>
      <c r="C161" s="176"/>
      <c r="D161" s="176"/>
      <c r="E161" s="176"/>
      <c r="F161" s="176"/>
      <c r="G161" s="176"/>
      <c r="H161" s="177"/>
    </row>
    <row r="162" spans="1:8" s="35" customFormat="1" x14ac:dyDescent="0.25">
      <c r="A162" s="47" t="s">
        <v>157</v>
      </c>
      <c r="B162" s="175" t="str">
        <f>(IF(F139="Saleable area Loading :","We have considered Saleable area of Flats as per our Calculation.","We considered Saleable area of Flat as per Builder area Sheet."))</f>
        <v>We have considered Saleable area of Flats as per our Calculation.</v>
      </c>
      <c r="C162" s="176"/>
      <c r="D162" s="176"/>
      <c r="E162" s="176"/>
      <c r="F162" s="176"/>
      <c r="G162" s="176"/>
      <c r="H162" s="177"/>
    </row>
    <row r="163" spans="1:8" s="35" customFormat="1" x14ac:dyDescent="0.25">
      <c r="A163" s="47" t="s">
        <v>157</v>
      </c>
      <c r="B163" s="175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3" s="176"/>
      <c r="D163" s="176"/>
      <c r="E163" s="176"/>
      <c r="F163" s="176"/>
      <c r="G163" s="176"/>
      <c r="H163" s="177"/>
    </row>
    <row r="164" spans="1:8" s="35" customFormat="1" x14ac:dyDescent="0.25">
      <c r="A164" s="47" t="s">
        <v>157</v>
      </c>
      <c r="B164" s="74" t="s">
        <v>127</v>
      </c>
      <c r="C164" s="75"/>
      <c r="D164" s="75"/>
      <c r="E164" s="75"/>
      <c r="F164" s="75"/>
      <c r="G164" s="75"/>
      <c r="H164" s="76"/>
    </row>
    <row r="165" spans="1:8" s="35" customFormat="1" x14ac:dyDescent="0.25">
      <c r="A165" s="47" t="s">
        <v>157</v>
      </c>
      <c r="B165" s="74" t="s">
        <v>201</v>
      </c>
      <c r="C165" s="75"/>
      <c r="D165" s="75"/>
      <c r="E165" s="75"/>
      <c r="F165" s="75"/>
      <c r="G165" s="75"/>
      <c r="H165" s="76"/>
    </row>
    <row r="166" spans="1:8" s="35" customFormat="1" x14ac:dyDescent="0.25">
      <c r="A166" s="47" t="s">
        <v>157</v>
      </c>
      <c r="B166" s="74" t="s">
        <v>156</v>
      </c>
      <c r="C166" s="75"/>
      <c r="D166" s="75"/>
      <c r="E166" s="75"/>
      <c r="F166" s="75"/>
      <c r="G166" s="75"/>
      <c r="H166" s="76"/>
    </row>
    <row r="167" spans="1:8" s="35" customFormat="1" x14ac:dyDescent="0.25">
      <c r="A167" s="47" t="s">
        <v>157</v>
      </c>
      <c r="B167" s="74" t="s">
        <v>128</v>
      </c>
      <c r="C167" s="75"/>
      <c r="D167" s="75"/>
      <c r="E167" s="75"/>
      <c r="F167" s="75"/>
      <c r="G167" s="75"/>
      <c r="H167" s="76"/>
    </row>
    <row r="168" spans="1:8" s="35" customFormat="1" ht="32.25" customHeight="1" x14ac:dyDescent="0.25">
      <c r="A168" s="47" t="s">
        <v>157</v>
      </c>
      <c r="B168" s="74" t="s">
        <v>158</v>
      </c>
      <c r="C168" s="75"/>
      <c r="D168" s="75"/>
      <c r="E168" s="75"/>
      <c r="F168" s="75"/>
      <c r="G168" s="75"/>
      <c r="H168" s="76"/>
    </row>
    <row r="169" spans="1:8" s="35" customFormat="1" x14ac:dyDescent="0.25">
      <c r="A169" s="47" t="s">
        <v>157</v>
      </c>
      <c r="B169" s="74" t="s">
        <v>129</v>
      </c>
      <c r="C169" s="75"/>
      <c r="D169" s="75"/>
      <c r="E169" s="75"/>
      <c r="F169" s="75"/>
      <c r="G169" s="75"/>
      <c r="H169" s="76"/>
    </row>
    <row r="170" spans="1:8" s="35" customFormat="1" x14ac:dyDescent="0.25">
      <c r="A170" s="65" t="s">
        <v>157</v>
      </c>
      <c r="B170" s="74" t="s">
        <v>219</v>
      </c>
      <c r="C170" s="75"/>
      <c r="D170" s="75"/>
      <c r="E170" s="75"/>
      <c r="F170" s="75"/>
      <c r="G170" s="75"/>
      <c r="H170" s="76"/>
    </row>
    <row r="171" spans="1:8" x14ac:dyDescent="0.25">
      <c r="A171" s="115" t="s">
        <v>63</v>
      </c>
      <c r="B171" s="115"/>
      <c r="C171" s="115"/>
      <c r="D171" s="115"/>
      <c r="E171" s="115"/>
      <c r="F171" s="115"/>
      <c r="G171" s="115"/>
      <c r="H171" s="115"/>
    </row>
    <row r="172" spans="1:8" x14ac:dyDescent="0.25">
      <c r="A172" s="78" t="s">
        <v>64</v>
      </c>
      <c r="B172" s="78"/>
      <c r="C172" s="78"/>
      <c r="D172" s="78"/>
      <c r="E172" s="78"/>
      <c r="F172" s="78"/>
      <c r="G172" s="78"/>
      <c r="H172" s="78"/>
    </row>
    <row r="173" spans="1:8" ht="15.75" customHeight="1" x14ac:dyDescent="0.25">
      <c r="A173" s="79" t="s">
        <v>65</v>
      </c>
      <c r="B173" s="79"/>
      <c r="C173" s="79"/>
      <c r="D173" s="79"/>
      <c r="E173" s="79"/>
      <c r="F173" s="79"/>
      <c r="G173" s="79"/>
      <c r="H173" s="79"/>
    </row>
    <row r="174" spans="1:8" x14ac:dyDescent="0.25">
      <c r="A174" s="78" t="s">
        <v>66</v>
      </c>
      <c r="B174" s="78"/>
      <c r="C174" s="78"/>
      <c r="D174" s="78"/>
      <c r="E174" s="78"/>
      <c r="F174" s="78"/>
      <c r="G174" s="78"/>
      <c r="H174" s="78"/>
    </row>
    <row r="175" spans="1:8" x14ac:dyDescent="0.25">
      <c r="A175" s="78" t="s">
        <v>67</v>
      </c>
      <c r="B175" s="78"/>
      <c r="C175" s="78"/>
      <c r="D175" s="78"/>
      <c r="E175" s="78"/>
      <c r="F175" s="78"/>
      <c r="G175" s="78"/>
      <c r="H175" s="78"/>
    </row>
    <row r="176" spans="1:8" x14ac:dyDescent="0.25">
      <c r="A176" s="78" t="s">
        <v>130</v>
      </c>
      <c r="B176" s="78"/>
      <c r="C176" s="78"/>
      <c r="D176" s="78"/>
      <c r="E176" s="78"/>
      <c r="F176" s="78"/>
      <c r="G176" s="78"/>
      <c r="H176" s="78"/>
    </row>
    <row r="177" spans="1:8" x14ac:dyDescent="0.25">
      <c r="A177" s="108" t="s">
        <v>131</v>
      </c>
      <c r="B177" s="108"/>
      <c r="C177" s="108"/>
      <c r="D177" s="108"/>
      <c r="E177" s="108"/>
      <c r="F177" s="108"/>
      <c r="G177" s="108"/>
      <c r="H177" s="108"/>
    </row>
    <row r="178" spans="1:8" x14ac:dyDescent="0.25">
      <c r="A178" s="111" t="s">
        <v>80</v>
      </c>
      <c r="B178" s="111"/>
      <c r="C178" s="111" t="s">
        <v>223</v>
      </c>
      <c r="D178" s="111"/>
      <c r="E178" s="111" t="s">
        <v>109</v>
      </c>
      <c r="F178" s="111"/>
      <c r="G178" s="111" t="s">
        <v>222</v>
      </c>
      <c r="H178" s="111"/>
    </row>
    <row r="179" spans="1:8" x14ac:dyDescent="0.25">
      <c r="A179" s="110" t="s">
        <v>82</v>
      </c>
      <c r="B179" s="110"/>
      <c r="C179" s="110"/>
      <c r="D179" s="110"/>
      <c r="E179" s="110"/>
      <c r="F179" s="110"/>
      <c r="G179" s="110"/>
      <c r="H179" s="110"/>
    </row>
    <row r="180" spans="1:8" x14ac:dyDescent="0.25">
      <c r="A180" s="110"/>
      <c r="B180" s="110"/>
      <c r="C180" s="110"/>
      <c r="D180" s="110"/>
      <c r="E180" s="110"/>
      <c r="F180" s="110"/>
      <c r="G180" s="110"/>
      <c r="H180" s="110"/>
    </row>
    <row r="181" spans="1:8" x14ac:dyDescent="0.25">
      <c r="A181" s="110"/>
      <c r="B181" s="110"/>
      <c r="C181" s="110"/>
      <c r="D181" s="110"/>
      <c r="E181" s="110"/>
      <c r="F181" s="110"/>
      <c r="G181" s="110"/>
      <c r="H181" s="110"/>
    </row>
    <row r="182" spans="1:8" x14ac:dyDescent="0.25">
      <c r="A182" s="110"/>
      <c r="B182" s="110"/>
      <c r="C182" s="110"/>
      <c r="D182" s="110"/>
      <c r="E182" s="110"/>
      <c r="F182" s="110"/>
      <c r="G182" s="110"/>
      <c r="H182" s="110"/>
    </row>
    <row r="183" spans="1:8" x14ac:dyDescent="0.25">
      <c r="A183" s="38" t="s">
        <v>68</v>
      </c>
      <c r="B183" s="39"/>
      <c r="C183" s="39"/>
      <c r="D183" s="38" t="str">
        <f>E8</f>
        <v>Mohan Heights</v>
      </c>
      <c r="F183" s="39"/>
      <c r="G183" s="39"/>
      <c r="H183" s="39"/>
    </row>
    <row r="184" spans="1:8" x14ac:dyDescent="0.25">
      <c r="A184" s="39"/>
      <c r="B184" s="39"/>
      <c r="C184" s="39"/>
      <c r="D184" s="39"/>
      <c r="E184" s="39"/>
      <c r="F184" s="39"/>
      <c r="G184" s="39"/>
      <c r="H184" s="39"/>
    </row>
    <row r="185" spans="1:8" x14ac:dyDescent="0.25">
      <c r="A185" s="39"/>
      <c r="B185" s="39"/>
      <c r="C185" s="39"/>
      <c r="D185" s="39"/>
      <c r="E185" s="39"/>
      <c r="F185" s="39"/>
      <c r="G185" s="39"/>
      <c r="H185" s="39"/>
    </row>
    <row r="186" spans="1:8" ht="15" customHeight="1" x14ac:dyDescent="0.25"/>
    <row r="226" spans="1:1" x14ac:dyDescent="0.25">
      <c r="A226" s="41" t="s">
        <v>172</v>
      </c>
    </row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spans="1:1" hidden="1" x14ac:dyDescent="0.25"/>
    <row r="258" spans="1:1" hidden="1" x14ac:dyDescent="0.25"/>
    <row r="259" spans="1:1" hidden="1" x14ac:dyDescent="0.25"/>
    <row r="260" spans="1:1" hidden="1" x14ac:dyDescent="0.25"/>
    <row r="261" spans="1:1" hidden="1" x14ac:dyDescent="0.25"/>
    <row r="262" spans="1:1" hidden="1" x14ac:dyDescent="0.25"/>
    <row r="263" spans="1:1" hidden="1" x14ac:dyDescent="0.25"/>
    <row r="264" spans="1:1" hidden="1" x14ac:dyDescent="0.25"/>
    <row r="265" spans="1:1" hidden="1" x14ac:dyDescent="0.25"/>
    <row r="266" spans="1:1" hidden="1" x14ac:dyDescent="0.25"/>
    <row r="267" spans="1:1" hidden="1" x14ac:dyDescent="0.25"/>
    <row r="268" spans="1:1" hidden="1" x14ac:dyDescent="0.25"/>
    <row r="269" spans="1:1" hidden="1" x14ac:dyDescent="0.25"/>
    <row r="270" spans="1:1" x14ac:dyDescent="0.25">
      <c r="A270" s="41" t="s">
        <v>69</v>
      </c>
    </row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</sheetData>
  <mergeCells count="336">
    <mergeCell ref="L133:M133"/>
    <mergeCell ref="L128:M128"/>
    <mergeCell ref="L150:M150"/>
    <mergeCell ref="G143:H150"/>
    <mergeCell ref="A151:H151"/>
    <mergeCell ref="A159:B159"/>
    <mergeCell ref="G154:H159"/>
    <mergeCell ref="A111:A112"/>
    <mergeCell ref="A141:H141"/>
    <mergeCell ref="A147:B147"/>
    <mergeCell ref="L147:M147"/>
    <mergeCell ref="A148:B148"/>
    <mergeCell ref="L148:M148"/>
    <mergeCell ref="A149:B149"/>
    <mergeCell ref="L149:M149"/>
    <mergeCell ref="A135:B135"/>
    <mergeCell ref="L135:M135"/>
    <mergeCell ref="A136:B136"/>
    <mergeCell ref="L136:M136"/>
    <mergeCell ref="G125:H136"/>
    <mergeCell ref="A137:H137"/>
    <mergeCell ref="A123:H123"/>
    <mergeCell ref="A132:B132"/>
    <mergeCell ref="L132:M132"/>
    <mergeCell ref="A133:B133"/>
    <mergeCell ref="A95:E95"/>
    <mergeCell ref="L134:M134"/>
    <mergeCell ref="A129:B129"/>
    <mergeCell ref="L129:M129"/>
    <mergeCell ref="A130:B130"/>
    <mergeCell ref="L130:M130"/>
    <mergeCell ref="A131:B131"/>
    <mergeCell ref="L131:M131"/>
    <mergeCell ref="A38:B38"/>
    <mergeCell ref="C38:H38"/>
    <mergeCell ref="F99:H99"/>
    <mergeCell ref="A93:B93"/>
    <mergeCell ref="A94:B94"/>
    <mergeCell ref="F103:H103"/>
    <mergeCell ref="A100:E100"/>
    <mergeCell ref="A60:C60"/>
    <mergeCell ref="D59:H59"/>
    <mergeCell ref="E70:F79"/>
    <mergeCell ref="G70:H79"/>
    <mergeCell ref="A78:B78"/>
    <mergeCell ref="A79:B79"/>
    <mergeCell ref="D60:H60"/>
    <mergeCell ref="A42:D42"/>
    <mergeCell ref="E42:H42"/>
    <mergeCell ref="B163:H163"/>
    <mergeCell ref="B168:H168"/>
    <mergeCell ref="A47:B47"/>
    <mergeCell ref="C47:H47"/>
    <mergeCell ref="B166:H166"/>
    <mergeCell ref="G85:H94"/>
    <mergeCell ref="A86:B86"/>
    <mergeCell ref="A87:B87"/>
    <mergeCell ref="A88:B88"/>
    <mergeCell ref="F97:H97"/>
    <mergeCell ref="A97:E97"/>
    <mergeCell ref="D121:D122"/>
    <mergeCell ref="A99:E99"/>
    <mergeCell ref="A125:B125"/>
    <mergeCell ref="A126:B126"/>
    <mergeCell ref="A127:B127"/>
    <mergeCell ref="A83:B83"/>
    <mergeCell ref="C83:H83"/>
    <mergeCell ref="A84:B84"/>
    <mergeCell ref="E84:F84"/>
    <mergeCell ref="A150:B150"/>
    <mergeCell ref="F98:H98"/>
    <mergeCell ref="A103:E103"/>
    <mergeCell ref="A98:E98"/>
    <mergeCell ref="A153:H153"/>
    <mergeCell ref="A146:B146"/>
    <mergeCell ref="A143:B143"/>
    <mergeCell ref="A128:B128"/>
    <mergeCell ref="A156:B156"/>
    <mergeCell ref="B162:H162"/>
    <mergeCell ref="C139:C140"/>
    <mergeCell ref="A142:H142"/>
    <mergeCell ref="A154:B154"/>
    <mergeCell ref="A134:B134"/>
    <mergeCell ref="B161:H161"/>
    <mergeCell ref="L146:M146"/>
    <mergeCell ref="L143:M143"/>
    <mergeCell ref="A144:B144"/>
    <mergeCell ref="L144:M144"/>
    <mergeCell ref="A145:B145"/>
    <mergeCell ref="L145:M145"/>
    <mergeCell ref="A158:B158"/>
    <mergeCell ref="F95:H95"/>
    <mergeCell ref="F100:H100"/>
    <mergeCell ref="L152:M152"/>
    <mergeCell ref="A138:H138"/>
    <mergeCell ref="A139:A140"/>
    <mergeCell ref="A157:B157"/>
    <mergeCell ref="A155:B155"/>
    <mergeCell ref="A106:E106"/>
    <mergeCell ref="G118:H118"/>
    <mergeCell ref="C112:D112"/>
    <mergeCell ref="E112:F112"/>
    <mergeCell ref="G112:H112"/>
    <mergeCell ref="A113:B113"/>
    <mergeCell ref="C113:D113"/>
    <mergeCell ref="E113:F113"/>
    <mergeCell ref="G113:H113"/>
    <mergeCell ref="A117:B117"/>
    <mergeCell ref="L127:M127"/>
    <mergeCell ref="L126:M126"/>
    <mergeCell ref="L125:M125"/>
    <mergeCell ref="A77:B77"/>
    <mergeCell ref="C116:D116"/>
    <mergeCell ref="E116:F116"/>
    <mergeCell ref="G116:H116"/>
    <mergeCell ref="F102:H102"/>
    <mergeCell ref="A96:E96"/>
    <mergeCell ref="A124:H124"/>
    <mergeCell ref="E121:E122"/>
    <mergeCell ref="G121:H122"/>
    <mergeCell ref="A85:B85"/>
    <mergeCell ref="E85:F94"/>
    <mergeCell ref="A92:B92"/>
    <mergeCell ref="G84:H84"/>
    <mergeCell ref="A101:E101"/>
    <mergeCell ref="F101:H101"/>
    <mergeCell ref="A102:E102"/>
    <mergeCell ref="A104:E104"/>
    <mergeCell ref="A119:H119"/>
    <mergeCell ref="A120:H120"/>
    <mergeCell ref="G110:H110"/>
    <mergeCell ref="A105:E105"/>
    <mergeCell ref="A40:D40"/>
    <mergeCell ref="E40:H40"/>
    <mergeCell ref="F32:H32"/>
    <mergeCell ref="F33:H33"/>
    <mergeCell ref="A39:H39"/>
    <mergeCell ref="A59:C59"/>
    <mergeCell ref="F35:H35"/>
    <mergeCell ref="G48:H48"/>
    <mergeCell ref="G50:H50"/>
    <mergeCell ref="D54:H54"/>
    <mergeCell ref="C50:E50"/>
    <mergeCell ref="A57:C58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A37:B37"/>
    <mergeCell ref="C37:H37"/>
    <mergeCell ref="A44:D44"/>
    <mergeCell ref="A29:D29"/>
    <mergeCell ref="E29:H29"/>
    <mergeCell ref="A30:D30"/>
    <mergeCell ref="E30:H30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E43:H43"/>
    <mergeCell ref="E44:H44"/>
    <mergeCell ref="E45:H45"/>
    <mergeCell ref="A43:D43"/>
    <mergeCell ref="A45:D45"/>
    <mergeCell ref="A46:H46"/>
    <mergeCell ref="D56:H56"/>
    <mergeCell ref="C31:E31"/>
    <mergeCell ref="F34:H34"/>
    <mergeCell ref="F31:H31"/>
    <mergeCell ref="A32:B32"/>
    <mergeCell ref="A31:B31"/>
    <mergeCell ref="C32:E32"/>
    <mergeCell ref="A33:B33"/>
    <mergeCell ref="C33:E33"/>
    <mergeCell ref="A76:B76"/>
    <mergeCell ref="A69:B69"/>
    <mergeCell ref="A72:B72"/>
    <mergeCell ref="A68:B68"/>
    <mergeCell ref="A66:B66"/>
    <mergeCell ref="A34:B34"/>
    <mergeCell ref="C34:E34"/>
    <mergeCell ref="A56:C56"/>
    <mergeCell ref="G49:H49"/>
    <mergeCell ref="A50:B51"/>
    <mergeCell ref="D55:H55"/>
    <mergeCell ref="G52:H52"/>
    <mergeCell ref="C51:H51"/>
    <mergeCell ref="A36:H36"/>
    <mergeCell ref="A35:B35"/>
    <mergeCell ref="C35:E35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6:D26"/>
    <mergeCell ref="E26:H26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D63:H63"/>
    <mergeCell ref="A64:C64"/>
    <mergeCell ref="D64:H64"/>
    <mergeCell ref="A70:B70"/>
    <mergeCell ref="G69:H69"/>
    <mergeCell ref="A179:H182"/>
    <mergeCell ref="A178:B178"/>
    <mergeCell ref="E178:F178"/>
    <mergeCell ref="C178:D178"/>
    <mergeCell ref="G178:H178"/>
    <mergeCell ref="A109:H109"/>
    <mergeCell ref="A107:E107"/>
    <mergeCell ref="F107:H107"/>
    <mergeCell ref="A108:E108"/>
    <mergeCell ref="F108:H108"/>
    <mergeCell ref="A152:H152"/>
    <mergeCell ref="A116:B116"/>
    <mergeCell ref="A174:H174"/>
    <mergeCell ref="A114:H114"/>
    <mergeCell ref="A177:H177"/>
    <mergeCell ref="A175:H175"/>
    <mergeCell ref="A171:H171"/>
    <mergeCell ref="A172:H172"/>
    <mergeCell ref="E115:F115"/>
    <mergeCell ref="F106:H106"/>
    <mergeCell ref="F104:H104"/>
    <mergeCell ref="B169:H169"/>
    <mergeCell ref="B167:H167"/>
    <mergeCell ref="C111:D111"/>
    <mergeCell ref="E111:F111"/>
    <mergeCell ref="B121:B122"/>
    <mergeCell ref="A121:A122"/>
    <mergeCell ref="C118:D118"/>
    <mergeCell ref="F105:H105"/>
    <mergeCell ref="E110:F110"/>
    <mergeCell ref="A110:B110"/>
    <mergeCell ref="C117:D117"/>
    <mergeCell ref="E117:F117"/>
    <mergeCell ref="G117:H117"/>
    <mergeCell ref="C115:D115"/>
    <mergeCell ref="G115:H115"/>
    <mergeCell ref="A118:B118"/>
    <mergeCell ref="E118:F118"/>
    <mergeCell ref="B164:H164"/>
    <mergeCell ref="B165:H165"/>
    <mergeCell ref="A160:H160"/>
    <mergeCell ref="C121:C122"/>
    <mergeCell ref="B139:B140"/>
    <mergeCell ref="A80:B80"/>
    <mergeCell ref="E80:F80"/>
    <mergeCell ref="G80:H80"/>
    <mergeCell ref="C80:D80"/>
    <mergeCell ref="B170:H170"/>
    <mergeCell ref="E41:H41"/>
    <mergeCell ref="A41:D41"/>
    <mergeCell ref="A176:H176"/>
    <mergeCell ref="A173:H173"/>
    <mergeCell ref="A115:B115"/>
    <mergeCell ref="D139:D140"/>
    <mergeCell ref="E139:E140"/>
    <mergeCell ref="G139:H140"/>
    <mergeCell ref="A89:B89"/>
    <mergeCell ref="A90:B90"/>
    <mergeCell ref="A91:B91"/>
    <mergeCell ref="A81:B81"/>
    <mergeCell ref="C81:H81"/>
    <mergeCell ref="A75:B75"/>
    <mergeCell ref="F96:H96"/>
    <mergeCell ref="G111:H111"/>
    <mergeCell ref="A48:B48"/>
    <mergeCell ref="C48:E48"/>
    <mergeCell ref="C110:D11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113" max="16383" man="1"/>
    <brk id="150" max="16383" man="1"/>
    <brk id="182" max="16383" man="1"/>
    <brk id="225" max="16383" man="1"/>
    <brk id="26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1" t="s">
        <v>110</v>
      </c>
      <c r="C3" s="201"/>
      <c r="D3" s="201"/>
      <c r="E3" s="201"/>
      <c r="F3" s="201"/>
      <c r="G3" s="201"/>
      <c r="H3" s="201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2025-03-10T11:58:10Z</cp:lastPrinted>
  <dcterms:created xsi:type="dcterms:W3CDTF">2019-07-16T09:29:46Z</dcterms:created>
  <dcterms:modified xsi:type="dcterms:W3CDTF">2025-08-16T06:08:12Z</dcterms:modified>
</cp:coreProperties>
</file>