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showHorizontalScroll="0" showVerticalScroll="0" showSheetTabs="0" xWindow="0" yWindow="0" windowWidth="19200" windowHeight="6645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Report!$A$1:$H$361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J100" i="1" l="1"/>
  <c r="J99" i="1"/>
  <c r="J98" i="1"/>
  <c r="J97" i="1"/>
  <c r="H90" i="1"/>
  <c r="E93" i="1" l="1"/>
  <c r="D102" i="1"/>
  <c r="D94" i="1"/>
  <c r="J93" i="1"/>
  <c r="D101" i="1"/>
  <c r="D100" i="1"/>
  <c r="D96" i="1"/>
  <c r="J95" i="1"/>
  <c r="J96" i="1" s="1"/>
  <c r="J101" i="1" s="1"/>
  <c r="J102" i="1" s="1"/>
  <c r="D99" i="1"/>
  <c r="J92" i="1"/>
  <c r="D95" i="1"/>
  <c r="J94" i="1"/>
  <c r="C93" i="1" s="1"/>
  <c r="G93" i="1" s="1"/>
  <c r="D98" i="1"/>
  <c r="D97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54" i="1"/>
  <c r="D93" i="1" l="1"/>
  <c r="I89" i="1" s="1"/>
  <c r="D52" i="1"/>
  <c r="I123" i="1"/>
  <c r="I124" i="1"/>
  <c r="D150" i="1"/>
  <c r="F150" i="1" s="1"/>
  <c r="D149" i="1"/>
  <c r="F149" i="1" s="1"/>
  <c r="D148" i="1"/>
  <c r="F148" i="1" s="1"/>
  <c r="D146" i="1"/>
  <c r="F146" i="1" s="1"/>
  <c r="D145" i="1"/>
  <c r="F145" i="1" s="1"/>
  <c r="D144" i="1"/>
  <c r="D143" i="1"/>
  <c r="F143" i="1" s="1"/>
  <c r="D142" i="1"/>
  <c r="F142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C122" i="1" s="1"/>
  <c r="F144" i="1"/>
  <c r="G142" i="1"/>
  <c r="E39" i="1"/>
  <c r="E122" i="1" l="1"/>
  <c r="F132" i="1"/>
  <c r="G122" i="1" s="1"/>
  <c r="G132" i="1" l="1"/>
  <c r="J71" i="1"/>
  <c r="J70" i="1"/>
  <c r="J69" i="1"/>
  <c r="J68" i="1"/>
  <c r="H61" i="1"/>
  <c r="D73" i="1" l="1"/>
  <c r="D71" i="1"/>
  <c r="D69" i="1"/>
  <c r="D67" i="1"/>
  <c r="J66" i="1"/>
  <c r="J67" i="1" s="1"/>
  <c r="J64" i="1"/>
  <c r="D72" i="1"/>
  <c r="D70" i="1"/>
  <c r="D68" i="1"/>
  <c r="D66" i="1"/>
  <c r="J63" i="1"/>
  <c r="J65" i="1"/>
  <c r="E3" i="1"/>
  <c r="J86" i="1"/>
  <c r="J85" i="1"/>
  <c r="J84" i="1"/>
  <c r="J83" i="1"/>
  <c r="H75" i="1"/>
  <c r="J72" i="1" l="1"/>
  <c r="C64" i="1"/>
  <c r="D64" i="1" s="1"/>
  <c r="D88" i="1"/>
  <c r="D86" i="1"/>
  <c r="D84" i="1"/>
  <c r="D82" i="1"/>
  <c r="J80" i="1"/>
  <c r="C79" i="1" s="1"/>
  <c r="D79" i="1" s="1"/>
  <c r="J78" i="1"/>
  <c r="J79" i="1"/>
  <c r="J81" i="1"/>
  <c r="J82" i="1" s="1"/>
  <c r="J87" i="1" s="1"/>
  <c r="D87" i="1"/>
  <c r="D85" i="1"/>
  <c r="D83" i="1"/>
  <c r="D81" i="1"/>
  <c r="J73" i="1" l="1"/>
  <c r="C65" i="1" s="1"/>
  <c r="E64" i="1" s="1"/>
  <c r="I60" i="1" s="1"/>
  <c r="C62" i="1" s="1"/>
  <c r="J88" i="1"/>
  <c r="D80" i="1" s="1"/>
  <c r="G64" i="1" l="1"/>
  <c r="D65" i="1"/>
  <c r="E79" i="1"/>
  <c r="G79" i="1"/>
  <c r="D59" i="1" l="1"/>
  <c r="G77" i="1"/>
  <c r="I74" i="1"/>
  <c r="C77" i="1"/>
  <c r="F103" i="1"/>
  <c r="G123" i="1"/>
  <c r="G124" i="1"/>
  <c r="E124" i="1"/>
  <c r="E123" i="1"/>
  <c r="E125" i="1" s="1"/>
  <c r="C124" i="1"/>
  <c r="C123" i="1"/>
  <c r="C125" i="1" s="1"/>
  <c r="U174" i="1"/>
  <c r="U175" i="1" s="1"/>
  <c r="U176" i="1" s="1"/>
  <c r="U177" i="1" s="1"/>
  <c r="U178" i="1" s="1"/>
  <c r="G215" i="1"/>
  <c r="V172" i="1"/>
  <c r="V114" i="1"/>
  <c r="U133" i="1"/>
  <c r="U134" i="1" s="1"/>
  <c r="U135" i="1" s="1"/>
  <c r="U136" i="1" s="1"/>
  <c r="U137" i="1" s="1"/>
  <c r="U138" i="1" s="1"/>
  <c r="U139" i="1" s="1"/>
  <c r="U140" i="1" s="1"/>
  <c r="G169" i="1"/>
  <c r="V131" i="1"/>
  <c r="U167" i="1"/>
  <c r="U168" i="1" s="1"/>
  <c r="U169" i="1" s="1"/>
  <c r="U170" i="1" s="1"/>
  <c r="U171" i="1" s="1"/>
  <c r="G208" i="1"/>
  <c r="V165" i="1"/>
  <c r="U160" i="1"/>
  <c r="U161" i="1" s="1"/>
  <c r="U162" i="1" s="1"/>
  <c r="U163" i="1" s="1"/>
  <c r="U164" i="1" s="1"/>
  <c r="G201" i="1"/>
  <c r="V158" i="1"/>
  <c r="V157" i="1"/>
  <c r="V156" i="1"/>
  <c r="V113" i="1"/>
  <c r="V115" i="1"/>
  <c r="V132" i="1"/>
  <c r="V173" i="1"/>
  <c r="W158" i="1"/>
  <c r="W131" i="1"/>
  <c r="V166" i="1"/>
  <c r="W165" i="1"/>
  <c r="V159" i="1"/>
  <c r="G125" i="1" l="1"/>
  <c r="S173" i="1"/>
  <c r="V174" i="1"/>
  <c r="V133" i="1"/>
  <c r="V167" i="1"/>
  <c r="V160" i="1"/>
  <c r="D11" i="6"/>
  <c r="D10" i="6"/>
  <c r="D9" i="6"/>
  <c r="D8" i="6"/>
  <c r="D7" i="6"/>
  <c r="D6" i="6"/>
  <c r="G5" i="6"/>
  <c r="G13" i="6" s="1"/>
  <c r="D5" i="6"/>
  <c r="I1" i="6"/>
  <c r="C3" i="6" s="1"/>
  <c r="E5" i="6" s="1"/>
  <c r="E13" i="6" s="1"/>
  <c r="W166" i="1"/>
  <c r="W159" i="1"/>
  <c r="W132" i="1"/>
  <c r="S174" i="1" l="1"/>
  <c r="V175" i="1"/>
  <c r="W133" i="1"/>
  <c r="W134" i="1" s="1"/>
  <c r="W135" i="1" s="1"/>
  <c r="W136" i="1" s="1"/>
  <c r="W137" i="1" s="1"/>
  <c r="W138" i="1" s="1"/>
  <c r="W139" i="1" s="1"/>
  <c r="W140" i="1" s="1"/>
  <c r="S132" i="1"/>
  <c r="V134" i="1"/>
  <c r="W167" i="1"/>
  <c r="W168" i="1" s="1"/>
  <c r="W169" i="1" s="1"/>
  <c r="W170" i="1" s="1"/>
  <c r="W171" i="1" s="1"/>
  <c r="S166" i="1"/>
  <c r="V168" i="1"/>
  <c r="W160" i="1"/>
  <c r="W161" i="1" s="1"/>
  <c r="W162" i="1" s="1"/>
  <c r="W163" i="1" s="1"/>
  <c r="W164" i="1" s="1"/>
  <c r="S159" i="1"/>
  <c r="V161" i="1"/>
  <c r="C13" i="1"/>
  <c r="S175" i="1" l="1"/>
  <c r="V176" i="1"/>
  <c r="S133" i="1"/>
  <c r="V135" i="1"/>
  <c r="S134" i="1"/>
  <c r="S167" i="1"/>
  <c r="S168" i="1"/>
  <c r="V169" i="1"/>
  <c r="S160" i="1"/>
  <c r="V162" i="1"/>
  <c r="S161" i="1"/>
  <c r="G48" i="1"/>
  <c r="E40" i="1"/>
  <c r="E41" i="1" s="1"/>
  <c r="S176" i="1" l="1"/>
  <c r="V177" i="1"/>
  <c r="V136" i="1"/>
  <c r="S135" i="1"/>
  <c r="V170" i="1"/>
  <c r="S169" i="1"/>
  <c r="S162" i="1"/>
  <c r="V163" i="1"/>
  <c r="W115" i="1"/>
  <c r="V116" i="1"/>
  <c r="S177" i="1" l="1"/>
  <c r="V178" i="1"/>
  <c r="S178" i="1" s="1"/>
  <c r="V137" i="1"/>
  <c r="S136" i="1"/>
  <c r="V171" i="1"/>
  <c r="S171" i="1" s="1"/>
  <c r="S170" i="1"/>
  <c r="V164" i="1"/>
  <c r="S163" i="1"/>
  <c r="U117" i="1"/>
  <c r="U118" i="1" s="1"/>
  <c r="U119" i="1" s="1"/>
  <c r="U120" i="1" s="1"/>
  <c r="U121" i="1" s="1"/>
  <c r="U123" i="1" s="1"/>
  <c r="U124" i="1" s="1"/>
  <c r="U125" i="1" s="1"/>
  <c r="U126" i="1" s="1"/>
  <c r="U127" i="1" s="1"/>
  <c r="U128" i="1" s="1"/>
  <c r="U129" i="1" s="1"/>
  <c r="U130" i="1" s="1"/>
  <c r="V117" i="1"/>
  <c r="W116" i="1"/>
  <c r="V138" i="1" l="1"/>
  <c r="S137" i="1"/>
  <c r="S164" i="1"/>
  <c r="W117" i="1"/>
  <c r="W118" i="1" s="1"/>
  <c r="W119" i="1" s="1"/>
  <c r="W120" i="1" s="1"/>
  <c r="W121" i="1" s="1"/>
  <c r="W123" i="1" s="1"/>
  <c r="W124" i="1" s="1"/>
  <c r="W125" i="1" s="1"/>
  <c r="W126" i="1" s="1"/>
  <c r="W127" i="1" s="1"/>
  <c r="W128" i="1" s="1"/>
  <c r="W129" i="1" s="1"/>
  <c r="W130" i="1" s="1"/>
  <c r="S116" i="1"/>
  <c r="V118" i="1"/>
  <c r="U143" i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G154" i="1"/>
  <c r="V141" i="1"/>
  <c r="G184" i="1"/>
  <c r="E24" i="1"/>
  <c r="E22" i="1"/>
  <c r="V142" i="1"/>
  <c r="V139" i="1" l="1"/>
  <c r="S138" i="1"/>
  <c r="S118" i="1"/>
  <c r="S117" i="1"/>
  <c r="V119" i="1"/>
  <c r="S142" i="1"/>
  <c r="V143" i="1"/>
  <c r="S143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V140" i="1" l="1"/>
  <c r="S139" i="1"/>
  <c r="S119" i="1"/>
  <c r="V120" i="1"/>
  <c r="S120" i="1" s="1"/>
  <c r="V144" i="1"/>
  <c r="S144" i="1" s="1"/>
  <c r="G12" i="5"/>
  <c r="S140" i="1" l="1"/>
  <c r="V121" i="1"/>
  <c r="S121" i="1" s="1"/>
  <c r="V145" i="1"/>
  <c r="S145" i="1" s="1"/>
  <c r="V123" i="1" l="1"/>
  <c r="S123" i="1" s="1"/>
  <c r="V146" i="1"/>
  <c r="V124" i="1" l="1"/>
  <c r="S124" i="1" s="1"/>
  <c r="S146" i="1"/>
  <c r="V147" i="1"/>
  <c r="E7" i="1"/>
  <c r="V125" i="1" l="1"/>
  <c r="S125" i="1" s="1"/>
  <c r="S147" i="1"/>
  <c r="V148" i="1"/>
  <c r="D235" i="1"/>
  <c r="F119" i="1"/>
  <c r="V126" i="1" l="1"/>
  <c r="S126" i="1" s="1"/>
  <c r="V149" i="1"/>
  <c r="S148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V127" i="1" l="1"/>
  <c r="S127" i="1" s="1"/>
  <c r="V150" i="1"/>
  <c r="S149" i="1"/>
  <c r="L34" i="3"/>
  <c r="K34" i="3" s="1"/>
  <c r="E34" i="3"/>
  <c r="I34" i="3"/>
  <c r="H34" i="3" s="1"/>
  <c r="V128" i="1" l="1"/>
  <c r="V129" i="1" s="1"/>
  <c r="S150" i="1"/>
  <c r="V151" i="1"/>
  <c r="D34" i="3"/>
  <c r="D36" i="3" s="1"/>
  <c r="E36" i="3"/>
  <c r="V130" i="1" l="1"/>
  <c r="S130" i="1" s="1"/>
  <c r="S129" i="1"/>
  <c r="S128" i="1"/>
  <c r="V152" i="1"/>
  <c r="S151" i="1"/>
  <c r="V153" i="1" l="1"/>
  <c r="S152" i="1"/>
  <c r="S153" i="1" l="1"/>
  <c r="V154" i="1"/>
  <c r="V155" i="1" l="1"/>
  <c r="S155" i="1" s="1"/>
  <c r="S154" i="1"/>
</calcChain>
</file>

<file path=xl/sharedStrings.xml><?xml version="1.0" encoding="utf-8"?>
<sst xmlns="http://schemas.openxmlformats.org/spreadsheetml/2006/main" count="484" uniqueCount="261">
  <si>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</si>
  <si>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</si>
  <si>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</si>
  <si>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</si>
  <si>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</si>
  <si>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</si>
  <si>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</si>
  <si>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</si>
  <si>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</si>
  <si>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</si>
  <si>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</si>
  <si>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</si>
  <si>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</si>
  <si>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</si>
  <si>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</si>
  <si>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</si>
  <si>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</si>
  <si>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</si>
  <si>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</si>
  <si>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</si>
  <si>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</si>
  <si>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</si>
  <si>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</si>
  <si>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</si>
  <si>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</si>
  <si>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</si>
  <si>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</si>
  <si>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</si>
  <si>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</si>
  <si>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</si>
  <si>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</si>
  <si>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</si>
  <si>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</si>
  <si>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</si>
  <si>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</si>
  <si>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</si>
  <si>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</si>
  <si>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</si>
  <si>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</si>
  <si>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</si>
  <si>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</si>
  <si>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</si>
  <si>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</si>
  <si>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</si>
  <si>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</si>
  <si>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</si>
  <si>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</si>
  <si>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</si>
  <si>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</si>
  <si>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</si>
  <si>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</si>
  <si>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</si>
  <si>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</si>
  <si>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</si>
  <si>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</si>
  <si>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</si>
  <si>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</si>
  <si>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</si>
  <si>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</si>
  <si>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</si>
  <si>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</si>
  <si>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</si>
  <si>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</si>
  <si>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</si>
  <si>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</si>
  <si>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</si>
  <si>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</si>
  <si>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</si>
  <si>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</si>
  <si>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</si>
  <si>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</si>
  <si>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</si>
  <si>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</si>
  <si>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</si>
  <si>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</si>
  <si>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</si>
  <si>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</si>
  <si>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</si>
  <si>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</si>
  <si>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</si>
  <si>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</si>
  <si>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</si>
  <si>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</si>
  <si>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</si>
  <si>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</si>
  <si>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</si>
  <si>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</si>
  <si>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</si>
  <si>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</si>
  <si>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</si>
  <si>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</si>
  <si>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</si>
  <si>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</si>
  <si>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</si>
  <si>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</si>
  <si>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</si>
  <si>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</si>
  <si>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</si>
  <si>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</si>
  <si>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</si>
  <si>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</si>
  <si>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</si>
  <si>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</si>
  <si>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</si>
  <si>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</si>
  <si>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</si>
  <si>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</si>
  <si>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</si>
  <si>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</si>
  <si>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</si>
  <si>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</si>
  <si>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</si>
  <si>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</si>
  <si>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</si>
  <si>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</si>
  <si>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</si>
  <si>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</si>
  <si>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</si>
  <si>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</si>
  <si>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</si>
  <si>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</si>
  <si>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</si>
  <si>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</si>
  <si>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</si>
  <si>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</si>
  <si>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</si>
  <si>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</si>
  <si>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</si>
  <si>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</si>
  <si>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</si>
  <si>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</si>
  <si>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</si>
  <si>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</si>
  <si>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</si>
  <si>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</si>
  <si>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</si>
  <si>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</si>
  <si>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</si>
  <si>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</si>
  <si>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</si>
  <si>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</si>
  <si>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</si>
  <si>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</si>
  <si>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</si>
  <si>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</si>
  <si>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</si>
  <si>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</si>
  <si>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</si>
  <si>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</si>
  <si>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</si>
  <si>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</si>
  <si>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</si>
  <si>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</si>
  <si>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</si>
  <si>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</si>
  <si>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</si>
  <si>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</si>
  <si>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</si>
  <si>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</si>
  <si>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</si>
  <si>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</si>
  <si>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</si>
  <si>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,..,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</si>
  <si>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</si>
  <si>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</si>
  <si>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</si>
  <si>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>Contact Details ( Name &amp; Contact No.)</t>
  </si>
  <si>
    <t>Nearby Landmark</t>
  </si>
  <si>
    <t>M/s.Pinnacle SPM Group</t>
  </si>
  <si>
    <t>Nano City</t>
  </si>
  <si>
    <t>8/2B, 8/1A, 9/8</t>
  </si>
  <si>
    <t>Survey No</t>
  </si>
  <si>
    <t>KBNP/NRV/BP/2116/2020-2021
Uni No.96</t>
  </si>
  <si>
    <t>Joveli</t>
  </si>
  <si>
    <t>Ambernath</t>
  </si>
  <si>
    <t>Thane</t>
  </si>
  <si>
    <t>Diamond lifespace</t>
  </si>
  <si>
    <t>Godrej Property</t>
  </si>
  <si>
    <t>Panvelkar Sarvesh City</t>
  </si>
  <si>
    <t>Neral - Badlapur Road</t>
  </si>
  <si>
    <t>5.2KM from Badlapur Railway Station</t>
  </si>
  <si>
    <t>1st, 3rd, 5th, 7th, 9th, 11th Floor</t>
  </si>
  <si>
    <t>Ground Floor for Parking</t>
  </si>
  <si>
    <t>B Wing</t>
  </si>
  <si>
    <t>1RK</t>
  </si>
  <si>
    <t>1BHK</t>
  </si>
  <si>
    <t>C Wing</t>
  </si>
  <si>
    <t>2BHK</t>
  </si>
  <si>
    <t>1.5BHK</t>
  </si>
  <si>
    <t>Gound Floor For Parking</t>
  </si>
  <si>
    <t>Refuge Area</t>
  </si>
  <si>
    <t>2nd, 4th, 6th, 10th Floor</t>
  </si>
  <si>
    <t>Builder Saleable area</t>
  </si>
  <si>
    <t>1,50,000/-</t>
  </si>
  <si>
    <t>1,00,000/-</t>
  </si>
  <si>
    <t>Approved Plans, CC, Builder Saleable Area, Cost Sheet</t>
  </si>
  <si>
    <t>Residential</t>
  </si>
  <si>
    <t>Construction details:</t>
  </si>
  <si>
    <t>Basement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</si>
  <si>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</si>
  <si>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</si>
  <si>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</si>
  <si>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</si>
  <si>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</si>
  <si>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</si>
  <si>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</si>
  <si>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</si>
  <si>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</si>
  <si>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</si>
  <si>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</si>
  <si>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</si>
  <si>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</si>
  <si>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</si>
  <si>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</si>
  <si>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</si>
  <si>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</si>
  <si>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8th Floor (Part Refuge Area)</t>
  </si>
  <si>
    <t>Office No. 1031, Wing J, Akshar Business Park, Plot No. 03 Sector 25, Near APMC Market, 
Vashi, Navi Mumbai, Maharashtra 400703 TEL: 022-46090378/79/8
E mail : vsjcapf@gmail.com. Web site : www.vsjadon.com</t>
  </si>
  <si>
    <t>Latitude, Longitude</t>
  </si>
  <si>
    <t>Location Link</t>
  </si>
  <si>
    <t>https://goo.gl/maps/Y64LmXunxeFjhrZV7</t>
  </si>
  <si>
    <t>19.1429706,73.2483708</t>
  </si>
  <si>
    <t>A, B &amp; C Wings</t>
  </si>
  <si>
    <t>KBNP/NRV/BD/1441-224</t>
  </si>
  <si>
    <t>Approved Floor plan No. (Wing B &amp; C)</t>
  </si>
  <si>
    <t>Approved Floor plan No. (Wing A)</t>
  </si>
  <si>
    <t>KBNP/NRV/BP/1441/2022-23 Unique No.224</t>
  </si>
  <si>
    <t xml:space="preserve">Commencement Certificate No.
Valid Up to: </t>
  </si>
  <si>
    <t>A Wing = Stilt + 1st to 13th Floor
B &amp; C Wing = Stilt + 1st to 11th Floor</t>
  </si>
  <si>
    <t>A Wing = Stilt + 1st to 13th Floor</t>
  </si>
  <si>
    <t>Layout</t>
  </si>
  <si>
    <t>A Wing</t>
  </si>
  <si>
    <t>As per Layout</t>
  </si>
  <si>
    <t>Other Plot</t>
  </si>
  <si>
    <t>6.0 M Wide Drive Way/Other Plot</t>
  </si>
  <si>
    <t>1st to 7th &amp; 9th to 12th Floor For Residential</t>
  </si>
  <si>
    <t>8th &amp; 13th Floor (Part Refuge Area)</t>
  </si>
  <si>
    <t>-</t>
  </si>
  <si>
    <t>Flats - 333</t>
  </si>
  <si>
    <t>Badlapur West</t>
  </si>
  <si>
    <t>Diamond Lifespace</t>
  </si>
  <si>
    <t>RERA Name &amp; No.</t>
  </si>
  <si>
    <t xml:space="preserve">Nano City (Wing A) &amp; P51700055001
Nano City (Wing B &amp; C) &amp; P51700028880
</t>
  </si>
  <si>
    <t>https://housing.com/in/buy/projects/page/257081-pinnacle-nano-city-by-pinnacle-spm-group-in-badlapur-east</t>
  </si>
  <si>
    <t>Club House, Indoor Game, GYM, Childern Play Area, Security Office, Lift With Power Backup, Gazebo, CCTV Camera, Senior Citizen Area, Landscape Garden, 24 Hours Security, Parking Area etc.</t>
  </si>
  <si>
    <t>03 Wings</t>
  </si>
  <si>
    <t>Gound Floor For Meter/Pump Room &amp; Parking</t>
  </si>
  <si>
    <t>Ekveera Gardens Phase-2</t>
  </si>
  <si>
    <t>Axis Sanpada</t>
  </si>
  <si>
    <t>Mr. Sudhir Bhosale</t>
  </si>
  <si>
    <t>C Wing = Stilt + 1st to 11th Floor</t>
  </si>
  <si>
    <t xml:space="preserve">O. Certificate No.: 
Approved upto : </t>
  </si>
  <si>
    <t>K.B.N.P/NRV/1073/2024-2025
Wing B = Gr + 1st to 11th Floor 
(153 Flats)
Wing C = Gr + 1st to 11th Floor 
(65 Flats)</t>
  </si>
  <si>
    <t>OC Received but Door, Windows &amp; Finishing work is in process.</t>
  </si>
  <si>
    <t>Wing A = 60 Years After Completion
Wing B &amp; C = 60 Years</t>
  </si>
  <si>
    <t>B  &amp; C Wing = Stilt + 1st to 11th Floor</t>
  </si>
  <si>
    <t>As per RERA (Wing A) - 31/12/2027
                      (Wing B &amp; C) - Completed</t>
  </si>
  <si>
    <t>11/08/2025.</t>
  </si>
  <si>
    <t>8459136266, Rajesh Talekar 7722066222</t>
  </si>
  <si>
    <t>Shruti Tathare</t>
  </si>
  <si>
    <t xml:space="preserve">1. Wing A = Construction work is in process at the time of Visit. Internal visit was not allowed.
    Wing B &amp; C = All Work Completed OC Received.
2. We considered  Saleable area for wing A as per our calculation.
3. We considered  Saleable area for wing B &amp; C as per Builder area sheet.
4. We considered Carpet area as per Approved Plan.
5. We considered Gross carpet area = Net carpet + A.P Area.
6. We have considered rate by verifying it from market inquire.
7. Car parking is subjected to authentic documentation.
8. We have updated appoved latest layout plan from RERA site on 24/04/2024
9. We have updated approved plans of wing A &amp; updated CC on 24/04/2024
10. We have updated approved OC for Wing B &amp; C on 22/08/2024.
8. On Site, we meet Mr. Deepak Patil - 9325871657.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</si>
</sst>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89">
    <xf numFmtId="0" fontId="0" fillId="0" borderId="0" xfId="0"/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5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0" fontId="15" fillId="0" borderId="8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center" wrapText="1"/>
      <protection locked="0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6" xfId="1" applyFont="1" applyBorder="1" applyProtection="1">
      <protection hidden="1"/>
    </xf>
    <xf numFmtId="0" fontId="7" fillId="0" borderId="0" xfId="1" applyFont="1" applyProtection="1">
      <protection hidden="1"/>
    </xf>
    <xf numFmtId="0" fontId="7" fillId="0" borderId="17" xfId="1" applyFont="1" applyBorder="1" applyProtection="1">
      <protection hidden="1"/>
    </xf>
    <xf numFmtId="0" fontId="7" fillId="0" borderId="0" xfId="1" applyFont="1"/>
    <xf numFmtId="0" fontId="7" fillId="0" borderId="17" xfId="1" applyFont="1" applyBorder="1"/>
    <xf numFmtId="0" fontId="7" fillId="0" borderId="16" xfId="1" applyFont="1" applyBorder="1"/>
    <xf numFmtId="0" fontId="18" fillId="0" borderId="16" xfId="0" applyFont="1" applyBorder="1" applyProtection="1">
      <protection hidden="1"/>
    </xf>
    <xf numFmtId="9" fontId="18" fillId="0" borderId="0" xfId="0" applyNumberFormat="1" applyFont="1" applyProtection="1">
      <protection hidden="1"/>
    </xf>
    <xf numFmtId="9" fontId="18" fillId="0" borderId="17" xfId="0" applyNumberFormat="1" applyFont="1" applyBorder="1" applyProtection="1">
      <protection hidden="1"/>
    </xf>
    <xf numFmtId="0" fontId="18" fillId="0" borderId="18" xfId="0" applyFont="1" applyBorder="1" applyProtection="1">
      <protection hidden="1"/>
    </xf>
    <xf numFmtId="9" fontId="18" fillId="0" borderId="19" xfId="0" applyNumberFormat="1" applyFont="1" applyBorder="1" applyProtection="1">
      <protection hidden="1"/>
    </xf>
    <xf numFmtId="9" fontId="18" fillId="0" borderId="20" xfId="0" applyNumberFormat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0" fontId="7" fillId="0" borderId="0" xfId="1" applyFont="1" applyAlignment="1" applyProtection="1">
      <alignment horizontal="center" vertical="top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9" fontId="7" fillId="2" borderId="0" xfId="1" applyNumberFormat="1" applyFont="1" applyFill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8" fillId="0" borderId="19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0" fontId="12" fillId="0" borderId="1" xfId="1" applyFont="1" applyBorder="1" applyAlignment="1" applyProtection="1">
      <alignment horizontal="center" wrapText="1"/>
      <protection locked="0"/>
    </xf>
    <xf numFmtId="0" fontId="18" fillId="0" borderId="17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7" xfId="0" applyNumberFormat="1" applyBorder="1"/>
    <xf numFmtId="2" fontId="0" fillId="0" borderId="0" xfId="0" applyNumberFormat="1"/>
    <xf numFmtId="165" fontId="0" fillId="0" borderId="0" xfId="0" applyNumberFormat="1"/>
    <xf numFmtId="2" fontId="18" fillId="0" borderId="0" xfId="0" applyNumberFormat="1" applyFont="1" applyProtection="1">
      <protection hidden="1"/>
    </xf>
    <xf numFmtId="1" fontId="0" fillId="0" borderId="17" xfId="0" applyNumberFormat="1" applyBorder="1" applyAlignment="1">
      <alignment horizontal="right"/>
    </xf>
    <xf numFmtId="1" fontId="0" fillId="0" borderId="2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23" fillId="0" borderId="0" xfId="8"/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3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67" fontId="12" fillId="0" borderId="3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3" fillId="0" borderId="1" xfId="8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center" vertical="top"/>
      <protection locked="0"/>
    </xf>
    <xf numFmtId="0" fontId="6" fillId="0" borderId="12" xfId="1" applyFont="1" applyBorder="1" applyAlignment="1" applyProtection="1">
      <alignment horizontal="center" vertical="top"/>
      <protection locked="0"/>
    </xf>
    <xf numFmtId="0" fontId="15" fillId="0" borderId="11" xfId="1" applyFont="1" applyBorder="1" applyAlignment="1" applyProtection="1">
      <alignment horizontal="center" vertical="top"/>
      <protection locked="0"/>
    </xf>
    <xf numFmtId="0" fontId="15" fillId="0" borderId="12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9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4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10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658740</xdr:colOff>
      <xdr:row>320</xdr:row>
      <xdr:rowOff>81642</xdr:rowOff>
    </xdr:from>
    <xdr:to>
      <xdr:col>7</xdr:col>
      <xdr:colOff>140218</xdr:colOff>
      <xdr:row>337</xdr:row>
      <xdr:rowOff>145677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740" y="67406583"/>
          <a:ext cx="5050802" cy="34930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0</xdr:colOff>
      <xdr:row>207</xdr:row>
      <xdr:rowOff>0</xdr:rowOff>
    </xdr:from>
    <xdr:ext cx="293285" cy="342786"/>
    <xdr:sp macro="" textlink="">
      <xdr:nvSpPr>
        <xdr:cNvPr id="25" name="TextBox 24"/>
        <xdr:cNvSpPr txBox="1"/>
      </xdr:nvSpPr>
      <xdr:spPr>
        <a:xfrm>
          <a:off x="8121650" y="41592500"/>
          <a:ext cx="293285" cy="3427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0000"/>
              </a:solidFill>
            </a:rPr>
            <a:t>C</a:t>
          </a:r>
        </a:p>
      </xdr:txBody>
    </xdr:sp>
    <xdr:clientData/>
  </xdr:oneCellAnchor>
  <xdr:twoCellAnchor editAs="oneCell">
    <xdr:from>
      <xdr:col>8</xdr:col>
      <xdr:colOff>504825</xdr:colOff>
      <xdr:row>41</xdr:row>
      <xdr:rowOff>0</xdr:rowOff>
    </xdr:from>
    <xdr:to>
      <xdr:col>13</xdr:col>
      <xdr:colOff>267217</xdr:colOff>
      <xdr:row>47</xdr:row>
      <xdr:rowOff>219332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9467850"/>
          <a:ext cx="3705742" cy="1838582"/>
        </a:xfrm>
        <a:prstGeom prst="rect">
          <a:avLst/>
        </a:prstGeom>
      </xdr:spPr>
    </xdr:pic>
    <xdr:clientData/>
  </xdr:twoCellAnchor>
  <xdr:twoCellAnchor>
    <xdr:from>
      <xdr:col>1</xdr:col>
      <xdr:colOff>726800</xdr:colOff>
      <xdr:row>278</xdr:row>
      <xdr:rowOff>79409</xdr:rowOff>
    </xdr:from>
    <xdr:to>
      <xdr:col>5</xdr:col>
      <xdr:colOff>471222</xdr:colOff>
      <xdr:row>295</xdr:row>
      <xdr:rowOff>19051</xdr:rowOff>
    </xdr:to>
    <xdr:grpSp>
      <xdr:nvGrpSpPr>
        <xdr:cNvPr id="10" name="Group 9"/>
        <xdr:cNvGrpSpPr/>
      </xdr:nvGrpSpPr>
      <xdr:grpSpPr>
        <a:xfrm rot="5400000">
          <a:off x="1305465" y="55688719"/>
          <a:ext cx="3340067" cy="2973397"/>
          <a:chOff x="1370483" y="57735352"/>
          <a:chExt cx="3340067" cy="2975882"/>
        </a:xfrm>
      </xdr:grpSpPr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184" t="3724" r="3723" b="2518"/>
          <a:stretch/>
        </xdr:blipFill>
        <xdr:spPr>
          <a:xfrm rot="16200000">
            <a:off x="1552576" y="57553259"/>
            <a:ext cx="2975882" cy="33400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5" name="Group 34"/>
          <xdr:cNvGrpSpPr/>
        </xdr:nvGrpSpPr>
        <xdr:grpSpPr>
          <a:xfrm>
            <a:off x="4285056" y="59951497"/>
            <a:ext cx="247314" cy="605783"/>
            <a:chOff x="61476" y="-99973"/>
            <a:chExt cx="152800" cy="758650"/>
          </a:xfrm>
        </xdr:grpSpPr>
        <xdr:sp macro="" textlink="">
          <xdr:nvSpPr>
            <xdr:cNvPr id="36" name="TextBox 7"/>
            <xdr:cNvSpPr txBox="1"/>
          </xdr:nvSpPr>
          <xdr:spPr>
            <a:xfrm rot="5400000">
              <a:off x="-87251" y="48754"/>
              <a:ext cx="450253" cy="1528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N</a:t>
              </a:r>
            </a:p>
          </xdr:txBody>
        </xdr:sp>
        <xdr:cxnSp macro="">
          <xdr:nvCxnSpPr>
            <xdr:cNvPr id="37" name="Straight Arrow Connector 36"/>
            <xdr:cNvCxnSpPr/>
          </xdr:nvCxnSpPr>
          <xdr:spPr>
            <a:xfrm flipV="1">
              <a:off x="121015" y="334676"/>
              <a:ext cx="0" cy="324001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332625</xdr:colOff>
      <xdr:row>295</xdr:row>
      <xdr:rowOff>191252</xdr:rowOff>
    </xdr:from>
    <xdr:to>
      <xdr:col>7</xdr:col>
      <xdr:colOff>308961</xdr:colOff>
      <xdr:row>315</xdr:row>
      <xdr:rowOff>86037</xdr:rowOff>
    </xdr:to>
    <xdr:grpSp>
      <xdr:nvGrpSpPr>
        <xdr:cNvPr id="13" name="Group 12"/>
        <xdr:cNvGrpSpPr/>
      </xdr:nvGrpSpPr>
      <xdr:grpSpPr>
        <a:xfrm>
          <a:off x="332625" y="59017652"/>
          <a:ext cx="5529411" cy="3895285"/>
          <a:chOff x="387681" y="61391619"/>
          <a:chExt cx="5545660" cy="3928903"/>
        </a:xfrm>
      </xdr:grpSpPr>
      <xdr:grpSp>
        <xdr:nvGrpSpPr>
          <xdr:cNvPr id="9" name="Group 8"/>
          <xdr:cNvGrpSpPr/>
        </xdr:nvGrpSpPr>
        <xdr:grpSpPr>
          <a:xfrm>
            <a:off x="387681" y="61391619"/>
            <a:ext cx="5545660" cy="3928903"/>
            <a:chOff x="421226" y="60655319"/>
            <a:chExt cx="5525684" cy="3872118"/>
          </a:xfrm>
        </xdr:grpSpPr>
        <xdr:pic>
          <xdr:nvPicPr>
            <xdr:cNvPr id="5" name="Picture 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/>
            <a:srcRect l="4316" t="1427" r="3807" b="5436"/>
            <a:stretch/>
          </xdr:blipFill>
          <xdr:spPr>
            <a:xfrm>
              <a:off x="421226" y="60655319"/>
              <a:ext cx="5522080" cy="38721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" name="Rectangle 5"/>
            <xdr:cNvSpPr/>
          </xdr:nvSpPr>
          <xdr:spPr>
            <a:xfrm rot="19376139">
              <a:off x="3514826" y="61597706"/>
              <a:ext cx="1445945" cy="497102"/>
            </a:xfrm>
            <a:prstGeom prst="rect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3" name="Rectangle 22"/>
            <xdr:cNvSpPr/>
          </xdr:nvSpPr>
          <xdr:spPr>
            <a:xfrm rot="3083635">
              <a:off x="4698147" y="61174398"/>
              <a:ext cx="993428" cy="495600"/>
            </a:xfrm>
            <a:prstGeom prst="rect">
              <a:avLst/>
            </a:prstGeom>
            <a:noFill/>
            <a:ln w="190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4" name="Rectangle 23"/>
            <xdr:cNvSpPr/>
          </xdr:nvSpPr>
          <xdr:spPr>
            <a:xfrm rot="18896185">
              <a:off x="1854883" y="62680854"/>
              <a:ext cx="1358886" cy="550325"/>
            </a:xfrm>
            <a:prstGeom prst="rect">
              <a:avLst/>
            </a:prstGeom>
            <a:noFill/>
            <a:ln w="19050">
              <a:solidFill>
                <a:srgbClr val="00B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19168443">
              <a:off x="2509629" y="63005805"/>
              <a:ext cx="704021" cy="2650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00B05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</a:t>
              </a:r>
              <a:r>
                <a:rPr lang="en-IN" sz="1100" b="1" baseline="0">
                  <a:solidFill>
                    <a:srgbClr val="00B05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A</a:t>
              </a:r>
              <a:endParaRPr lang="en-IN" sz="1100" b="1">
                <a:solidFill>
                  <a:srgbClr val="00B05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3" name="TextBox 32"/>
            <xdr:cNvSpPr txBox="1"/>
          </xdr:nvSpPr>
          <xdr:spPr>
            <a:xfrm rot="19168443">
              <a:off x="5242889" y="61738568"/>
              <a:ext cx="704021" cy="2650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00206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</a:t>
              </a:r>
              <a:r>
                <a:rPr lang="en-IN" sz="1100" b="1" baseline="0">
                  <a:solidFill>
                    <a:srgbClr val="00206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C</a:t>
              </a:r>
              <a:endParaRPr lang="en-IN" sz="1100" b="1">
                <a:solidFill>
                  <a:srgbClr val="00206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19168443">
              <a:off x="4133018" y="61962198"/>
              <a:ext cx="704021" cy="2650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</a:t>
              </a:r>
              <a:r>
                <a:rPr lang="en-IN" sz="1100" b="1" baseline="0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B</a:t>
              </a:r>
              <a:endParaRPr lang="en-IN" sz="11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4" name="Group 43"/>
          <xdr:cNvGrpSpPr/>
        </xdr:nvGrpSpPr>
        <xdr:grpSpPr>
          <a:xfrm rot="5400000">
            <a:off x="2814349" y="64405731"/>
            <a:ext cx="250703" cy="609329"/>
            <a:chOff x="61147" y="-99008"/>
            <a:chExt cx="153458" cy="757685"/>
          </a:xfrm>
        </xdr:grpSpPr>
        <xdr:sp macro="" textlink="">
          <xdr:nvSpPr>
            <xdr:cNvPr id="45" name="TextBox 7"/>
            <xdr:cNvSpPr txBox="1"/>
          </xdr:nvSpPr>
          <xdr:spPr>
            <a:xfrm rot="5400000">
              <a:off x="-86286" y="48425"/>
              <a:ext cx="448324" cy="1534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N</a:t>
              </a:r>
            </a:p>
          </xdr:txBody>
        </xdr:sp>
        <xdr:cxnSp macro="">
          <xdr:nvCxnSpPr>
            <xdr:cNvPr id="46" name="Straight Arrow Connector 45"/>
            <xdr:cNvCxnSpPr/>
          </xdr:nvCxnSpPr>
          <xdr:spPr>
            <a:xfrm flipV="1">
              <a:off x="121015" y="334676"/>
              <a:ext cx="0" cy="324001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309122</xdr:colOff>
      <xdr:row>338</xdr:row>
      <xdr:rowOff>60830</xdr:rowOff>
    </xdr:from>
    <xdr:to>
      <xdr:col>7</xdr:col>
      <xdr:colOff>572912</xdr:colOff>
      <xdr:row>359</xdr:row>
      <xdr:rowOff>47224</xdr:rowOff>
    </xdr:to>
    <xdr:grpSp>
      <xdr:nvGrpSpPr>
        <xdr:cNvPr id="14" name="Group 13"/>
        <xdr:cNvGrpSpPr/>
      </xdr:nvGrpSpPr>
      <xdr:grpSpPr>
        <a:xfrm>
          <a:off x="309122" y="67488305"/>
          <a:ext cx="5816865" cy="4186919"/>
          <a:chOff x="219474" y="69828653"/>
          <a:chExt cx="5833114" cy="4222218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19474" y="69828653"/>
            <a:ext cx="5833114" cy="4222218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56" name="Rectangle 55"/>
          <xdr:cNvSpPr/>
        </xdr:nvSpPr>
        <xdr:spPr>
          <a:xfrm rot="21448379">
            <a:off x="2589299" y="71841742"/>
            <a:ext cx="737925" cy="307344"/>
          </a:xfrm>
          <a:prstGeom prst="rect">
            <a:avLst/>
          </a:prstGeom>
          <a:noFill/>
          <a:ln w="19050">
            <a:solidFill>
              <a:srgbClr val="00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7" name="Rectangle 56"/>
          <xdr:cNvSpPr/>
        </xdr:nvSpPr>
        <xdr:spPr>
          <a:xfrm rot="21367073">
            <a:off x="2218787" y="71532774"/>
            <a:ext cx="337518" cy="611883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8" name="Rectangle 57"/>
          <xdr:cNvSpPr/>
        </xdr:nvSpPr>
        <xdr:spPr>
          <a:xfrm rot="16200000">
            <a:off x="3746231" y="71754730"/>
            <a:ext cx="318039" cy="593912"/>
          </a:xfrm>
          <a:prstGeom prst="rect">
            <a:avLst/>
          </a:prstGeom>
          <a:noFill/>
          <a:ln w="28575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0" name="TextBox 59"/>
          <xdr:cNvSpPr txBox="1"/>
        </xdr:nvSpPr>
        <xdr:spPr>
          <a:xfrm rot="15856542">
            <a:off x="1499635" y="71628930"/>
            <a:ext cx="1077258" cy="4328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1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Nano City Wing</a:t>
            </a:r>
            <a:r>
              <a:rPr lang="en-IN" sz="11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</a:t>
            </a:r>
            <a:endPara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2452257" y="71321815"/>
            <a:ext cx="914438" cy="6303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100" b="1">
                <a:solidFill>
                  <a:srgbClr val="00FFFF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Nano City Wing</a:t>
            </a:r>
            <a:r>
              <a:rPr lang="en-IN" sz="1100" b="1" baseline="0">
                <a:solidFill>
                  <a:srgbClr val="00FFFF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B</a:t>
            </a:r>
            <a:endParaRPr lang="en-IN" sz="1100" b="1">
              <a:solidFill>
                <a:srgbClr val="00FFFF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3385615" y="71438485"/>
            <a:ext cx="1003342" cy="5473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1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Nano City Wing</a:t>
            </a:r>
            <a:r>
              <a:rPr lang="en-IN" sz="1100" b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</a:t>
            </a:r>
            <a:endParaRPr lang="en-IN" sz="11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8</xdr:col>
      <xdr:colOff>127967</xdr:colOff>
      <xdr:row>118</xdr:row>
      <xdr:rowOff>180147</xdr:rowOff>
    </xdr:from>
    <xdr:to>
      <xdr:col>10</xdr:col>
      <xdr:colOff>487349</xdr:colOff>
      <xdr:row>127</xdr:row>
      <xdr:rowOff>153474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9717" y="25459497"/>
          <a:ext cx="2378682" cy="1773552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75</xdr:row>
      <xdr:rowOff>146050</xdr:rowOff>
    </xdr:from>
    <xdr:to>
      <xdr:col>16</xdr:col>
      <xdr:colOff>502448</xdr:colOff>
      <xdr:row>122</xdr:row>
      <xdr:rowOff>38100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90025" y="18796000"/>
          <a:ext cx="4798223" cy="2924175"/>
        </a:xfrm>
        <a:prstGeom prst="rect">
          <a:avLst/>
        </a:prstGeom>
      </xdr:spPr>
    </xdr:pic>
    <xdr:clientData/>
  </xdr:twoCellAnchor>
  <xdr:twoCellAnchor>
    <xdr:from>
      <xdr:col>8</xdr:col>
      <xdr:colOff>514350</xdr:colOff>
      <xdr:row>235</xdr:row>
      <xdr:rowOff>19050</xdr:rowOff>
    </xdr:from>
    <xdr:to>
      <xdr:col>17</xdr:col>
      <xdr:colOff>8957</xdr:colOff>
      <xdr:row>272</xdr:row>
      <xdr:rowOff>199273</xdr:rowOff>
    </xdr:to>
    <xdr:grpSp>
      <xdr:nvGrpSpPr>
        <xdr:cNvPr id="11" name="Group 10"/>
        <xdr:cNvGrpSpPr/>
      </xdr:nvGrpSpPr>
      <xdr:grpSpPr>
        <a:xfrm>
          <a:off x="7505700" y="46843950"/>
          <a:ext cx="5876357" cy="7581148"/>
          <a:chOff x="552450" y="46824900"/>
          <a:chExt cx="6146232" cy="7460498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8933" y="52125398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552450" y="4682490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3804" y="49835149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6166" y="46824900"/>
            <a:ext cx="2152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5445" y="4983514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314325</xdr:colOff>
      <xdr:row>235</xdr:row>
      <xdr:rowOff>52387</xdr:rowOff>
    </xdr:from>
    <xdr:to>
      <xdr:col>7</xdr:col>
      <xdr:colOff>1176373</xdr:colOff>
      <xdr:row>275</xdr:row>
      <xdr:rowOff>15287</xdr:rowOff>
    </xdr:to>
    <xdr:grpSp>
      <xdr:nvGrpSpPr>
        <xdr:cNvPr id="8" name="Group 7"/>
        <xdr:cNvGrpSpPr/>
      </xdr:nvGrpSpPr>
      <xdr:grpSpPr>
        <a:xfrm>
          <a:off x="314325" y="46877287"/>
          <a:ext cx="6415123" cy="7963900"/>
          <a:chOff x="228600" y="47201137"/>
          <a:chExt cx="6415123" cy="7963900"/>
        </a:xfrm>
      </xdr:grpSpPr>
      <xdr:pic>
        <xdr:nvPicPr>
          <xdr:cNvPr id="38" name="Picture 37" descr="https://vsjcllp.vsjadon.com/upload/insp-24326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0050" y="53311424"/>
            <a:ext cx="2433673" cy="18345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326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325" y="5107781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4326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62350" y="47210662"/>
            <a:ext cx="2847975" cy="37867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4326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2250" y="53322536"/>
            <a:ext cx="1374011" cy="18345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4326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19125" y="47201137"/>
            <a:ext cx="2847975" cy="37867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4326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28825" y="51071463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43268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" y="53330474"/>
            <a:ext cx="2433673" cy="18345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43268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72050" y="5106828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57081-pinnacle-nano-city-by-pinnacle-spm-group-in-badlapur-east" TargetMode="External"/><Relationship Id="rId1" Type="http://schemas.openxmlformats.org/officeDocument/2006/relationships/hyperlink" Target="https://goo.gl/maps/Y64LmXunxeFjhrZV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320"/>
  <sheetViews>
    <sheetView tabSelected="1" view="pageBreakPreview" zoomScaleNormal="100" zoomScaleSheetLayoutView="100" zoomScalePageLayoutView="87" workbookViewId="0">
      <selection activeCell="I146" sqref="I146"/>
    </sheetView>
  </sheetViews>
  <sheetFormatPr defaultColWidth="9.140625" defaultRowHeight="15.75" x14ac:dyDescent="0.25"/>
  <cols>
    <col min="1" max="1" width="11.42578125" style="77" customWidth="1"/>
    <col min="2" max="2" width="11.140625" style="77" customWidth="1"/>
    <col min="3" max="3" width="12.7109375" style="77" customWidth="1"/>
    <col min="4" max="4" width="12.85546875" style="77" customWidth="1"/>
    <col min="5" max="7" width="11.7109375" style="77" customWidth="1"/>
    <col min="8" max="8" width="21.5703125" style="77" customWidth="1"/>
    <col min="9" max="9" width="20.42578125" style="18" customWidth="1"/>
    <col min="10" max="10" width="9.85546875" style="18" bestFit="1" customWidth="1"/>
    <col min="11" max="11" width="10.5703125" style="18" bestFit="1" customWidth="1"/>
    <col min="12" max="18" width="9.140625" style="18"/>
    <col min="19" max="19" width="11.140625" style="18" hidden="1" customWidth="1"/>
    <col min="20" max="21" width="9.140625" style="18" hidden="1" customWidth="1"/>
    <col min="22" max="22" width="10.7109375" style="18" hidden="1" customWidth="1"/>
    <col min="23" max="23" width="13.42578125" style="18" hidden="1" customWidth="1"/>
    <col min="24" max="254" width="9.140625" style="18"/>
    <col min="255" max="255" width="8.7109375" style="18" customWidth="1"/>
    <col min="256" max="256" width="9.85546875" style="18" customWidth="1"/>
    <col min="257" max="257" width="14.42578125" style="18" customWidth="1"/>
    <col min="258" max="258" width="7.28515625" style="18" customWidth="1"/>
    <col min="259" max="259" width="5.5703125" style="18" customWidth="1"/>
    <col min="260" max="260" width="9" style="18" customWidth="1"/>
    <col min="261" max="262" width="9.85546875" style="18" customWidth="1"/>
    <col min="263" max="263" width="11.140625" style="18" customWidth="1"/>
    <col min="264" max="264" width="2.85546875" style="18" customWidth="1"/>
    <col min="265" max="265" width="3.5703125" style="18" customWidth="1"/>
    <col min="266" max="510" width="9.140625" style="18"/>
    <col min="511" max="511" width="8.7109375" style="18" customWidth="1"/>
    <col min="512" max="512" width="9.85546875" style="18" customWidth="1"/>
    <col min="513" max="513" width="14.42578125" style="18" customWidth="1"/>
    <col min="514" max="514" width="7.28515625" style="18" customWidth="1"/>
    <col min="515" max="515" width="5.5703125" style="18" customWidth="1"/>
    <col min="516" max="516" width="9" style="18" customWidth="1"/>
    <col min="517" max="518" width="9.85546875" style="18" customWidth="1"/>
    <col min="519" max="519" width="11.140625" style="18" customWidth="1"/>
    <col min="520" max="520" width="2.85546875" style="18" customWidth="1"/>
    <col min="521" max="521" width="3.5703125" style="18" customWidth="1"/>
    <col min="522" max="766" width="9.140625" style="18"/>
    <col min="767" max="767" width="8.7109375" style="18" customWidth="1"/>
    <col min="768" max="768" width="9.85546875" style="18" customWidth="1"/>
    <col min="769" max="769" width="14.42578125" style="18" customWidth="1"/>
    <col min="770" max="770" width="7.28515625" style="18" customWidth="1"/>
    <col min="771" max="771" width="5.5703125" style="18" customWidth="1"/>
    <col min="772" max="772" width="9" style="18" customWidth="1"/>
    <col min="773" max="774" width="9.85546875" style="18" customWidth="1"/>
    <col min="775" max="775" width="11.140625" style="18" customWidth="1"/>
    <col min="776" max="776" width="2.85546875" style="18" customWidth="1"/>
    <col min="777" max="777" width="3.5703125" style="18" customWidth="1"/>
    <col min="778" max="1022" width="9.140625" style="18"/>
    <col min="1023" max="1023" width="8.7109375" style="18" customWidth="1"/>
    <col min="1024" max="1024" width="9.85546875" style="18" customWidth="1"/>
    <col min="1025" max="1025" width="14.42578125" style="18" customWidth="1"/>
    <col min="1026" max="1026" width="7.28515625" style="18" customWidth="1"/>
    <col min="1027" max="1027" width="5.5703125" style="18" customWidth="1"/>
    <col min="1028" max="1028" width="9" style="18" customWidth="1"/>
    <col min="1029" max="1030" width="9.85546875" style="18" customWidth="1"/>
    <col min="1031" max="1031" width="11.140625" style="18" customWidth="1"/>
    <col min="1032" max="1032" width="2.85546875" style="18" customWidth="1"/>
    <col min="1033" max="1033" width="3.5703125" style="18" customWidth="1"/>
    <col min="1034" max="1278" width="9.140625" style="18"/>
    <col min="1279" max="1279" width="8.7109375" style="18" customWidth="1"/>
    <col min="1280" max="1280" width="9.85546875" style="18" customWidth="1"/>
    <col min="1281" max="1281" width="14.42578125" style="18" customWidth="1"/>
    <col min="1282" max="1282" width="7.28515625" style="18" customWidth="1"/>
    <col min="1283" max="1283" width="5.5703125" style="18" customWidth="1"/>
    <col min="1284" max="1284" width="9" style="18" customWidth="1"/>
    <col min="1285" max="1286" width="9.85546875" style="18" customWidth="1"/>
    <col min="1287" max="1287" width="11.140625" style="18" customWidth="1"/>
    <col min="1288" max="1288" width="2.85546875" style="18" customWidth="1"/>
    <col min="1289" max="1289" width="3.5703125" style="18" customWidth="1"/>
    <col min="1290" max="1534" width="9.140625" style="18"/>
    <col min="1535" max="1535" width="8.7109375" style="18" customWidth="1"/>
    <col min="1536" max="1536" width="9.85546875" style="18" customWidth="1"/>
    <col min="1537" max="1537" width="14.42578125" style="18" customWidth="1"/>
    <col min="1538" max="1538" width="7.28515625" style="18" customWidth="1"/>
    <col min="1539" max="1539" width="5.5703125" style="18" customWidth="1"/>
    <col min="1540" max="1540" width="9" style="18" customWidth="1"/>
    <col min="1541" max="1542" width="9.85546875" style="18" customWidth="1"/>
    <col min="1543" max="1543" width="11.140625" style="18" customWidth="1"/>
    <col min="1544" max="1544" width="2.85546875" style="18" customWidth="1"/>
    <col min="1545" max="1545" width="3.5703125" style="18" customWidth="1"/>
    <col min="1546" max="1790" width="9.140625" style="18"/>
    <col min="1791" max="1791" width="8.7109375" style="18" customWidth="1"/>
    <col min="1792" max="1792" width="9.85546875" style="18" customWidth="1"/>
    <col min="1793" max="1793" width="14.42578125" style="18" customWidth="1"/>
    <col min="1794" max="1794" width="7.28515625" style="18" customWidth="1"/>
    <col min="1795" max="1795" width="5.5703125" style="18" customWidth="1"/>
    <col min="1796" max="1796" width="9" style="18" customWidth="1"/>
    <col min="1797" max="1798" width="9.85546875" style="18" customWidth="1"/>
    <col min="1799" max="1799" width="11.140625" style="18" customWidth="1"/>
    <col min="1800" max="1800" width="2.85546875" style="18" customWidth="1"/>
    <col min="1801" max="1801" width="3.5703125" style="18" customWidth="1"/>
    <col min="1802" max="2046" width="9.140625" style="18"/>
    <col min="2047" max="2047" width="8.7109375" style="18" customWidth="1"/>
    <col min="2048" max="2048" width="9.85546875" style="18" customWidth="1"/>
    <col min="2049" max="2049" width="14.42578125" style="18" customWidth="1"/>
    <col min="2050" max="2050" width="7.28515625" style="18" customWidth="1"/>
    <col min="2051" max="2051" width="5.5703125" style="18" customWidth="1"/>
    <col min="2052" max="2052" width="9" style="18" customWidth="1"/>
    <col min="2053" max="2054" width="9.85546875" style="18" customWidth="1"/>
    <col min="2055" max="2055" width="11.140625" style="18" customWidth="1"/>
    <col min="2056" max="2056" width="2.85546875" style="18" customWidth="1"/>
    <col min="2057" max="2057" width="3.5703125" style="18" customWidth="1"/>
    <col min="2058" max="2302" width="9.140625" style="18"/>
    <col min="2303" max="2303" width="8.7109375" style="18" customWidth="1"/>
    <col min="2304" max="2304" width="9.85546875" style="18" customWidth="1"/>
    <col min="2305" max="2305" width="14.42578125" style="18" customWidth="1"/>
    <col min="2306" max="2306" width="7.28515625" style="18" customWidth="1"/>
    <col min="2307" max="2307" width="5.5703125" style="18" customWidth="1"/>
    <col min="2308" max="2308" width="9" style="18" customWidth="1"/>
    <col min="2309" max="2310" width="9.85546875" style="18" customWidth="1"/>
    <col min="2311" max="2311" width="11.140625" style="18" customWidth="1"/>
    <col min="2312" max="2312" width="2.85546875" style="18" customWidth="1"/>
    <col min="2313" max="2313" width="3.5703125" style="18" customWidth="1"/>
    <col min="2314" max="2558" width="9.140625" style="18"/>
    <col min="2559" max="2559" width="8.7109375" style="18" customWidth="1"/>
    <col min="2560" max="2560" width="9.85546875" style="18" customWidth="1"/>
    <col min="2561" max="2561" width="14.42578125" style="18" customWidth="1"/>
    <col min="2562" max="2562" width="7.28515625" style="18" customWidth="1"/>
    <col min="2563" max="2563" width="5.5703125" style="18" customWidth="1"/>
    <col min="2564" max="2564" width="9" style="18" customWidth="1"/>
    <col min="2565" max="2566" width="9.85546875" style="18" customWidth="1"/>
    <col min="2567" max="2567" width="11.140625" style="18" customWidth="1"/>
    <col min="2568" max="2568" width="2.85546875" style="18" customWidth="1"/>
    <col min="2569" max="2569" width="3.5703125" style="18" customWidth="1"/>
    <col min="2570" max="2814" width="9.140625" style="18"/>
    <col min="2815" max="2815" width="8.7109375" style="18" customWidth="1"/>
    <col min="2816" max="2816" width="9.85546875" style="18" customWidth="1"/>
    <col min="2817" max="2817" width="14.42578125" style="18" customWidth="1"/>
    <col min="2818" max="2818" width="7.28515625" style="18" customWidth="1"/>
    <col min="2819" max="2819" width="5.5703125" style="18" customWidth="1"/>
    <col min="2820" max="2820" width="9" style="18" customWidth="1"/>
    <col min="2821" max="2822" width="9.85546875" style="18" customWidth="1"/>
    <col min="2823" max="2823" width="11.140625" style="18" customWidth="1"/>
    <col min="2824" max="2824" width="2.85546875" style="18" customWidth="1"/>
    <col min="2825" max="2825" width="3.5703125" style="18" customWidth="1"/>
    <col min="2826" max="3070" width="9.140625" style="18"/>
    <col min="3071" max="3071" width="8.7109375" style="18" customWidth="1"/>
    <col min="3072" max="3072" width="9.85546875" style="18" customWidth="1"/>
    <col min="3073" max="3073" width="14.42578125" style="18" customWidth="1"/>
    <col min="3074" max="3074" width="7.28515625" style="18" customWidth="1"/>
    <col min="3075" max="3075" width="5.5703125" style="18" customWidth="1"/>
    <col min="3076" max="3076" width="9" style="18" customWidth="1"/>
    <col min="3077" max="3078" width="9.85546875" style="18" customWidth="1"/>
    <col min="3079" max="3079" width="11.140625" style="18" customWidth="1"/>
    <col min="3080" max="3080" width="2.85546875" style="18" customWidth="1"/>
    <col min="3081" max="3081" width="3.5703125" style="18" customWidth="1"/>
    <col min="3082" max="3326" width="9.140625" style="18"/>
    <col min="3327" max="3327" width="8.7109375" style="18" customWidth="1"/>
    <col min="3328" max="3328" width="9.85546875" style="18" customWidth="1"/>
    <col min="3329" max="3329" width="14.42578125" style="18" customWidth="1"/>
    <col min="3330" max="3330" width="7.28515625" style="18" customWidth="1"/>
    <col min="3331" max="3331" width="5.5703125" style="18" customWidth="1"/>
    <col min="3332" max="3332" width="9" style="18" customWidth="1"/>
    <col min="3333" max="3334" width="9.85546875" style="18" customWidth="1"/>
    <col min="3335" max="3335" width="11.140625" style="18" customWidth="1"/>
    <col min="3336" max="3336" width="2.85546875" style="18" customWidth="1"/>
    <col min="3337" max="3337" width="3.5703125" style="18" customWidth="1"/>
    <col min="3338" max="3582" width="9.140625" style="18"/>
    <col min="3583" max="3583" width="8.7109375" style="18" customWidth="1"/>
    <col min="3584" max="3584" width="9.85546875" style="18" customWidth="1"/>
    <col min="3585" max="3585" width="14.42578125" style="18" customWidth="1"/>
    <col min="3586" max="3586" width="7.28515625" style="18" customWidth="1"/>
    <col min="3587" max="3587" width="5.5703125" style="18" customWidth="1"/>
    <col min="3588" max="3588" width="9" style="18" customWidth="1"/>
    <col min="3589" max="3590" width="9.85546875" style="18" customWidth="1"/>
    <col min="3591" max="3591" width="11.140625" style="18" customWidth="1"/>
    <col min="3592" max="3592" width="2.85546875" style="18" customWidth="1"/>
    <col min="3593" max="3593" width="3.5703125" style="18" customWidth="1"/>
    <col min="3594" max="3838" width="9.140625" style="18"/>
    <col min="3839" max="3839" width="8.7109375" style="18" customWidth="1"/>
    <col min="3840" max="3840" width="9.85546875" style="18" customWidth="1"/>
    <col min="3841" max="3841" width="14.42578125" style="18" customWidth="1"/>
    <col min="3842" max="3842" width="7.28515625" style="18" customWidth="1"/>
    <col min="3843" max="3843" width="5.5703125" style="18" customWidth="1"/>
    <col min="3844" max="3844" width="9" style="18" customWidth="1"/>
    <col min="3845" max="3846" width="9.85546875" style="18" customWidth="1"/>
    <col min="3847" max="3847" width="11.140625" style="18" customWidth="1"/>
    <col min="3848" max="3848" width="2.85546875" style="18" customWidth="1"/>
    <col min="3849" max="3849" width="3.5703125" style="18" customWidth="1"/>
    <col min="3850" max="4094" width="9.140625" style="18"/>
    <col min="4095" max="4095" width="8.7109375" style="18" customWidth="1"/>
    <col min="4096" max="4096" width="9.85546875" style="18" customWidth="1"/>
    <col min="4097" max="4097" width="14.42578125" style="18" customWidth="1"/>
    <col min="4098" max="4098" width="7.28515625" style="18" customWidth="1"/>
    <col min="4099" max="4099" width="5.5703125" style="18" customWidth="1"/>
    <col min="4100" max="4100" width="9" style="18" customWidth="1"/>
    <col min="4101" max="4102" width="9.85546875" style="18" customWidth="1"/>
    <col min="4103" max="4103" width="11.140625" style="18" customWidth="1"/>
    <col min="4104" max="4104" width="2.85546875" style="18" customWidth="1"/>
    <col min="4105" max="4105" width="3.5703125" style="18" customWidth="1"/>
    <col min="4106" max="4350" width="9.140625" style="18"/>
    <col min="4351" max="4351" width="8.7109375" style="18" customWidth="1"/>
    <col min="4352" max="4352" width="9.85546875" style="18" customWidth="1"/>
    <col min="4353" max="4353" width="14.42578125" style="18" customWidth="1"/>
    <col min="4354" max="4354" width="7.28515625" style="18" customWidth="1"/>
    <col min="4355" max="4355" width="5.5703125" style="18" customWidth="1"/>
    <col min="4356" max="4356" width="9" style="18" customWidth="1"/>
    <col min="4357" max="4358" width="9.85546875" style="18" customWidth="1"/>
    <col min="4359" max="4359" width="11.140625" style="18" customWidth="1"/>
    <col min="4360" max="4360" width="2.85546875" style="18" customWidth="1"/>
    <col min="4361" max="4361" width="3.5703125" style="18" customWidth="1"/>
    <col min="4362" max="4606" width="9.140625" style="18"/>
    <col min="4607" max="4607" width="8.7109375" style="18" customWidth="1"/>
    <col min="4608" max="4608" width="9.85546875" style="18" customWidth="1"/>
    <col min="4609" max="4609" width="14.42578125" style="18" customWidth="1"/>
    <col min="4610" max="4610" width="7.28515625" style="18" customWidth="1"/>
    <col min="4611" max="4611" width="5.5703125" style="18" customWidth="1"/>
    <col min="4612" max="4612" width="9" style="18" customWidth="1"/>
    <col min="4613" max="4614" width="9.85546875" style="18" customWidth="1"/>
    <col min="4615" max="4615" width="11.140625" style="18" customWidth="1"/>
    <col min="4616" max="4616" width="2.85546875" style="18" customWidth="1"/>
    <col min="4617" max="4617" width="3.5703125" style="18" customWidth="1"/>
    <col min="4618" max="4862" width="9.140625" style="18"/>
    <col min="4863" max="4863" width="8.7109375" style="18" customWidth="1"/>
    <col min="4864" max="4864" width="9.85546875" style="18" customWidth="1"/>
    <col min="4865" max="4865" width="14.42578125" style="18" customWidth="1"/>
    <col min="4866" max="4866" width="7.28515625" style="18" customWidth="1"/>
    <col min="4867" max="4867" width="5.5703125" style="18" customWidth="1"/>
    <col min="4868" max="4868" width="9" style="18" customWidth="1"/>
    <col min="4869" max="4870" width="9.85546875" style="18" customWidth="1"/>
    <col min="4871" max="4871" width="11.140625" style="18" customWidth="1"/>
    <col min="4872" max="4872" width="2.85546875" style="18" customWidth="1"/>
    <col min="4873" max="4873" width="3.5703125" style="18" customWidth="1"/>
    <col min="4874" max="5118" width="9.140625" style="18"/>
    <col min="5119" max="5119" width="8.7109375" style="18" customWidth="1"/>
    <col min="5120" max="5120" width="9.85546875" style="18" customWidth="1"/>
    <col min="5121" max="5121" width="14.42578125" style="18" customWidth="1"/>
    <col min="5122" max="5122" width="7.28515625" style="18" customWidth="1"/>
    <col min="5123" max="5123" width="5.5703125" style="18" customWidth="1"/>
    <col min="5124" max="5124" width="9" style="18" customWidth="1"/>
    <col min="5125" max="5126" width="9.85546875" style="18" customWidth="1"/>
    <col min="5127" max="5127" width="11.140625" style="18" customWidth="1"/>
    <col min="5128" max="5128" width="2.85546875" style="18" customWidth="1"/>
    <col min="5129" max="5129" width="3.5703125" style="18" customWidth="1"/>
    <col min="5130" max="5374" width="9.140625" style="18"/>
    <col min="5375" max="5375" width="8.7109375" style="18" customWidth="1"/>
    <col min="5376" max="5376" width="9.85546875" style="18" customWidth="1"/>
    <col min="5377" max="5377" width="14.42578125" style="18" customWidth="1"/>
    <col min="5378" max="5378" width="7.28515625" style="18" customWidth="1"/>
    <col min="5379" max="5379" width="5.5703125" style="18" customWidth="1"/>
    <col min="5380" max="5380" width="9" style="18" customWidth="1"/>
    <col min="5381" max="5382" width="9.85546875" style="18" customWidth="1"/>
    <col min="5383" max="5383" width="11.140625" style="18" customWidth="1"/>
    <col min="5384" max="5384" width="2.85546875" style="18" customWidth="1"/>
    <col min="5385" max="5385" width="3.5703125" style="18" customWidth="1"/>
    <col min="5386" max="5630" width="9.140625" style="18"/>
    <col min="5631" max="5631" width="8.7109375" style="18" customWidth="1"/>
    <col min="5632" max="5632" width="9.85546875" style="18" customWidth="1"/>
    <col min="5633" max="5633" width="14.42578125" style="18" customWidth="1"/>
    <col min="5634" max="5634" width="7.28515625" style="18" customWidth="1"/>
    <col min="5635" max="5635" width="5.5703125" style="18" customWidth="1"/>
    <col min="5636" max="5636" width="9" style="18" customWidth="1"/>
    <col min="5637" max="5638" width="9.85546875" style="18" customWidth="1"/>
    <col min="5639" max="5639" width="11.140625" style="18" customWidth="1"/>
    <col min="5640" max="5640" width="2.85546875" style="18" customWidth="1"/>
    <col min="5641" max="5641" width="3.5703125" style="18" customWidth="1"/>
    <col min="5642" max="5886" width="9.140625" style="18"/>
    <col min="5887" max="5887" width="8.7109375" style="18" customWidth="1"/>
    <col min="5888" max="5888" width="9.85546875" style="18" customWidth="1"/>
    <col min="5889" max="5889" width="14.42578125" style="18" customWidth="1"/>
    <col min="5890" max="5890" width="7.28515625" style="18" customWidth="1"/>
    <col min="5891" max="5891" width="5.5703125" style="18" customWidth="1"/>
    <col min="5892" max="5892" width="9" style="18" customWidth="1"/>
    <col min="5893" max="5894" width="9.85546875" style="18" customWidth="1"/>
    <col min="5895" max="5895" width="11.140625" style="18" customWidth="1"/>
    <col min="5896" max="5896" width="2.85546875" style="18" customWidth="1"/>
    <col min="5897" max="5897" width="3.5703125" style="18" customWidth="1"/>
    <col min="5898" max="6142" width="9.140625" style="18"/>
    <col min="6143" max="6143" width="8.7109375" style="18" customWidth="1"/>
    <col min="6144" max="6144" width="9.85546875" style="18" customWidth="1"/>
    <col min="6145" max="6145" width="14.42578125" style="18" customWidth="1"/>
    <col min="6146" max="6146" width="7.28515625" style="18" customWidth="1"/>
    <col min="6147" max="6147" width="5.5703125" style="18" customWidth="1"/>
    <col min="6148" max="6148" width="9" style="18" customWidth="1"/>
    <col min="6149" max="6150" width="9.85546875" style="18" customWidth="1"/>
    <col min="6151" max="6151" width="11.140625" style="18" customWidth="1"/>
    <col min="6152" max="6152" width="2.85546875" style="18" customWidth="1"/>
    <col min="6153" max="6153" width="3.5703125" style="18" customWidth="1"/>
    <col min="6154" max="6398" width="9.140625" style="18"/>
    <col min="6399" max="6399" width="8.7109375" style="18" customWidth="1"/>
    <col min="6400" max="6400" width="9.85546875" style="18" customWidth="1"/>
    <col min="6401" max="6401" width="14.42578125" style="18" customWidth="1"/>
    <col min="6402" max="6402" width="7.28515625" style="18" customWidth="1"/>
    <col min="6403" max="6403" width="5.5703125" style="18" customWidth="1"/>
    <col min="6404" max="6404" width="9" style="18" customWidth="1"/>
    <col min="6405" max="6406" width="9.85546875" style="18" customWidth="1"/>
    <col min="6407" max="6407" width="11.140625" style="18" customWidth="1"/>
    <col min="6408" max="6408" width="2.85546875" style="18" customWidth="1"/>
    <col min="6409" max="6409" width="3.5703125" style="18" customWidth="1"/>
    <col min="6410" max="6654" width="9.140625" style="18"/>
    <col min="6655" max="6655" width="8.7109375" style="18" customWidth="1"/>
    <col min="6656" max="6656" width="9.85546875" style="18" customWidth="1"/>
    <col min="6657" max="6657" width="14.42578125" style="18" customWidth="1"/>
    <col min="6658" max="6658" width="7.28515625" style="18" customWidth="1"/>
    <col min="6659" max="6659" width="5.5703125" style="18" customWidth="1"/>
    <col min="6660" max="6660" width="9" style="18" customWidth="1"/>
    <col min="6661" max="6662" width="9.85546875" style="18" customWidth="1"/>
    <col min="6663" max="6663" width="11.140625" style="18" customWidth="1"/>
    <col min="6664" max="6664" width="2.85546875" style="18" customWidth="1"/>
    <col min="6665" max="6665" width="3.5703125" style="18" customWidth="1"/>
    <col min="6666" max="6910" width="9.140625" style="18"/>
    <col min="6911" max="6911" width="8.7109375" style="18" customWidth="1"/>
    <col min="6912" max="6912" width="9.85546875" style="18" customWidth="1"/>
    <col min="6913" max="6913" width="14.42578125" style="18" customWidth="1"/>
    <col min="6914" max="6914" width="7.28515625" style="18" customWidth="1"/>
    <col min="6915" max="6915" width="5.5703125" style="18" customWidth="1"/>
    <col min="6916" max="6916" width="9" style="18" customWidth="1"/>
    <col min="6917" max="6918" width="9.85546875" style="18" customWidth="1"/>
    <col min="6919" max="6919" width="11.140625" style="18" customWidth="1"/>
    <col min="6920" max="6920" width="2.85546875" style="18" customWidth="1"/>
    <col min="6921" max="6921" width="3.5703125" style="18" customWidth="1"/>
    <col min="6922" max="7166" width="9.140625" style="18"/>
    <col min="7167" max="7167" width="8.7109375" style="18" customWidth="1"/>
    <col min="7168" max="7168" width="9.85546875" style="18" customWidth="1"/>
    <col min="7169" max="7169" width="14.42578125" style="18" customWidth="1"/>
    <col min="7170" max="7170" width="7.28515625" style="18" customWidth="1"/>
    <col min="7171" max="7171" width="5.5703125" style="18" customWidth="1"/>
    <col min="7172" max="7172" width="9" style="18" customWidth="1"/>
    <col min="7173" max="7174" width="9.85546875" style="18" customWidth="1"/>
    <col min="7175" max="7175" width="11.140625" style="18" customWidth="1"/>
    <col min="7176" max="7176" width="2.85546875" style="18" customWidth="1"/>
    <col min="7177" max="7177" width="3.5703125" style="18" customWidth="1"/>
    <col min="7178" max="7422" width="9.140625" style="18"/>
    <col min="7423" max="7423" width="8.7109375" style="18" customWidth="1"/>
    <col min="7424" max="7424" width="9.85546875" style="18" customWidth="1"/>
    <col min="7425" max="7425" width="14.42578125" style="18" customWidth="1"/>
    <col min="7426" max="7426" width="7.28515625" style="18" customWidth="1"/>
    <col min="7427" max="7427" width="5.5703125" style="18" customWidth="1"/>
    <col min="7428" max="7428" width="9" style="18" customWidth="1"/>
    <col min="7429" max="7430" width="9.85546875" style="18" customWidth="1"/>
    <col min="7431" max="7431" width="11.140625" style="18" customWidth="1"/>
    <col min="7432" max="7432" width="2.85546875" style="18" customWidth="1"/>
    <col min="7433" max="7433" width="3.5703125" style="18" customWidth="1"/>
    <col min="7434" max="7678" width="9.140625" style="18"/>
    <col min="7679" max="7679" width="8.7109375" style="18" customWidth="1"/>
    <col min="7680" max="7680" width="9.85546875" style="18" customWidth="1"/>
    <col min="7681" max="7681" width="14.42578125" style="18" customWidth="1"/>
    <col min="7682" max="7682" width="7.28515625" style="18" customWidth="1"/>
    <col min="7683" max="7683" width="5.5703125" style="18" customWidth="1"/>
    <col min="7684" max="7684" width="9" style="18" customWidth="1"/>
    <col min="7685" max="7686" width="9.85546875" style="18" customWidth="1"/>
    <col min="7687" max="7687" width="11.140625" style="18" customWidth="1"/>
    <col min="7688" max="7688" width="2.85546875" style="18" customWidth="1"/>
    <col min="7689" max="7689" width="3.5703125" style="18" customWidth="1"/>
    <col min="7690" max="7934" width="9.140625" style="18"/>
    <col min="7935" max="7935" width="8.7109375" style="18" customWidth="1"/>
    <col min="7936" max="7936" width="9.85546875" style="18" customWidth="1"/>
    <col min="7937" max="7937" width="14.42578125" style="18" customWidth="1"/>
    <col min="7938" max="7938" width="7.28515625" style="18" customWidth="1"/>
    <col min="7939" max="7939" width="5.5703125" style="18" customWidth="1"/>
    <col min="7940" max="7940" width="9" style="18" customWidth="1"/>
    <col min="7941" max="7942" width="9.85546875" style="18" customWidth="1"/>
    <col min="7943" max="7943" width="11.140625" style="18" customWidth="1"/>
    <col min="7944" max="7944" width="2.85546875" style="18" customWidth="1"/>
    <col min="7945" max="7945" width="3.5703125" style="18" customWidth="1"/>
    <col min="7946" max="8190" width="9.140625" style="18"/>
    <col min="8191" max="8191" width="8.7109375" style="18" customWidth="1"/>
    <col min="8192" max="8192" width="9.85546875" style="18" customWidth="1"/>
    <col min="8193" max="8193" width="14.42578125" style="18" customWidth="1"/>
    <col min="8194" max="8194" width="7.28515625" style="18" customWidth="1"/>
    <col min="8195" max="8195" width="5.5703125" style="18" customWidth="1"/>
    <col min="8196" max="8196" width="9" style="18" customWidth="1"/>
    <col min="8197" max="8198" width="9.85546875" style="18" customWidth="1"/>
    <col min="8199" max="8199" width="11.140625" style="18" customWidth="1"/>
    <col min="8200" max="8200" width="2.85546875" style="18" customWidth="1"/>
    <col min="8201" max="8201" width="3.5703125" style="18" customWidth="1"/>
    <col min="8202" max="8446" width="9.140625" style="18"/>
    <col min="8447" max="8447" width="8.7109375" style="18" customWidth="1"/>
    <col min="8448" max="8448" width="9.85546875" style="18" customWidth="1"/>
    <col min="8449" max="8449" width="14.42578125" style="18" customWidth="1"/>
    <col min="8450" max="8450" width="7.28515625" style="18" customWidth="1"/>
    <col min="8451" max="8451" width="5.5703125" style="18" customWidth="1"/>
    <col min="8452" max="8452" width="9" style="18" customWidth="1"/>
    <col min="8453" max="8454" width="9.85546875" style="18" customWidth="1"/>
    <col min="8455" max="8455" width="11.140625" style="18" customWidth="1"/>
    <col min="8456" max="8456" width="2.85546875" style="18" customWidth="1"/>
    <col min="8457" max="8457" width="3.5703125" style="18" customWidth="1"/>
    <col min="8458" max="8702" width="9.140625" style="18"/>
    <col min="8703" max="8703" width="8.7109375" style="18" customWidth="1"/>
    <col min="8704" max="8704" width="9.85546875" style="18" customWidth="1"/>
    <col min="8705" max="8705" width="14.42578125" style="18" customWidth="1"/>
    <col min="8706" max="8706" width="7.28515625" style="18" customWidth="1"/>
    <col min="8707" max="8707" width="5.5703125" style="18" customWidth="1"/>
    <col min="8708" max="8708" width="9" style="18" customWidth="1"/>
    <col min="8709" max="8710" width="9.85546875" style="18" customWidth="1"/>
    <col min="8711" max="8711" width="11.140625" style="18" customWidth="1"/>
    <col min="8712" max="8712" width="2.85546875" style="18" customWidth="1"/>
    <col min="8713" max="8713" width="3.5703125" style="18" customWidth="1"/>
    <col min="8714" max="8958" width="9.140625" style="18"/>
    <col min="8959" max="8959" width="8.7109375" style="18" customWidth="1"/>
    <col min="8960" max="8960" width="9.85546875" style="18" customWidth="1"/>
    <col min="8961" max="8961" width="14.42578125" style="18" customWidth="1"/>
    <col min="8962" max="8962" width="7.28515625" style="18" customWidth="1"/>
    <col min="8963" max="8963" width="5.5703125" style="18" customWidth="1"/>
    <col min="8964" max="8964" width="9" style="18" customWidth="1"/>
    <col min="8965" max="8966" width="9.85546875" style="18" customWidth="1"/>
    <col min="8967" max="8967" width="11.140625" style="18" customWidth="1"/>
    <col min="8968" max="8968" width="2.85546875" style="18" customWidth="1"/>
    <col min="8969" max="8969" width="3.5703125" style="18" customWidth="1"/>
    <col min="8970" max="9214" width="9.140625" style="18"/>
    <col min="9215" max="9215" width="8.7109375" style="18" customWidth="1"/>
    <col min="9216" max="9216" width="9.85546875" style="18" customWidth="1"/>
    <col min="9217" max="9217" width="14.42578125" style="18" customWidth="1"/>
    <col min="9218" max="9218" width="7.28515625" style="18" customWidth="1"/>
    <col min="9219" max="9219" width="5.5703125" style="18" customWidth="1"/>
    <col min="9220" max="9220" width="9" style="18" customWidth="1"/>
    <col min="9221" max="9222" width="9.85546875" style="18" customWidth="1"/>
    <col min="9223" max="9223" width="11.140625" style="18" customWidth="1"/>
    <col min="9224" max="9224" width="2.85546875" style="18" customWidth="1"/>
    <col min="9225" max="9225" width="3.5703125" style="18" customWidth="1"/>
    <col min="9226" max="9470" width="9.140625" style="18"/>
    <col min="9471" max="9471" width="8.7109375" style="18" customWidth="1"/>
    <col min="9472" max="9472" width="9.85546875" style="18" customWidth="1"/>
    <col min="9473" max="9473" width="14.42578125" style="18" customWidth="1"/>
    <col min="9474" max="9474" width="7.28515625" style="18" customWidth="1"/>
    <col min="9475" max="9475" width="5.5703125" style="18" customWidth="1"/>
    <col min="9476" max="9476" width="9" style="18" customWidth="1"/>
    <col min="9477" max="9478" width="9.85546875" style="18" customWidth="1"/>
    <col min="9479" max="9479" width="11.140625" style="18" customWidth="1"/>
    <col min="9480" max="9480" width="2.85546875" style="18" customWidth="1"/>
    <col min="9481" max="9481" width="3.5703125" style="18" customWidth="1"/>
    <col min="9482" max="9726" width="9.140625" style="18"/>
    <col min="9727" max="9727" width="8.7109375" style="18" customWidth="1"/>
    <col min="9728" max="9728" width="9.85546875" style="18" customWidth="1"/>
    <col min="9729" max="9729" width="14.42578125" style="18" customWidth="1"/>
    <col min="9730" max="9730" width="7.28515625" style="18" customWidth="1"/>
    <col min="9731" max="9731" width="5.5703125" style="18" customWidth="1"/>
    <col min="9732" max="9732" width="9" style="18" customWidth="1"/>
    <col min="9733" max="9734" width="9.85546875" style="18" customWidth="1"/>
    <col min="9735" max="9735" width="11.140625" style="18" customWidth="1"/>
    <col min="9736" max="9736" width="2.85546875" style="18" customWidth="1"/>
    <col min="9737" max="9737" width="3.5703125" style="18" customWidth="1"/>
    <col min="9738" max="9982" width="9.140625" style="18"/>
    <col min="9983" max="9983" width="8.7109375" style="18" customWidth="1"/>
    <col min="9984" max="9984" width="9.85546875" style="18" customWidth="1"/>
    <col min="9985" max="9985" width="14.42578125" style="18" customWidth="1"/>
    <col min="9986" max="9986" width="7.28515625" style="18" customWidth="1"/>
    <col min="9987" max="9987" width="5.5703125" style="18" customWidth="1"/>
    <col min="9988" max="9988" width="9" style="18" customWidth="1"/>
    <col min="9989" max="9990" width="9.85546875" style="18" customWidth="1"/>
    <col min="9991" max="9991" width="11.140625" style="18" customWidth="1"/>
    <col min="9992" max="9992" width="2.85546875" style="18" customWidth="1"/>
    <col min="9993" max="9993" width="3.5703125" style="18" customWidth="1"/>
    <col min="9994" max="10238" width="9.140625" style="18"/>
    <col min="10239" max="10239" width="8.7109375" style="18" customWidth="1"/>
    <col min="10240" max="10240" width="9.85546875" style="18" customWidth="1"/>
    <col min="10241" max="10241" width="14.42578125" style="18" customWidth="1"/>
    <col min="10242" max="10242" width="7.28515625" style="18" customWidth="1"/>
    <col min="10243" max="10243" width="5.5703125" style="18" customWidth="1"/>
    <col min="10244" max="10244" width="9" style="18" customWidth="1"/>
    <col min="10245" max="10246" width="9.85546875" style="18" customWidth="1"/>
    <col min="10247" max="10247" width="11.140625" style="18" customWidth="1"/>
    <col min="10248" max="10248" width="2.85546875" style="18" customWidth="1"/>
    <col min="10249" max="10249" width="3.5703125" style="18" customWidth="1"/>
    <col min="10250" max="10494" width="9.140625" style="18"/>
    <col min="10495" max="10495" width="8.7109375" style="18" customWidth="1"/>
    <col min="10496" max="10496" width="9.85546875" style="18" customWidth="1"/>
    <col min="10497" max="10497" width="14.42578125" style="18" customWidth="1"/>
    <col min="10498" max="10498" width="7.28515625" style="18" customWidth="1"/>
    <col min="10499" max="10499" width="5.5703125" style="18" customWidth="1"/>
    <col min="10500" max="10500" width="9" style="18" customWidth="1"/>
    <col min="10501" max="10502" width="9.85546875" style="18" customWidth="1"/>
    <col min="10503" max="10503" width="11.140625" style="18" customWidth="1"/>
    <col min="10504" max="10504" width="2.85546875" style="18" customWidth="1"/>
    <col min="10505" max="10505" width="3.5703125" style="18" customWidth="1"/>
    <col min="10506" max="10750" width="9.140625" style="18"/>
    <col min="10751" max="10751" width="8.7109375" style="18" customWidth="1"/>
    <col min="10752" max="10752" width="9.85546875" style="18" customWidth="1"/>
    <col min="10753" max="10753" width="14.42578125" style="18" customWidth="1"/>
    <col min="10754" max="10754" width="7.28515625" style="18" customWidth="1"/>
    <col min="10755" max="10755" width="5.5703125" style="18" customWidth="1"/>
    <col min="10756" max="10756" width="9" style="18" customWidth="1"/>
    <col min="10757" max="10758" width="9.85546875" style="18" customWidth="1"/>
    <col min="10759" max="10759" width="11.140625" style="18" customWidth="1"/>
    <col min="10760" max="10760" width="2.85546875" style="18" customWidth="1"/>
    <col min="10761" max="10761" width="3.5703125" style="18" customWidth="1"/>
    <col min="10762" max="11006" width="9.140625" style="18"/>
    <col min="11007" max="11007" width="8.7109375" style="18" customWidth="1"/>
    <col min="11008" max="11008" width="9.85546875" style="18" customWidth="1"/>
    <col min="11009" max="11009" width="14.42578125" style="18" customWidth="1"/>
    <col min="11010" max="11010" width="7.28515625" style="18" customWidth="1"/>
    <col min="11011" max="11011" width="5.5703125" style="18" customWidth="1"/>
    <col min="11012" max="11012" width="9" style="18" customWidth="1"/>
    <col min="11013" max="11014" width="9.85546875" style="18" customWidth="1"/>
    <col min="11015" max="11015" width="11.140625" style="18" customWidth="1"/>
    <col min="11016" max="11016" width="2.85546875" style="18" customWidth="1"/>
    <col min="11017" max="11017" width="3.5703125" style="18" customWidth="1"/>
    <col min="11018" max="11262" width="9.140625" style="18"/>
    <col min="11263" max="11263" width="8.7109375" style="18" customWidth="1"/>
    <col min="11264" max="11264" width="9.85546875" style="18" customWidth="1"/>
    <col min="11265" max="11265" width="14.42578125" style="18" customWidth="1"/>
    <col min="11266" max="11266" width="7.28515625" style="18" customWidth="1"/>
    <col min="11267" max="11267" width="5.5703125" style="18" customWidth="1"/>
    <col min="11268" max="11268" width="9" style="18" customWidth="1"/>
    <col min="11269" max="11270" width="9.85546875" style="18" customWidth="1"/>
    <col min="11271" max="11271" width="11.140625" style="18" customWidth="1"/>
    <col min="11272" max="11272" width="2.85546875" style="18" customWidth="1"/>
    <col min="11273" max="11273" width="3.5703125" style="18" customWidth="1"/>
    <col min="11274" max="11518" width="9.140625" style="18"/>
    <col min="11519" max="11519" width="8.7109375" style="18" customWidth="1"/>
    <col min="11520" max="11520" width="9.85546875" style="18" customWidth="1"/>
    <col min="11521" max="11521" width="14.42578125" style="18" customWidth="1"/>
    <col min="11522" max="11522" width="7.28515625" style="18" customWidth="1"/>
    <col min="11523" max="11523" width="5.5703125" style="18" customWidth="1"/>
    <col min="11524" max="11524" width="9" style="18" customWidth="1"/>
    <col min="11525" max="11526" width="9.85546875" style="18" customWidth="1"/>
    <col min="11527" max="11527" width="11.140625" style="18" customWidth="1"/>
    <col min="11528" max="11528" width="2.85546875" style="18" customWidth="1"/>
    <col min="11529" max="11529" width="3.5703125" style="18" customWidth="1"/>
    <col min="11530" max="11774" width="9.140625" style="18"/>
    <col min="11775" max="11775" width="8.7109375" style="18" customWidth="1"/>
    <col min="11776" max="11776" width="9.85546875" style="18" customWidth="1"/>
    <col min="11777" max="11777" width="14.42578125" style="18" customWidth="1"/>
    <col min="11778" max="11778" width="7.28515625" style="18" customWidth="1"/>
    <col min="11779" max="11779" width="5.5703125" style="18" customWidth="1"/>
    <col min="11780" max="11780" width="9" style="18" customWidth="1"/>
    <col min="11781" max="11782" width="9.85546875" style="18" customWidth="1"/>
    <col min="11783" max="11783" width="11.140625" style="18" customWidth="1"/>
    <col min="11784" max="11784" width="2.85546875" style="18" customWidth="1"/>
    <col min="11785" max="11785" width="3.5703125" style="18" customWidth="1"/>
    <col min="11786" max="12030" width="9.140625" style="18"/>
    <col min="12031" max="12031" width="8.7109375" style="18" customWidth="1"/>
    <col min="12032" max="12032" width="9.85546875" style="18" customWidth="1"/>
    <col min="12033" max="12033" width="14.42578125" style="18" customWidth="1"/>
    <col min="12034" max="12034" width="7.28515625" style="18" customWidth="1"/>
    <col min="12035" max="12035" width="5.5703125" style="18" customWidth="1"/>
    <col min="12036" max="12036" width="9" style="18" customWidth="1"/>
    <col min="12037" max="12038" width="9.85546875" style="18" customWidth="1"/>
    <col min="12039" max="12039" width="11.140625" style="18" customWidth="1"/>
    <col min="12040" max="12040" width="2.85546875" style="18" customWidth="1"/>
    <col min="12041" max="12041" width="3.5703125" style="18" customWidth="1"/>
    <col min="12042" max="12286" width="9.140625" style="18"/>
    <col min="12287" max="12287" width="8.7109375" style="18" customWidth="1"/>
    <col min="12288" max="12288" width="9.85546875" style="18" customWidth="1"/>
    <col min="12289" max="12289" width="14.42578125" style="18" customWidth="1"/>
    <col min="12290" max="12290" width="7.28515625" style="18" customWidth="1"/>
    <col min="12291" max="12291" width="5.5703125" style="18" customWidth="1"/>
    <col min="12292" max="12292" width="9" style="18" customWidth="1"/>
    <col min="12293" max="12294" width="9.85546875" style="18" customWidth="1"/>
    <col min="12295" max="12295" width="11.140625" style="18" customWidth="1"/>
    <col min="12296" max="12296" width="2.85546875" style="18" customWidth="1"/>
    <col min="12297" max="12297" width="3.5703125" style="18" customWidth="1"/>
    <col min="12298" max="12542" width="9.140625" style="18"/>
    <col min="12543" max="12543" width="8.7109375" style="18" customWidth="1"/>
    <col min="12544" max="12544" width="9.85546875" style="18" customWidth="1"/>
    <col min="12545" max="12545" width="14.42578125" style="18" customWidth="1"/>
    <col min="12546" max="12546" width="7.28515625" style="18" customWidth="1"/>
    <col min="12547" max="12547" width="5.5703125" style="18" customWidth="1"/>
    <col min="12548" max="12548" width="9" style="18" customWidth="1"/>
    <col min="12549" max="12550" width="9.85546875" style="18" customWidth="1"/>
    <col min="12551" max="12551" width="11.140625" style="18" customWidth="1"/>
    <col min="12552" max="12552" width="2.85546875" style="18" customWidth="1"/>
    <col min="12553" max="12553" width="3.5703125" style="18" customWidth="1"/>
    <col min="12554" max="12798" width="9.140625" style="18"/>
    <col min="12799" max="12799" width="8.7109375" style="18" customWidth="1"/>
    <col min="12800" max="12800" width="9.85546875" style="18" customWidth="1"/>
    <col min="12801" max="12801" width="14.42578125" style="18" customWidth="1"/>
    <col min="12802" max="12802" width="7.28515625" style="18" customWidth="1"/>
    <col min="12803" max="12803" width="5.5703125" style="18" customWidth="1"/>
    <col min="12804" max="12804" width="9" style="18" customWidth="1"/>
    <col min="12805" max="12806" width="9.85546875" style="18" customWidth="1"/>
    <col min="12807" max="12807" width="11.140625" style="18" customWidth="1"/>
    <col min="12808" max="12808" width="2.85546875" style="18" customWidth="1"/>
    <col min="12809" max="12809" width="3.5703125" style="18" customWidth="1"/>
    <col min="12810" max="13054" width="9.140625" style="18"/>
    <col min="13055" max="13055" width="8.7109375" style="18" customWidth="1"/>
    <col min="13056" max="13056" width="9.85546875" style="18" customWidth="1"/>
    <col min="13057" max="13057" width="14.42578125" style="18" customWidth="1"/>
    <col min="13058" max="13058" width="7.28515625" style="18" customWidth="1"/>
    <col min="13059" max="13059" width="5.5703125" style="18" customWidth="1"/>
    <col min="13060" max="13060" width="9" style="18" customWidth="1"/>
    <col min="13061" max="13062" width="9.85546875" style="18" customWidth="1"/>
    <col min="13063" max="13063" width="11.140625" style="18" customWidth="1"/>
    <col min="13064" max="13064" width="2.85546875" style="18" customWidth="1"/>
    <col min="13065" max="13065" width="3.5703125" style="18" customWidth="1"/>
    <col min="13066" max="13310" width="9.140625" style="18"/>
    <col min="13311" max="13311" width="8.7109375" style="18" customWidth="1"/>
    <col min="13312" max="13312" width="9.85546875" style="18" customWidth="1"/>
    <col min="13313" max="13313" width="14.42578125" style="18" customWidth="1"/>
    <col min="13314" max="13314" width="7.28515625" style="18" customWidth="1"/>
    <col min="13315" max="13315" width="5.5703125" style="18" customWidth="1"/>
    <col min="13316" max="13316" width="9" style="18" customWidth="1"/>
    <col min="13317" max="13318" width="9.85546875" style="18" customWidth="1"/>
    <col min="13319" max="13319" width="11.140625" style="18" customWidth="1"/>
    <col min="13320" max="13320" width="2.85546875" style="18" customWidth="1"/>
    <col min="13321" max="13321" width="3.5703125" style="18" customWidth="1"/>
    <col min="13322" max="13566" width="9.140625" style="18"/>
    <col min="13567" max="13567" width="8.7109375" style="18" customWidth="1"/>
    <col min="13568" max="13568" width="9.85546875" style="18" customWidth="1"/>
    <col min="13569" max="13569" width="14.42578125" style="18" customWidth="1"/>
    <col min="13570" max="13570" width="7.28515625" style="18" customWidth="1"/>
    <col min="13571" max="13571" width="5.5703125" style="18" customWidth="1"/>
    <col min="13572" max="13572" width="9" style="18" customWidth="1"/>
    <col min="13573" max="13574" width="9.85546875" style="18" customWidth="1"/>
    <col min="13575" max="13575" width="11.140625" style="18" customWidth="1"/>
    <col min="13576" max="13576" width="2.85546875" style="18" customWidth="1"/>
    <col min="13577" max="13577" width="3.5703125" style="18" customWidth="1"/>
    <col min="13578" max="13822" width="9.140625" style="18"/>
    <col min="13823" max="13823" width="8.7109375" style="18" customWidth="1"/>
    <col min="13824" max="13824" width="9.85546875" style="18" customWidth="1"/>
    <col min="13825" max="13825" width="14.42578125" style="18" customWidth="1"/>
    <col min="13826" max="13826" width="7.28515625" style="18" customWidth="1"/>
    <col min="13827" max="13827" width="5.5703125" style="18" customWidth="1"/>
    <col min="13828" max="13828" width="9" style="18" customWidth="1"/>
    <col min="13829" max="13830" width="9.85546875" style="18" customWidth="1"/>
    <col min="13831" max="13831" width="11.140625" style="18" customWidth="1"/>
    <col min="13832" max="13832" width="2.85546875" style="18" customWidth="1"/>
    <col min="13833" max="13833" width="3.5703125" style="18" customWidth="1"/>
    <col min="13834" max="14078" width="9.140625" style="18"/>
    <col min="14079" max="14079" width="8.7109375" style="18" customWidth="1"/>
    <col min="14080" max="14080" width="9.85546875" style="18" customWidth="1"/>
    <col min="14081" max="14081" width="14.42578125" style="18" customWidth="1"/>
    <col min="14082" max="14082" width="7.28515625" style="18" customWidth="1"/>
    <col min="14083" max="14083" width="5.5703125" style="18" customWidth="1"/>
    <col min="14084" max="14084" width="9" style="18" customWidth="1"/>
    <col min="14085" max="14086" width="9.85546875" style="18" customWidth="1"/>
    <col min="14087" max="14087" width="11.140625" style="18" customWidth="1"/>
    <col min="14088" max="14088" width="2.85546875" style="18" customWidth="1"/>
    <col min="14089" max="14089" width="3.5703125" style="18" customWidth="1"/>
    <col min="14090" max="14334" width="9.140625" style="18"/>
    <col min="14335" max="14335" width="8.7109375" style="18" customWidth="1"/>
    <col min="14336" max="14336" width="9.85546875" style="18" customWidth="1"/>
    <col min="14337" max="14337" width="14.42578125" style="18" customWidth="1"/>
    <col min="14338" max="14338" width="7.28515625" style="18" customWidth="1"/>
    <col min="14339" max="14339" width="5.5703125" style="18" customWidth="1"/>
    <col min="14340" max="14340" width="9" style="18" customWidth="1"/>
    <col min="14341" max="14342" width="9.85546875" style="18" customWidth="1"/>
    <col min="14343" max="14343" width="11.140625" style="18" customWidth="1"/>
    <col min="14344" max="14344" width="2.85546875" style="18" customWidth="1"/>
    <col min="14345" max="14345" width="3.5703125" style="18" customWidth="1"/>
    <col min="14346" max="14590" width="9.140625" style="18"/>
    <col min="14591" max="14591" width="8.7109375" style="18" customWidth="1"/>
    <col min="14592" max="14592" width="9.85546875" style="18" customWidth="1"/>
    <col min="14593" max="14593" width="14.42578125" style="18" customWidth="1"/>
    <col min="14594" max="14594" width="7.28515625" style="18" customWidth="1"/>
    <col min="14595" max="14595" width="5.5703125" style="18" customWidth="1"/>
    <col min="14596" max="14596" width="9" style="18" customWidth="1"/>
    <col min="14597" max="14598" width="9.85546875" style="18" customWidth="1"/>
    <col min="14599" max="14599" width="11.140625" style="18" customWidth="1"/>
    <col min="14600" max="14600" width="2.85546875" style="18" customWidth="1"/>
    <col min="14601" max="14601" width="3.5703125" style="18" customWidth="1"/>
    <col min="14602" max="14846" width="9.140625" style="18"/>
    <col min="14847" max="14847" width="8.7109375" style="18" customWidth="1"/>
    <col min="14848" max="14848" width="9.85546875" style="18" customWidth="1"/>
    <col min="14849" max="14849" width="14.42578125" style="18" customWidth="1"/>
    <col min="14850" max="14850" width="7.28515625" style="18" customWidth="1"/>
    <col min="14851" max="14851" width="5.5703125" style="18" customWidth="1"/>
    <col min="14852" max="14852" width="9" style="18" customWidth="1"/>
    <col min="14853" max="14854" width="9.85546875" style="18" customWidth="1"/>
    <col min="14855" max="14855" width="11.140625" style="18" customWidth="1"/>
    <col min="14856" max="14856" width="2.85546875" style="18" customWidth="1"/>
    <col min="14857" max="14857" width="3.5703125" style="18" customWidth="1"/>
    <col min="14858" max="15102" width="9.140625" style="18"/>
    <col min="15103" max="15103" width="8.7109375" style="18" customWidth="1"/>
    <col min="15104" max="15104" width="9.85546875" style="18" customWidth="1"/>
    <col min="15105" max="15105" width="14.42578125" style="18" customWidth="1"/>
    <col min="15106" max="15106" width="7.28515625" style="18" customWidth="1"/>
    <col min="15107" max="15107" width="5.5703125" style="18" customWidth="1"/>
    <col min="15108" max="15108" width="9" style="18" customWidth="1"/>
    <col min="15109" max="15110" width="9.85546875" style="18" customWidth="1"/>
    <col min="15111" max="15111" width="11.140625" style="18" customWidth="1"/>
    <col min="15112" max="15112" width="2.85546875" style="18" customWidth="1"/>
    <col min="15113" max="15113" width="3.5703125" style="18" customWidth="1"/>
    <col min="15114" max="15358" width="9.140625" style="18"/>
    <col min="15359" max="15359" width="8.7109375" style="18" customWidth="1"/>
    <col min="15360" max="15360" width="9.85546875" style="18" customWidth="1"/>
    <col min="15361" max="15361" width="14.42578125" style="18" customWidth="1"/>
    <col min="15362" max="15362" width="7.28515625" style="18" customWidth="1"/>
    <col min="15363" max="15363" width="5.5703125" style="18" customWidth="1"/>
    <col min="15364" max="15364" width="9" style="18" customWidth="1"/>
    <col min="15365" max="15366" width="9.85546875" style="18" customWidth="1"/>
    <col min="15367" max="15367" width="11.140625" style="18" customWidth="1"/>
    <col min="15368" max="15368" width="2.85546875" style="18" customWidth="1"/>
    <col min="15369" max="15369" width="3.5703125" style="18" customWidth="1"/>
    <col min="15370" max="15614" width="9.140625" style="18"/>
    <col min="15615" max="15615" width="8.7109375" style="18" customWidth="1"/>
    <col min="15616" max="15616" width="9.85546875" style="18" customWidth="1"/>
    <col min="15617" max="15617" width="14.42578125" style="18" customWidth="1"/>
    <col min="15618" max="15618" width="7.28515625" style="18" customWidth="1"/>
    <col min="15619" max="15619" width="5.5703125" style="18" customWidth="1"/>
    <col min="15620" max="15620" width="9" style="18" customWidth="1"/>
    <col min="15621" max="15622" width="9.85546875" style="18" customWidth="1"/>
    <col min="15623" max="15623" width="11.140625" style="18" customWidth="1"/>
    <col min="15624" max="15624" width="2.85546875" style="18" customWidth="1"/>
    <col min="15625" max="15625" width="3.5703125" style="18" customWidth="1"/>
    <col min="15626" max="15870" width="9.140625" style="18"/>
    <col min="15871" max="15871" width="8.7109375" style="18" customWidth="1"/>
    <col min="15872" max="15872" width="9.85546875" style="18" customWidth="1"/>
    <col min="15873" max="15873" width="14.42578125" style="18" customWidth="1"/>
    <col min="15874" max="15874" width="7.28515625" style="18" customWidth="1"/>
    <col min="15875" max="15875" width="5.5703125" style="18" customWidth="1"/>
    <col min="15876" max="15876" width="9" style="18" customWidth="1"/>
    <col min="15877" max="15878" width="9.85546875" style="18" customWidth="1"/>
    <col min="15879" max="15879" width="11.140625" style="18" customWidth="1"/>
    <col min="15880" max="15880" width="2.85546875" style="18" customWidth="1"/>
    <col min="15881" max="15881" width="3.5703125" style="18" customWidth="1"/>
    <col min="15882" max="16126" width="9.140625" style="18"/>
    <col min="16127" max="16127" width="8.7109375" style="18" customWidth="1"/>
    <col min="16128" max="16128" width="9.85546875" style="18" customWidth="1"/>
    <col min="16129" max="16129" width="14.42578125" style="18" customWidth="1"/>
    <col min="16130" max="16130" width="7.28515625" style="18" customWidth="1"/>
    <col min="16131" max="16131" width="5.5703125" style="18" customWidth="1"/>
    <col min="16132" max="16132" width="9" style="18" customWidth="1"/>
    <col min="16133" max="16134" width="9.85546875" style="18" customWidth="1"/>
    <col min="16135" max="16135" width="11.140625" style="18" customWidth="1"/>
    <col min="16136" max="16136" width="2.85546875" style="18" customWidth="1"/>
    <col min="16137" max="16137" width="3.5703125" style="18" customWidth="1"/>
    <col min="16138" max="16384" width="9.140625" style="18"/>
  </cols>
  <sheetData>
    <row r="1" spans="1:8" ht="46.5" customHeight="1" x14ac:dyDescent="0.25">
      <c r="A1" s="150" t="s">
        <v>217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</row>
    <row r="3" spans="1:8" x14ac:dyDescent="0.25">
      <c r="A3" s="97" t="s">
        <v>1</v>
      </c>
      <c r="B3" s="97"/>
      <c r="C3" s="97"/>
      <c r="D3" s="97"/>
      <c r="E3" s="152" t="str">
        <f ca="1">TEXT(TODAY(),"DD/MM/YYYY")</f>
        <v>13/08/2025</v>
      </c>
      <c r="F3" s="152"/>
      <c r="G3" s="152"/>
      <c r="H3" s="152"/>
    </row>
    <row r="4" spans="1:8" ht="15" customHeight="1" x14ac:dyDescent="0.25">
      <c r="A4" s="97" t="s">
        <v>2</v>
      </c>
      <c r="B4" s="97"/>
      <c r="C4" s="97"/>
      <c r="D4" s="97"/>
      <c r="E4" s="146" t="s">
        <v>248</v>
      </c>
      <c r="F4" s="146"/>
      <c r="G4" s="146"/>
      <c r="H4" s="146"/>
    </row>
    <row r="5" spans="1:8" x14ac:dyDescent="0.25">
      <c r="A5" s="97" t="s">
        <v>3</v>
      </c>
      <c r="B5" s="97"/>
      <c r="C5" s="97"/>
      <c r="D5" s="97"/>
      <c r="E5" s="152" t="s">
        <v>257</v>
      </c>
      <c r="F5" s="152"/>
      <c r="G5" s="152"/>
      <c r="H5" s="152"/>
    </row>
    <row r="6" spans="1:8" ht="16.5" customHeight="1" x14ac:dyDescent="0.25">
      <c r="A6" s="97" t="s">
        <v>4</v>
      </c>
      <c r="B6" s="97"/>
      <c r="C6" s="97"/>
      <c r="D6" s="97"/>
      <c r="E6" s="120" t="s">
        <v>168</v>
      </c>
      <c r="F6" s="120"/>
      <c r="G6" s="120"/>
      <c r="H6" s="120"/>
    </row>
    <row r="7" spans="1:8" ht="15" customHeight="1" x14ac:dyDescent="0.25">
      <c r="A7" s="97" t="s">
        <v>5</v>
      </c>
      <c r="B7" s="97"/>
      <c r="C7" s="97"/>
      <c r="D7" s="97"/>
      <c r="E7" s="120" t="str">
        <f>E6</f>
        <v>M/s.Pinnacle SPM Group</v>
      </c>
      <c r="F7" s="120"/>
      <c r="G7" s="120"/>
      <c r="H7" s="120"/>
    </row>
    <row r="8" spans="1:8" x14ac:dyDescent="0.25">
      <c r="A8" s="97" t="s">
        <v>6</v>
      </c>
      <c r="B8" s="97"/>
      <c r="C8" s="97"/>
      <c r="D8" s="97"/>
      <c r="E8" s="129" t="s">
        <v>169</v>
      </c>
      <c r="F8" s="129"/>
      <c r="G8" s="129"/>
      <c r="H8" s="129"/>
    </row>
    <row r="9" spans="1:8" x14ac:dyDescent="0.25">
      <c r="A9" s="97" t="s">
        <v>166</v>
      </c>
      <c r="B9" s="97"/>
      <c r="C9" s="97"/>
      <c r="D9" s="97"/>
      <c r="E9" s="97" t="s">
        <v>258</v>
      </c>
      <c r="F9" s="97"/>
      <c r="G9" s="97"/>
      <c r="H9" s="97"/>
    </row>
    <row r="10" spans="1:8" x14ac:dyDescent="0.25">
      <c r="A10" s="99" t="s">
        <v>7</v>
      </c>
      <c r="B10" s="99"/>
      <c r="C10" s="99"/>
      <c r="D10" s="99"/>
      <c r="E10" s="99" t="s">
        <v>222</v>
      </c>
      <c r="F10" s="99"/>
      <c r="G10" s="99"/>
      <c r="H10" s="99"/>
    </row>
    <row r="11" spans="1:8" x14ac:dyDescent="0.25">
      <c r="A11" s="97" t="s">
        <v>8</v>
      </c>
      <c r="B11" s="97"/>
      <c r="C11" s="97"/>
      <c r="D11" s="97"/>
      <c r="E11" s="98" t="s">
        <v>195</v>
      </c>
      <c r="F11" s="98"/>
      <c r="G11" s="98"/>
      <c r="H11" s="98"/>
    </row>
    <row r="12" spans="1:8" ht="33.75" customHeight="1" x14ac:dyDescent="0.25">
      <c r="A12" s="97" t="s">
        <v>241</v>
      </c>
      <c r="B12" s="97"/>
      <c r="C12" s="97"/>
      <c r="D12" s="97"/>
      <c r="E12" s="98" t="s">
        <v>242</v>
      </c>
      <c r="F12" s="99"/>
      <c r="G12" s="99"/>
      <c r="H12" s="99"/>
    </row>
    <row r="13" spans="1:8" ht="33" customHeight="1" x14ac:dyDescent="0.25">
      <c r="A13" s="120" t="s">
        <v>9</v>
      </c>
      <c r="B13" s="120"/>
      <c r="C13" s="12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Nano City, Survey No.8/2B, 8/1A, 9/8, near Diamond Lifespace, Neral - Badlapur Road, Joveli, Badlapur West, Ambernath, Thane.</v>
      </c>
      <c r="D13" s="120"/>
      <c r="E13" s="120"/>
      <c r="F13" s="120"/>
      <c r="G13" s="120"/>
      <c r="H13" s="120"/>
    </row>
    <row r="14" spans="1:8" x14ac:dyDescent="0.25">
      <c r="A14" s="98" t="s">
        <v>171</v>
      </c>
      <c r="B14" s="98"/>
      <c r="C14" s="98" t="s">
        <v>170</v>
      </c>
      <c r="D14" s="98"/>
      <c r="E14" s="98"/>
      <c r="F14" s="98"/>
      <c r="G14" s="98"/>
      <c r="H14" s="98"/>
    </row>
    <row r="15" spans="1:8" ht="15.75" customHeight="1" x14ac:dyDescent="0.25">
      <c r="A15" s="120" t="s">
        <v>10</v>
      </c>
      <c r="B15" s="120"/>
      <c r="C15" s="99" t="s">
        <v>179</v>
      </c>
      <c r="D15" s="99"/>
      <c r="E15" s="120" t="s">
        <v>104</v>
      </c>
      <c r="F15" s="120"/>
      <c r="G15" s="98" t="s">
        <v>173</v>
      </c>
      <c r="H15" s="98"/>
    </row>
    <row r="16" spans="1:8" x14ac:dyDescent="0.25">
      <c r="A16" s="97" t="s">
        <v>12</v>
      </c>
      <c r="B16" s="97"/>
      <c r="C16" s="98" t="s">
        <v>239</v>
      </c>
      <c r="D16" s="98"/>
      <c r="E16" s="120" t="s">
        <v>11</v>
      </c>
      <c r="F16" s="120"/>
      <c r="G16" s="147" t="s">
        <v>175</v>
      </c>
      <c r="H16" s="147"/>
    </row>
    <row r="17" spans="1:8" x14ac:dyDescent="0.25">
      <c r="A17" s="97" t="s">
        <v>105</v>
      </c>
      <c r="B17" s="97"/>
      <c r="C17" s="98" t="s">
        <v>174</v>
      </c>
      <c r="D17" s="98"/>
      <c r="E17" s="120" t="s">
        <v>13</v>
      </c>
      <c r="F17" s="120"/>
      <c r="G17" s="98">
        <v>421503</v>
      </c>
      <c r="H17" s="98"/>
    </row>
    <row r="18" spans="1:8" ht="32.25" customHeight="1" x14ac:dyDescent="0.25">
      <c r="A18" s="97" t="s">
        <v>167</v>
      </c>
      <c r="B18" s="97"/>
      <c r="C18" s="120" t="s">
        <v>240</v>
      </c>
      <c r="D18" s="120"/>
      <c r="E18" s="98" t="s">
        <v>14</v>
      </c>
      <c r="F18" s="98"/>
      <c r="G18" s="98" t="s">
        <v>180</v>
      </c>
      <c r="H18" s="98"/>
    </row>
    <row r="19" spans="1:8" ht="15" customHeight="1" x14ac:dyDescent="0.25">
      <c r="A19" s="120" t="s">
        <v>108</v>
      </c>
      <c r="B19" s="120"/>
      <c r="C19" s="120"/>
      <c r="D19" s="120"/>
      <c r="E19" s="99" t="s">
        <v>15</v>
      </c>
      <c r="F19" s="99"/>
      <c r="G19" s="99"/>
      <c r="H19" s="99"/>
    </row>
    <row r="20" spans="1:8" ht="18.75" customHeight="1" x14ac:dyDescent="0.25">
      <c r="A20" s="120"/>
      <c r="B20" s="120"/>
      <c r="C20" s="120"/>
      <c r="D20" s="120"/>
      <c r="E20" s="99"/>
      <c r="F20" s="99"/>
      <c r="G20" s="99"/>
      <c r="H20" s="99"/>
    </row>
    <row r="21" spans="1:8" ht="15" customHeight="1" x14ac:dyDescent="0.25">
      <c r="A21" s="120" t="s">
        <v>16</v>
      </c>
      <c r="B21" s="120"/>
      <c r="C21" s="120"/>
      <c r="D21" s="120"/>
      <c r="E21" s="98" t="s">
        <v>17</v>
      </c>
      <c r="F21" s="98"/>
      <c r="G21" s="98"/>
      <c r="H21" s="98"/>
    </row>
    <row r="22" spans="1:8" ht="15" customHeight="1" x14ac:dyDescent="0.25">
      <c r="A22" s="97" t="s">
        <v>18</v>
      </c>
      <c r="B22" s="97"/>
      <c r="C22" s="97"/>
      <c r="D22" s="97"/>
      <c r="E22" s="98" t="str">
        <f>IF(AND(G16="Mumbai"),"Upper Class","Middle Class")</f>
        <v>Middle Class</v>
      </c>
      <c r="F22" s="98"/>
      <c r="G22" s="98"/>
      <c r="H22" s="98"/>
    </row>
    <row r="23" spans="1:8" x14ac:dyDescent="0.25">
      <c r="A23" s="97" t="s">
        <v>19</v>
      </c>
      <c r="B23" s="97"/>
      <c r="C23" s="97"/>
      <c r="D23" s="97"/>
      <c r="E23" s="98" t="s">
        <v>20</v>
      </c>
      <c r="F23" s="98"/>
      <c r="G23" s="98"/>
      <c r="H23" s="98"/>
    </row>
    <row r="24" spans="1:8" ht="15.75" customHeight="1" x14ac:dyDescent="0.25">
      <c r="A24" s="97" t="s">
        <v>21</v>
      </c>
      <c r="B24" s="97"/>
      <c r="C24" s="97"/>
      <c r="D24" s="97"/>
      <c r="E24" s="98" t="str">
        <f>IF(AND(G16="Mumbai"),"Developed","Developing")</f>
        <v>Developing</v>
      </c>
      <c r="F24" s="98"/>
      <c r="G24" s="98"/>
      <c r="H24" s="98"/>
    </row>
    <row r="25" spans="1:8" x14ac:dyDescent="0.25">
      <c r="A25" s="97" t="s">
        <v>22</v>
      </c>
      <c r="B25" s="97"/>
      <c r="C25" s="97"/>
      <c r="D25" s="97"/>
      <c r="E25" s="98" t="s">
        <v>23</v>
      </c>
      <c r="F25" s="98"/>
      <c r="G25" s="98"/>
      <c r="H25" s="98"/>
    </row>
    <row r="26" spans="1:8" x14ac:dyDescent="0.25">
      <c r="A26" s="97" t="s">
        <v>115</v>
      </c>
      <c r="B26" s="97"/>
      <c r="C26" s="97"/>
      <c r="D26" s="97"/>
      <c r="E26" s="98" t="s">
        <v>116</v>
      </c>
      <c r="F26" s="98"/>
      <c r="G26" s="98"/>
      <c r="H26" s="98"/>
    </row>
    <row r="27" spans="1:8" ht="15" customHeight="1" x14ac:dyDescent="0.25">
      <c r="A27" s="120" t="s">
        <v>31</v>
      </c>
      <c r="B27" s="120"/>
      <c r="C27" s="120"/>
      <c r="D27" s="120"/>
      <c r="E27" s="146" t="s">
        <v>196</v>
      </c>
      <c r="F27" s="146"/>
      <c r="G27" s="146"/>
      <c r="H27" s="146"/>
    </row>
    <row r="28" spans="1:8" x14ac:dyDescent="0.25">
      <c r="A28" s="120" t="s">
        <v>128</v>
      </c>
      <c r="B28" s="120"/>
      <c r="C28" s="120"/>
      <c r="D28" s="120"/>
      <c r="E28" s="120" t="s">
        <v>32</v>
      </c>
      <c r="F28" s="120"/>
      <c r="G28" s="120"/>
      <c r="H28" s="120"/>
    </row>
    <row r="29" spans="1:8" s="56" customFormat="1" x14ac:dyDescent="0.25">
      <c r="A29" s="153" t="s">
        <v>129</v>
      </c>
      <c r="B29" s="153"/>
      <c r="C29" s="149" t="s">
        <v>232</v>
      </c>
      <c r="D29" s="149"/>
      <c r="E29" s="149"/>
      <c r="F29" s="149" t="s">
        <v>29</v>
      </c>
      <c r="G29" s="149"/>
      <c r="H29" s="149"/>
    </row>
    <row r="30" spans="1:8" s="56" customFormat="1" x14ac:dyDescent="0.25">
      <c r="A30" s="144" t="s">
        <v>24</v>
      </c>
      <c r="B30" s="144" t="s">
        <v>28</v>
      </c>
      <c r="C30" s="145" t="s">
        <v>233</v>
      </c>
      <c r="D30" s="145"/>
      <c r="E30" s="145"/>
      <c r="F30" s="145" t="s">
        <v>247</v>
      </c>
      <c r="G30" s="145"/>
      <c r="H30" s="145"/>
    </row>
    <row r="31" spans="1:8" x14ac:dyDescent="0.25">
      <c r="A31" s="144" t="s">
        <v>25</v>
      </c>
      <c r="B31" s="144" t="s">
        <v>28</v>
      </c>
      <c r="C31" s="145" t="s">
        <v>233</v>
      </c>
      <c r="D31" s="145"/>
      <c r="E31" s="145"/>
      <c r="F31" s="145" t="s">
        <v>178</v>
      </c>
      <c r="G31" s="145"/>
      <c r="H31" s="145"/>
    </row>
    <row r="32" spans="1:8" s="56" customFormat="1" x14ac:dyDescent="0.25">
      <c r="A32" s="144" t="s">
        <v>27</v>
      </c>
      <c r="B32" s="144" t="s">
        <v>28</v>
      </c>
      <c r="C32" s="145" t="s">
        <v>234</v>
      </c>
      <c r="D32" s="145"/>
      <c r="E32" s="145"/>
      <c r="F32" s="145" t="s">
        <v>177</v>
      </c>
      <c r="G32" s="145"/>
      <c r="H32" s="145"/>
    </row>
    <row r="33" spans="1:8" x14ac:dyDescent="0.25">
      <c r="A33" s="144" t="s">
        <v>26</v>
      </c>
      <c r="B33" s="144" t="s">
        <v>28</v>
      </c>
      <c r="C33" s="145" t="s">
        <v>233</v>
      </c>
      <c r="D33" s="145"/>
      <c r="E33" s="145"/>
      <c r="F33" s="145" t="s">
        <v>176</v>
      </c>
      <c r="G33" s="145"/>
      <c r="H33" s="145"/>
    </row>
    <row r="34" spans="1:8" x14ac:dyDescent="0.25">
      <c r="A34" s="97" t="s">
        <v>30</v>
      </c>
      <c r="B34" s="97"/>
      <c r="C34" s="97"/>
      <c r="D34" s="97"/>
      <c r="E34" s="97"/>
      <c r="F34" s="97"/>
      <c r="G34" s="97"/>
      <c r="H34" s="97"/>
    </row>
    <row r="35" spans="1:8" ht="15.75" customHeight="1" x14ac:dyDescent="0.25">
      <c r="A35" s="151" t="s">
        <v>218</v>
      </c>
      <c r="B35" s="151"/>
      <c r="C35" s="154" t="s">
        <v>221</v>
      </c>
      <c r="D35" s="154"/>
      <c r="E35" s="154"/>
      <c r="F35" s="154"/>
      <c r="G35" s="154"/>
      <c r="H35" s="154"/>
    </row>
    <row r="36" spans="1:8" ht="15.75" customHeight="1" x14ac:dyDescent="0.25">
      <c r="A36" s="151" t="s">
        <v>219</v>
      </c>
      <c r="B36" s="151"/>
      <c r="C36" s="155" t="s">
        <v>220</v>
      </c>
      <c r="D36" s="154"/>
      <c r="E36" s="154"/>
      <c r="F36" s="154"/>
      <c r="G36" s="154"/>
      <c r="H36" s="154"/>
    </row>
    <row r="37" spans="1:8" x14ac:dyDescent="0.25">
      <c r="A37" s="129" t="s">
        <v>33</v>
      </c>
      <c r="B37" s="129"/>
      <c r="C37" s="129"/>
      <c r="D37" s="129"/>
      <c r="E37" s="129"/>
      <c r="F37" s="129"/>
      <c r="G37" s="129"/>
      <c r="H37" s="129"/>
    </row>
    <row r="38" spans="1:8" x14ac:dyDescent="0.25">
      <c r="A38" s="97" t="s">
        <v>34</v>
      </c>
      <c r="B38" s="97"/>
      <c r="C38" s="97"/>
      <c r="D38" s="97"/>
      <c r="E38" s="148">
        <v>6635</v>
      </c>
      <c r="F38" s="148"/>
      <c r="G38" s="148"/>
      <c r="H38" s="148"/>
    </row>
    <row r="39" spans="1:8" x14ac:dyDescent="0.25">
      <c r="A39" s="97" t="s">
        <v>35</v>
      </c>
      <c r="B39" s="97"/>
      <c r="C39" s="97"/>
      <c r="D39" s="97"/>
      <c r="E39" s="143">
        <f>7298.5/E38</f>
        <v>1.1000000000000001</v>
      </c>
      <c r="F39" s="143"/>
      <c r="G39" s="143"/>
      <c r="H39" s="143"/>
    </row>
    <row r="40" spans="1:8" x14ac:dyDescent="0.25">
      <c r="A40" s="97" t="s">
        <v>36</v>
      </c>
      <c r="B40" s="97"/>
      <c r="C40" s="97"/>
      <c r="D40" s="97"/>
      <c r="E40" s="143">
        <f>E42/E38-E39</f>
        <v>1.8187731725697063</v>
      </c>
      <c r="F40" s="143"/>
      <c r="G40" s="143"/>
      <c r="H40" s="143"/>
    </row>
    <row r="41" spans="1:8" x14ac:dyDescent="0.25">
      <c r="A41" s="97" t="s">
        <v>37</v>
      </c>
      <c r="B41" s="97"/>
      <c r="C41" s="97"/>
      <c r="D41" s="97"/>
      <c r="E41" s="143">
        <f>E39+E40</f>
        <v>2.9187731725697064</v>
      </c>
      <c r="F41" s="143"/>
      <c r="G41" s="143"/>
      <c r="H41" s="143"/>
    </row>
    <row r="42" spans="1:8" x14ac:dyDescent="0.25">
      <c r="A42" s="97" t="s">
        <v>127</v>
      </c>
      <c r="B42" s="97"/>
      <c r="C42" s="97"/>
      <c r="D42" s="97"/>
      <c r="E42" s="122">
        <v>19366.060000000001</v>
      </c>
      <c r="F42" s="122"/>
      <c r="G42" s="122"/>
      <c r="H42" s="122"/>
    </row>
    <row r="43" spans="1:8" x14ac:dyDescent="0.25">
      <c r="A43" s="99" t="s">
        <v>38</v>
      </c>
      <c r="B43" s="99"/>
      <c r="C43" s="99"/>
      <c r="D43" s="99"/>
      <c r="E43" s="99" t="s">
        <v>245</v>
      </c>
      <c r="F43" s="99"/>
      <c r="G43" s="99"/>
      <c r="H43" s="99"/>
    </row>
    <row r="44" spans="1:8" x14ac:dyDescent="0.25">
      <c r="A44" s="129" t="s">
        <v>39</v>
      </c>
      <c r="B44" s="129"/>
      <c r="C44" s="129"/>
      <c r="D44" s="129"/>
      <c r="E44" s="129"/>
      <c r="F44" s="129"/>
      <c r="G44" s="129"/>
      <c r="H44" s="129"/>
    </row>
    <row r="45" spans="1:8" x14ac:dyDescent="0.25">
      <c r="A45" s="119" t="s">
        <v>40</v>
      </c>
      <c r="B45" s="119"/>
      <c r="C45" s="119" t="s">
        <v>223</v>
      </c>
      <c r="D45" s="119"/>
      <c r="E45" s="119"/>
      <c r="F45" s="91" t="s">
        <v>41</v>
      </c>
      <c r="G45" s="142">
        <v>45016</v>
      </c>
      <c r="H45" s="142"/>
    </row>
    <row r="46" spans="1:8" ht="31.5" customHeight="1" x14ac:dyDescent="0.25">
      <c r="A46" s="98" t="s">
        <v>225</v>
      </c>
      <c r="B46" s="98"/>
      <c r="C46" s="98" t="s">
        <v>223</v>
      </c>
      <c r="D46" s="98"/>
      <c r="E46" s="98"/>
      <c r="F46" s="54" t="s">
        <v>41</v>
      </c>
      <c r="G46" s="137">
        <v>45016</v>
      </c>
      <c r="H46" s="137"/>
    </row>
    <row r="47" spans="1:8" s="58" customFormat="1" ht="33" customHeight="1" x14ac:dyDescent="0.25">
      <c r="A47" s="98" t="s">
        <v>224</v>
      </c>
      <c r="B47" s="98"/>
      <c r="C47" s="98" t="s">
        <v>172</v>
      </c>
      <c r="D47" s="98"/>
      <c r="E47" s="98"/>
      <c r="F47" s="81" t="s">
        <v>41</v>
      </c>
      <c r="G47" s="137">
        <v>44264</v>
      </c>
      <c r="H47" s="137"/>
    </row>
    <row r="48" spans="1:8" s="58" customFormat="1" ht="36.75" customHeight="1" x14ac:dyDescent="0.25">
      <c r="A48" s="98" t="s">
        <v>227</v>
      </c>
      <c r="B48" s="98"/>
      <c r="C48" s="98" t="s">
        <v>226</v>
      </c>
      <c r="D48" s="99"/>
      <c r="E48" s="99"/>
      <c r="F48" s="57" t="s">
        <v>41</v>
      </c>
      <c r="G48" s="137">
        <f>G46</f>
        <v>45016</v>
      </c>
      <c r="H48" s="137"/>
    </row>
    <row r="49" spans="1:11" ht="33" customHeight="1" x14ac:dyDescent="0.25">
      <c r="A49" s="98"/>
      <c r="B49" s="98"/>
      <c r="C49" s="139" t="s">
        <v>228</v>
      </c>
      <c r="D49" s="140"/>
      <c r="E49" s="140"/>
      <c r="F49" s="140"/>
      <c r="G49" s="140"/>
      <c r="H49" s="141"/>
    </row>
    <row r="50" spans="1:11" ht="78" customHeight="1" x14ac:dyDescent="0.25">
      <c r="A50" s="94" t="s">
        <v>251</v>
      </c>
      <c r="B50" s="94"/>
      <c r="C50" s="94" t="s">
        <v>252</v>
      </c>
      <c r="D50" s="95"/>
      <c r="E50" s="95" t="s">
        <v>42</v>
      </c>
      <c r="F50" s="55" t="s">
        <v>41</v>
      </c>
      <c r="G50" s="138">
        <v>45497</v>
      </c>
      <c r="H50" s="138"/>
    </row>
    <row r="51" spans="1:11" x14ac:dyDescent="0.25">
      <c r="A51" s="121" t="s">
        <v>44</v>
      </c>
      <c r="B51" s="121"/>
      <c r="C51" s="121"/>
      <c r="D51" s="121"/>
      <c r="E51" s="121"/>
      <c r="F51" s="121"/>
      <c r="G51" s="121"/>
      <c r="H51" s="121"/>
    </row>
    <row r="52" spans="1:11" x14ac:dyDescent="0.25">
      <c r="A52" s="120" t="s">
        <v>126</v>
      </c>
      <c r="B52" s="120"/>
      <c r="C52" s="120"/>
      <c r="D52" s="122">
        <f>E42</f>
        <v>19366.060000000001</v>
      </c>
      <c r="E52" s="97"/>
      <c r="F52" s="97"/>
      <c r="G52" s="97"/>
      <c r="H52" s="97"/>
    </row>
    <row r="53" spans="1:11" x14ac:dyDescent="0.25">
      <c r="A53" s="98" t="s">
        <v>45</v>
      </c>
      <c r="B53" s="99"/>
      <c r="C53" s="99"/>
      <c r="D53" s="99" t="s">
        <v>238</v>
      </c>
      <c r="E53" s="99"/>
      <c r="F53" s="99"/>
      <c r="G53" s="99"/>
      <c r="H53" s="99"/>
    </row>
    <row r="54" spans="1:11" ht="34.5" customHeight="1" x14ac:dyDescent="0.25">
      <c r="A54" s="98" t="s">
        <v>46</v>
      </c>
      <c r="B54" s="99"/>
      <c r="C54" s="99"/>
      <c r="D54" s="98" t="s">
        <v>228</v>
      </c>
      <c r="E54" s="99"/>
      <c r="F54" s="99"/>
      <c r="G54" s="99"/>
      <c r="H54" s="99"/>
    </row>
    <row r="55" spans="1:11" ht="33" customHeight="1" x14ac:dyDescent="0.25">
      <c r="A55" s="98" t="s">
        <v>124</v>
      </c>
      <c r="B55" s="99"/>
      <c r="C55" s="99"/>
      <c r="D55" s="98" t="s">
        <v>228</v>
      </c>
      <c r="E55" s="99"/>
      <c r="F55" s="99"/>
      <c r="G55" s="99"/>
      <c r="H55" s="99"/>
    </row>
    <row r="56" spans="1:11" ht="33.75" customHeight="1" x14ac:dyDescent="0.25">
      <c r="A56" s="97" t="s">
        <v>43</v>
      </c>
      <c r="B56" s="97"/>
      <c r="C56" s="97"/>
      <c r="D56" s="120" t="s">
        <v>256</v>
      </c>
      <c r="E56" s="120"/>
      <c r="F56" s="120"/>
      <c r="G56" s="120"/>
      <c r="H56" s="120"/>
    </row>
    <row r="57" spans="1:11" ht="32.1" customHeight="1" x14ac:dyDescent="0.25">
      <c r="A57" s="97" t="s">
        <v>122</v>
      </c>
      <c r="B57" s="97"/>
      <c r="C57" s="97"/>
      <c r="D57" s="120" t="s">
        <v>254</v>
      </c>
      <c r="E57" s="120"/>
      <c r="F57" s="120"/>
      <c r="G57" s="120"/>
      <c r="H57" s="120"/>
      <c r="J57" s="16"/>
      <c r="K57" s="16"/>
    </row>
    <row r="58" spans="1:11" ht="15.75" customHeight="1" x14ac:dyDescent="0.25">
      <c r="A58" s="97" t="s">
        <v>123</v>
      </c>
      <c r="B58" s="97"/>
      <c r="C58" s="97"/>
      <c r="D58" s="120" t="s">
        <v>23</v>
      </c>
      <c r="E58" s="120"/>
      <c r="F58" s="120"/>
      <c r="G58" s="120"/>
      <c r="H58" s="120"/>
      <c r="J58" s="16"/>
      <c r="K58" s="16"/>
    </row>
    <row r="59" spans="1:11" customFormat="1" ht="15.75" customHeight="1" thickBot="1" x14ac:dyDescent="0.3">
      <c r="A59" s="135" t="s">
        <v>121</v>
      </c>
      <c r="B59" s="135"/>
      <c r="C59" s="135"/>
      <c r="D59" s="136" t="str">
        <f ca="1">(IF(G79&gt;95%,"Nothing",IF(G79&gt;0%,"Cement, Aggregate, Steel, etc",IF(G79=0%,"Work not yet Started"))))</f>
        <v>Nothing</v>
      </c>
      <c r="E59" s="136"/>
      <c r="F59" s="136"/>
      <c r="G59" s="136"/>
      <c r="H59" s="136"/>
      <c r="I59" s="18"/>
      <c r="J59" s="18"/>
    </row>
    <row r="60" spans="1:11" customFormat="1" x14ac:dyDescent="0.25">
      <c r="A60" s="94" t="s">
        <v>197</v>
      </c>
      <c r="B60" s="94"/>
      <c r="C60" s="94" t="s">
        <v>229</v>
      </c>
      <c r="D60" s="94"/>
      <c r="E60" s="94"/>
      <c r="F60" s="94"/>
      <c r="G60" s="94"/>
      <c r="H60" s="94"/>
      <c r="I60" s="13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upto 7 Slab, Brickwork upto 2 Floor Completed</v>
      </c>
      <c r="J60" s="14"/>
    </row>
    <row r="61" spans="1:11" customFormat="1" x14ac:dyDescent="0.25">
      <c r="A61" s="90" t="s">
        <v>198</v>
      </c>
      <c r="B61" s="90">
        <v>0</v>
      </c>
      <c r="C61" s="90" t="s">
        <v>103</v>
      </c>
      <c r="D61" s="90">
        <v>1</v>
      </c>
      <c r="E61" s="90" t="s">
        <v>102</v>
      </c>
      <c r="F61" s="90">
        <v>0</v>
      </c>
      <c r="G61" s="90" t="s">
        <v>114</v>
      </c>
      <c r="H61" s="90">
        <f ca="1">--TRIM(RIGHT(SUBSTITUTE(LEFT(C60,_xlfn.AGGREGATE(16,6,FIND({0,1,2,3,4,5,6,7,8,9},C60,ROW(INDIRECT("1:"&amp;LEN(C60)))),1))," ",REPT(" ",LEN(C60))),LEN(C60)))</f>
        <v>13</v>
      </c>
      <c r="I61" s="16"/>
      <c r="J61" s="17"/>
    </row>
    <row r="62" spans="1:11" customFormat="1" ht="32.1" customHeight="1" x14ac:dyDescent="0.25">
      <c r="A62" s="95" t="s">
        <v>125</v>
      </c>
      <c r="B62" s="95"/>
      <c r="C62" s="94" t="str">
        <f ca="1">I60</f>
        <v>Excavation work Completed. Plinth work completed, RCC upto 7 Slab, Brickwork upto 2 Floor Completed</v>
      </c>
      <c r="D62" s="94"/>
      <c r="E62" s="94"/>
      <c r="F62" s="94"/>
      <c r="G62" s="94"/>
      <c r="H62" s="94"/>
      <c r="I62" s="16" t="s">
        <v>146</v>
      </c>
      <c r="J62" s="17"/>
    </row>
    <row r="63" spans="1:11" customFormat="1" x14ac:dyDescent="0.25">
      <c r="A63" s="93" t="s">
        <v>47</v>
      </c>
      <c r="B63" s="93"/>
      <c r="C63" s="88" t="s">
        <v>199</v>
      </c>
      <c r="D63" s="88" t="s">
        <v>118</v>
      </c>
      <c r="E63" s="93" t="s">
        <v>120</v>
      </c>
      <c r="F63" s="93"/>
      <c r="G63" s="93" t="s">
        <v>119</v>
      </c>
      <c r="H63" s="93"/>
      <c r="I63" s="48" t="s">
        <v>200</v>
      </c>
      <c r="J63" s="19">
        <f ca="1">H61*25%</f>
        <v>3.25</v>
      </c>
    </row>
    <row r="64" spans="1:11" customFormat="1" x14ac:dyDescent="0.25">
      <c r="A64" s="93" t="s">
        <v>201</v>
      </c>
      <c r="B64" s="93"/>
      <c r="C64" s="59">
        <f ca="1">J65</f>
        <v>13</v>
      </c>
      <c r="D64" s="89">
        <f ca="1">((100/H61)*C64)/100</f>
        <v>1</v>
      </c>
      <c r="E64" s="96">
        <f ca="1">(((C65/H61*10)+(40/(D61+F61+H61)*C66)+(7.5/(H61)*C67)+(7.5/(H61)*C68)+(10/H61*C69)+(10/H61*C70)+(5/H61*C71)+(5/H61*C72)+(5/H61*C73))/100)</f>
        <v>0.31153846153846154</v>
      </c>
      <c r="F64" s="96"/>
      <c r="G64" s="96">
        <f ca="1">((((C64/H61)*20)+((C65/H61)*25)+(30/(H61+F61+D61)*C66)+(5/H61*C67)+(5/H61*C68)+(5/H61*C69)+(5/H61*C70)+(0/H61*C71)+(0/H61*C72)+(5/H61*C73))/100)</f>
        <v>0.60769230769230764</v>
      </c>
      <c r="H64" s="96"/>
      <c r="I64" s="48" t="s">
        <v>138</v>
      </c>
      <c r="J64" s="60">
        <f ca="1">H61*50%</f>
        <v>6.5</v>
      </c>
    </row>
    <row r="65" spans="1:14" customFormat="1" x14ac:dyDescent="0.25">
      <c r="A65" s="93" t="s">
        <v>48</v>
      </c>
      <c r="B65" s="93"/>
      <c r="C65" s="61">
        <f ca="1">J73</f>
        <v>13</v>
      </c>
      <c r="D65" s="89">
        <f ca="1">((100/H61)*C65)/100</f>
        <v>1</v>
      </c>
      <c r="E65" s="96"/>
      <c r="F65" s="96"/>
      <c r="G65" s="96"/>
      <c r="H65" s="96"/>
      <c r="I65" s="48" t="s">
        <v>139</v>
      </c>
      <c r="J65" s="60">
        <f ca="1">H61</f>
        <v>13</v>
      </c>
      <c r="L65" s="63"/>
    </row>
    <row r="66" spans="1:14" customFormat="1" ht="15.75" customHeight="1" x14ac:dyDescent="0.25">
      <c r="A66" s="93" t="s">
        <v>202</v>
      </c>
      <c r="B66" s="93"/>
      <c r="C66" s="61">
        <v>7</v>
      </c>
      <c r="D66" s="89">
        <f ca="1">((100/(D61+F61+H61))*C66)/100</f>
        <v>0.5</v>
      </c>
      <c r="E66" s="96"/>
      <c r="F66" s="96"/>
      <c r="G66" s="96"/>
      <c r="H66" s="96"/>
      <c r="I66" s="48" t="s">
        <v>140</v>
      </c>
      <c r="J66" s="62">
        <f ca="1">(IF(B61&gt;1,(H61/(B61+2)),H61/4))</f>
        <v>3.25</v>
      </c>
      <c r="L66" s="63"/>
    </row>
    <row r="67" spans="1:14" customFormat="1" ht="15.75" customHeight="1" x14ac:dyDescent="0.25">
      <c r="A67" s="93" t="s">
        <v>203</v>
      </c>
      <c r="B67" s="93" t="s">
        <v>204</v>
      </c>
      <c r="C67" s="59">
        <v>2</v>
      </c>
      <c r="D67" s="89">
        <f ca="1">((100/H61)*C67)/100</f>
        <v>0.15384615384615385</v>
      </c>
      <c r="E67" s="96"/>
      <c r="F67" s="96"/>
      <c r="G67" s="96"/>
      <c r="H67" s="96"/>
      <c r="I67" s="48" t="s">
        <v>141</v>
      </c>
      <c r="J67" s="62">
        <f ca="1">(IF(B61&gt;1,(H61/(B61+2)+J66),H61/4+J66))</f>
        <v>6.5</v>
      </c>
      <c r="L67" s="64"/>
      <c r="N67" s="63"/>
    </row>
    <row r="68" spans="1:14" customFormat="1" ht="15.75" customHeight="1" x14ac:dyDescent="0.25">
      <c r="A68" s="93" t="s">
        <v>205</v>
      </c>
      <c r="B68" s="93" t="s">
        <v>204</v>
      </c>
      <c r="C68" s="59">
        <v>0</v>
      </c>
      <c r="D68" s="89">
        <f ca="1">((100/H61)*C68)/100</f>
        <v>0</v>
      </c>
      <c r="E68" s="96"/>
      <c r="F68" s="96"/>
      <c r="G68" s="96"/>
      <c r="H68" s="96"/>
      <c r="I68" s="48" t="s">
        <v>206</v>
      </c>
      <c r="J68" s="62">
        <f>(IF(B61&gt;1,(H61/(B61+2)+J67),0))</f>
        <v>0</v>
      </c>
      <c r="K68" s="65"/>
      <c r="L68" s="64"/>
    </row>
    <row r="69" spans="1:14" customFormat="1" ht="15.75" customHeight="1" x14ac:dyDescent="0.25">
      <c r="A69" s="93" t="s">
        <v>207</v>
      </c>
      <c r="B69" s="93" t="s">
        <v>208</v>
      </c>
      <c r="C69" s="59">
        <v>0</v>
      </c>
      <c r="D69" s="89">
        <f ca="1">((100/(H61))*C69)/100</f>
        <v>0</v>
      </c>
      <c r="E69" s="96"/>
      <c r="F69" s="96"/>
      <c r="G69" s="96"/>
      <c r="H69" s="96"/>
      <c r="I69" s="48" t="s">
        <v>209</v>
      </c>
      <c r="J69" s="62">
        <f>(IF(B61&gt;2,(H61/(B61+2)+J68),0))</f>
        <v>0</v>
      </c>
      <c r="K69" s="65"/>
      <c r="L69" s="64"/>
    </row>
    <row r="70" spans="1:14" customFormat="1" ht="15.75" customHeight="1" x14ac:dyDescent="0.25">
      <c r="A70" s="93" t="s">
        <v>210</v>
      </c>
      <c r="B70" s="93" t="s">
        <v>210</v>
      </c>
      <c r="C70" s="59">
        <v>0</v>
      </c>
      <c r="D70" s="89">
        <f ca="1">((100/H61)*C70)/100</f>
        <v>0</v>
      </c>
      <c r="E70" s="96"/>
      <c r="F70" s="96"/>
      <c r="G70" s="96"/>
      <c r="H70" s="96"/>
      <c r="I70" s="48" t="s">
        <v>211</v>
      </c>
      <c r="J70" s="66">
        <f>(IF(B61&gt;3,(H61/(B61+2)+J69),0))</f>
        <v>0</v>
      </c>
      <c r="K70" s="63"/>
      <c r="L70" s="64"/>
    </row>
    <row r="71" spans="1:14" customFormat="1" ht="15.75" customHeight="1" x14ac:dyDescent="0.25">
      <c r="A71" s="93" t="s">
        <v>212</v>
      </c>
      <c r="B71" s="93"/>
      <c r="C71" s="59">
        <v>0</v>
      </c>
      <c r="D71" s="89">
        <f ca="1">((100/H61)*C71)/100</f>
        <v>0</v>
      </c>
      <c r="E71" s="96"/>
      <c r="F71" s="96"/>
      <c r="G71" s="96"/>
      <c r="H71" s="96"/>
      <c r="I71" s="48" t="s">
        <v>213</v>
      </c>
      <c r="J71" s="62">
        <f>(IF(B61&gt;4,(H61/(B61+2)+J70),0))</f>
        <v>0</v>
      </c>
      <c r="K71" s="65"/>
      <c r="L71" s="64"/>
    </row>
    <row r="72" spans="1:14" customFormat="1" x14ac:dyDescent="0.25">
      <c r="A72" s="93" t="s">
        <v>214</v>
      </c>
      <c r="B72" s="93" t="s">
        <v>214</v>
      </c>
      <c r="C72" s="59">
        <v>0</v>
      </c>
      <c r="D72" s="89">
        <f ca="1">((100/(H61))*C72)/100</f>
        <v>0</v>
      </c>
      <c r="E72" s="96"/>
      <c r="F72" s="96"/>
      <c r="G72" s="96"/>
      <c r="H72" s="96"/>
      <c r="I72" s="48" t="s">
        <v>142</v>
      </c>
      <c r="J72" s="62">
        <f ca="1">(IF(B61=1,(H61/(B61+3)+J67),IF(B61=0,(H61/4+J67),IF(B61&gt;1,0))))</f>
        <v>9.75</v>
      </c>
      <c r="K72" s="65"/>
      <c r="L72" s="64"/>
    </row>
    <row r="73" spans="1:14" customFormat="1" ht="15.75" customHeight="1" thickBot="1" x14ac:dyDescent="0.3">
      <c r="A73" s="93" t="s">
        <v>215</v>
      </c>
      <c r="B73" s="93"/>
      <c r="C73" s="59">
        <v>0</v>
      </c>
      <c r="D73" s="89">
        <f ca="1">((100/(H61))*C73)/100</f>
        <v>0</v>
      </c>
      <c r="E73" s="96"/>
      <c r="F73" s="96"/>
      <c r="G73" s="96"/>
      <c r="H73" s="96"/>
      <c r="I73" s="51" t="s">
        <v>143</v>
      </c>
      <c r="J73" s="67">
        <f ca="1">(IF(B61&gt;1.5,(H61/(B61+2)+J67+MAX(0,J68-J67)+MAX(0,J69-J68)+MAX(0,J70-J69)+MAX(0,J71-J70)+MAX(0,J72-J71)),IF(B61=1,(H61/(B61+3)+J72),IF(B61=0,H61/4+J72))))</f>
        <v>13</v>
      </c>
    </row>
    <row r="74" spans="1:14" customFormat="1" x14ac:dyDescent="0.25">
      <c r="A74" s="94" t="s">
        <v>197</v>
      </c>
      <c r="B74" s="94"/>
      <c r="C74" s="94" t="s">
        <v>255</v>
      </c>
      <c r="D74" s="94"/>
      <c r="E74" s="94"/>
      <c r="F74" s="94"/>
      <c r="G74" s="94"/>
      <c r="H74" s="94"/>
      <c r="I74" s="13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completed","0")))))))))))&amp;(IF(C81=(D75+F75+H75),", RCC Slab",IF(C81&gt;0,", RCC upto "&amp;C81&amp;" Slab",""))&amp;(IF(C82=H75,", Brickwork",IF(C82&gt;0,", Brickwork upto "&amp;C82&amp;" Floor",""))&amp;(IF(C83=H75,", Internal Plaster",IF(C83&gt;0,", Internal Plaster upto "&amp;C83&amp;" Floor",""))&amp;(IF(C84=H75,", External Plaster",IF(C84&gt;0,", External Plaster upto "&amp;C84&amp;" Floor",""))&amp;(IF(C85=H75,", Flooring",IF(C85&gt;0,", Flooring upto "&amp;C85&amp;" Floor",""))&amp;(IF(C86=H75,", Painting",IF(C86&gt;0,", Painting upto "&amp;C86&amp;" Floor",""))&amp;(IF(C87&gt;0,", Finishing upto "&amp;C87&amp;" Floor","")&amp;(IF(C81&gt;0.5," Completed",""))))))))))))))</f>
        <v>All work completed. Please provide OC.</v>
      </c>
      <c r="J74" s="14"/>
    </row>
    <row r="75" spans="1:14" customFormat="1" x14ac:dyDescent="0.25">
      <c r="A75" s="85" t="s">
        <v>198</v>
      </c>
      <c r="B75" s="85">
        <v>0</v>
      </c>
      <c r="C75" s="85" t="s">
        <v>103</v>
      </c>
      <c r="D75" s="85">
        <v>1</v>
      </c>
      <c r="E75" s="85" t="s">
        <v>102</v>
      </c>
      <c r="F75" s="85">
        <v>0</v>
      </c>
      <c r="G75" s="85" t="s">
        <v>114</v>
      </c>
      <c r="H75" s="85">
        <f ca="1">--TRIM(RIGHT(SUBSTITUTE(LEFT(C74,_xlfn.AGGREGATE(16,6,FIND({0,1,2,3,4,5,6,7,8,9},C74,ROW(INDIRECT("1:"&amp;LEN(C74)))),1))," ",REPT(" ",LEN(C74))),LEN(C74)))</f>
        <v>11</v>
      </c>
      <c r="I75" s="16"/>
      <c r="J75" s="17"/>
    </row>
    <row r="76" spans="1:14" customFormat="1" x14ac:dyDescent="0.25">
      <c r="A76" s="95" t="s">
        <v>125</v>
      </c>
      <c r="B76" s="95"/>
      <c r="C76" s="94" t="str">
        <f>I76</f>
        <v>All work Completed. OC Received.</v>
      </c>
      <c r="D76" s="94"/>
      <c r="E76" s="94"/>
      <c r="F76" s="94"/>
      <c r="G76" s="94"/>
      <c r="H76" s="94"/>
      <c r="I76" s="16" t="s">
        <v>146</v>
      </c>
      <c r="J76" s="17"/>
    </row>
    <row r="77" spans="1:14" customFormat="1" ht="34.5" customHeight="1" x14ac:dyDescent="0.25">
      <c r="A77" s="123" t="s">
        <v>120</v>
      </c>
      <c r="B77" s="123"/>
      <c r="C77" s="124">
        <f ca="1">E79</f>
        <v>1</v>
      </c>
      <c r="D77" s="125"/>
      <c r="E77" s="125" t="s">
        <v>119</v>
      </c>
      <c r="F77" s="125"/>
      <c r="G77" s="124">
        <f ca="1">G79</f>
        <v>1</v>
      </c>
      <c r="H77" s="125"/>
      <c r="I77" s="16"/>
      <c r="J77" s="17"/>
    </row>
    <row r="78" spans="1:14" customFormat="1" hidden="1" x14ac:dyDescent="0.25">
      <c r="A78" s="93" t="s">
        <v>47</v>
      </c>
      <c r="B78" s="93"/>
      <c r="C78" s="86" t="s">
        <v>199</v>
      </c>
      <c r="D78" s="86" t="s">
        <v>118</v>
      </c>
      <c r="E78" s="93" t="s">
        <v>120</v>
      </c>
      <c r="F78" s="93"/>
      <c r="G78" s="93" t="s">
        <v>119</v>
      </c>
      <c r="H78" s="93"/>
      <c r="I78" s="48" t="s">
        <v>200</v>
      </c>
      <c r="J78" s="19">
        <f ca="1">H75*25%</f>
        <v>2.75</v>
      </c>
    </row>
    <row r="79" spans="1:14" customFormat="1" hidden="1" x14ac:dyDescent="0.25">
      <c r="A79" s="93" t="s">
        <v>201</v>
      </c>
      <c r="B79" s="93"/>
      <c r="C79" s="59">
        <f ca="1">J80</f>
        <v>11</v>
      </c>
      <c r="D79" s="87">
        <f ca="1">((100/H75)*C79)/100</f>
        <v>1.0000000000000002</v>
      </c>
      <c r="E79" s="96">
        <f ca="1">(((C80/H75*10)+(40/(D75+F75+H75)*C81)+(7.5/(H75)*C82)+(7.5/(H75)*C83)+(10/H75*C84)+(10/H75*C85)+(5/H75*C86)+(5/H75*C87)+(5/H75*C88))/100)</f>
        <v>1</v>
      </c>
      <c r="F79" s="96"/>
      <c r="G79" s="96">
        <f ca="1">((((C79/H75)*20)+((C80/H75)*25)+(30/(H75+F75+D75)*C81)+(5/H75*C82)+(5/H75*C83)+(5/H75*C84)+(5/H75*C85)+(0/H75*C86)+(0/H75*C87)+(5/H75*C88))/100)</f>
        <v>1</v>
      </c>
      <c r="H79" s="96"/>
      <c r="I79" s="48" t="s">
        <v>138</v>
      </c>
      <c r="J79" s="60">
        <f ca="1">H75*50%</f>
        <v>5.5</v>
      </c>
    </row>
    <row r="80" spans="1:14" customFormat="1" hidden="1" x14ac:dyDescent="0.25">
      <c r="A80" s="93" t="s">
        <v>48</v>
      </c>
      <c r="B80" s="93"/>
      <c r="C80" s="61">
        <v>11</v>
      </c>
      <c r="D80" s="87">
        <f ca="1">((100/H75)*C80)/100</f>
        <v>1.0000000000000002</v>
      </c>
      <c r="E80" s="96"/>
      <c r="F80" s="96"/>
      <c r="G80" s="96"/>
      <c r="H80" s="96"/>
      <c r="I80" s="48" t="s">
        <v>139</v>
      </c>
      <c r="J80" s="60">
        <f ca="1">H75</f>
        <v>11</v>
      </c>
      <c r="L80" s="63"/>
    </row>
    <row r="81" spans="1:14" customFormat="1" ht="15.75" hidden="1" customHeight="1" x14ac:dyDescent="0.25">
      <c r="A81" s="93" t="s">
        <v>202</v>
      </c>
      <c r="B81" s="93"/>
      <c r="C81" s="61">
        <v>12</v>
      </c>
      <c r="D81" s="87">
        <f ca="1">((100/(D75+F75+H75))*C81)/100</f>
        <v>1</v>
      </c>
      <c r="E81" s="96"/>
      <c r="F81" s="96"/>
      <c r="G81" s="96"/>
      <c r="H81" s="96"/>
      <c r="I81" s="48" t="s">
        <v>140</v>
      </c>
      <c r="J81" s="62">
        <f ca="1">(IF(B75&gt;1,(H75/(B75+2)),H75/4))</f>
        <v>2.75</v>
      </c>
      <c r="L81" s="63"/>
    </row>
    <row r="82" spans="1:14" customFormat="1" ht="15.75" hidden="1" customHeight="1" x14ac:dyDescent="0.25">
      <c r="A82" s="93" t="s">
        <v>203</v>
      </c>
      <c r="B82" s="93" t="s">
        <v>204</v>
      </c>
      <c r="C82" s="59">
        <v>11</v>
      </c>
      <c r="D82" s="87">
        <f ca="1">((100/H75)*C82)/100</f>
        <v>1.0000000000000002</v>
      </c>
      <c r="E82" s="96"/>
      <c r="F82" s="96"/>
      <c r="G82" s="96"/>
      <c r="H82" s="96"/>
      <c r="I82" s="48" t="s">
        <v>141</v>
      </c>
      <c r="J82" s="62">
        <f ca="1">(IF(B75&gt;1,(H75/(B75+2)+J81),H75/4+J81))</f>
        <v>5.5</v>
      </c>
      <c r="L82" s="64"/>
      <c r="N82" s="63"/>
    </row>
    <row r="83" spans="1:14" customFormat="1" ht="15.75" hidden="1" customHeight="1" x14ac:dyDescent="0.25">
      <c r="A83" s="93" t="s">
        <v>205</v>
      </c>
      <c r="B83" s="93" t="s">
        <v>204</v>
      </c>
      <c r="C83" s="59">
        <v>11</v>
      </c>
      <c r="D83" s="87">
        <f ca="1">((100/H75)*C83)/100</f>
        <v>1.0000000000000002</v>
      </c>
      <c r="E83" s="96"/>
      <c r="F83" s="96"/>
      <c r="G83" s="96"/>
      <c r="H83" s="96"/>
      <c r="I83" s="48" t="s">
        <v>206</v>
      </c>
      <c r="J83" s="62">
        <f>(IF(B75&gt;1,(H75/(B75+2)+J82),0))</f>
        <v>0</v>
      </c>
      <c r="K83" s="65"/>
      <c r="L83" s="64"/>
    </row>
    <row r="84" spans="1:14" customFormat="1" ht="15.75" hidden="1" customHeight="1" x14ac:dyDescent="0.25">
      <c r="A84" s="93" t="s">
        <v>207</v>
      </c>
      <c r="B84" s="93" t="s">
        <v>208</v>
      </c>
      <c r="C84" s="59">
        <v>11</v>
      </c>
      <c r="D84" s="87">
        <f ca="1">((100/(H75))*C84)/100</f>
        <v>1.0000000000000002</v>
      </c>
      <c r="E84" s="96"/>
      <c r="F84" s="96"/>
      <c r="G84" s="96"/>
      <c r="H84" s="96"/>
      <c r="I84" s="48" t="s">
        <v>209</v>
      </c>
      <c r="J84" s="62">
        <f>(IF(B75&gt;2,(H75/(B75+2)+J83),0))</f>
        <v>0</v>
      </c>
      <c r="K84" s="65"/>
      <c r="L84" s="64"/>
    </row>
    <row r="85" spans="1:14" customFormat="1" ht="15.75" hidden="1" customHeight="1" x14ac:dyDescent="0.25">
      <c r="A85" s="93" t="s">
        <v>210</v>
      </c>
      <c r="B85" s="93" t="s">
        <v>210</v>
      </c>
      <c r="C85" s="59">
        <v>11</v>
      </c>
      <c r="D85" s="87">
        <f ca="1">((100/H75)*C85)/100</f>
        <v>1.0000000000000002</v>
      </c>
      <c r="E85" s="96"/>
      <c r="F85" s="96"/>
      <c r="G85" s="96"/>
      <c r="H85" s="96"/>
      <c r="I85" s="48" t="s">
        <v>211</v>
      </c>
      <c r="J85" s="66">
        <f>(IF(B75&gt;3,(H75/(B75+2)+J84),0))</f>
        <v>0</v>
      </c>
      <c r="K85" s="63"/>
      <c r="L85" s="64"/>
    </row>
    <row r="86" spans="1:14" customFormat="1" ht="15.75" hidden="1" customHeight="1" x14ac:dyDescent="0.25">
      <c r="A86" s="93" t="s">
        <v>212</v>
      </c>
      <c r="B86" s="93"/>
      <c r="C86" s="59">
        <v>11</v>
      </c>
      <c r="D86" s="87">
        <f ca="1">((100/H75)*C86)/100</f>
        <v>1.0000000000000002</v>
      </c>
      <c r="E86" s="96"/>
      <c r="F86" s="96"/>
      <c r="G86" s="96"/>
      <c r="H86" s="96"/>
      <c r="I86" s="48" t="s">
        <v>213</v>
      </c>
      <c r="J86" s="62">
        <f>(IF(B75&gt;4,(H75/(B75+2)+J85),0))</f>
        <v>0</v>
      </c>
      <c r="K86" s="65"/>
      <c r="L86" s="64"/>
    </row>
    <row r="87" spans="1:14" customFormat="1" hidden="1" x14ac:dyDescent="0.25">
      <c r="A87" s="93" t="s">
        <v>214</v>
      </c>
      <c r="B87" s="93" t="s">
        <v>214</v>
      </c>
      <c r="C87" s="59">
        <v>11</v>
      </c>
      <c r="D87" s="87">
        <f ca="1">((100/(H75))*C87)/100</f>
        <v>1.0000000000000002</v>
      </c>
      <c r="E87" s="96"/>
      <c r="F87" s="96"/>
      <c r="G87" s="96"/>
      <c r="H87" s="96"/>
      <c r="I87" s="48" t="s">
        <v>142</v>
      </c>
      <c r="J87" s="62">
        <f ca="1">(IF(B75=1,(H75/(B75+3)+J82),IF(B75=0,(H75/4+J82),IF(B75&gt;1,0))))</f>
        <v>8.25</v>
      </c>
      <c r="K87" s="65"/>
      <c r="L87" s="64"/>
    </row>
    <row r="88" spans="1:14" ht="16.5" hidden="1" thickBot="1" x14ac:dyDescent="0.3">
      <c r="A88" s="93" t="s">
        <v>215</v>
      </c>
      <c r="B88" s="93"/>
      <c r="C88" s="59">
        <v>11</v>
      </c>
      <c r="D88" s="87">
        <f ca="1">((100/(H75))*C88)/100</f>
        <v>1.0000000000000002</v>
      </c>
      <c r="E88" s="96"/>
      <c r="F88" s="96"/>
      <c r="G88" s="96"/>
      <c r="H88" s="96"/>
      <c r="I88" s="51" t="s">
        <v>143</v>
      </c>
      <c r="J88" s="67">
        <f ca="1">(IF(B75&gt;1.5,(H75/(B75+2)+J82+MAX(0,J83-J82)+MAX(0,J84-J83)+MAX(0,J85-J84)+MAX(0,J86-J85)+MAX(0,J87-J86)),IF(B75=1,(H75/(B75+3)+J87),IF(B75=0,H75/4+J87))))</f>
        <v>11</v>
      </c>
    </row>
    <row r="89" spans="1:14" customFormat="1" hidden="1" x14ac:dyDescent="0.25">
      <c r="A89" s="94" t="s">
        <v>197</v>
      </c>
      <c r="B89" s="94"/>
      <c r="C89" s="94" t="s">
        <v>250</v>
      </c>
      <c r="D89" s="94"/>
      <c r="E89" s="94"/>
      <c r="F89" s="94"/>
      <c r="G89" s="94"/>
      <c r="H89" s="94"/>
      <c r="I89" s="13" t="str">
        <f ca="1">(IF(E93&gt;99%,"All work completed. Please provide OC.",IF(E93&gt;89.8%,"Plinth, RCC, Brick, Plaster, Flooring, Painting work Completed. Finishing work is in process.",IF(E93&lt;94%,(IF(C93=0,"Work not yet Started.",IF(D93=25%,"Piling work in process",IF(D93=50%,"Excavation work in process",IF(D93=100%,"Excavation work Completed. ","0")))&amp;(IF(C94=0%,"",IF(C94=J95,"Footing work is process",IF(C94=J96,"Footing work Completed",IF(C94=J97,"1st Basement Completed",IF(C94=J98,"1st &amp; 2nd Basement Completed",IF(C94=J99,"1st to 3rd Basement Completed",IF(C94=J100,"1st to 4th Basement Completed",IF(C94=J101,"Plinth work is process",IF(C94=J102,"Plinth work completed","0")))))))))))&amp;(IF(C95=(D90+F90+H90),", RCC Slab",IF(C95&gt;0,", RCC upto "&amp;C95&amp;" Slab",""))&amp;(IF(C96=H90,", Brickwork",IF(C96&gt;0,", Brickwork upto "&amp;C96&amp;" Floor",""))&amp;(IF(C97=H90,", Internal Plaster",IF(C97&gt;0,", Internal Plaster upto "&amp;C97&amp;" Floor",""))&amp;(IF(C98=H90,", External Plaster",IF(C98&gt;0,", External Plaster upto "&amp;C98&amp;" Floor",""))&amp;(IF(C99=H90,", Flooring",IF(C99&gt;0,", Flooring upto "&amp;C99&amp;" Floor",""))&amp;(IF(C100=H90,", Painting",IF(C100&gt;0,", Painting upto "&amp;C100&amp;" Floor",""))&amp;(IF(C101&gt;0,", Finishing upto "&amp;C101&amp;" Floor","")&amp;(IF(C95&gt;0.5," Completed",""))))))))))))))</f>
        <v>Plinth, RCC, Brick, Plaster, Flooring, Painting work Completed. Finishing work is in process.</v>
      </c>
      <c r="J89" s="14"/>
    </row>
    <row r="90" spans="1:14" customFormat="1" hidden="1" x14ac:dyDescent="0.25">
      <c r="A90" s="85" t="s">
        <v>198</v>
      </c>
      <c r="B90" s="85">
        <v>0</v>
      </c>
      <c r="C90" s="85" t="s">
        <v>103</v>
      </c>
      <c r="D90" s="85">
        <v>1</v>
      </c>
      <c r="E90" s="85" t="s">
        <v>102</v>
      </c>
      <c r="F90" s="85">
        <v>0</v>
      </c>
      <c r="G90" s="85" t="s">
        <v>114</v>
      </c>
      <c r="H90" s="85">
        <f ca="1">--TRIM(RIGHT(SUBSTITUTE(LEFT(C89,_xlfn.AGGREGATE(16,6,FIND({0,1,2,3,4,5,6,7,8,9},C89,ROW(INDIRECT("1:"&amp;LEN(C89)))),1))," ",REPT(" ",LEN(C89))),LEN(C89)))</f>
        <v>11</v>
      </c>
      <c r="I90" s="16"/>
      <c r="J90" s="17"/>
    </row>
    <row r="91" spans="1:14" customFormat="1" hidden="1" x14ac:dyDescent="0.25">
      <c r="A91" s="95" t="s">
        <v>125</v>
      </c>
      <c r="B91" s="95"/>
      <c r="C91" s="94" t="s">
        <v>253</v>
      </c>
      <c r="D91" s="94"/>
      <c r="E91" s="94"/>
      <c r="F91" s="94"/>
      <c r="G91" s="94"/>
      <c r="H91" s="94"/>
      <c r="I91" s="16" t="s">
        <v>146</v>
      </c>
      <c r="J91" s="17"/>
    </row>
    <row r="92" spans="1:14" customFormat="1" hidden="1" x14ac:dyDescent="0.25">
      <c r="A92" s="93" t="s">
        <v>47</v>
      </c>
      <c r="B92" s="93"/>
      <c r="C92" s="86" t="s">
        <v>199</v>
      </c>
      <c r="D92" s="86" t="s">
        <v>118</v>
      </c>
      <c r="E92" s="93" t="s">
        <v>120</v>
      </c>
      <c r="F92" s="93"/>
      <c r="G92" s="93" t="s">
        <v>119</v>
      </c>
      <c r="H92" s="93"/>
      <c r="I92" s="48" t="s">
        <v>200</v>
      </c>
      <c r="J92" s="19">
        <f ca="1">H90*25%</f>
        <v>2.75</v>
      </c>
    </row>
    <row r="93" spans="1:14" customFormat="1" hidden="1" x14ac:dyDescent="0.25">
      <c r="A93" s="93" t="s">
        <v>201</v>
      </c>
      <c r="B93" s="93"/>
      <c r="C93" s="59">
        <f ca="1">J94</f>
        <v>11</v>
      </c>
      <c r="D93" s="87">
        <f ca="1">((100/H90)*C93)/100</f>
        <v>1.0000000000000002</v>
      </c>
      <c r="E93" s="96">
        <f ca="1">(((C94/H90*10)+(40/(D90+F90+H90)*C95)+(7.5/(H90)*C96)+(7.5/(H90)*C97)+(10/H90*C98)+(10/H90*C99)+(5/H90*C100)+(5/H90*C101)+(5/H90*C102))/100)</f>
        <v>0.97272727272727277</v>
      </c>
      <c r="F93" s="96"/>
      <c r="G93" s="96">
        <f ca="1">((((C93/H90)*20)+((C94/H90)*25)+(30/(H90+F90+D90)*C95)+(5/H90*C96)+(5/H90*C97)+(5/H90*C98)+(5/H90*C99)+(0/H90*C100)+(0/H90*C101)+(5/H90*C102))/100)</f>
        <v>0.98181818181818192</v>
      </c>
      <c r="H93" s="96"/>
      <c r="I93" s="48" t="s">
        <v>138</v>
      </c>
      <c r="J93" s="60">
        <f ca="1">H90*50%</f>
        <v>5.5</v>
      </c>
    </row>
    <row r="94" spans="1:14" customFormat="1" hidden="1" x14ac:dyDescent="0.25">
      <c r="A94" s="93" t="s">
        <v>48</v>
      </c>
      <c r="B94" s="93"/>
      <c r="C94" s="61">
        <v>11</v>
      </c>
      <c r="D94" s="87">
        <f ca="1">((100/H90)*C94)/100</f>
        <v>1.0000000000000002</v>
      </c>
      <c r="E94" s="96"/>
      <c r="F94" s="96"/>
      <c r="G94" s="96"/>
      <c r="H94" s="96"/>
      <c r="I94" s="48" t="s">
        <v>139</v>
      </c>
      <c r="J94" s="60">
        <f ca="1">H90</f>
        <v>11</v>
      </c>
      <c r="L94" s="63"/>
    </row>
    <row r="95" spans="1:14" customFormat="1" ht="15.75" hidden="1" customHeight="1" x14ac:dyDescent="0.25">
      <c r="A95" s="93" t="s">
        <v>202</v>
      </c>
      <c r="B95" s="93"/>
      <c r="C95" s="61">
        <v>12</v>
      </c>
      <c r="D95" s="87">
        <f ca="1">((100/(D90+F90+H90))*C95)/100</f>
        <v>1</v>
      </c>
      <c r="E95" s="96"/>
      <c r="F95" s="96"/>
      <c r="G95" s="96"/>
      <c r="H95" s="96"/>
      <c r="I95" s="48" t="s">
        <v>140</v>
      </c>
      <c r="J95" s="62">
        <f ca="1">(IF(B90&gt;1,(H90/(B90+2)),H90/4))</f>
        <v>2.75</v>
      </c>
      <c r="L95" s="63"/>
    </row>
    <row r="96" spans="1:14" customFormat="1" ht="15.75" hidden="1" customHeight="1" x14ac:dyDescent="0.25">
      <c r="A96" s="93" t="s">
        <v>203</v>
      </c>
      <c r="B96" s="93" t="s">
        <v>204</v>
      </c>
      <c r="C96" s="59">
        <v>11</v>
      </c>
      <c r="D96" s="87">
        <f ca="1">((100/H90)*C96)/100</f>
        <v>1.0000000000000002</v>
      </c>
      <c r="E96" s="96"/>
      <c r="F96" s="96"/>
      <c r="G96" s="96"/>
      <c r="H96" s="96"/>
      <c r="I96" s="48" t="s">
        <v>141</v>
      </c>
      <c r="J96" s="62">
        <f ca="1">(IF(B90&gt;1,(H90/(B90+2)+J95),H90/4+J95))</f>
        <v>5.5</v>
      </c>
      <c r="L96" s="64"/>
      <c r="N96" s="63"/>
    </row>
    <row r="97" spans="1:12" customFormat="1" ht="15.75" hidden="1" customHeight="1" x14ac:dyDescent="0.25">
      <c r="A97" s="93" t="s">
        <v>205</v>
      </c>
      <c r="B97" s="93" t="s">
        <v>204</v>
      </c>
      <c r="C97" s="59">
        <v>11</v>
      </c>
      <c r="D97" s="87">
        <f ca="1">((100/H90)*C97)/100</f>
        <v>1.0000000000000002</v>
      </c>
      <c r="E97" s="96"/>
      <c r="F97" s="96"/>
      <c r="G97" s="96"/>
      <c r="H97" s="96"/>
      <c r="I97" s="48" t="s">
        <v>206</v>
      </c>
      <c r="J97" s="62">
        <f>(IF(B90&gt;1,(H90/(B90+2)+J96),0))</f>
        <v>0</v>
      </c>
      <c r="K97" s="65"/>
      <c r="L97" s="64"/>
    </row>
    <row r="98" spans="1:12" customFormat="1" ht="15.75" hidden="1" customHeight="1" x14ac:dyDescent="0.25">
      <c r="A98" s="93" t="s">
        <v>207</v>
      </c>
      <c r="B98" s="93" t="s">
        <v>208</v>
      </c>
      <c r="C98" s="59">
        <v>11</v>
      </c>
      <c r="D98" s="87">
        <f ca="1">((100/(H90))*C98)/100</f>
        <v>1.0000000000000002</v>
      </c>
      <c r="E98" s="96"/>
      <c r="F98" s="96"/>
      <c r="G98" s="96"/>
      <c r="H98" s="96"/>
      <c r="I98" s="48" t="s">
        <v>209</v>
      </c>
      <c r="J98" s="62">
        <f>(IF(B90&gt;2,(H90/(B90+2)+J97),0))</f>
        <v>0</v>
      </c>
      <c r="K98" s="65"/>
      <c r="L98" s="64"/>
    </row>
    <row r="99" spans="1:12" customFormat="1" ht="15.75" hidden="1" customHeight="1" x14ac:dyDescent="0.25">
      <c r="A99" s="93" t="s">
        <v>210</v>
      </c>
      <c r="B99" s="93" t="s">
        <v>210</v>
      </c>
      <c r="C99" s="59">
        <v>11</v>
      </c>
      <c r="D99" s="87">
        <f ca="1">((100/H90)*C99)/100</f>
        <v>1.0000000000000002</v>
      </c>
      <c r="E99" s="96"/>
      <c r="F99" s="96"/>
      <c r="G99" s="96"/>
      <c r="H99" s="96"/>
      <c r="I99" s="48" t="s">
        <v>211</v>
      </c>
      <c r="J99" s="66">
        <f>(IF(B90&gt;3,(H90/(B90+2)+J98),0))</f>
        <v>0</v>
      </c>
      <c r="K99" s="63"/>
      <c r="L99" s="64"/>
    </row>
    <row r="100" spans="1:12" customFormat="1" ht="15.75" hidden="1" customHeight="1" x14ac:dyDescent="0.25">
      <c r="A100" s="93" t="s">
        <v>212</v>
      </c>
      <c r="B100" s="93"/>
      <c r="C100" s="59">
        <v>10</v>
      </c>
      <c r="D100" s="87">
        <f ca="1">((100/H90)*C100)/100</f>
        <v>0.90909090909090917</v>
      </c>
      <c r="E100" s="96"/>
      <c r="F100" s="96"/>
      <c r="G100" s="96"/>
      <c r="H100" s="96"/>
      <c r="I100" s="48" t="s">
        <v>213</v>
      </c>
      <c r="J100" s="62">
        <f>(IF(B90&gt;4,(H90/(B90+2)+J99),0))</f>
        <v>0</v>
      </c>
      <c r="K100" s="65"/>
      <c r="L100" s="64"/>
    </row>
    <row r="101" spans="1:12" customFormat="1" hidden="1" x14ac:dyDescent="0.25">
      <c r="A101" s="93" t="s">
        <v>214</v>
      </c>
      <c r="B101" s="93" t="s">
        <v>214</v>
      </c>
      <c r="C101" s="59">
        <v>10</v>
      </c>
      <c r="D101" s="87">
        <f ca="1">((100/(H90))*C101)/100</f>
        <v>0.90909090909090917</v>
      </c>
      <c r="E101" s="96"/>
      <c r="F101" s="96"/>
      <c r="G101" s="96"/>
      <c r="H101" s="96"/>
      <c r="I101" s="48" t="s">
        <v>142</v>
      </c>
      <c r="J101" s="62">
        <f ca="1">(IF(B90=1,(H90/(B90+3)+J96),IF(B90=0,(H90/4+J96),IF(B90&gt;1,0))))</f>
        <v>8.25</v>
      </c>
      <c r="K101" s="65"/>
      <c r="L101" s="64"/>
    </row>
    <row r="102" spans="1:12" ht="16.5" hidden="1" thickBot="1" x14ac:dyDescent="0.3">
      <c r="A102" s="93" t="s">
        <v>215</v>
      </c>
      <c r="B102" s="93"/>
      <c r="C102" s="59">
        <v>7</v>
      </c>
      <c r="D102" s="87">
        <f ca="1">((100/(H90))*C102)/100</f>
        <v>0.63636363636363635</v>
      </c>
      <c r="E102" s="96"/>
      <c r="F102" s="96"/>
      <c r="G102" s="96"/>
      <c r="H102" s="96"/>
      <c r="I102" s="51" t="s">
        <v>143</v>
      </c>
      <c r="J102" s="67">
        <f ca="1">(IF(B90&gt;1.5,(H90/(B90+2)+J96+MAX(0,J97-J96)+MAX(0,J98-J97)+MAX(0,J99-J98)+MAX(0,J100-J99)+MAX(0,J101-J100)),IF(B90=1,(H90/(B90+3)+J101),IF(B90=0,H90/4+J101))))</f>
        <v>11</v>
      </c>
    </row>
    <row r="103" spans="1:12" x14ac:dyDescent="0.25">
      <c r="A103" s="99" t="s">
        <v>161</v>
      </c>
      <c r="B103" s="99"/>
      <c r="C103" s="99"/>
      <c r="D103" s="99"/>
      <c r="E103" s="99"/>
      <c r="F103" s="99" t="str">
        <f ca="1">(IF(G79="100%","Yes",IF(G79&gt;0%,"Under Construction",IF(G79=0%,"Work not yet Started"))))</f>
        <v>Under Construction</v>
      </c>
      <c r="G103" s="99"/>
      <c r="H103" s="99"/>
    </row>
    <row r="104" spans="1:12" s="69" customFormat="1" x14ac:dyDescent="0.25">
      <c r="A104" s="97" t="s">
        <v>54</v>
      </c>
      <c r="B104" s="97"/>
      <c r="C104" s="97"/>
      <c r="D104" s="97"/>
      <c r="E104" s="97"/>
      <c r="F104" s="97"/>
      <c r="G104" s="97"/>
      <c r="H104" s="97"/>
      <c r="I104" s="18"/>
      <c r="J104" s="18"/>
    </row>
    <row r="105" spans="1:12" s="70" customFormat="1" ht="33.75" customHeight="1" x14ac:dyDescent="0.25">
      <c r="A105" s="95" t="s">
        <v>106</v>
      </c>
      <c r="B105" s="95"/>
      <c r="C105" s="98" t="s">
        <v>244</v>
      </c>
      <c r="D105" s="98"/>
      <c r="E105" s="98"/>
      <c r="F105" s="98"/>
      <c r="G105" s="98"/>
      <c r="H105" s="98"/>
      <c r="I105" s="83" t="s">
        <v>243</v>
      </c>
      <c r="J105" s="18"/>
    </row>
    <row r="106" spans="1:12" s="70" customFormat="1" ht="15.75" customHeight="1" x14ac:dyDescent="0.25">
      <c r="A106" s="129" t="s">
        <v>55</v>
      </c>
      <c r="B106" s="129"/>
      <c r="C106" s="129"/>
      <c r="D106" s="129"/>
      <c r="E106" s="129"/>
      <c r="F106" s="129"/>
      <c r="G106" s="129"/>
      <c r="H106" s="129"/>
      <c r="I106" s="18"/>
      <c r="J106" s="18"/>
    </row>
    <row r="107" spans="1:12" s="70" customFormat="1" x14ac:dyDescent="0.25">
      <c r="A107" s="97" t="s">
        <v>107</v>
      </c>
      <c r="B107" s="97"/>
      <c r="C107" s="97"/>
      <c r="D107" s="97"/>
      <c r="E107" s="97"/>
      <c r="F107" s="95">
        <v>5500</v>
      </c>
      <c r="G107" s="95"/>
      <c r="H107" s="95"/>
      <c r="I107" s="18"/>
      <c r="J107" s="18"/>
    </row>
    <row r="108" spans="1:12" s="70" customFormat="1" hidden="1" x14ac:dyDescent="0.25">
      <c r="A108" s="97" t="s">
        <v>112</v>
      </c>
      <c r="B108" s="97"/>
      <c r="C108" s="97"/>
      <c r="D108" s="97"/>
      <c r="E108" s="97"/>
      <c r="F108" s="99"/>
      <c r="G108" s="99"/>
      <c r="H108" s="99"/>
      <c r="I108" s="18"/>
      <c r="J108" s="18"/>
    </row>
    <row r="109" spans="1:12" s="70" customFormat="1" hidden="1" x14ac:dyDescent="0.25">
      <c r="A109" s="97" t="s">
        <v>113</v>
      </c>
      <c r="B109" s="97"/>
      <c r="C109" s="97"/>
      <c r="D109" s="97"/>
      <c r="E109" s="97"/>
      <c r="F109" s="99"/>
      <c r="G109" s="99"/>
      <c r="H109" s="99"/>
      <c r="I109" s="68"/>
      <c r="J109" s="68"/>
    </row>
    <row r="110" spans="1:12" s="69" customFormat="1" hidden="1" x14ac:dyDescent="0.25">
      <c r="A110" s="97" t="s">
        <v>130</v>
      </c>
      <c r="B110" s="97"/>
      <c r="C110" s="97"/>
      <c r="D110" s="97"/>
      <c r="E110" s="97"/>
      <c r="F110" s="99" t="s">
        <v>28</v>
      </c>
      <c r="G110" s="99"/>
      <c r="H110" s="99"/>
      <c r="I110" s="68"/>
      <c r="J110" s="68"/>
    </row>
    <row r="111" spans="1:12" x14ac:dyDescent="0.25">
      <c r="A111" s="97" t="s">
        <v>131</v>
      </c>
      <c r="B111" s="97"/>
      <c r="C111" s="97"/>
      <c r="D111" s="97"/>
      <c r="E111" s="97"/>
      <c r="F111" s="99" t="s">
        <v>193</v>
      </c>
      <c r="G111" s="99"/>
      <c r="H111" s="99"/>
      <c r="I111" s="68"/>
      <c r="J111" s="68"/>
    </row>
    <row r="112" spans="1:12" ht="47.25" hidden="1" customHeight="1" x14ac:dyDescent="0.25">
      <c r="A112" s="97" t="s">
        <v>132</v>
      </c>
      <c r="B112" s="97"/>
      <c r="C112" s="97"/>
      <c r="D112" s="97"/>
      <c r="E112" s="97"/>
      <c r="F112" s="99" t="s">
        <v>28</v>
      </c>
      <c r="G112" s="99"/>
      <c r="H112" s="99"/>
      <c r="I112" s="68"/>
      <c r="J112" s="68"/>
    </row>
    <row r="113" spans="1:23" s="72" customFormat="1" hidden="1" x14ac:dyDescent="0.25">
      <c r="A113" s="97" t="s">
        <v>133</v>
      </c>
      <c r="B113" s="97"/>
      <c r="C113" s="97"/>
      <c r="D113" s="97"/>
      <c r="E113" s="97"/>
      <c r="F113" s="99" t="s">
        <v>28</v>
      </c>
      <c r="G113" s="99"/>
      <c r="H113" s="99"/>
      <c r="I113" s="68"/>
      <c r="J113" s="68"/>
      <c r="S113" s="102"/>
      <c r="T113" s="102"/>
      <c r="V113" s="72" t="str">
        <f>LEFT(A151,SUM(LEN(A151)-LEN(SUBSTITUTE(A151,{"0","1","2","3","4","5","6","7","8","9"},""))))</f>
        <v/>
      </c>
    </row>
    <row r="114" spans="1:23" s="72" customFormat="1" hidden="1" x14ac:dyDescent="0.25">
      <c r="A114" s="97" t="s">
        <v>134</v>
      </c>
      <c r="B114" s="97"/>
      <c r="C114" s="97"/>
      <c r="D114" s="97"/>
      <c r="E114" s="97"/>
      <c r="F114" s="99" t="s">
        <v>28</v>
      </c>
      <c r="G114" s="99"/>
      <c r="H114" s="99"/>
      <c r="I114" s="68"/>
      <c r="J114" s="68"/>
      <c r="S114" s="102"/>
      <c r="T114" s="102"/>
      <c r="V114" s="72" t="str">
        <f>LEFT(A152,SUM(LEN(A152)-LEN(SUBSTITUTE(A152,{"0","1","2","3","4","5","6","7","8","9"},""))))</f>
        <v/>
      </c>
    </row>
    <row r="115" spans="1:23" s="72" customFormat="1" ht="15.75" hidden="1" customHeight="1" x14ac:dyDescent="0.25">
      <c r="A115" s="97" t="s">
        <v>135</v>
      </c>
      <c r="B115" s="97"/>
      <c r="C115" s="97"/>
      <c r="D115" s="97"/>
      <c r="E115" s="97"/>
      <c r="F115" s="99" t="s">
        <v>28</v>
      </c>
      <c r="G115" s="99"/>
      <c r="H115" s="99"/>
      <c r="I115" s="68"/>
      <c r="J115" s="68"/>
      <c r="S115" s="102" t="s">
        <v>162</v>
      </c>
      <c r="T115" s="102"/>
      <c r="V115" s="72" t="str">
        <f>LEFT(A153,SUM(LEN(A153)-LEN(SUBSTITUTE(A153,{"0","1","2"},""))))</f>
        <v>1st</v>
      </c>
      <c r="W115" s="72">
        <f ca="1">--TRIM(RIGHT(SUBSTITUTE(LEFT(A153,_xlfn.AGGREGATE(16,6,FIND({0,1,2,3,4,5,6,7,8,9},A153,ROW(INDIRECT("1:"&amp;LEN(A153)))),1))," ",REPT(" ",LEN(A153))),LEN(A153)))</f>
        <v>11</v>
      </c>
    </row>
    <row r="116" spans="1:23" s="72" customFormat="1" ht="15.75" hidden="1" customHeight="1" x14ac:dyDescent="0.25">
      <c r="A116" s="97" t="s">
        <v>136</v>
      </c>
      <c r="B116" s="97"/>
      <c r="C116" s="97"/>
      <c r="D116" s="97"/>
      <c r="E116" s="97"/>
      <c r="F116" s="99" t="s">
        <v>28</v>
      </c>
      <c r="G116" s="99"/>
      <c r="H116" s="99"/>
      <c r="I116" s="68"/>
      <c r="J116" s="68"/>
      <c r="K116" s="73"/>
      <c r="S116" s="102" t="str">
        <f t="shared" ref="S116:S130" ca="1" si="0">V116&amp;""&amp;$S$115&amp;""&amp;W116</f>
        <v>101,..,1101</v>
      </c>
      <c r="T116" s="102"/>
      <c r="U116" s="71">
        <v>1</v>
      </c>
      <c r="V116" s="72">
        <f ca="1">(SUMPRODUCT(MID(0&amp;V115, LARGE(INDEX(ISNUMBER(--MID(V115, ROW(INDIRECT("1:"&amp;LEN(V115))), 1)) * ROW(INDIRECT("1:"&amp;LEN(V115))), 0), ROW(INDIRECT("1:"&amp;LEN(V115))))+1, 1) * 10^ROW(INDIRECT("1:"&amp;LEN(V115)))/10))*U116*100+1</f>
        <v>101</v>
      </c>
      <c r="W116" s="72">
        <f ca="1">(SUMPRODUCT(MID(0&amp;W115, LARGE(INDEX(ISNUMBER(--MID(W115, ROW(INDIRECT("1:"&amp;LEN(W115))), 1)) * ROW(INDIRECT("1:"&amp;LEN(W115))), 0), ROW(INDIRECT("1:"&amp;LEN(W115))))+1, 1) * 10^ROW(INDIRECT("1:"&amp;LEN(W115)))/10))*U116*100+1</f>
        <v>1101</v>
      </c>
    </row>
    <row r="117" spans="1:23" s="72" customFormat="1" ht="15.75" hidden="1" customHeight="1" x14ac:dyDescent="0.25">
      <c r="A117" s="97" t="s">
        <v>137</v>
      </c>
      <c r="B117" s="97"/>
      <c r="C117" s="97"/>
      <c r="D117" s="97"/>
      <c r="E117" s="97"/>
      <c r="F117" s="99" t="s">
        <v>28</v>
      </c>
      <c r="G117" s="99"/>
      <c r="H117" s="99"/>
      <c r="I117" s="18"/>
      <c r="J117" s="18"/>
      <c r="S117" s="102" t="str">
        <f t="shared" ca="1" si="0"/>
        <v>102,..,1102</v>
      </c>
      <c r="T117" s="102"/>
      <c r="U117" s="71">
        <f t="shared" ref="U117:W120" si="1">U116+1</f>
        <v>2</v>
      </c>
      <c r="V117" s="72">
        <f t="shared" ca="1" si="1"/>
        <v>102</v>
      </c>
      <c r="W117" s="72">
        <f t="shared" ca="1" si="1"/>
        <v>1102</v>
      </c>
    </row>
    <row r="118" spans="1:23" s="72" customFormat="1" ht="15.75" customHeight="1" x14ac:dyDescent="0.25">
      <c r="A118" s="97" t="s">
        <v>56</v>
      </c>
      <c r="B118" s="97"/>
      <c r="C118" s="97"/>
      <c r="D118" s="97"/>
      <c r="E118" s="97"/>
      <c r="F118" s="98" t="s">
        <v>194</v>
      </c>
      <c r="G118" s="98"/>
      <c r="H118" s="98"/>
      <c r="I118" s="69"/>
      <c r="J118" s="69"/>
      <c r="S118" s="102" t="str">
        <f t="shared" ca="1" si="0"/>
        <v>103,..,1103</v>
      </c>
      <c r="T118" s="102"/>
      <c r="U118" s="71">
        <f t="shared" si="1"/>
        <v>3</v>
      </c>
      <c r="V118" s="72">
        <f t="shared" ca="1" si="1"/>
        <v>103</v>
      </c>
      <c r="W118" s="72">
        <f t="shared" ca="1" si="1"/>
        <v>1103</v>
      </c>
    </row>
    <row r="119" spans="1:23" s="72" customFormat="1" ht="15.75" customHeight="1" x14ac:dyDescent="0.25">
      <c r="A119" s="129" t="s">
        <v>57</v>
      </c>
      <c r="B119" s="129"/>
      <c r="C119" s="129"/>
      <c r="D119" s="129"/>
      <c r="E119" s="129"/>
      <c r="F119" s="99">
        <f>F107*0.8</f>
        <v>4400</v>
      </c>
      <c r="G119" s="99"/>
      <c r="H119" s="99"/>
      <c r="I119" s="70"/>
      <c r="J119" s="70"/>
      <c r="S119" s="102" t="str">
        <f t="shared" ca="1" si="0"/>
        <v>104,..,1104</v>
      </c>
      <c r="T119" s="102"/>
      <c r="U119" s="71">
        <f t="shared" si="1"/>
        <v>4</v>
      </c>
      <c r="V119" s="72">
        <f t="shared" ca="1" si="1"/>
        <v>104</v>
      </c>
      <c r="W119" s="72">
        <f t="shared" ca="1" si="1"/>
        <v>1104</v>
      </c>
    </row>
    <row r="120" spans="1:23" s="72" customFormat="1" ht="15.75" customHeight="1" x14ac:dyDescent="0.25">
      <c r="A120" s="130" t="s">
        <v>101</v>
      </c>
      <c r="B120" s="130"/>
      <c r="C120" s="130"/>
      <c r="D120" s="130"/>
      <c r="E120" s="130"/>
      <c r="F120" s="130"/>
      <c r="G120" s="130"/>
      <c r="H120" s="130"/>
      <c r="I120" s="70"/>
      <c r="J120" s="70"/>
      <c r="S120" s="102" t="str">
        <f t="shared" ca="1" si="0"/>
        <v>105,..,1105</v>
      </c>
      <c r="T120" s="102"/>
      <c r="U120" s="71">
        <f t="shared" si="1"/>
        <v>5</v>
      </c>
      <c r="V120" s="72">
        <f t="shared" ca="1" si="1"/>
        <v>105</v>
      </c>
      <c r="W120" s="72">
        <f t="shared" ca="1" si="1"/>
        <v>1105</v>
      </c>
    </row>
    <row r="121" spans="1:23" s="72" customFormat="1" ht="15.75" customHeight="1" x14ac:dyDescent="0.25">
      <c r="A121" s="115" t="s">
        <v>58</v>
      </c>
      <c r="B121" s="115"/>
      <c r="C121" s="156" t="s">
        <v>110</v>
      </c>
      <c r="D121" s="156"/>
      <c r="E121" s="157" t="s">
        <v>59</v>
      </c>
      <c r="F121" s="157"/>
      <c r="G121" s="115" t="s">
        <v>60</v>
      </c>
      <c r="H121" s="115"/>
      <c r="I121" s="70"/>
      <c r="J121" s="70"/>
      <c r="S121" s="102" t="str">
        <f t="shared" ca="1" si="0"/>
        <v>106,..,1106</v>
      </c>
      <c r="T121" s="102"/>
      <c r="U121" s="71">
        <f t="shared" ref="U121:W121" si="2">U120+1</f>
        <v>6</v>
      </c>
      <c r="V121" s="72">
        <f t="shared" ca="1" si="2"/>
        <v>106</v>
      </c>
      <c r="W121" s="72">
        <f t="shared" ca="1" si="2"/>
        <v>1106</v>
      </c>
    </row>
    <row r="122" spans="1:23" s="80" customFormat="1" ht="15.75" customHeight="1" x14ac:dyDescent="0.25">
      <c r="A122" s="116" t="s">
        <v>231</v>
      </c>
      <c r="B122" s="116"/>
      <c r="C122" s="117">
        <f>COUNT(D132:D140)*11+COUNT(D142:D146,D148:D150)*2</f>
        <v>115</v>
      </c>
      <c r="D122" s="117"/>
      <c r="E122" s="118">
        <f>SUM(D132:D140)*11+SUM(D142:D146,D148:D150)*2</f>
        <v>49042.118735999997</v>
      </c>
      <c r="F122" s="118"/>
      <c r="G122" s="118">
        <f>SUM(F132:F140)*11+SUM(F142:F146,F148:F150)*2</f>
        <v>73563.178103999991</v>
      </c>
      <c r="H122" s="118"/>
      <c r="I122" s="70"/>
      <c r="J122" s="70"/>
      <c r="U122" s="71"/>
    </row>
    <row r="123" spans="1:23" s="72" customFormat="1" ht="15.75" customHeight="1" x14ac:dyDescent="0.25">
      <c r="A123" s="116" t="s">
        <v>183</v>
      </c>
      <c r="B123" s="116"/>
      <c r="C123" s="117">
        <f>COUNT(D154:D167)*6+COUNT(D169:D182)*4+COUNT(D184:D197)</f>
        <v>153</v>
      </c>
      <c r="D123" s="117"/>
      <c r="E123" s="131">
        <f>SUM(D154:D167)*6+SUM(D169:D182)*4+SUM(D184:D197)</f>
        <v>49828</v>
      </c>
      <c r="F123" s="131"/>
      <c r="G123" s="131">
        <f>SUM(F154:F167)*6+SUM(F169:F182)*4+SUM(F184:F197)</f>
        <v>75010</v>
      </c>
      <c r="H123" s="131"/>
      <c r="I123" s="70">
        <f>11*14</f>
        <v>154</v>
      </c>
      <c r="J123" s="70"/>
      <c r="S123" s="102" t="str">
        <f t="shared" ca="1" si="0"/>
        <v>107,..,1107</v>
      </c>
      <c r="T123" s="102"/>
      <c r="U123" s="71">
        <f t="shared" ref="U123:W123" si="3">U121+1</f>
        <v>7</v>
      </c>
      <c r="V123" s="72">
        <f t="shared" ca="1" si="3"/>
        <v>107</v>
      </c>
      <c r="W123" s="72">
        <f t="shared" ca="1" si="3"/>
        <v>1107</v>
      </c>
    </row>
    <row r="124" spans="1:23" s="72" customFormat="1" ht="15.75" customHeight="1" x14ac:dyDescent="0.25">
      <c r="A124" s="116" t="s">
        <v>186</v>
      </c>
      <c r="B124" s="116"/>
      <c r="C124" s="117">
        <f>COUNT(D201:D206)*6+COUNT(D208:D213)*4+COUNT(D215:D220)</f>
        <v>65</v>
      </c>
      <c r="D124" s="117"/>
      <c r="E124" s="131">
        <f>SUM(D201:D206)*6+SUM(D208:D213)*4+SUM(D215:D220)</f>
        <v>30859</v>
      </c>
      <c r="F124" s="131"/>
      <c r="G124" s="131">
        <f>SUM(F201:F206)*6+SUM(F208:F213)*4+SUM(F215:F220)</f>
        <v>46295</v>
      </c>
      <c r="H124" s="131"/>
      <c r="I124" s="70">
        <f>11*6</f>
        <v>66</v>
      </c>
      <c r="J124" s="70"/>
      <c r="S124" s="102" t="str">
        <f t="shared" ca="1" si="0"/>
        <v>108,..,1108</v>
      </c>
      <c r="T124" s="102"/>
      <c r="U124" s="71">
        <f t="shared" ref="U124:W124" si="4">U123+1</f>
        <v>8</v>
      </c>
      <c r="V124" s="72">
        <f t="shared" ca="1" si="4"/>
        <v>108</v>
      </c>
      <c r="W124" s="72">
        <f t="shared" ca="1" si="4"/>
        <v>1108</v>
      </c>
    </row>
    <row r="125" spans="1:23" s="72" customFormat="1" ht="15.75" customHeight="1" x14ac:dyDescent="0.25">
      <c r="A125" s="130" t="s">
        <v>62</v>
      </c>
      <c r="B125" s="130"/>
      <c r="C125" s="158">
        <f t="shared" ref="C125:G125" si="5">SUM(C122:D124)</f>
        <v>333</v>
      </c>
      <c r="D125" s="158"/>
      <c r="E125" s="159">
        <f t="shared" si="5"/>
        <v>129729.118736</v>
      </c>
      <c r="F125" s="159"/>
      <c r="G125" s="115">
        <f t="shared" si="5"/>
        <v>194868.17810399999</v>
      </c>
      <c r="H125" s="115"/>
      <c r="I125" s="69"/>
      <c r="J125" s="69"/>
      <c r="S125" s="102" t="str">
        <f t="shared" ca="1" si="0"/>
        <v>109,..,1109</v>
      </c>
      <c r="T125" s="102"/>
      <c r="U125" s="71">
        <f t="shared" ref="U125:W125" si="6">U124+1</f>
        <v>9</v>
      </c>
      <c r="V125" s="72">
        <f t="shared" ca="1" si="6"/>
        <v>109</v>
      </c>
      <c r="W125" s="72">
        <f t="shared" ca="1" si="6"/>
        <v>1109</v>
      </c>
    </row>
    <row r="126" spans="1:23" s="72" customFormat="1" ht="15.75" customHeight="1" x14ac:dyDescent="0.25">
      <c r="A126" s="151" t="s">
        <v>63</v>
      </c>
      <c r="B126" s="151"/>
      <c r="C126" s="151"/>
      <c r="D126" s="151"/>
      <c r="E126" s="151"/>
      <c r="F126" s="151"/>
      <c r="G126" s="151"/>
      <c r="H126" s="151"/>
      <c r="I126" s="18"/>
      <c r="J126" s="18"/>
      <c r="S126" s="102" t="str">
        <f t="shared" ca="1" si="0"/>
        <v>110,..,1110</v>
      </c>
      <c r="T126" s="102"/>
      <c r="U126" s="71">
        <f t="shared" ref="U126:W126" si="7">U125+1</f>
        <v>10</v>
      </c>
      <c r="V126" s="72">
        <f t="shared" ca="1" si="7"/>
        <v>110</v>
      </c>
      <c r="W126" s="72">
        <f t="shared" ca="1" si="7"/>
        <v>1110</v>
      </c>
    </row>
    <row r="127" spans="1:23" s="72" customFormat="1" ht="15.75" customHeight="1" x14ac:dyDescent="0.25">
      <c r="A127" s="151" t="s">
        <v>64</v>
      </c>
      <c r="B127" s="151"/>
      <c r="C127" s="151"/>
      <c r="D127" s="151"/>
      <c r="E127" s="151"/>
      <c r="F127" s="151"/>
      <c r="G127" s="151"/>
      <c r="H127" s="151"/>
      <c r="I127" s="71"/>
      <c r="J127" s="18"/>
      <c r="S127" s="102" t="str">
        <f t="shared" ca="1" si="0"/>
        <v>111,..,1111</v>
      </c>
      <c r="T127" s="102"/>
      <c r="U127" s="71">
        <f t="shared" ref="U127:W128" si="8">U126+1</f>
        <v>11</v>
      </c>
      <c r="V127" s="72">
        <f t="shared" ca="1" si="8"/>
        <v>111</v>
      </c>
      <c r="W127" s="72">
        <f t="shared" ca="1" si="8"/>
        <v>1111</v>
      </c>
    </row>
    <row r="128" spans="1:23" s="72" customFormat="1" ht="48" customHeight="1" x14ac:dyDescent="0.25">
      <c r="A128" s="53" t="s">
        <v>163</v>
      </c>
      <c r="B128" s="53" t="s">
        <v>164</v>
      </c>
      <c r="C128" s="49" t="s">
        <v>65</v>
      </c>
      <c r="D128" s="49" t="s">
        <v>66</v>
      </c>
      <c r="E128" s="50" t="s">
        <v>67</v>
      </c>
      <c r="F128" s="49" t="s">
        <v>192</v>
      </c>
      <c r="G128" s="160" t="s">
        <v>68</v>
      </c>
      <c r="H128" s="161"/>
      <c r="I128" s="71"/>
      <c r="S128" s="102" t="str">
        <f t="shared" ca="1" si="0"/>
        <v>112,..,1112</v>
      </c>
      <c r="T128" s="102"/>
      <c r="U128" s="71">
        <f t="shared" si="8"/>
        <v>12</v>
      </c>
      <c r="V128" s="72">
        <f t="shared" ca="1" si="8"/>
        <v>112</v>
      </c>
      <c r="W128" s="72">
        <f t="shared" ca="1" si="8"/>
        <v>1112</v>
      </c>
    </row>
    <row r="129" spans="1:23" s="72" customFormat="1" ht="15.75" customHeight="1" x14ac:dyDescent="0.25">
      <c r="A129" s="110" t="s">
        <v>231</v>
      </c>
      <c r="B129" s="110"/>
      <c r="C129" s="110"/>
      <c r="D129" s="110"/>
      <c r="E129" s="110"/>
      <c r="F129" s="110"/>
      <c r="G129" s="110"/>
      <c r="H129" s="110"/>
      <c r="I129" s="71"/>
      <c r="S129" s="102" t="str">
        <f t="shared" ca="1" si="0"/>
        <v>113,..,1113</v>
      </c>
      <c r="T129" s="102"/>
      <c r="U129" s="71">
        <f t="shared" ref="U129:W129" si="9">U128+1</f>
        <v>13</v>
      </c>
      <c r="V129" s="72">
        <f t="shared" ca="1" si="9"/>
        <v>113</v>
      </c>
      <c r="W129" s="72">
        <f t="shared" ca="1" si="9"/>
        <v>1113</v>
      </c>
    </row>
    <row r="130" spans="1:23" s="72" customFormat="1" ht="15.75" customHeight="1" x14ac:dyDescent="0.25">
      <c r="A130" s="110" t="s">
        <v>246</v>
      </c>
      <c r="B130" s="110"/>
      <c r="C130" s="110"/>
      <c r="D130" s="110"/>
      <c r="E130" s="110"/>
      <c r="F130" s="110"/>
      <c r="G130" s="110"/>
      <c r="H130" s="110"/>
      <c r="I130" s="71"/>
      <c r="S130" s="102" t="str">
        <f t="shared" ca="1" si="0"/>
        <v>114,..,1114</v>
      </c>
      <c r="T130" s="102"/>
      <c r="U130" s="71">
        <f t="shared" ref="U130:W130" si="10">U129+1</f>
        <v>14</v>
      </c>
      <c r="V130" s="72">
        <f t="shared" ca="1" si="10"/>
        <v>114</v>
      </c>
      <c r="W130" s="72">
        <f t="shared" ca="1" si="10"/>
        <v>1114</v>
      </c>
    </row>
    <row r="131" spans="1:23" s="72" customFormat="1" ht="15.75" customHeight="1" x14ac:dyDescent="0.25">
      <c r="A131" s="111" t="s">
        <v>235</v>
      </c>
      <c r="B131" s="112"/>
      <c r="C131" s="112"/>
      <c r="D131" s="112"/>
      <c r="E131" s="112"/>
      <c r="F131" s="112"/>
      <c r="G131" s="112"/>
      <c r="H131" s="113"/>
      <c r="I131" s="82">
        <v>10.763999999999999</v>
      </c>
      <c r="S131" s="102" t="s">
        <v>162</v>
      </c>
      <c r="T131" s="102"/>
      <c r="V131" s="72" t="str">
        <f>LEFT(A168,SUM(LEN(A168)-LEN(SUBSTITUTE(A168,{"0","1","2"},""))))</f>
        <v>2nd</v>
      </c>
      <c r="W131" s="72">
        <f ca="1">--TRIM(RIGHT(SUBSTITUTE(LEFT(A168,_xlfn.AGGREGATE(16,6,FIND({0,1,2,3,4,5,6,7,8,9},A168,ROW(INDIRECT("1:"&amp;LEN(A168)))),1))," ",REPT(" ",LEN(A168))),LEN(A168)))</f>
        <v>10</v>
      </c>
    </row>
    <row r="132" spans="1:23" s="72" customFormat="1" ht="15.75" customHeight="1" x14ac:dyDescent="0.25">
      <c r="A132" s="100">
        <v>1</v>
      </c>
      <c r="B132" s="101"/>
      <c r="C132" s="79" t="s">
        <v>185</v>
      </c>
      <c r="D132" s="82">
        <f>(2.74*4.27+2.21*2.29+2.74*3.3+1.83*1.22+1.35*1.83+1.35*1.2+0.75*(2.21+2.74)+1.9*1.52)*10.764</f>
        <v>416.8498932</v>
      </c>
      <c r="E132" s="79">
        <v>0</v>
      </c>
      <c r="F132" s="79">
        <f>D132*1.5+E132</f>
        <v>625.2748398</v>
      </c>
      <c r="G132" s="104" t="str">
        <f>A131</f>
        <v>1st to 7th &amp; 9th to 12th Floor For Residential</v>
      </c>
      <c r="H132" s="105"/>
      <c r="I132" s="71"/>
      <c r="K132" s="73"/>
      <c r="S132" s="102" t="str">
        <f t="shared" ref="S132:S140" ca="1" si="11">V132&amp;""&amp;$S$115&amp;""&amp;W132</f>
        <v>201,..,1001</v>
      </c>
      <c r="T132" s="102"/>
      <c r="U132" s="71">
        <v>1</v>
      </c>
      <c r="V132" s="72">
        <f ca="1">(SUMPRODUCT(MID(0&amp;V131, LARGE(INDEX(ISNUMBER(--MID(V131, ROW(INDIRECT("1:"&amp;LEN(V131))), 1)) * ROW(INDIRECT("1:"&amp;LEN(V131))), 0), ROW(INDIRECT("1:"&amp;LEN(V131))))+1, 1) * 10^ROW(INDIRECT("1:"&amp;LEN(V131)))/10))*U132*100+1</f>
        <v>201</v>
      </c>
      <c r="W132" s="72">
        <f ca="1">(SUMPRODUCT(MID(0&amp;W131, LARGE(INDEX(ISNUMBER(--MID(W131, ROW(INDIRECT("1:"&amp;LEN(W131))), 1)) * ROW(INDIRECT("1:"&amp;LEN(W131))), 0), ROW(INDIRECT("1:"&amp;LEN(W131))))+1, 1) * 10^ROW(INDIRECT("1:"&amp;LEN(W131)))/10))*U132*100+1</f>
        <v>1001</v>
      </c>
    </row>
    <row r="133" spans="1:23" s="72" customFormat="1" ht="15.75" customHeight="1" x14ac:dyDescent="0.25">
      <c r="A133" s="100">
        <v>2</v>
      </c>
      <c r="B133" s="101"/>
      <c r="C133" s="79" t="s">
        <v>185</v>
      </c>
      <c r="D133" s="82">
        <f>(2.74*4.27+2.21*2.29+2.74*3.3+1.83*1.22+1.35*1.83+1.35*1.2+0.75*(2.21+2.74)+1.9*1.52)*10.764</f>
        <v>416.8498932</v>
      </c>
      <c r="E133" s="79">
        <v>0</v>
      </c>
      <c r="F133" s="79">
        <f t="shared" ref="F133:F140" si="12">D133*1.5+E133</f>
        <v>625.2748398</v>
      </c>
      <c r="G133" s="106"/>
      <c r="H133" s="107"/>
      <c r="I133" s="71"/>
      <c r="S133" s="102" t="str">
        <f t="shared" ca="1" si="11"/>
        <v>202,..,1002</v>
      </c>
      <c r="T133" s="102"/>
      <c r="U133" s="71">
        <f t="shared" ref="U133:W133" si="13">U132+1</f>
        <v>2</v>
      </c>
      <c r="V133" s="72">
        <f t="shared" ca="1" si="13"/>
        <v>202</v>
      </c>
      <c r="W133" s="72">
        <f t="shared" ca="1" si="13"/>
        <v>1002</v>
      </c>
    </row>
    <row r="134" spans="1:23" s="72" customFormat="1" ht="15.75" customHeight="1" x14ac:dyDescent="0.25">
      <c r="A134" s="100">
        <v>3</v>
      </c>
      <c r="B134" s="101"/>
      <c r="C134" s="79" t="s">
        <v>185</v>
      </c>
      <c r="D134" s="82">
        <f>(2.74*4.27+2.21*2.29+2.74*3.3+1.83*1.22+1.35*1.83+1.35*1.2+0.75*(2.21+2.74)+1.9*1.52)*10.764</f>
        <v>416.8498932</v>
      </c>
      <c r="E134" s="79">
        <v>0</v>
      </c>
      <c r="F134" s="79">
        <f t="shared" si="12"/>
        <v>625.2748398</v>
      </c>
      <c r="G134" s="106"/>
      <c r="H134" s="107"/>
      <c r="I134" s="71"/>
      <c r="S134" s="102" t="str">
        <f t="shared" ca="1" si="11"/>
        <v>203,..,1003</v>
      </c>
      <c r="T134" s="102"/>
      <c r="U134" s="71">
        <f t="shared" ref="U134:W134" si="14">U133+1</f>
        <v>3</v>
      </c>
      <c r="V134" s="72">
        <f t="shared" ca="1" si="14"/>
        <v>203</v>
      </c>
      <c r="W134" s="72">
        <f t="shared" ca="1" si="14"/>
        <v>1003</v>
      </c>
    </row>
    <row r="135" spans="1:23" s="72" customFormat="1" ht="15.75" customHeight="1" x14ac:dyDescent="0.25">
      <c r="A135" s="100">
        <v>4</v>
      </c>
      <c r="B135" s="101"/>
      <c r="C135" s="79" t="s">
        <v>185</v>
      </c>
      <c r="D135" s="82">
        <f>(2.74*4.27+2.21*2.29+2.74*3.3+0.91*1.22+1.52*1.22+1.52*0.8+1.4*0.9+0.75*(2.21+2.74+1.9))*10.764</f>
        <v>391.6029312</v>
      </c>
      <c r="E135" s="79">
        <v>0</v>
      </c>
      <c r="F135" s="79">
        <f t="shared" si="12"/>
        <v>587.40439679999997</v>
      </c>
      <c r="G135" s="106"/>
      <c r="H135" s="107"/>
      <c r="I135" s="71"/>
      <c r="S135" s="102" t="str">
        <f t="shared" ca="1" si="11"/>
        <v>204,..,1004</v>
      </c>
      <c r="T135" s="102"/>
      <c r="U135" s="71">
        <f t="shared" ref="U135:W135" si="15">U134+1</f>
        <v>4</v>
      </c>
      <c r="V135" s="72">
        <f t="shared" ca="1" si="15"/>
        <v>204</v>
      </c>
      <c r="W135" s="72">
        <f t="shared" ca="1" si="15"/>
        <v>1004</v>
      </c>
    </row>
    <row r="136" spans="1:23" s="72" customFormat="1" ht="15.75" customHeight="1" x14ac:dyDescent="0.25">
      <c r="A136" s="100">
        <v>5</v>
      </c>
      <c r="B136" s="101"/>
      <c r="C136" s="79" t="s">
        <v>185</v>
      </c>
      <c r="D136" s="82">
        <f>(2.74*4.27+1.2*1.7+2.21*2.29+2.74*3.3+0.91*1.22+1.52*1.22+1.3*1.7+0.75*(1.9+2.21+2.74))*10.764</f>
        <v>410.69826719999992</v>
      </c>
      <c r="E136" s="79">
        <v>0</v>
      </c>
      <c r="F136" s="79">
        <f t="shared" si="12"/>
        <v>616.04740079999988</v>
      </c>
      <c r="G136" s="106"/>
      <c r="H136" s="107"/>
      <c r="I136" s="71"/>
      <c r="S136" s="102" t="str">
        <f t="shared" ca="1" si="11"/>
        <v>205,..,1005</v>
      </c>
      <c r="T136" s="102"/>
      <c r="U136" s="71">
        <f t="shared" ref="U136:W136" si="16">U135+1</f>
        <v>5</v>
      </c>
      <c r="V136" s="72">
        <f t="shared" ca="1" si="16"/>
        <v>205</v>
      </c>
      <c r="W136" s="72">
        <f t="shared" ca="1" si="16"/>
        <v>1005</v>
      </c>
    </row>
    <row r="137" spans="1:23" s="72" customFormat="1" ht="15.75" customHeight="1" x14ac:dyDescent="0.25">
      <c r="A137" s="100">
        <v>6</v>
      </c>
      <c r="B137" s="101"/>
      <c r="C137" s="79" t="s">
        <v>185</v>
      </c>
      <c r="D137" s="82">
        <f>(2.74*4.27+2.21*2.29+2.74*3.3+1.35*2.13+1.83*1.22+1.35*1.2+0.75*(1.9+2.21+2.74))*10.764</f>
        <v>405.46158120000001</v>
      </c>
      <c r="E137" s="79">
        <v>0</v>
      </c>
      <c r="F137" s="79">
        <f t="shared" si="12"/>
        <v>608.19237180000005</v>
      </c>
      <c r="G137" s="106"/>
      <c r="H137" s="107"/>
      <c r="I137" s="71"/>
      <c r="S137" s="102" t="str">
        <f t="shared" ca="1" si="11"/>
        <v>206,..,1006</v>
      </c>
      <c r="T137" s="102"/>
      <c r="U137" s="71">
        <f t="shared" ref="U137:W137" si="17">U136+1</f>
        <v>6</v>
      </c>
      <c r="V137" s="72">
        <f t="shared" ca="1" si="17"/>
        <v>206</v>
      </c>
      <c r="W137" s="72">
        <f t="shared" ca="1" si="17"/>
        <v>1006</v>
      </c>
    </row>
    <row r="138" spans="1:23" s="72" customFormat="1" ht="15.75" customHeight="1" x14ac:dyDescent="0.25">
      <c r="A138" s="100">
        <v>7</v>
      </c>
      <c r="B138" s="101"/>
      <c r="C138" s="79" t="s">
        <v>187</v>
      </c>
      <c r="D138" s="82">
        <f>(2.74*4.27+2.21*2.29+2.74*3.43+2.74*3.3+1.83*1.22+1.35*2.13+1.35*1.2+0.75*(2.74*2+2.21)+1.9*1.52)*10.764</f>
        <v>544.49155799999994</v>
      </c>
      <c r="E138" s="79">
        <v>0</v>
      </c>
      <c r="F138" s="79">
        <f t="shared" si="12"/>
        <v>816.73733699999991</v>
      </c>
      <c r="G138" s="106"/>
      <c r="H138" s="107"/>
      <c r="I138" s="71"/>
      <c r="S138" s="102" t="str">
        <f t="shared" ca="1" si="11"/>
        <v>207,..,1007</v>
      </c>
      <c r="T138" s="102"/>
      <c r="U138" s="71">
        <f t="shared" ref="U138:W138" si="18">U137+1</f>
        <v>7</v>
      </c>
      <c r="V138" s="72">
        <f t="shared" ca="1" si="18"/>
        <v>207</v>
      </c>
      <c r="W138" s="72">
        <f t="shared" ca="1" si="18"/>
        <v>1007</v>
      </c>
    </row>
    <row r="139" spans="1:23" s="72" customFormat="1" ht="15.75" customHeight="1" x14ac:dyDescent="0.25">
      <c r="A139" s="100">
        <v>8</v>
      </c>
      <c r="B139" s="101"/>
      <c r="C139" s="79" t="s">
        <v>185</v>
      </c>
      <c r="D139" s="82">
        <f>(2.74*4.27+2.21*2.29+2.74*3.3+1.35*2.13+1.83*1.22+1.35*1.2+0.75*(2.21+2.74)+1.9*1.52)*10.764</f>
        <v>421.20931319999994</v>
      </c>
      <c r="E139" s="79">
        <v>0</v>
      </c>
      <c r="F139" s="79">
        <f t="shared" si="12"/>
        <v>631.81396979999988</v>
      </c>
      <c r="G139" s="106"/>
      <c r="H139" s="107"/>
      <c r="I139" s="71"/>
      <c r="S139" s="102" t="str">
        <f t="shared" ca="1" si="11"/>
        <v>208,..,1008</v>
      </c>
      <c r="T139" s="102"/>
      <c r="U139" s="71">
        <f t="shared" ref="U139:W139" si="19">U138+1</f>
        <v>8</v>
      </c>
      <c r="V139" s="72">
        <f t="shared" ca="1" si="19"/>
        <v>208</v>
      </c>
      <c r="W139" s="72">
        <f t="shared" ca="1" si="19"/>
        <v>1008</v>
      </c>
    </row>
    <row r="140" spans="1:23" s="72" customFormat="1" ht="15.75" customHeight="1" x14ac:dyDescent="0.25">
      <c r="A140" s="100">
        <v>9</v>
      </c>
      <c r="B140" s="101"/>
      <c r="C140" s="79" t="s">
        <v>185</v>
      </c>
      <c r="D140" s="82">
        <f>(2.74*4.27+2.21*2.29+2.74*3.3+0.9*1.22+1.52*1.22+1.52*1.85+0.75*(2.21+2.74)+1.9*1.52)*10.764</f>
        <v>410.83604639999999</v>
      </c>
      <c r="E140" s="79">
        <v>0</v>
      </c>
      <c r="F140" s="79">
        <f t="shared" si="12"/>
        <v>616.25406959999998</v>
      </c>
      <c r="G140" s="106"/>
      <c r="H140" s="107"/>
      <c r="I140" s="71"/>
      <c r="S140" s="102" t="str">
        <f t="shared" ca="1" si="11"/>
        <v>209,..,1009</v>
      </c>
      <c r="T140" s="102"/>
      <c r="U140" s="71">
        <f t="shared" ref="U140:W140" si="20">U139+1</f>
        <v>9</v>
      </c>
      <c r="V140" s="72">
        <f t="shared" ca="1" si="20"/>
        <v>209</v>
      </c>
      <c r="W140" s="72">
        <f t="shared" ca="1" si="20"/>
        <v>1009</v>
      </c>
    </row>
    <row r="141" spans="1:23" s="72" customFormat="1" x14ac:dyDescent="0.25">
      <c r="A141" s="110" t="s">
        <v>236</v>
      </c>
      <c r="B141" s="110"/>
      <c r="C141" s="110"/>
      <c r="D141" s="110"/>
      <c r="E141" s="110"/>
      <c r="F141" s="110"/>
      <c r="G141" s="110"/>
      <c r="H141" s="110"/>
      <c r="I141" s="71"/>
      <c r="S141" s="102"/>
      <c r="T141" s="102"/>
      <c r="V141" s="72" t="str">
        <f>LEFT(A183,SUM(LEN(A183)-LEN(SUBSTITUTE(A183,{"0","1","2","3","4","5","6","7","8","9"},""))))</f>
        <v>8</v>
      </c>
    </row>
    <row r="142" spans="1:23" s="72" customFormat="1" x14ac:dyDescent="0.25">
      <c r="A142" s="114">
        <v>1</v>
      </c>
      <c r="B142" s="114"/>
      <c r="C142" s="92" t="s">
        <v>185</v>
      </c>
      <c r="D142" s="82">
        <f>(2.74*4.27+2.21*2.29+2.74*3.3+1.83*1.22+1.35*1.83+1.35*1.2+0.75*(2.21+2.74)+1.9*1.52)*10.764</f>
        <v>416.8498932</v>
      </c>
      <c r="E142" s="92">
        <v>0</v>
      </c>
      <c r="F142" s="92">
        <f>D142*1.5+E142</f>
        <v>625.2748398</v>
      </c>
      <c r="G142" s="114" t="str">
        <f>A141</f>
        <v>8th &amp; 13th Floor (Part Refuge Area)</v>
      </c>
      <c r="H142" s="114"/>
      <c r="I142" s="71"/>
      <c r="S142" s="102">
        <f t="shared" ref="S142:S150" ca="1" si="21">V142</f>
        <v>801</v>
      </c>
      <c r="T142" s="102"/>
      <c r="U142" s="71">
        <v>1</v>
      </c>
      <c r="V142" s="72">
        <f ca="1">(SUMPRODUCT(MID(0&amp;V141, LARGE(INDEX(ISNUMBER(--MID(V141, ROW(INDIRECT("1:"&amp;LEN(V141))), 1)) * ROW(INDIRECT("1:"&amp;LEN(V141))), 0), ROW(INDIRECT("1:"&amp;LEN(V141))))+1, 1) * 10^ROW(INDIRECT("1:"&amp;LEN(V141)))/10))*U142*100+1</f>
        <v>801</v>
      </c>
    </row>
    <row r="143" spans="1:23" s="72" customFormat="1" x14ac:dyDescent="0.25">
      <c r="A143" s="114">
        <v>2</v>
      </c>
      <c r="B143" s="114"/>
      <c r="C143" s="92" t="s">
        <v>185</v>
      </c>
      <c r="D143" s="82">
        <f>(2.74*4.27+2.21*2.29+2.74*3.3+1.83*1.22+1.35*1.83+1.35*1.2+0.75*(2.21+2.74)+1.9*1.52)*10.764</f>
        <v>416.8498932</v>
      </c>
      <c r="E143" s="92">
        <v>0</v>
      </c>
      <c r="F143" s="92">
        <f t="shared" ref="F143:F150" si="22">D143*1.5+E143</f>
        <v>625.2748398</v>
      </c>
      <c r="G143" s="114"/>
      <c r="H143" s="114"/>
      <c r="I143" s="71"/>
      <c r="S143" s="102">
        <f t="shared" ca="1" si="21"/>
        <v>802</v>
      </c>
      <c r="T143" s="102"/>
      <c r="U143" s="71">
        <f>U142+1</f>
        <v>2</v>
      </c>
      <c r="V143" s="72">
        <f ca="1">V142+1</f>
        <v>802</v>
      </c>
    </row>
    <row r="144" spans="1:23" s="72" customFormat="1" x14ac:dyDescent="0.25">
      <c r="A144" s="114">
        <v>3</v>
      </c>
      <c r="B144" s="114"/>
      <c r="C144" s="92" t="s">
        <v>185</v>
      </c>
      <c r="D144" s="82">
        <f>(2.74*4.27+2.21*2.29+2.74*3.3+1.83*1.22+1.35*1.83+1.35*1.2+0.75*(2.21+2.74)+1.9*1.52)*10.764</f>
        <v>416.8498932</v>
      </c>
      <c r="E144" s="92">
        <v>0</v>
      </c>
      <c r="F144" s="92">
        <f t="shared" si="22"/>
        <v>625.2748398</v>
      </c>
      <c r="G144" s="114"/>
      <c r="H144" s="114"/>
      <c r="I144" s="73"/>
      <c r="S144" s="102">
        <f t="shared" ca="1" si="21"/>
        <v>803</v>
      </c>
      <c r="T144" s="102"/>
      <c r="U144" s="71">
        <f>U143+1</f>
        <v>3</v>
      </c>
      <c r="V144" s="72">
        <f ca="1">V143+1</f>
        <v>803</v>
      </c>
    </row>
    <row r="145" spans="1:23" s="72" customFormat="1" x14ac:dyDescent="0.25">
      <c r="A145" s="114">
        <v>4</v>
      </c>
      <c r="B145" s="114"/>
      <c r="C145" s="92" t="s">
        <v>185</v>
      </c>
      <c r="D145" s="82">
        <f>(2.74*4.27+2.21*2.29+2.74*3.3+0.91*1.22+1.52*1.22+1.52*0.8+1.4*0.9+0.75*(2.21+2.74+1.9))*10.764</f>
        <v>391.6029312</v>
      </c>
      <c r="E145" s="92">
        <v>0</v>
      </c>
      <c r="F145" s="92">
        <f t="shared" si="22"/>
        <v>587.40439679999997</v>
      </c>
      <c r="G145" s="114"/>
      <c r="H145" s="114"/>
      <c r="I145" s="71"/>
      <c r="S145" s="102">
        <f t="shared" ca="1" si="21"/>
        <v>804</v>
      </c>
      <c r="T145" s="102"/>
      <c r="U145" s="71">
        <f t="shared" ref="U145:U146" si="23">U144+1</f>
        <v>4</v>
      </c>
      <c r="V145" s="72">
        <f t="shared" ref="V145:V155" ca="1" si="24">V144+1</f>
        <v>804</v>
      </c>
    </row>
    <row r="146" spans="1:23" s="72" customFormat="1" x14ac:dyDescent="0.25">
      <c r="A146" s="114">
        <v>5</v>
      </c>
      <c r="B146" s="114"/>
      <c r="C146" s="92" t="s">
        <v>185</v>
      </c>
      <c r="D146" s="82">
        <f>(2.74*4.27+1.2*1.7+2.21*2.29+2.74*3.3+0.91*1.22+1.52*1.22+1.3*1.7+0.75*(1.9+2.21+2.74))*10.764</f>
        <v>410.69826719999992</v>
      </c>
      <c r="E146" s="92">
        <v>0</v>
      </c>
      <c r="F146" s="92">
        <f t="shared" si="22"/>
        <v>616.04740079999988</v>
      </c>
      <c r="G146" s="114"/>
      <c r="H146" s="114"/>
      <c r="I146" s="71"/>
      <c r="S146" s="102">
        <f t="shared" ca="1" si="21"/>
        <v>805</v>
      </c>
      <c r="T146" s="102"/>
      <c r="U146" s="71">
        <f t="shared" si="23"/>
        <v>5</v>
      </c>
      <c r="V146" s="72">
        <f t="shared" ca="1" si="24"/>
        <v>805</v>
      </c>
    </row>
    <row r="147" spans="1:23" s="72" customFormat="1" x14ac:dyDescent="0.25">
      <c r="A147" s="114" t="s">
        <v>237</v>
      </c>
      <c r="B147" s="114"/>
      <c r="C147" s="114" t="s">
        <v>190</v>
      </c>
      <c r="D147" s="114"/>
      <c r="E147" s="114"/>
      <c r="F147" s="114"/>
      <c r="G147" s="114"/>
      <c r="H147" s="114"/>
      <c r="I147" s="71"/>
      <c r="S147" s="102">
        <f t="shared" ca="1" si="21"/>
        <v>806</v>
      </c>
      <c r="T147" s="102"/>
      <c r="U147" s="71">
        <f>U146+1</f>
        <v>6</v>
      </c>
      <c r="V147" s="72">
        <f t="shared" ca="1" si="24"/>
        <v>806</v>
      </c>
    </row>
    <row r="148" spans="1:23" s="72" customFormat="1" x14ac:dyDescent="0.25">
      <c r="A148" s="114">
        <v>6</v>
      </c>
      <c r="B148" s="114"/>
      <c r="C148" s="92" t="s">
        <v>187</v>
      </c>
      <c r="D148" s="82">
        <f>(2.74*4.27+2.21*2.29+2.74*3.43+2.74*3.3+1.83*1.22+1.35*2.13+1.35*1.2+0.75*(2.74*2+2.21)+1.9*1.52)*10.764</f>
        <v>544.49155799999994</v>
      </c>
      <c r="E148" s="92">
        <v>0</v>
      </c>
      <c r="F148" s="92">
        <f t="shared" si="22"/>
        <v>816.73733699999991</v>
      </c>
      <c r="G148" s="114"/>
      <c r="H148" s="114"/>
      <c r="I148" s="71"/>
      <c r="S148" s="102">
        <f t="shared" ca="1" si="21"/>
        <v>807</v>
      </c>
      <c r="T148" s="102"/>
      <c r="U148" s="71">
        <f>U147+1</f>
        <v>7</v>
      </c>
      <c r="V148" s="72">
        <f t="shared" ca="1" si="24"/>
        <v>807</v>
      </c>
    </row>
    <row r="149" spans="1:23" s="72" customFormat="1" x14ac:dyDescent="0.25">
      <c r="A149" s="114">
        <v>7</v>
      </c>
      <c r="B149" s="114"/>
      <c r="C149" s="92" t="s">
        <v>185</v>
      </c>
      <c r="D149" s="82">
        <f>(2.74*4.27+2.21*2.29+2.74*3.3+1.35*2.13+1.83*1.22+1.35*1.2+0.75*(2.21+2.74)+1.9*1.52)*10.764</f>
        <v>421.20931319999994</v>
      </c>
      <c r="E149" s="92">
        <v>0</v>
      </c>
      <c r="F149" s="92">
        <f t="shared" si="22"/>
        <v>631.81396979999988</v>
      </c>
      <c r="G149" s="114"/>
      <c r="H149" s="114"/>
      <c r="I149" s="71"/>
      <c r="S149" s="102">
        <f t="shared" ca="1" si="21"/>
        <v>808</v>
      </c>
      <c r="T149" s="102"/>
      <c r="U149" s="71">
        <f t="shared" ref="U149:U155" si="25">U148+1</f>
        <v>8</v>
      </c>
      <c r="V149" s="72">
        <f t="shared" ca="1" si="24"/>
        <v>808</v>
      </c>
    </row>
    <row r="150" spans="1:23" s="72" customFormat="1" x14ac:dyDescent="0.25">
      <c r="A150" s="114">
        <v>8</v>
      </c>
      <c r="B150" s="114"/>
      <c r="C150" s="92" t="s">
        <v>185</v>
      </c>
      <c r="D150" s="82">
        <f>(2.74*4.27+2.21*2.29+2.74*3.3+0.9*1.22+1.52*1.22+1.52*1.85+0.75*(2.21+2.74)+1.9*1.52)*10.764</f>
        <v>410.83604639999999</v>
      </c>
      <c r="E150" s="92">
        <v>0</v>
      </c>
      <c r="F150" s="92">
        <f t="shared" si="22"/>
        <v>616.25406959999998</v>
      </c>
      <c r="G150" s="114"/>
      <c r="H150" s="114"/>
      <c r="I150" s="71"/>
      <c r="S150" s="102">
        <f t="shared" ca="1" si="21"/>
        <v>809</v>
      </c>
      <c r="T150" s="102"/>
      <c r="U150" s="71">
        <f t="shared" si="25"/>
        <v>9</v>
      </c>
      <c r="V150" s="72">
        <f t="shared" ca="1" si="24"/>
        <v>809</v>
      </c>
    </row>
    <row r="151" spans="1:23" s="72" customFormat="1" x14ac:dyDescent="0.25">
      <c r="A151" s="110" t="s">
        <v>183</v>
      </c>
      <c r="B151" s="110"/>
      <c r="C151" s="110"/>
      <c r="D151" s="110"/>
      <c r="E151" s="110"/>
      <c r="F151" s="110"/>
      <c r="G151" s="110"/>
      <c r="H151" s="110"/>
      <c r="I151" s="71"/>
      <c r="S151" s="102">
        <f t="shared" ref="S151:S153" ca="1" si="26">V151</f>
        <v>810</v>
      </c>
      <c r="T151" s="102"/>
      <c r="U151" s="71">
        <f>U150+1</f>
        <v>10</v>
      </c>
      <c r="V151" s="72">
        <f t="shared" ca="1" si="24"/>
        <v>810</v>
      </c>
    </row>
    <row r="152" spans="1:23" s="72" customFormat="1" x14ac:dyDescent="0.25">
      <c r="A152" s="110" t="s">
        <v>189</v>
      </c>
      <c r="B152" s="110"/>
      <c r="C152" s="110"/>
      <c r="D152" s="110"/>
      <c r="E152" s="110"/>
      <c r="F152" s="110"/>
      <c r="G152" s="110"/>
      <c r="H152" s="110"/>
      <c r="I152" s="71"/>
      <c r="S152" s="102">
        <f t="shared" ca="1" si="26"/>
        <v>811</v>
      </c>
      <c r="T152" s="102"/>
      <c r="U152" s="71">
        <f t="shared" si="25"/>
        <v>11</v>
      </c>
      <c r="V152" s="72">
        <f t="shared" ca="1" si="24"/>
        <v>811</v>
      </c>
    </row>
    <row r="153" spans="1:23" s="72" customFormat="1" x14ac:dyDescent="0.25">
      <c r="A153" s="111" t="s">
        <v>181</v>
      </c>
      <c r="B153" s="112"/>
      <c r="C153" s="112"/>
      <c r="D153" s="112"/>
      <c r="E153" s="112"/>
      <c r="F153" s="112"/>
      <c r="G153" s="112"/>
      <c r="H153" s="113"/>
      <c r="I153" s="71"/>
      <c r="S153" s="102">
        <f t="shared" ca="1" si="26"/>
        <v>812</v>
      </c>
      <c r="T153" s="102"/>
      <c r="U153" s="71">
        <f t="shared" si="25"/>
        <v>12</v>
      </c>
      <c r="V153" s="72">
        <f t="shared" ca="1" si="24"/>
        <v>812</v>
      </c>
    </row>
    <row r="154" spans="1:23" s="72" customFormat="1" x14ac:dyDescent="0.25">
      <c r="A154" s="100">
        <v>1</v>
      </c>
      <c r="B154" s="101"/>
      <c r="C154" s="52" t="s">
        <v>184</v>
      </c>
      <c r="D154" s="52">
        <v>265</v>
      </c>
      <c r="E154" s="52">
        <v>0</v>
      </c>
      <c r="F154" s="52">
        <v>400</v>
      </c>
      <c r="G154" s="104" t="str">
        <f>A153</f>
        <v>1st, 3rd, 5th, 7th, 9th, 11th Floor</v>
      </c>
      <c r="H154" s="105"/>
      <c r="I154" s="71"/>
      <c r="J154" s="72">
        <f>F154/D154</f>
        <v>1.5094339622641511</v>
      </c>
      <c r="S154" s="102">
        <f t="shared" ref="S154:S155" ca="1" si="27">V154</f>
        <v>813</v>
      </c>
      <c r="T154" s="102"/>
      <c r="U154" s="71">
        <f t="shared" si="25"/>
        <v>13</v>
      </c>
      <c r="V154" s="72">
        <f t="shared" ca="1" si="24"/>
        <v>813</v>
      </c>
    </row>
    <row r="155" spans="1:23" s="72" customFormat="1" x14ac:dyDescent="0.25">
      <c r="A155" s="100">
        <v>2</v>
      </c>
      <c r="B155" s="101"/>
      <c r="C155" s="52" t="s">
        <v>185</v>
      </c>
      <c r="D155" s="52">
        <v>386</v>
      </c>
      <c r="E155" s="52">
        <v>0</v>
      </c>
      <c r="F155" s="52">
        <v>580</v>
      </c>
      <c r="G155" s="106"/>
      <c r="H155" s="107"/>
      <c r="I155" s="71"/>
      <c r="J155" s="84">
        <f t="shared" ref="J155:J182" si="28">F155/D155</f>
        <v>1.5025906735751295</v>
      </c>
      <c r="S155" s="102">
        <f t="shared" ca="1" si="27"/>
        <v>814</v>
      </c>
      <c r="T155" s="102"/>
      <c r="U155" s="71">
        <f t="shared" si="25"/>
        <v>14</v>
      </c>
      <c r="V155" s="72">
        <f t="shared" ca="1" si="24"/>
        <v>814</v>
      </c>
    </row>
    <row r="156" spans="1:23" s="72" customFormat="1" x14ac:dyDescent="0.25">
      <c r="A156" s="100">
        <v>3</v>
      </c>
      <c r="B156" s="101"/>
      <c r="C156" s="52" t="s">
        <v>184</v>
      </c>
      <c r="D156" s="52">
        <v>265</v>
      </c>
      <c r="E156" s="52">
        <v>0</v>
      </c>
      <c r="F156" s="52">
        <v>400</v>
      </c>
      <c r="G156" s="106"/>
      <c r="H156" s="107"/>
      <c r="I156" s="71"/>
      <c r="J156" s="84">
        <f t="shared" si="28"/>
        <v>1.5094339622641511</v>
      </c>
      <c r="S156" s="102"/>
      <c r="T156" s="102"/>
      <c r="V156" s="72" t="str">
        <f>LEFT(A198,SUM(LEN(A198)-LEN(SUBSTITUTE(A198,{"0","1","2","3","4","5","6","7","8","9"},""))))</f>
        <v/>
      </c>
    </row>
    <row r="157" spans="1:23" s="72" customFormat="1" x14ac:dyDescent="0.25">
      <c r="A157" s="100">
        <v>4</v>
      </c>
      <c r="B157" s="101"/>
      <c r="C157" s="52" t="s">
        <v>185</v>
      </c>
      <c r="D157" s="52">
        <v>386</v>
      </c>
      <c r="E157" s="52">
        <v>0</v>
      </c>
      <c r="F157" s="52">
        <v>580</v>
      </c>
      <c r="G157" s="106"/>
      <c r="H157" s="107"/>
      <c r="I157" s="71"/>
      <c r="J157" s="84">
        <f t="shared" si="28"/>
        <v>1.5025906735751295</v>
      </c>
      <c r="S157" s="102"/>
      <c r="T157" s="102"/>
      <c r="V157" s="72" t="str">
        <f>LEFT(A199,SUM(LEN(A199)-LEN(SUBSTITUTE(A199,{"0","1","2","3","4","5","6","7","8","9"},""))))</f>
        <v/>
      </c>
    </row>
    <row r="158" spans="1:23" s="72" customFormat="1" ht="15.75" customHeight="1" x14ac:dyDescent="0.25">
      <c r="A158" s="100">
        <v>5</v>
      </c>
      <c r="B158" s="101"/>
      <c r="C158" s="52" t="s">
        <v>184</v>
      </c>
      <c r="D158" s="52">
        <v>265</v>
      </c>
      <c r="E158" s="52">
        <v>0</v>
      </c>
      <c r="F158" s="52">
        <v>400</v>
      </c>
      <c r="G158" s="106"/>
      <c r="H158" s="107"/>
      <c r="I158" s="71"/>
      <c r="J158" s="84">
        <f t="shared" si="28"/>
        <v>1.5094339622641511</v>
      </c>
      <c r="S158" s="102" t="s">
        <v>162</v>
      </c>
      <c r="T158" s="102"/>
      <c r="V158" s="72" t="str">
        <f>LEFT(A200,SUM(LEN(A200)-LEN(SUBSTITUTE(A200,{"0","1","2"},""))))</f>
        <v>1st</v>
      </c>
      <c r="W158" s="72">
        <f ca="1">--TRIM(RIGHT(SUBSTITUTE(LEFT(A200,_xlfn.AGGREGATE(16,6,FIND({0,1,2,3,4,5,6,7,8,9},A200,ROW(INDIRECT("1:"&amp;LEN(A200)))),1))," ",REPT(" ",LEN(A200))),LEN(A200)))</f>
        <v>11</v>
      </c>
    </row>
    <row r="159" spans="1:23" s="72" customFormat="1" ht="15.75" customHeight="1" x14ac:dyDescent="0.25">
      <c r="A159" s="100">
        <v>6</v>
      </c>
      <c r="B159" s="101"/>
      <c r="C159" s="52" t="s">
        <v>185</v>
      </c>
      <c r="D159" s="52">
        <v>386</v>
      </c>
      <c r="E159" s="52">
        <v>0</v>
      </c>
      <c r="F159" s="52">
        <v>580</v>
      </c>
      <c r="G159" s="106"/>
      <c r="H159" s="107"/>
      <c r="I159" s="71"/>
      <c r="J159" s="84">
        <f t="shared" si="28"/>
        <v>1.5025906735751295</v>
      </c>
      <c r="K159" s="73"/>
      <c r="S159" s="102" t="str">
        <f t="shared" ref="S159:S164" ca="1" si="29">V159&amp;""&amp;$S$115&amp;""&amp;W159</f>
        <v>101,..,1101</v>
      </c>
      <c r="T159" s="102"/>
      <c r="U159" s="71">
        <v>1</v>
      </c>
      <c r="V159" s="72">
        <f ca="1">(SUMPRODUCT(MID(0&amp;V158, LARGE(INDEX(ISNUMBER(--MID(V158, ROW(INDIRECT("1:"&amp;LEN(V158))), 1)) * ROW(INDIRECT("1:"&amp;LEN(V158))), 0), ROW(INDIRECT("1:"&amp;LEN(V158))))+1, 1) * 10^ROW(INDIRECT("1:"&amp;LEN(V158)))/10))*U159*100+1</f>
        <v>101</v>
      </c>
      <c r="W159" s="72">
        <f ca="1">(SUMPRODUCT(MID(0&amp;W158, LARGE(INDEX(ISNUMBER(--MID(W158, ROW(INDIRECT("1:"&amp;LEN(W158))), 1)) * ROW(INDIRECT("1:"&amp;LEN(W158))), 0), ROW(INDIRECT("1:"&amp;LEN(W158))))+1, 1) * 10^ROW(INDIRECT("1:"&amp;LEN(W158)))/10))*U159*100+1</f>
        <v>1101</v>
      </c>
    </row>
    <row r="160" spans="1:23" s="72" customFormat="1" ht="15.75" customHeight="1" x14ac:dyDescent="0.25">
      <c r="A160" s="100">
        <v>7</v>
      </c>
      <c r="B160" s="101"/>
      <c r="C160" s="52" t="s">
        <v>184</v>
      </c>
      <c r="D160" s="52">
        <v>265</v>
      </c>
      <c r="E160" s="52">
        <v>0</v>
      </c>
      <c r="F160" s="52">
        <v>400</v>
      </c>
      <c r="G160" s="106"/>
      <c r="H160" s="107"/>
      <c r="I160" s="71"/>
      <c r="J160" s="84">
        <f t="shared" si="28"/>
        <v>1.5094339622641511</v>
      </c>
      <c r="S160" s="102" t="str">
        <f t="shared" ca="1" si="29"/>
        <v>102,..,1102</v>
      </c>
      <c r="T160" s="102"/>
      <c r="U160" s="71">
        <f t="shared" ref="U160:W160" si="30">U159+1</f>
        <v>2</v>
      </c>
      <c r="V160" s="72">
        <f t="shared" ca="1" si="30"/>
        <v>102</v>
      </c>
      <c r="W160" s="72">
        <f t="shared" ca="1" si="30"/>
        <v>1102</v>
      </c>
    </row>
    <row r="161" spans="1:23" s="72" customFormat="1" ht="15.75" customHeight="1" x14ac:dyDescent="0.25">
      <c r="A161" s="100">
        <v>8</v>
      </c>
      <c r="B161" s="101"/>
      <c r="C161" s="52" t="s">
        <v>184</v>
      </c>
      <c r="D161" s="52">
        <v>272</v>
      </c>
      <c r="E161" s="52">
        <v>0</v>
      </c>
      <c r="F161" s="52">
        <v>410</v>
      </c>
      <c r="G161" s="106"/>
      <c r="H161" s="107"/>
      <c r="I161" s="71"/>
      <c r="J161" s="84">
        <f t="shared" si="28"/>
        <v>1.5073529411764706</v>
      </c>
      <c r="S161" s="102" t="str">
        <f t="shared" ca="1" si="29"/>
        <v>103,..,1103</v>
      </c>
      <c r="T161" s="102"/>
      <c r="U161" s="71">
        <f t="shared" ref="U161:W161" si="31">U160+1</f>
        <v>3</v>
      </c>
      <c r="V161" s="72">
        <f t="shared" ca="1" si="31"/>
        <v>103</v>
      </c>
      <c r="W161" s="72">
        <f t="shared" ca="1" si="31"/>
        <v>1103</v>
      </c>
    </row>
    <row r="162" spans="1:23" s="72" customFormat="1" ht="15.75" customHeight="1" x14ac:dyDescent="0.25">
      <c r="A162" s="100">
        <v>9</v>
      </c>
      <c r="B162" s="101"/>
      <c r="C162" s="52" t="s">
        <v>185</v>
      </c>
      <c r="D162" s="52">
        <v>393</v>
      </c>
      <c r="E162" s="52">
        <v>0</v>
      </c>
      <c r="F162" s="52">
        <v>590</v>
      </c>
      <c r="G162" s="106"/>
      <c r="H162" s="107"/>
      <c r="I162" s="71"/>
      <c r="J162" s="84">
        <f t="shared" si="28"/>
        <v>1.5012722646310432</v>
      </c>
      <c r="S162" s="102" t="str">
        <f t="shared" ca="1" si="29"/>
        <v>104,..,1104</v>
      </c>
      <c r="T162" s="102"/>
      <c r="U162" s="71">
        <f t="shared" ref="U162:W162" si="32">U161+1</f>
        <v>4</v>
      </c>
      <c r="V162" s="72">
        <f t="shared" ca="1" si="32"/>
        <v>104</v>
      </c>
      <c r="W162" s="72">
        <f t="shared" ca="1" si="32"/>
        <v>1104</v>
      </c>
    </row>
    <row r="163" spans="1:23" s="72" customFormat="1" ht="15.75" customHeight="1" x14ac:dyDescent="0.25">
      <c r="A163" s="100">
        <v>10</v>
      </c>
      <c r="B163" s="101"/>
      <c r="C163" s="52" t="s">
        <v>184</v>
      </c>
      <c r="D163" s="52">
        <v>272</v>
      </c>
      <c r="E163" s="52">
        <v>0</v>
      </c>
      <c r="F163" s="52">
        <v>410</v>
      </c>
      <c r="G163" s="106"/>
      <c r="H163" s="107"/>
      <c r="I163" s="71"/>
      <c r="J163" s="84">
        <f t="shared" si="28"/>
        <v>1.5073529411764706</v>
      </c>
      <c r="S163" s="102" t="str">
        <f t="shared" ca="1" si="29"/>
        <v>105,..,1105</v>
      </c>
      <c r="T163" s="102"/>
      <c r="U163" s="71">
        <f t="shared" ref="U163:W163" si="33">U162+1</f>
        <v>5</v>
      </c>
      <c r="V163" s="72">
        <f t="shared" ca="1" si="33"/>
        <v>105</v>
      </c>
      <c r="W163" s="72">
        <f t="shared" ca="1" si="33"/>
        <v>1105</v>
      </c>
    </row>
    <row r="164" spans="1:23" s="72" customFormat="1" ht="15.75" customHeight="1" x14ac:dyDescent="0.25">
      <c r="A164" s="100">
        <v>11</v>
      </c>
      <c r="B164" s="101"/>
      <c r="C164" s="52" t="s">
        <v>185</v>
      </c>
      <c r="D164" s="52">
        <v>425</v>
      </c>
      <c r="E164" s="52">
        <v>0</v>
      </c>
      <c r="F164" s="52">
        <v>640</v>
      </c>
      <c r="G164" s="106"/>
      <c r="H164" s="107"/>
      <c r="I164" s="71"/>
      <c r="J164" s="84">
        <f t="shared" si="28"/>
        <v>1.5058823529411764</v>
      </c>
      <c r="S164" s="102" t="str">
        <f t="shared" ca="1" si="29"/>
        <v>106,..,1106</v>
      </c>
      <c r="T164" s="102"/>
      <c r="U164" s="71">
        <f t="shared" ref="U164:W164" si="34">U163+1</f>
        <v>6</v>
      </c>
      <c r="V164" s="72">
        <f t="shared" ca="1" si="34"/>
        <v>106</v>
      </c>
      <c r="W164" s="72">
        <f t="shared" ca="1" si="34"/>
        <v>1106</v>
      </c>
    </row>
    <row r="165" spans="1:23" s="72" customFormat="1" ht="15.75" customHeight="1" x14ac:dyDescent="0.25">
      <c r="A165" s="100">
        <v>12</v>
      </c>
      <c r="B165" s="101"/>
      <c r="C165" s="52" t="s">
        <v>185</v>
      </c>
      <c r="D165" s="52">
        <v>393</v>
      </c>
      <c r="E165" s="52">
        <v>0</v>
      </c>
      <c r="F165" s="52">
        <v>590</v>
      </c>
      <c r="G165" s="106"/>
      <c r="H165" s="107"/>
      <c r="I165" s="71"/>
      <c r="J165" s="84">
        <f t="shared" si="28"/>
        <v>1.5012722646310432</v>
      </c>
      <c r="S165" s="102" t="s">
        <v>162</v>
      </c>
      <c r="T165" s="102"/>
      <c r="V165" s="72" t="str">
        <f>LEFT(A207,SUM(LEN(A207)-LEN(SUBSTITUTE(A207,{"0","1","2"},""))))</f>
        <v>2nd</v>
      </c>
      <c r="W165" s="72">
        <f ca="1">--TRIM(RIGHT(SUBSTITUTE(LEFT(A207,_xlfn.AGGREGATE(16,6,FIND({0,1,2,3,4,5,6,7,8,9},A207,ROW(INDIRECT("1:"&amp;LEN(A207)))),1))," ",REPT(" ",LEN(A207))),LEN(A207)))</f>
        <v>10</v>
      </c>
    </row>
    <row r="166" spans="1:23" s="72" customFormat="1" ht="15.75" customHeight="1" x14ac:dyDescent="0.25">
      <c r="A166" s="100">
        <v>13</v>
      </c>
      <c r="B166" s="101"/>
      <c r="C166" s="52" t="s">
        <v>184</v>
      </c>
      <c r="D166" s="52">
        <v>272</v>
      </c>
      <c r="E166" s="52">
        <v>0</v>
      </c>
      <c r="F166" s="52">
        <v>410</v>
      </c>
      <c r="G166" s="106"/>
      <c r="H166" s="107"/>
      <c r="I166" s="71"/>
      <c r="J166" s="84">
        <f t="shared" si="28"/>
        <v>1.5073529411764706</v>
      </c>
      <c r="K166" s="73"/>
      <c r="S166" s="102" t="str">
        <f t="shared" ref="S166:S171" ca="1" si="35">V166&amp;""&amp;$S$115&amp;""&amp;W166</f>
        <v>201,..,1001</v>
      </c>
      <c r="T166" s="102"/>
      <c r="U166" s="71">
        <v>1</v>
      </c>
      <c r="V166" s="72">
        <f ca="1">(SUMPRODUCT(MID(0&amp;V165, LARGE(INDEX(ISNUMBER(--MID(V165, ROW(INDIRECT("1:"&amp;LEN(V165))), 1)) * ROW(INDIRECT("1:"&amp;LEN(V165))), 0), ROW(INDIRECT("1:"&amp;LEN(V165))))+1, 1) * 10^ROW(INDIRECT("1:"&amp;LEN(V165)))/10))*U166*100+1</f>
        <v>201</v>
      </c>
      <c r="W166" s="72">
        <f ca="1">(SUMPRODUCT(MID(0&amp;W165, LARGE(INDEX(ISNUMBER(--MID(W165, ROW(INDIRECT("1:"&amp;LEN(W165))), 1)) * ROW(INDIRECT("1:"&amp;LEN(W165))), 0), ROW(INDIRECT("1:"&amp;LEN(W165))))+1, 1) * 10^ROW(INDIRECT("1:"&amp;LEN(W165)))/10))*U166*100+1</f>
        <v>1001</v>
      </c>
    </row>
    <row r="167" spans="1:23" s="72" customFormat="1" ht="15.75" customHeight="1" x14ac:dyDescent="0.25">
      <c r="A167" s="100">
        <v>14</v>
      </c>
      <c r="B167" s="101"/>
      <c r="C167" s="52" t="s">
        <v>185</v>
      </c>
      <c r="D167" s="52">
        <v>393</v>
      </c>
      <c r="E167" s="52">
        <v>0</v>
      </c>
      <c r="F167" s="52">
        <v>590</v>
      </c>
      <c r="G167" s="108"/>
      <c r="H167" s="109"/>
      <c r="I167" s="71"/>
      <c r="J167" s="84">
        <f t="shared" si="28"/>
        <v>1.5012722646310432</v>
      </c>
      <c r="S167" s="102" t="str">
        <f t="shared" ca="1" si="35"/>
        <v>202,..,1002</v>
      </c>
      <c r="T167" s="102"/>
      <c r="U167" s="71">
        <f t="shared" ref="U167:W167" si="36">U166+1</f>
        <v>2</v>
      </c>
      <c r="V167" s="72">
        <f t="shared" ca="1" si="36"/>
        <v>202</v>
      </c>
      <c r="W167" s="72">
        <f t="shared" ca="1" si="36"/>
        <v>1002</v>
      </c>
    </row>
    <row r="168" spans="1:23" s="72" customFormat="1" ht="15.75" customHeight="1" x14ac:dyDescent="0.25">
      <c r="A168" s="111" t="s">
        <v>191</v>
      </c>
      <c r="B168" s="112"/>
      <c r="C168" s="112"/>
      <c r="D168" s="112"/>
      <c r="E168" s="112"/>
      <c r="F168" s="112"/>
      <c r="G168" s="112"/>
      <c r="H168" s="113"/>
      <c r="I168" s="71"/>
      <c r="J168" s="84" t="e">
        <f t="shared" si="28"/>
        <v>#DIV/0!</v>
      </c>
      <c r="S168" s="102" t="str">
        <f t="shared" ca="1" si="35"/>
        <v>203,..,1003</v>
      </c>
      <c r="T168" s="102"/>
      <c r="U168" s="71">
        <f t="shared" ref="U168:W168" si="37">U167+1</f>
        <v>3</v>
      </c>
      <c r="V168" s="72">
        <f t="shared" ca="1" si="37"/>
        <v>203</v>
      </c>
      <c r="W168" s="72">
        <f t="shared" ca="1" si="37"/>
        <v>1003</v>
      </c>
    </row>
    <row r="169" spans="1:23" s="72" customFormat="1" ht="15.75" customHeight="1" x14ac:dyDescent="0.25">
      <c r="A169" s="100">
        <v>1</v>
      </c>
      <c r="B169" s="101"/>
      <c r="C169" s="52" t="s">
        <v>184</v>
      </c>
      <c r="D169" s="52">
        <v>265</v>
      </c>
      <c r="E169" s="52">
        <v>0</v>
      </c>
      <c r="F169" s="52">
        <v>400</v>
      </c>
      <c r="G169" s="104" t="str">
        <f>A168</f>
        <v>2nd, 4th, 6th, 10th Floor</v>
      </c>
      <c r="H169" s="105"/>
      <c r="I169" s="71"/>
      <c r="J169" s="84">
        <f t="shared" si="28"/>
        <v>1.5094339622641511</v>
      </c>
      <c r="S169" s="102" t="str">
        <f t="shared" ca="1" si="35"/>
        <v>204,..,1004</v>
      </c>
      <c r="T169" s="102"/>
      <c r="U169" s="71">
        <f t="shared" ref="U169:W169" si="38">U168+1</f>
        <v>4</v>
      </c>
      <c r="V169" s="72">
        <f t="shared" ca="1" si="38"/>
        <v>204</v>
      </c>
      <c r="W169" s="72">
        <f t="shared" ca="1" si="38"/>
        <v>1004</v>
      </c>
    </row>
    <row r="170" spans="1:23" s="72" customFormat="1" ht="15.75" customHeight="1" x14ac:dyDescent="0.25">
      <c r="A170" s="100">
        <v>2</v>
      </c>
      <c r="B170" s="101"/>
      <c r="C170" s="52" t="s">
        <v>185</v>
      </c>
      <c r="D170" s="52">
        <v>386</v>
      </c>
      <c r="E170" s="52">
        <v>0</v>
      </c>
      <c r="F170" s="52">
        <v>580</v>
      </c>
      <c r="G170" s="106"/>
      <c r="H170" s="107"/>
      <c r="I170" s="71"/>
      <c r="J170" s="84">
        <f t="shared" si="28"/>
        <v>1.5025906735751295</v>
      </c>
      <c r="S170" s="102" t="str">
        <f t="shared" ca="1" si="35"/>
        <v>205,..,1005</v>
      </c>
      <c r="T170" s="102"/>
      <c r="U170" s="71">
        <f t="shared" ref="U170:W170" si="39">U169+1</f>
        <v>5</v>
      </c>
      <c r="V170" s="72">
        <f t="shared" ca="1" si="39"/>
        <v>205</v>
      </c>
      <c r="W170" s="72">
        <f t="shared" ca="1" si="39"/>
        <v>1005</v>
      </c>
    </row>
    <row r="171" spans="1:23" s="72" customFormat="1" ht="15.75" customHeight="1" x14ac:dyDescent="0.25">
      <c r="A171" s="100">
        <v>3</v>
      </c>
      <c r="B171" s="101"/>
      <c r="C171" s="52" t="s">
        <v>184</v>
      </c>
      <c r="D171" s="52">
        <v>265</v>
      </c>
      <c r="E171" s="52">
        <v>0</v>
      </c>
      <c r="F171" s="52">
        <v>400</v>
      </c>
      <c r="G171" s="106"/>
      <c r="H171" s="107"/>
      <c r="I171" s="71"/>
      <c r="J171" s="84">
        <f t="shared" si="28"/>
        <v>1.5094339622641511</v>
      </c>
      <c r="S171" s="102" t="str">
        <f t="shared" ca="1" si="35"/>
        <v>206,..,1006</v>
      </c>
      <c r="T171" s="102"/>
      <c r="U171" s="71">
        <f t="shared" ref="U171:W171" si="40">U170+1</f>
        <v>6</v>
      </c>
      <c r="V171" s="72">
        <f t="shared" ca="1" si="40"/>
        <v>206</v>
      </c>
      <c r="W171" s="72">
        <f t="shared" ca="1" si="40"/>
        <v>1006</v>
      </c>
    </row>
    <row r="172" spans="1:23" s="72" customFormat="1" x14ac:dyDescent="0.25">
      <c r="A172" s="100">
        <v>4</v>
      </c>
      <c r="B172" s="101"/>
      <c r="C172" s="52" t="s">
        <v>185</v>
      </c>
      <c r="D172" s="52">
        <v>386</v>
      </c>
      <c r="E172" s="52">
        <v>0</v>
      </c>
      <c r="F172" s="52">
        <v>580</v>
      </c>
      <c r="G172" s="106"/>
      <c r="H172" s="107"/>
      <c r="I172" s="71"/>
      <c r="J172" s="84">
        <f t="shared" si="28"/>
        <v>1.5025906735751295</v>
      </c>
      <c r="S172" s="102"/>
      <c r="T172" s="102"/>
      <c r="V172" s="72" t="str">
        <f>LEFT(A214,SUM(LEN(A214)-LEN(SUBSTITUTE(A214,{"0","1","2","3","4","5","6","7","8","9"},""))))</f>
        <v>8</v>
      </c>
    </row>
    <row r="173" spans="1:23" s="72" customFormat="1" ht="15.75" customHeight="1" x14ac:dyDescent="0.25">
      <c r="A173" s="100">
        <v>5</v>
      </c>
      <c r="B173" s="101"/>
      <c r="C173" s="52" t="s">
        <v>184</v>
      </c>
      <c r="D173" s="52">
        <v>265</v>
      </c>
      <c r="E173" s="52">
        <v>0</v>
      </c>
      <c r="F173" s="52">
        <v>400</v>
      </c>
      <c r="G173" s="106"/>
      <c r="H173" s="107"/>
      <c r="I173" s="71"/>
      <c r="J173" s="84">
        <f t="shared" si="28"/>
        <v>1.5094339622641511</v>
      </c>
      <c r="S173" s="102">
        <f t="shared" ref="S173:S178" ca="1" si="41">V173</f>
        <v>801</v>
      </c>
      <c r="T173" s="102"/>
      <c r="U173" s="71">
        <v>1</v>
      </c>
      <c r="V173" s="72">
        <f ca="1">(SUMPRODUCT(MID(0&amp;V172, LARGE(INDEX(ISNUMBER(--MID(V172, ROW(INDIRECT("1:"&amp;LEN(V172))), 1)) * ROW(INDIRECT("1:"&amp;LEN(V172))), 0), ROW(INDIRECT("1:"&amp;LEN(V172))))+1, 1) * 10^ROW(INDIRECT("1:"&amp;LEN(V172)))/10))*U173*100+1</f>
        <v>801</v>
      </c>
    </row>
    <row r="174" spans="1:23" s="72" customFormat="1" ht="15.75" customHeight="1" x14ac:dyDescent="0.25">
      <c r="A174" s="100">
        <v>6</v>
      </c>
      <c r="B174" s="101"/>
      <c r="C174" s="52" t="s">
        <v>185</v>
      </c>
      <c r="D174" s="52">
        <v>386</v>
      </c>
      <c r="E174" s="52">
        <v>0</v>
      </c>
      <c r="F174" s="52">
        <v>580</v>
      </c>
      <c r="G174" s="106"/>
      <c r="H174" s="107"/>
      <c r="I174" s="71"/>
      <c r="J174" s="84">
        <f t="shared" si="28"/>
        <v>1.5025906735751295</v>
      </c>
      <c r="S174" s="102">
        <f t="shared" ca="1" si="41"/>
        <v>802</v>
      </c>
      <c r="T174" s="102"/>
      <c r="U174" s="71">
        <f>U173+1</f>
        <v>2</v>
      </c>
      <c r="V174" s="72">
        <f ca="1">V173+1</f>
        <v>802</v>
      </c>
    </row>
    <row r="175" spans="1:23" s="72" customFormat="1" ht="15.75" customHeight="1" x14ac:dyDescent="0.25">
      <c r="A175" s="100">
        <v>7</v>
      </c>
      <c r="B175" s="101"/>
      <c r="C175" s="52" t="s">
        <v>184</v>
      </c>
      <c r="D175" s="52">
        <v>265</v>
      </c>
      <c r="E175" s="52">
        <v>0</v>
      </c>
      <c r="F175" s="52">
        <v>400</v>
      </c>
      <c r="G175" s="106"/>
      <c r="H175" s="107"/>
      <c r="I175" s="71"/>
      <c r="J175" s="84">
        <f t="shared" si="28"/>
        <v>1.5094339622641511</v>
      </c>
      <c r="S175" s="102">
        <f t="shared" ca="1" si="41"/>
        <v>803</v>
      </c>
      <c r="T175" s="102"/>
      <c r="U175" s="71">
        <f>U174+1</f>
        <v>3</v>
      </c>
      <c r="V175" s="72">
        <f ca="1">V174+1</f>
        <v>803</v>
      </c>
    </row>
    <row r="176" spans="1:23" s="72" customFormat="1" ht="15.75" customHeight="1" x14ac:dyDescent="0.25">
      <c r="A176" s="100">
        <v>8</v>
      </c>
      <c r="B176" s="101"/>
      <c r="C176" s="52" t="s">
        <v>184</v>
      </c>
      <c r="D176" s="52">
        <v>245</v>
      </c>
      <c r="E176" s="52">
        <v>0</v>
      </c>
      <c r="F176" s="52">
        <v>370</v>
      </c>
      <c r="G176" s="106"/>
      <c r="H176" s="107"/>
      <c r="I176" s="71"/>
      <c r="J176" s="84">
        <f t="shared" si="28"/>
        <v>1.510204081632653</v>
      </c>
      <c r="S176" s="102">
        <f t="shared" ca="1" si="41"/>
        <v>804</v>
      </c>
      <c r="T176" s="102"/>
      <c r="U176" s="71">
        <f t="shared" ref="U176:V178" si="42">U175+1</f>
        <v>4</v>
      </c>
      <c r="V176" s="72">
        <f t="shared" ca="1" si="42"/>
        <v>804</v>
      </c>
    </row>
    <row r="177" spans="1:22" s="72" customFormat="1" ht="15.75" customHeight="1" x14ac:dyDescent="0.25">
      <c r="A177" s="100">
        <v>9</v>
      </c>
      <c r="B177" s="101"/>
      <c r="C177" s="52" t="s">
        <v>185</v>
      </c>
      <c r="D177" s="52">
        <v>366</v>
      </c>
      <c r="E177" s="52">
        <v>0</v>
      </c>
      <c r="F177" s="52">
        <v>550</v>
      </c>
      <c r="G177" s="106"/>
      <c r="H177" s="107"/>
      <c r="I177" s="71"/>
      <c r="J177" s="84">
        <f t="shared" si="28"/>
        <v>1.5027322404371584</v>
      </c>
      <c r="S177" s="102">
        <f t="shared" ca="1" si="41"/>
        <v>805</v>
      </c>
      <c r="T177" s="102"/>
      <c r="U177" s="71">
        <f t="shared" si="42"/>
        <v>5</v>
      </c>
      <c r="V177" s="72">
        <f t="shared" ca="1" si="42"/>
        <v>805</v>
      </c>
    </row>
    <row r="178" spans="1:22" s="72" customFormat="1" ht="15.75" customHeight="1" x14ac:dyDescent="0.25">
      <c r="A178" s="100">
        <v>10</v>
      </c>
      <c r="B178" s="101"/>
      <c r="C178" s="52" t="s">
        <v>184</v>
      </c>
      <c r="D178" s="52">
        <v>245</v>
      </c>
      <c r="E178" s="52">
        <v>0</v>
      </c>
      <c r="F178" s="52">
        <v>370</v>
      </c>
      <c r="G178" s="106"/>
      <c r="H178" s="107"/>
      <c r="I178" s="71"/>
      <c r="J178" s="84">
        <f t="shared" si="28"/>
        <v>1.510204081632653</v>
      </c>
      <c r="S178" s="102">
        <f t="shared" ca="1" si="41"/>
        <v>806</v>
      </c>
      <c r="T178" s="102"/>
      <c r="U178" s="71">
        <f>U177+1</f>
        <v>6</v>
      </c>
      <c r="V178" s="72">
        <f t="shared" ca="1" si="42"/>
        <v>806</v>
      </c>
    </row>
    <row r="179" spans="1:22" s="70" customFormat="1" x14ac:dyDescent="0.25">
      <c r="A179" s="100">
        <v>11</v>
      </c>
      <c r="B179" s="101"/>
      <c r="C179" s="52" t="s">
        <v>185</v>
      </c>
      <c r="D179" s="52">
        <v>398</v>
      </c>
      <c r="E179" s="52">
        <v>0</v>
      </c>
      <c r="F179" s="52">
        <v>600</v>
      </c>
      <c r="G179" s="106"/>
      <c r="H179" s="107"/>
      <c r="I179" s="71"/>
      <c r="J179" s="84">
        <f t="shared" si="28"/>
        <v>1.5075376884422111</v>
      </c>
    </row>
    <row r="180" spans="1:22" s="74" customFormat="1" x14ac:dyDescent="0.25">
      <c r="A180" s="100">
        <v>12</v>
      </c>
      <c r="B180" s="101"/>
      <c r="C180" s="52" t="s">
        <v>185</v>
      </c>
      <c r="D180" s="52">
        <v>366</v>
      </c>
      <c r="E180" s="52">
        <v>0</v>
      </c>
      <c r="F180" s="52">
        <v>550</v>
      </c>
      <c r="G180" s="106"/>
      <c r="H180" s="107"/>
      <c r="I180" s="71"/>
      <c r="J180" s="84">
        <f t="shared" si="28"/>
        <v>1.5027322404371584</v>
      </c>
    </row>
    <row r="181" spans="1:22" x14ac:dyDescent="0.25">
      <c r="A181" s="100">
        <v>13</v>
      </c>
      <c r="B181" s="101"/>
      <c r="C181" s="52" t="s">
        <v>184</v>
      </c>
      <c r="D181" s="52">
        <v>245</v>
      </c>
      <c r="E181" s="52">
        <v>0</v>
      </c>
      <c r="F181" s="52">
        <v>370</v>
      </c>
      <c r="G181" s="106"/>
      <c r="H181" s="107"/>
      <c r="I181" s="71"/>
      <c r="J181" s="84">
        <f t="shared" si="28"/>
        <v>1.510204081632653</v>
      </c>
    </row>
    <row r="182" spans="1:22" x14ac:dyDescent="0.25">
      <c r="A182" s="100">
        <v>14</v>
      </c>
      <c r="B182" s="101"/>
      <c r="C182" s="52" t="s">
        <v>185</v>
      </c>
      <c r="D182" s="52">
        <v>366</v>
      </c>
      <c r="E182" s="52">
        <v>0</v>
      </c>
      <c r="F182" s="52">
        <v>550</v>
      </c>
      <c r="G182" s="108"/>
      <c r="H182" s="109"/>
      <c r="I182" s="71"/>
      <c r="J182" s="84">
        <f t="shared" si="28"/>
        <v>1.5027322404371584</v>
      </c>
    </row>
    <row r="183" spans="1:22" ht="15.75" customHeight="1" x14ac:dyDescent="0.25">
      <c r="A183" s="110" t="s">
        <v>216</v>
      </c>
      <c r="B183" s="110"/>
      <c r="C183" s="110"/>
      <c r="D183" s="110"/>
      <c r="E183" s="110"/>
      <c r="F183" s="110"/>
      <c r="G183" s="110"/>
      <c r="H183" s="110"/>
      <c r="I183" s="71"/>
      <c r="J183" s="72"/>
    </row>
    <row r="184" spans="1:22" x14ac:dyDescent="0.25">
      <c r="A184" s="114">
        <v>1</v>
      </c>
      <c r="B184" s="114"/>
      <c r="C184" s="92" t="s">
        <v>184</v>
      </c>
      <c r="D184" s="92">
        <v>265</v>
      </c>
      <c r="E184" s="92">
        <v>0</v>
      </c>
      <c r="F184" s="92">
        <v>400</v>
      </c>
      <c r="G184" s="114" t="str">
        <f>A183</f>
        <v>8th Floor (Part Refuge Area)</v>
      </c>
      <c r="H184" s="114"/>
      <c r="I184" s="71"/>
      <c r="J184" s="72"/>
    </row>
    <row r="185" spans="1:22" x14ac:dyDescent="0.25">
      <c r="A185" s="114">
        <v>2</v>
      </c>
      <c r="B185" s="114"/>
      <c r="C185" s="92" t="s">
        <v>185</v>
      </c>
      <c r="D185" s="92">
        <v>386</v>
      </c>
      <c r="E185" s="92">
        <v>0</v>
      </c>
      <c r="F185" s="92">
        <v>580</v>
      </c>
      <c r="G185" s="114"/>
      <c r="H185" s="114"/>
      <c r="I185" s="71"/>
      <c r="J185" s="72"/>
    </row>
    <row r="186" spans="1:22" x14ac:dyDescent="0.25">
      <c r="A186" s="114">
        <v>3</v>
      </c>
      <c r="B186" s="114"/>
      <c r="C186" s="92" t="s">
        <v>184</v>
      </c>
      <c r="D186" s="92">
        <v>265</v>
      </c>
      <c r="E186" s="92">
        <v>0</v>
      </c>
      <c r="F186" s="92">
        <v>400</v>
      </c>
      <c r="G186" s="114"/>
      <c r="H186" s="114"/>
      <c r="I186" s="71"/>
      <c r="J186" s="72"/>
    </row>
    <row r="187" spans="1:22" x14ac:dyDescent="0.25">
      <c r="A187" s="114">
        <v>4</v>
      </c>
      <c r="B187" s="114"/>
      <c r="C187" s="92" t="s">
        <v>185</v>
      </c>
      <c r="D187" s="92">
        <v>386</v>
      </c>
      <c r="E187" s="92">
        <v>0</v>
      </c>
      <c r="F187" s="92">
        <v>580</v>
      </c>
      <c r="G187" s="114"/>
      <c r="H187" s="114"/>
      <c r="I187" s="71"/>
      <c r="J187" s="72"/>
    </row>
    <row r="188" spans="1:22" x14ac:dyDescent="0.25">
      <c r="A188" s="114">
        <v>5</v>
      </c>
      <c r="B188" s="114"/>
      <c r="C188" s="92" t="s">
        <v>184</v>
      </c>
      <c r="D188" s="92">
        <v>265</v>
      </c>
      <c r="E188" s="92">
        <v>0</v>
      </c>
      <c r="F188" s="92">
        <v>400</v>
      </c>
      <c r="G188" s="114"/>
      <c r="H188" s="114"/>
      <c r="I188" s="71"/>
      <c r="J188" s="72"/>
    </row>
    <row r="189" spans="1:22" x14ac:dyDescent="0.25">
      <c r="A189" s="114">
        <v>6</v>
      </c>
      <c r="B189" s="114"/>
      <c r="C189" s="92" t="s">
        <v>185</v>
      </c>
      <c r="D189" s="92">
        <v>386</v>
      </c>
      <c r="E189" s="92">
        <v>0</v>
      </c>
      <c r="F189" s="92">
        <v>580</v>
      </c>
      <c r="G189" s="114"/>
      <c r="H189" s="114"/>
      <c r="I189" s="71"/>
      <c r="J189" s="72"/>
    </row>
    <row r="190" spans="1:22" x14ac:dyDescent="0.25">
      <c r="A190" s="114">
        <v>7</v>
      </c>
      <c r="B190" s="114"/>
      <c r="C190" s="92" t="s">
        <v>184</v>
      </c>
      <c r="D190" s="92">
        <v>265</v>
      </c>
      <c r="E190" s="92">
        <v>0</v>
      </c>
      <c r="F190" s="92">
        <v>400</v>
      </c>
      <c r="G190" s="114"/>
      <c r="H190" s="114"/>
      <c r="I190" s="71"/>
      <c r="J190" s="72"/>
    </row>
    <row r="191" spans="1:22" x14ac:dyDescent="0.25">
      <c r="A191" s="114">
        <v>8</v>
      </c>
      <c r="B191" s="114"/>
      <c r="C191" s="114" t="s">
        <v>190</v>
      </c>
      <c r="D191" s="114"/>
      <c r="E191" s="114"/>
      <c r="F191" s="114"/>
      <c r="G191" s="114"/>
      <c r="H191" s="114"/>
      <c r="I191" s="71"/>
      <c r="J191" s="72"/>
    </row>
    <row r="192" spans="1:22" x14ac:dyDescent="0.25">
      <c r="A192" s="114">
        <v>9</v>
      </c>
      <c r="B192" s="114"/>
      <c r="C192" s="92" t="s">
        <v>185</v>
      </c>
      <c r="D192" s="92">
        <v>366</v>
      </c>
      <c r="E192" s="92">
        <v>0</v>
      </c>
      <c r="F192" s="92">
        <v>550</v>
      </c>
      <c r="G192" s="114"/>
      <c r="H192" s="114"/>
      <c r="I192" s="71"/>
      <c r="J192" s="72"/>
    </row>
    <row r="193" spans="1:10" x14ac:dyDescent="0.25">
      <c r="A193" s="114">
        <v>10</v>
      </c>
      <c r="B193" s="114"/>
      <c r="C193" s="92" t="s">
        <v>184</v>
      </c>
      <c r="D193" s="92">
        <v>245</v>
      </c>
      <c r="E193" s="92">
        <v>0</v>
      </c>
      <c r="F193" s="92">
        <v>370</v>
      </c>
      <c r="G193" s="114"/>
      <c r="H193" s="114"/>
      <c r="I193" s="70"/>
      <c r="J193" s="70"/>
    </row>
    <row r="194" spans="1:10" x14ac:dyDescent="0.25">
      <c r="A194" s="114">
        <v>11</v>
      </c>
      <c r="B194" s="114"/>
      <c r="C194" s="92" t="s">
        <v>185</v>
      </c>
      <c r="D194" s="92">
        <v>398</v>
      </c>
      <c r="E194" s="92">
        <v>0</v>
      </c>
      <c r="F194" s="92">
        <v>600</v>
      </c>
      <c r="G194" s="114"/>
      <c r="H194" s="114"/>
      <c r="I194" s="74"/>
      <c r="J194" s="74"/>
    </row>
    <row r="195" spans="1:10" x14ac:dyDescent="0.25">
      <c r="A195" s="114">
        <v>12</v>
      </c>
      <c r="B195" s="114"/>
      <c r="C195" s="92" t="s">
        <v>185</v>
      </c>
      <c r="D195" s="92">
        <v>366</v>
      </c>
      <c r="E195" s="92">
        <v>0</v>
      </c>
      <c r="F195" s="92">
        <v>550</v>
      </c>
      <c r="G195" s="114"/>
      <c r="H195" s="114"/>
    </row>
    <row r="196" spans="1:10" ht="15" customHeight="1" x14ac:dyDescent="0.25">
      <c r="A196" s="114">
        <v>13</v>
      </c>
      <c r="B196" s="114"/>
      <c r="C196" s="92" t="s">
        <v>184</v>
      </c>
      <c r="D196" s="92">
        <v>245</v>
      </c>
      <c r="E196" s="92">
        <v>0</v>
      </c>
      <c r="F196" s="92">
        <v>370</v>
      </c>
      <c r="G196" s="114"/>
      <c r="H196" s="114"/>
    </row>
    <row r="197" spans="1:10" x14ac:dyDescent="0.25">
      <c r="A197" s="114">
        <v>14</v>
      </c>
      <c r="B197" s="114"/>
      <c r="C197" s="92" t="s">
        <v>185</v>
      </c>
      <c r="D197" s="92">
        <v>366</v>
      </c>
      <c r="E197" s="92">
        <v>0</v>
      </c>
      <c r="F197" s="92">
        <v>550</v>
      </c>
      <c r="G197" s="114"/>
      <c r="H197" s="114"/>
    </row>
    <row r="198" spans="1:10" x14ac:dyDescent="0.25">
      <c r="A198" s="110" t="s">
        <v>186</v>
      </c>
      <c r="B198" s="110"/>
      <c r="C198" s="110"/>
      <c r="D198" s="110"/>
      <c r="E198" s="110"/>
      <c r="F198" s="110"/>
      <c r="G198" s="110"/>
      <c r="H198" s="110"/>
    </row>
    <row r="199" spans="1:10" x14ac:dyDescent="0.25">
      <c r="A199" s="110" t="s">
        <v>182</v>
      </c>
      <c r="B199" s="110"/>
      <c r="C199" s="110"/>
      <c r="D199" s="110"/>
      <c r="E199" s="110"/>
      <c r="F199" s="110"/>
      <c r="G199" s="110"/>
      <c r="H199" s="110"/>
    </row>
    <row r="200" spans="1:10" x14ac:dyDescent="0.25">
      <c r="A200" s="111" t="s">
        <v>181</v>
      </c>
      <c r="B200" s="112"/>
      <c r="C200" s="112"/>
      <c r="D200" s="112"/>
      <c r="E200" s="112"/>
      <c r="F200" s="112"/>
      <c r="G200" s="112"/>
      <c r="H200" s="113"/>
    </row>
    <row r="201" spans="1:10" x14ac:dyDescent="0.25">
      <c r="A201" s="100">
        <v>1</v>
      </c>
      <c r="B201" s="101"/>
      <c r="C201" s="52" t="s">
        <v>187</v>
      </c>
      <c r="D201" s="52">
        <v>614</v>
      </c>
      <c r="E201" s="52">
        <v>0</v>
      </c>
      <c r="F201" s="52">
        <v>920</v>
      </c>
      <c r="G201" s="104" t="str">
        <f>A200</f>
        <v>1st, 3rd, 5th, 7th, 9th, 11th Floor</v>
      </c>
      <c r="H201" s="105"/>
    </row>
    <row r="202" spans="1:10" x14ac:dyDescent="0.25">
      <c r="A202" s="100">
        <v>2</v>
      </c>
      <c r="B202" s="101"/>
      <c r="C202" s="52" t="s">
        <v>185</v>
      </c>
      <c r="D202" s="52">
        <v>405</v>
      </c>
      <c r="E202" s="52">
        <v>0</v>
      </c>
      <c r="F202" s="52">
        <v>610</v>
      </c>
      <c r="G202" s="106"/>
      <c r="H202" s="107"/>
    </row>
    <row r="203" spans="1:10" x14ac:dyDescent="0.25">
      <c r="A203" s="100">
        <v>3</v>
      </c>
      <c r="B203" s="101"/>
      <c r="C203" s="52" t="s">
        <v>188</v>
      </c>
      <c r="D203" s="52">
        <v>513</v>
      </c>
      <c r="E203" s="52">
        <v>0</v>
      </c>
      <c r="F203" s="52">
        <v>770</v>
      </c>
      <c r="G203" s="106"/>
      <c r="H203" s="107"/>
    </row>
    <row r="204" spans="1:10" x14ac:dyDescent="0.25">
      <c r="A204" s="100">
        <v>4</v>
      </c>
      <c r="B204" s="101"/>
      <c r="C204" s="52" t="s">
        <v>185</v>
      </c>
      <c r="D204" s="52">
        <v>414</v>
      </c>
      <c r="E204" s="52">
        <v>0</v>
      </c>
      <c r="F204" s="52">
        <v>620</v>
      </c>
      <c r="G204" s="106"/>
      <c r="H204" s="107"/>
    </row>
    <row r="205" spans="1:10" x14ac:dyDescent="0.25">
      <c r="A205" s="100">
        <v>5</v>
      </c>
      <c r="B205" s="101"/>
      <c r="C205" s="52" t="s">
        <v>185</v>
      </c>
      <c r="D205" s="52">
        <v>414</v>
      </c>
      <c r="E205" s="52">
        <v>0</v>
      </c>
      <c r="F205" s="52">
        <v>620</v>
      </c>
      <c r="G205" s="106"/>
      <c r="H205" s="107"/>
    </row>
    <row r="206" spans="1:10" x14ac:dyDescent="0.25">
      <c r="A206" s="100">
        <v>6</v>
      </c>
      <c r="B206" s="101"/>
      <c r="C206" s="52" t="s">
        <v>188</v>
      </c>
      <c r="D206" s="52">
        <v>483</v>
      </c>
      <c r="E206" s="52">
        <v>0</v>
      </c>
      <c r="F206" s="52">
        <v>725</v>
      </c>
      <c r="G206" s="108"/>
      <c r="H206" s="109"/>
    </row>
    <row r="207" spans="1:10" x14ac:dyDescent="0.25">
      <c r="A207" s="111" t="s">
        <v>191</v>
      </c>
      <c r="B207" s="112"/>
      <c r="C207" s="112"/>
      <c r="D207" s="112"/>
      <c r="E207" s="112"/>
      <c r="F207" s="112"/>
      <c r="G207" s="112"/>
      <c r="H207" s="113"/>
    </row>
    <row r="208" spans="1:10" x14ac:dyDescent="0.25">
      <c r="A208" s="100">
        <v>1</v>
      </c>
      <c r="B208" s="101"/>
      <c r="C208" s="52" t="s">
        <v>187</v>
      </c>
      <c r="D208" s="52">
        <v>614</v>
      </c>
      <c r="E208" s="52">
        <v>0</v>
      </c>
      <c r="F208" s="52">
        <v>920</v>
      </c>
      <c r="G208" s="104" t="str">
        <f>A207</f>
        <v>2nd, 4th, 6th, 10th Floor</v>
      </c>
      <c r="H208" s="105"/>
    </row>
    <row r="209" spans="1:8" x14ac:dyDescent="0.25">
      <c r="A209" s="100">
        <v>2</v>
      </c>
      <c r="B209" s="101"/>
      <c r="C209" s="52" t="s">
        <v>185</v>
      </c>
      <c r="D209" s="52">
        <v>405</v>
      </c>
      <c r="E209" s="52">
        <v>0</v>
      </c>
      <c r="F209" s="52">
        <v>610</v>
      </c>
      <c r="G209" s="106"/>
      <c r="H209" s="107"/>
    </row>
    <row r="210" spans="1:8" x14ac:dyDescent="0.25">
      <c r="A210" s="100">
        <v>3</v>
      </c>
      <c r="B210" s="101"/>
      <c r="C210" s="52" t="s">
        <v>188</v>
      </c>
      <c r="D210" s="52">
        <v>513</v>
      </c>
      <c r="E210" s="52">
        <v>0</v>
      </c>
      <c r="F210" s="52">
        <v>770</v>
      </c>
      <c r="G210" s="106"/>
      <c r="H210" s="107"/>
    </row>
    <row r="211" spans="1:8" x14ac:dyDescent="0.25">
      <c r="A211" s="100">
        <v>4</v>
      </c>
      <c r="B211" s="101"/>
      <c r="C211" s="52" t="s">
        <v>185</v>
      </c>
      <c r="D211" s="52">
        <v>414</v>
      </c>
      <c r="E211" s="52">
        <v>0</v>
      </c>
      <c r="F211" s="52">
        <v>620</v>
      </c>
      <c r="G211" s="106"/>
      <c r="H211" s="107"/>
    </row>
    <row r="212" spans="1:8" x14ac:dyDescent="0.25">
      <c r="A212" s="100">
        <v>5</v>
      </c>
      <c r="B212" s="101"/>
      <c r="C212" s="52" t="s">
        <v>185</v>
      </c>
      <c r="D212" s="52">
        <v>414</v>
      </c>
      <c r="E212" s="52">
        <v>0</v>
      </c>
      <c r="F212" s="52">
        <v>620</v>
      </c>
      <c r="G212" s="106"/>
      <c r="H212" s="107"/>
    </row>
    <row r="213" spans="1:8" x14ac:dyDescent="0.25">
      <c r="A213" s="100">
        <v>6</v>
      </c>
      <c r="B213" s="101"/>
      <c r="C213" s="52" t="s">
        <v>188</v>
      </c>
      <c r="D213" s="52">
        <v>483</v>
      </c>
      <c r="E213" s="52">
        <v>0</v>
      </c>
      <c r="F213" s="52">
        <v>725</v>
      </c>
      <c r="G213" s="108"/>
      <c r="H213" s="109"/>
    </row>
    <row r="214" spans="1:8" x14ac:dyDescent="0.25">
      <c r="A214" s="110" t="s">
        <v>216</v>
      </c>
      <c r="B214" s="110"/>
      <c r="C214" s="110"/>
      <c r="D214" s="110"/>
      <c r="E214" s="110"/>
      <c r="F214" s="110"/>
      <c r="G214" s="110"/>
      <c r="H214" s="110"/>
    </row>
    <row r="215" spans="1:8" x14ac:dyDescent="0.25">
      <c r="A215" s="100">
        <v>1</v>
      </c>
      <c r="B215" s="101"/>
      <c r="C215" s="52" t="s">
        <v>187</v>
      </c>
      <c r="D215" s="52">
        <v>614</v>
      </c>
      <c r="E215" s="52">
        <v>0</v>
      </c>
      <c r="F215" s="52">
        <v>920</v>
      </c>
      <c r="G215" s="104" t="str">
        <f>A214</f>
        <v>8th Floor (Part Refuge Area)</v>
      </c>
      <c r="H215" s="105"/>
    </row>
    <row r="216" spans="1:8" x14ac:dyDescent="0.25">
      <c r="A216" s="100">
        <v>2</v>
      </c>
      <c r="B216" s="101"/>
      <c r="C216" s="52" t="s">
        <v>185</v>
      </c>
      <c r="D216" s="52">
        <v>405</v>
      </c>
      <c r="E216" s="52">
        <v>0</v>
      </c>
      <c r="F216" s="52">
        <v>610</v>
      </c>
      <c r="G216" s="106"/>
      <c r="H216" s="107"/>
    </row>
    <row r="217" spans="1:8" x14ac:dyDescent="0.25">
      <c r="A217" s="100">
        <v>3</v>
      </c>
      <c r="B217" s="101"/>
      <c r="C217" s="52" t="s">
        <v>188</v>
      </c>
      <c r="D217" s="52">
        <v>513</v>
      </c>
      <c r="E217" s="52">
        <v>0</v>
      </c>
      <c r="F217" s="52">
        <v>770</v>
      </c>
      <c r="G217" s="106"/>
      <c r="H217" s="107"/>
    </row>
    <row r="218" spans="1:8" x14ac:dyDescent="0.25">
      <c r="A218" s="100">
        <v>4</v>
      </c>
      <c r="B218" s="101"/>
      <c r="C218" s="100" t="s">
        <v>190</v>
      </c>
      <c r="D218" s="103"/>
      <c r="E218" s="103"/>
      <c r="F218" s="101"/>
      <c r="G218" s="106"/>
      <c r="H218" s="107"/>
    </row>
    <row r="219" spans="1:8" x14ac:dyDescent="0.25">
      <c r="A219" s="100">
        <v>5</v>
      </c>
      <c r="B219" s="101"/>
      <c r="C219" s="52" t="s">
        <v>185</v>
      </c>
      <c r="D219" s="52">
        <v>414</v>
      </c>
      <c r="E219" s="52">
        <v>0</v>
      </c>
      <c r="F219" s="52">
        <v>620</v>
      </c>
      <c r="G219" s="106"/>
      <c r="H219" s="107"/>
    </row>
    <row r="220" spans="1:8" x14ac:dyDescent="0.25">
      <c r="A220" s="100">
        <v>6</v>
      </c>
      <c r="B220" s="101"/>
      <c r="C220" s="52" t="s">
        <v>188</v>
      </c>
      <c r="D220" s="52">
        <v>483</v>
      </c>
      <c r="E220" s="52">
        <v>0</v>
      </c>
      <c r="F220" s="52">
        <v>725</v>
      </c>
      <c r="G220" s="108"/>
      <c r="H220" s="109"/>
    </row>
    <row r="221" spans="1:8" x14ac:dyDescent="0.25">
      <c r="A221" s="132" t="s">
        <v>78</v>
      </c>
      <c r="B221" s="132"/>
      <c r="C221" s="132"/>
      <c r="D221" s="132"/>
      <c r="E221" s="132"/>
      <c r="F221" s="132"/>
      <c r="G221" s="132"/>
      <c r="H221" s="132"/>
    </row>
    <row r="222" spans="1:8" ht="175.5" customHeight="1" x14ac:dyDescent="0.25">
      <c r="A222" s="133" t="s">
        <v>260</v>
      </c>
      <c r="B222" s="133"/>
      <c r="C222" s="133"/>
      <c r="D222" s="133"/>
      <c r="E222" s="133"/>
      <c r="F222" s="133"/>
      <c r="G222" s="133"/>
      <c r="H222" s="133"/>
    </row>
    <row r="223" spans="1:8" x14ac:dyDescent="0.25">
      <c r="A223" s="134" t="s">
        <v>69</v>
      </c>
      <c r="B223" s="134"/>
      <c r="C223" s="134"/>
      <c r="D223" s="134"/>
      <c r="E223" s="134"/>
      <c r="F223" s="134"/>
      <c r="G223" s="134"/>
      <c r="H223" s="134"/>
    </row>
    <row r="224" spans="1:8" x14ac:dyDescent="0.25">
      <c r="A224" s="97" t="s">
        <v>70</v>
      </c>
      <c r="B224" s="97"/>
      <c r="C224" s="97"/>
      <c r="D224" s="97"/>
      <c r="E224" s="97"/>
      <c r="F224" s="97"/>
      <c r="G224" s="97"/>
      <c r="H224" s="97"/>
    </row>
    <row r="225" spans="1:8" x14ac:dyDescent="0.25">
      <c r="A225" s="134" t="s">
        <v>71</v>
      </c>
      <c r="B225" s="134"/>
      <c r="C225" s="134"/>
      <c r="D225" s="134"/>
      <c r="E225" s="134"/>
      <c r="F225" s="134"/>
      <c r="G225" s="134"/>
      <c r="H225" s="134"/>
    </row>
    <row r="226" spans="1:8" x14ac:dyDescent="0.25">
      <c r="A226" s="97" t="s">
        <v>72</v>
      </c>
      <c r="B226" s="97"/>
      <c r="C226" s="97"/>
      <c r="D226" s="97"/>
      <c r="E226" s="97"/>
      <c r="F226" s="97"/>
      <c r="G226" s="97"/>
      <c r="H226" s="97"/>
    </row>
    <row r="227" spans="1:8" x14ac:dyDescent="0.25">
      <c r="A227" s="97" t="s">
        <v>73</v>
      </c>
      <c r="B227" s="97"/>
      <c r="C227" s="97"/>
      <c r="D227" s="97"/>
      <c r="E227" s="97"/>
      <c r="F227" s="97"/>
      <c r="G227" s="97"/>
      <c r="H227" s="97"/>
    </row>
    <row r="228" spans="1:8" x14ac:dyDescent="0.25">
      <c r="A228" s="97" t="s">
        <v>74</v>
      </c>
      <c r="B228" s="97"/>
      <c r="C228" s="97"/>
      <c r="D228" s="97"/>
      <c r="E228" s="97"/>
      <c r="F228" s="97"/>
      <c r="G228" s="97"/>
      <c r="H228" s="97"/>
    </row>
    <row r="229" spans="1:8" x14ac:dyDescent="0.25">
      <c r="A229" s="120" t="s">
        <v>75</v>
      </c>
      <c r="B229" s="120"/>
      <c r="C229" s="120"/>
      <c r="D229" s="120"/>
      <c r="E229" s="120"/>
      <c r="F229" s="120"/>
      <c r="G229" s="120"/>
      <c r="H229" s="120"/>
    </row>
    <row r="230" spans="1:8" x14ac:dyDescent="0.25">
      <c r="A230" s="127" t="s">
        <v>109</v>
      </c>
      <c r="B230" s="127"/>
      <c r="C230" s="128" t="s">
        <v>249</v>
      </c>
      <c r="D230" s="128"/>
      <c r="E230" s="127" t="s">
        <v>147</v>
      </c>
      <c r="F230" s="127"/>
      <c r="G230" s="127" t="s">
        <v>259</v>
      </c>
      <c r="H230" s="127"/>
    </row>
    <row r="231" spans="1:8" x14ac:dyDescent="0.25">
      <c r="A231" s="126" t="s">
        <v>111</v>
      </c>
      <c r="B231" s="126"/>
      <c r="C231" s="126"/>
      <c r="D231" s="126"/>
      <c r="E231" s="126"/>
      <c r="F231" s="126"/>
      <c r="G231" s="126"/>
      <c r="H231" s="126"/>
    </row>
    <row r="232" spans="1:8" ht="12.75" customHeight="1" x14ac:dyDescent="0.25">
      <c r="A232" s="126"/>
      <c r="B232" s="126"/>
      <c r="C232" s="126"/>
      <c r="D232" s="126"/>
      <c r="E232" s="126"/>
      <c r="F232" s="126"/>
      <c r="G232" s="126"/>
      <c r="H232" s="126"/>
    </row>
    <row r="233" spans="1:8" x14ac:dyDescent="0.25">
      <c r="A233" s="126"/>
      <c r="B233" s="126"/>
      <c r="C233" s="126"/>
      <c r="D233" s="126"/>
      <c r="E233" s="126"/>
      <c r="F233" s="126"/>
      <c r="G233" s="126"/>
      <c r="H233" s="126"/>
    </row>
    <row r="234" spans="1:8" ht="10.5" customHeight="1" x14ac:dyDescent="0.25">
      <c r="A234" s="126"/>
      <c r="B234" s="126"/>
      <c r="C234" s="126"/>
      <c r="D234" s="126"/>
      <c r="E234" s="126"/>
      <c r="F234" s="126"/>
      <c r="G234" s="126"/>
      <c r="H234" s="126"/>
    </row>
    <row r="235" spans="1:8" x14ac:dyDescent="0.25">
      <c r="A235" s="75" t="s">
        <v>76</v>
      </c>
      <c r="B235" s="76"/>
      <c r="C235" s="76"/>
      <c r="D235" s="75" t="str">
        <f>E8</f>
        <v>Nano City</v>
      </c>
      <c r="F235" s="76"/>
      <c r="G235" s="76"/>
      <c r="H235" s="76"/>
    </row>
    <row r="236" spans="1:8" x14ac:dyDescent="0.25">
      <c r="A236"/>
      <c r="B236" s="76"/>
      <c r="C236" s="76"/>
      <c r="D236" s="76"/>
      <c r="E236" s="76"/>
      <c r="F236" s="76"/>
      <c r="G236" s="76"/>
      <c r="H236" s="76"/>
    </row>
    <row r="237" spans="1:8" x14ac:dyDescent="0.25">
      <c r="A237" s="76"/>
      <c r="B237" s="76"/>
      <c r="C237" s="76"/>
      <c r="D237" s="76"/>
      <c r="E237" s="76"/>
      <c r="F237" s="76"/>
      <c r="G237" s="76"/>
      <c r="H237" s="76"/>
    </row>
    <row r="278" spans="1:1" x14ac:dyDescent="0.25">
      <c r="A278" s="78" t="s">
        <v>230</v>
      </c>
    </row>
    <row r="320" spans="1:1" x14ac:dyDescent="0.25">
      <c r="A320" s="78" t="s">
        <v>77</v>
      </c>
    </row>
  </sheetData>
  <mergeCells count="426">
    <mergeCell ref="A157:B157"/>
    <mergeCell ref="E77:F77"/>
    <mergeCell ref="G77:H77"/>
    <mergeCell ref="S113:T113"/>
    <mergeCell ref="A106:H106"/>
    <mergeCell ref="A107:E107"/>
    <mergeCell ref="A116:E116"/>
    <mergeCell ref="F116:H116"/>
    <mergeCell ref="A112:E112"/>
    <mergeCell ref="F112:H112"/>
    <mergeCell ref="A113:E113"/>
    <mergeCell ref="F113:H113"/>
    <mergeCell ref="F108:H108"/>
    <mergeCell ref="A108:E108"/>
    <mergeCell ref="F109:H109"/>
    <mergeCell ref="A109:E109"/>
    <mergeCell ref="A114:E114"/>
    <mergeCell ref="F114:H114"/>
    <mergeCell ref="A110:E110"/>
    <mergeCell ref="F110:H110"/>
    <mergeCell ref="A111:E111"/>
    <mergeCell ref="F111:H111"/>
    <mergeCell ref="F107:H107"/>
    <mergeCell ref="S114:T114"/>
    <mergeCell ref="A185:B185"/>
    <mergeCell ref="A186:B186"/>
    <mergeCell ref="A187:B187"/>
    <mergeCell ref="A165:B165"/>
    <mergeCell ref="A164:B164"/>
    <mergeCell ref="A167:B167"/>
    <mergeCell ref="A181:B181"/>
    <mergeCell ref="A182:B182"/>
    <mergeCell ref="G184:H197"/>
    <mergeCell ref="A127:H127"/>
    <mergeCell ref="A184:B184"/>
    <mergeCell ref="A121:B121"/>
    <mergeCell ref="A126:H126"/>
    <mergeCell ref="A115:E115"/>
    <mergeCell ref="A117:E117"/>
    <mergeCell ref="F117:H117"/>
    <mergeCell ref="F115:H115"/>
    <mergeCell ref="A155:B155"/>
    <mergeCell ref="C121:D121"/>
    <mergeCell ref="E121:F121"/>
    <mergeCell ref="G121:H121"/>
    <mergeCell ref="A124:B124"/>
    <mergeCell ref="C124:D124"/>
    <mergeCell ref="E124:F124"/>
    <mergeCell ref="G124:H124"/>
    <mergeCell ref="A125:B125"/>
    <mergeCell ref="C125:D125"/>
    <mergeCell ref="A161:B161"/>
    <mergeCell ref="E125:F125"/>
    <mergeCell ref="G128:H128"/>
    <mergeCell ref="A151:H151"/>
    <mergeCell ref="A152:H152"/>
    <mergeCell ref="A159:B159"/>
    <mergeCell ref="F29:H29"/>
    <mergeCell ref="A30:B30"/>
    <mergeCell ref="A29:B29"/>
    <mergeCell ref="C30:E30"/>
    <mergeCell ref="C35:H35"/>
    <mergeCell ref="A36:B36"/>
    <mergeCell ref="C36:H36"/>
    <mergeCell ref="A31:B31"/>
    <mergeCell ref="C31:E31"/>
    <mergeCell ref="E38:H38"/>
    <mergeCell ref="F30:H30"/>
    <mergeCell ref="F31:H31"/>
    <mergeCell ref="A39:D39"/>
    <mergeCell ref="C29:E2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F32:H32"/>
    <mergeCell ref="F33:H33"/>
    <mergeCell ref="A35:B35"/>
    <mergeCell ref="E12:H12"/>
    <mergeCell ref="A13:B13"/>
    <mergeCell ref="C13:H13"/>
    <mergeCell ref="C14:H14"/>
    <mergeCell ref="A24:D24"/>
    <mergeCell ref="E24:H24"/>
    <mergeCell ref="E23:H23"/>
    <mergeCell ref="G17:H17"/>
    <mergeCell ref="A18:B18"/>
    <mergeCell ref="C18:D18"/>
    <mergeCell ref="E18:F18"/>
    <mergeCell ref="G18:H18"/>
    <mergeCell ref="A22:D22"/>
    <mergeCell ref="E22:H22"/>
    <mergeCell ref="A26:D26"/>
    <mergeCell ref="E26:H26"/>
    <mergeCell ref="A23:D23"/>
    <mergeCell ref="A10:D10"/>
    <mergeCell ref="E10:H10"/>
    <mergeCell ref="A19:D20"/>
    <mergeCell ref="E19:H20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A14:B14"/>
    <mergeCell ref="A11:D11"/>
    <mergeCell ref="E11:H11"/>
    <mergeCell ref="A12:D12"/>
    <mergeCell ref="E41:H41"/>
    <mergeCell ref="E42:H42"/>
    <mergeCell ref="E43:H43"/>
    <mergeCell ref="A41:D41"/>
    <mergeCell ref="A42:D42"/>
    <mergeCell ref="A47:B47"/>
    <mergeCell ref="C47:E47"/>
    <mergeCell ref="G47:H47"/>
    <mergeCell ref="A25:D25"/>
    <mergeCell ref="E25:H25"/>
    <mergeCell ref="A40:D40"/>
    <mergeCell ref="E40:H40"/>
    <mergeCell ref="A32:B32"/>
    <mergeCell ref="C32:E32"/>
    <mergeCell ref="C33:E33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A43:D43"/>
    <mergeCell ref="A44:H44"/>
    <mergeCell ref="A56:C56"/>
    <mergeCell ref="A57:C57"/>
    <mergeCell ref="D56:H56"/>
    <mergeCell ref="A59:C59"/>
    <mergeCell ref="D59:H59"/>
    <mergeCell ref="A48:B49"/>
    <mergeCell ref="G48:H48"/>
    <mergeCell ref="D54:H54"/>
    <mergeCell ref="A54:C54"/>
    <mergeCell ref="G50:H50"/>
    <mergeCell ref="C49:H49"/>
    <mergeCell ref="G45:H45"/>
    <mergeCell ref="G46:H46"/>
    <mergeCell ref="D57:H57"/>
    <mergeCell ref="C46:E46"/>
    <mergeCell ref="A50:B50"/>
    <mergeCell ref="C147:F147"/>
    <mergeCell ref="A166:B166"/>
    <mergeCell ref="A162:B162"/>
    <mergeCell ref="A163:B163"/>
    <mergeCell ref="A227:H227"/>
    <mergeCell ref="A228:H228"/>
    <mergeCell ref="A229:H229"/>
    <mergeCell ref="A221:H221"/>
    <mergeCell ref="A222:H222"/>
    <mergeCell ref="A223:H223"/>
    <mergeCell ref="A224:H224"/>
    <mergeCell ref="A198:H198"/>
    <mergeCell ref="A199:H199"/>
    <mergeCell ref="A206:B206"/>
    <mergeCell ref="A225:H225"/>
    <mergeCell ref="A193:B193"/>
    <mergeCell ref="A194:B194"/>
    <mergeCell ref="A195:B195"/>
    <mergeCell ref="A189:B189"/>
    <mergeCell ref="A190:B190"/>
    <mergeCell ref="A191:B191"/>
    <mergeCell ref="A192:B192"/>
    <mergeCell ref="A160:B160"/>
    <mergeCell ref="A188:B188"/>
    <mergeCell ref="A55:C55"/>
    <mergeCell ref="D55:H55"/>
    <mergeCell ref="A77:B77"/>
    <mergeCell ref="C77:D77"/>
    <mergeCell ref="A231:H234"/>
    <mergeCell ref="A230:B230"/>
    <mergeCell ref="E230:F230"/>
    <mergeCell ref="C230:D230"/>
    <mergeCell ref="G230:H230"/>
    <mergeCell ref="A118:E118"/>
    <mergeCell ref="F118:H118"/>
    <mergeCell ref="A119:E119"/>
    <mergeCell ref="F119:H119"/>
    <mergeCell ref="A183:H183"/>
    <mergeCell ref="A123:B123"/>
    <mergeCell ref="A156:B156"/>
    <mergeCell ref="A226:H226"/>
    <mergeCell ref="A120:H120"/>
    <mergeCell ref="C123:D123"/>
    <mergeCell ref="E123:F123"/>
    <mergeCell ref="G123:H123"/>
    <mergeCell ref="A153:H153"/>
    <mergeCell ref="A149:B149"/>
    <mergeCell ref="A150:B150"/>
    <mergeCell ref="C48:E48"/>
    <mergeCell ref="C50:E50"/>
    <mergeCell ref="A46:B46"/>
    <mergeCell ref="A51:H51"/>
    <mergeCell ref="E79:F88"/>
    <mergeCell ref="A66:B66"/>
    <mergeCell ref="A53:C53"/>
    <mergeCell ref="D53:H53"/>
    <mergeCell ref="D52:H52"/>
    <mergeCell ref="A74:B74"/>
    <mergeCell ref="C74:H74"/>
    <mergeCell ref="A76:B76"/>
    <mergeCell ref="C76:H76"/>
    <mergeCell ref="A78:B78"/>
    <mergeCell ref="E78:F78"/>
    <mergeCell ref="G78:H78"/>
    <mergeCell ref="A60:B60"/>
    <mergeCell ref="C60:H60"/>
    <mergeCell ref="A62:B62"/>
    <mergeCell ref="C62:H62"/>
    <mergeCell ref="A63:B63"/>
    <mergeCell ref="E63:F63"/>
    <mergeCell ref="G63:H63"/>
    <mergeCell ref="A52:C52"/>
    <mergeCell ref="S135:T135"/>
    <mergeCell ref="S136:T136"/>
    <mergeCell ref="S132:T132"/>
    <mergeCell ref="G132:H140"/>
    <mergeCell ref="A133:B133"/>
    <mergeCell ref="A45:B45"/>
    <mergeCell ref="C45:E45"/>
    <mergeCell ref="A58:C58"/>
    <mergeCell ref="D58:H58"/>
    <mergeCell ref="A85:B85"/>
    <mergeCell ref="A86:B86"/>
    <mergeCell ref="A87:B87"/>
    <mergeCell ref="A88:B88"/>
    <mergeCell ref="A67:B67"/>
    <mergeCell ref="A68:B68"/>
    <mergeCell ref="A69:B69"/>
    <mergeCell ref="A70:B70"/>
    <mergeCell ref="A71:B71"/>
    <mergeCell ref="A72:B72"/>
    <mergeCell ref="A73:B73"/>
    <mergeCell ref="A64:B64"/>
    <mergeCell ref="E64:F73"/>
    <mergeCell ref="G64:H73"/>
    <mergeCell ref="A65:B65"/>
    <mergeCell ref="S150:T150"/>
    <mergeCell ref="S141:T141"/>
    <mergeCell ref="S127:T127"/>
    <mergeCell ref="S130:T130"/>
    <mergeCell ref="A154:B154"/>
    <mergeCell ref="S126:T126"/>
    <mergeCell ref="S125:T125"/>
    <mergeCell ref="S134:T134"/>
    <mergeCell ref="A122:B122"/>
    <mergeCell ref="C122:D122"/>
    <mergeCell ref="E122:F122"/>
    <mergeCell ref="G122:H122"/>
    <mergeCell ref="S142:T142"/>
    <mergeCell ref="S143:T143"/>
    <mergeCell ref="S144:T144"/>
    <mergeCell ref="A129:H129"/>
    <mergeCell ref="A130:H130"/>
    <mergeCell ref="S123:T123"/>
    <mergeCell ref="S124:T124"/>
    <mergeCell ref="S137:T137"/>
    <mergeCell ref="S138:T138"/>
    <mergeCell ref="S139:T139"/>
    <mergeCell ref="S140:T140"/>
    <mergeCell ref="S129:T129"/>
    <mergeCell ref="S118:T118"/>
    <mergeCell ref="S119:T119"/>
    <mergeCell ref="S120:T120"/>
    <mergeCell ref="S115:T115"/>
    <mergeCell ref="S128:T128"/>
    <mergeCell ref="S116:T116"/>
    <mergeCell ref="S117:T117"/>
    <mergeCell ref="S121:T121"/>
    <mergeCell ref="A169:B169"/>
    <mergeCell ref="G154:H167"/>
    <mergeCell ref="S162:T162"/>
    <mergeCell ref="S163:T163"/>
    <mergeCell ref="S156:T156"/>
    <mergeCell ref="A158:B158"/>
    <mergeCell ref="G125:H125"/>
    <mergeCell ref="S145:T145"/>
    <mergeCell ref="S146:T146"/>
    <mergeCell ref="S152:T152"/>
    <mergeCell ref="S153:T153"/>
    <mergeCell ref="S154:T154"/>
    <mergeCell ref="S131:T131"/>
    <mergeCell ref="S151:T151"/>
    <mergeCell ref="S147:T147"/>
    <mergeCell ref="S148:T148"/>
    <mergeCell ref="A134:B134"/>
    <mergeCell ref="A135:B135"/>
    <mergeCell ref="S155:T155"/>
    <mergeCell ref="A170:B170"/>
    <mergeCell ref="S133:T133"/>
    <mergeCell ref="A131:H131"/>
    <mergeCell ref="A132:B132"/>
    <mergeCell ref="A136:B136"/>
    <mergeCell ref="A137:B137"/>
    <mergeCell ref="A138:B138"/>
    <mergeCell ref="A139:B139"/>
    <mergeCell ref="A140:B140"/>
    <mergeCell ref="A141:H141"/>
    <mergeCell ref="A142:B142"/>
    <mergeCell ref="G142:H150"/>
    <mergeCell ref="A143:B143"/>
    <mergeCell ref="A144:B144"/>
    <mergeCell ref="A145:B145"/>
    <mergeCell ref="A146:B146"/>
    <mergeCell ref="A147:B147"/>
    <mergeCell ref="A148:B148"/>
    <mergeCell ref="S164:T164"/>
    <mergeCell ref="S161:T161"/>
    <mergeCell ref="S149:T149"/>
    <mergeCell ref="S171:T171"/>
    <mergeCell ref="S167:T167"/>
    <mergeCell ref="S168:T168"/>
    <mergeCell ref="S169:T169"/>
    <mergeCell ref="A219:B219"/>
    <mergeCell ref="S177:T177"/>
    <mergeCell ref="S157:T157"/>
    <mergeCell ref="S158:T158"/>
    <mergeCell ref="S159:T159"/>
    <mergeCell ref="S160:T160"/>
    <mergeCell ref="A216:B216"/>
    <mergeCell ref="S174:T174"/>
    <mergeCell ref="A217:B217"/>
    <mergeCell ref="S175:T175"/>
    <mergeCell ref="A207:H207"/>
    <mergeCell ref="S165:T165"/>
    <mergeCell ref="A208:B208"/>
    <mergeCell ref="S166:T166"/>
    <mergeCell ref="A168:H168"/>
    <mergeCell ref="A173:B173"/>
    <mergeCell ref="A174:B174"/>
    <mergeCell ref="A203:B203"/>
    <mergeCell ref="A204:B204"/>
    <mergeCell ref="A172:B172"/>
    <mergeCell ref="A205:B205"/>
    <mergeCell ref="A218:B218"/>
    <mergeCell ref="S176:T176"/>
    <mergeCell ref="A211:B211"/>
    <mergeCell ref="S172:T172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212:B212"/>
    <mergeCell ref="A213:B213"/>
    <mergeCell ref="A209:B209"/>
    <mergeCell ref="A210:B210"/>
    <mergeCell ref="A177:B177"/>
    <mergeCell ref="A178:B178"/>
    <mergeCell ref="S173:T173"/>
    <mergeCell ref="G208:H213"/>
    <mergeCell ref="G201:H206"/>
    <mergeCell ref="S170:T170"/>
    <mergeCell ref="A104:H104"/>
    <mergeCell ref="A105:B105"/>
    <mergeCell ref="C105:H105"/>
    <mergeCell ref="A84:B84"/>
    <mergeCell ref="A103:E103"/>
    <mergeCell ref="F103:H103"/>
    <mergeCell ref="A220:B220"/>
    <mergeCell ref="S178:T178"/>
    <mergeCell ref="C218:F218"/>
    <mergeCell ref="G215:H220"/>
    <mergeCell ref="A214:H214"/>
    <mergeCell ref="A200:H200"/>
    <mergeCell ref="A201:B201"/>
    <mergeCell ref="A202:B202"/>
    <mergeCell ref="A179:B179"/>
    <mergeCell ref="A196:B196"/>
    <mergeCell ref="A197:B197"/>
    <mergeCell ref="C191:F191"/>
    <mergeCell ref="A180:B180"/>
    <mergeCell ref="A215:B215"/>
    <mergeCell ref="G169:H182"/>
    <mergeCell ref="A175:B175"/>
    <mergeCell ref="A176:B176"/>
    <mergeCell ref="A171:B171"/>
    <mergeCell ref="A79:B79"/>
    <mergeCell ref="A89:B89"/>
    <mergeCell ref="C89:H89"/>
    <mergeCell ref="A91:B91"/>
    <mergeCell ref="C91:H91"/>
    <mergeCell ref="A92:B92"/>
    <mergeCell ref="E92:F92"/>
    <mergeCell ref="G92:H92"/>
    <mergeCell ref="A93:B93"/>
    <mergeCell ref="E93:F102"/>
    <mergeCell ref="G93:H102"/>
    <mergeCell ref="A80:B80"/>
    <mergeCell ref="A81:B81"/>
    <mergeCell ref="A82:B82"/>
    <mergeCell ref="A83:B83"/>
    <mergeCell ref="G79:H88"/>
  </mergeCells>
  <hyperlinks>
    <hyperlink ref="C36" r:id="rId1"/>
    <hyperlink ref="I105" r:id="rId2"/>
  </hyperlinks>
  <printOptions horizontalCentered="1"/>
  <pageMargins left="0.39370078740157499" right="0.39370078740157499" top="0.86614173228346503" bottom="0.78740157480314998" header="0.196850393700787" footer="0.196850393700787"/>
  <pageSetup scale="93" fitToHeight="0" orientation="portrait" r:id="rId3"/>
  <headerFooter>
    <oddHeader>&amp;C&amp;G</oddHeader>
    <oddFooter>&amp;L&amp;"Times New Roman,Bold"&amp;12Ref No: &amp;F&amp;C&amp;G&amp;R&amp;"Times New Roman,Bold"&amp;12                                                        &amp;P</oddFooter>
  </headerFooter>
  <rowBreaks count="4" manualBreakCount="4">
    <brk id="73" max="7" man="1"/>
    <brk id="234" max="7" man="1"/>
    <brk id="277" max="7" man="1"/>
    <brk id="319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6" sqref="E16"/>
    </sheetView>
  </sheetViews>
  <sheetFormatPr defaultRowHeight="15" x14ac:dyDescent="0.25"/>
  <cols>
    <col min="1" max="11" width="14.140625" customWidth="1"/>
  </cols>
  <sheetData>
    <row r="1" spans="1:11" ht="15.75" x14ac:dyDescent="0.25">
      <c r="A1" s="166" t="s">
        <v>165</v>
      </c>
      <c r="B1" s="167"/>
      <c r="C1" s="167"/>
      <c r="D1" s="167"/>
      <c r="E1" s="167"/>
      <c r="F1" s="167"/>
      <c r="G1" s="167"/>
      <c r="H1" s="168"/>
      <c r="I1" s="12" t="str">
        <f>(IF(C5=0,"Work not yet Started.",IF(C5=1,"Excavation work in process",IF(C5=2,"Excavation work completed",IF(C5=4,"Footing work is process",IF(C5=5,"Footing work Completed",IF(C5=7,"Plinth work is process",IF(C5=10,"Plinth work completed","0")))))))&amp;(IF(C6&gt;0,", RCC upto "&amp;C6&amp;" Slab completed",""))&amp;(IF(C7&gt;0,", Brickwork upto "&amp;C7&amp;" Floor completed"," "))&amp;(IF(C8&gt;0,", Plaster upto "&amp;C8&amp;" Floor completed"," "))&amp;(IF(C9&gt;0,", Flooring upto "&amp;C9&amp;" Floor completed"," "))&amp;(IF(C10&gt;0,", Painting upto "&amp;C10&amp;" Floor completed"," "))&amp;(IF(C11&gt;0,", Finishing upto "&amp;C11&amp;" Floor completed"," ")))</f>
        <v xml:space="preserve">Plinth work completed     </v>
      </c>
      <c r="J1" s="13"/>
      <c r="K1" s="14"/>
    </row>
    <row r="2" spans="1:11" ht="15.75" x14ac:dyDescent="0.25">
      <c r="A2" s="169" t="s">
        <v>103</v>
      </c>
      <c r="B2" s="170"/>
      <c r="C2" s="171">
        <v>1</v>
      </c>
      <c r="D2" s="172"/>
      <c r="E2" s="39" t="s">
        <v>102</v>
      </c>
      <c r="F2" s="6">
        <v>3</v>
      </c>
      <c r="G2" s="40" t="s">
        <v>114</v>
      </c>
      <c r="H2" s="10">
        <v>42</v>
      </c>
      <c r="I2" s="15" t="s">
        <v>145</v>
      </c>
      <c r="J2" s="16"/>
      <c r="K2" s="17"/>
    </row>
    <row r="3" spans="1:11" ht="15.75" x14ac:dyDescent="0.25">
      <c r="A3" s="173" t="s">
        <v>125</v>
      </c>
      <c r="B3" s="149"/>
      <c r="C3" s="94" t="str">
        <f>I1</f>
        <v xml:space="preserve">Plinth work completed     </v>
      </c>
      <c r="D3" s="94"/>
      <c r="E3" s="94"/>
      <c r="F3" s="94"/>
      <c r="G3" s="94"/>
      <c r="H3" s="174"/>
      <c r="I3" s="15" t="s">
        <v>160</v>
      </c>
      <c r="J3" s="16"/>
      <c r="K3" s="17"/>
    </row>
    <row r="4" spans="1:11" ht="31.5" x14ac:dyDescent="0.25">
      <c r="A4" s="162" t="s">
        <v>47</v>
      </c>
      <c r="B4" s="163"/>
      <c r="C4" s="7" t="s">
        <v>117</v>
      </c>
      <c r="D4" s="7" t="s">
        <v>118</v>
      </c>
      <c r="E4" s="164" t="s">
        <v>120</v>
      </c>
      <c r="F4" s="164"/>
      <c r="G4" s="164" t="s">
        <v>119</v>
      </c>
      <c r="H4" s="165"/>
      <c r="I4" s="15" t="s">
        <v>146</v>
      </c>
      <c r="J4" s="18"/>
      <c r="K4" s="19"/>
    </row>
    <row r="5" spans="1:11" ht="15.75" x14ac:dyDescent="0.25">
      <c r="A5" s="162" t="s">
        <v>48</v>
      </c>
      <c r="B5" s="163"/>
      <c r="C5" s="8">
        <v>10</v>
      </c>
      <c r="D5" s="41">
        <f>((100/10)*C5)/100</f>
        <v>1</v>
      </c>
      <c r="E5" s="175">
        <f>(IF(C3=I3,"100%",IF(C3=I4,"100%",((C5+(40/(B2+C2+F2+H2)*C6)+(15/H2*C7)+(10/H2*C8)+(10/H2*C9)+(5/H2*C10)+(5/H2*C11))/100))))</f>
        <v>0.1</v>
      </c>
      <c r="F5" s="176"/>
      <c r="G5" s="175">
        <f>((IF(C5=1,"2",IF(C5=2,"4",IF(C5=4,"8",IF(C5=5,"15",IF(C5=7,"20",IF(C5=10,"30","0")))))))/100)+(((30/(H2+F2+C2+B2)*C6)+(15/H2*C7)+(10/H2*C8)+(5/H2*C9)+(5/H2*C10)+(5/H2*C11))/100)</f>
        <v>0.3</v>
      </c>
      <c r="H5" s="181"/>
      <c r="I5" s="20"/>
      <c r="J5" s="18"/>
      <c r="K5" s="19"/>
    </row>
    <row r="6" spans="1:11" ht="15.75" x14ac:dyDescent="0.25">
      <c r="A6" s="162" t="s">
        <v>144</v>
      </c>
      <c r="B6" s="163"/>
      <c r="C6" s="9">
        <v>0</v>
      </c>
      <c r="D6" s="41">
        <f>((100/(C2+F2+H2))*C6)/100</f>
        <v>0</v>
      </c>
      <c r="E6" s="177"/>
      <c r="F6" s="178"/>
      <c r="G6" s="177"/>
      <c r="H6" s="182"/>
      <c r="I6" s="21" t="s">
        <v>138</v>
      </c>
      <c r="J6" s="22">
        <v>0.01</v>
      </c>
      <c r="K6" s="23">
        <v>0.02</v>
      </c>
    </row>
    <row r="7" spans="1:11" ht="15.75" x14ac:dyDescent="0.25">
      <c r="A7" s="162" t="s">
        <v>49</v>
      </c>
      <c r="B7" s="163"/>
      <c r="C7" s="8">
        <v>0</v>
      </c>
      <c r="D7" s="41">
        <f>((100/(F2+H2))*C7)/100</f>
        <v>0</v>
      </c>
      <c r="E7" s="177"/>
      <c r="F7" s="178"/>
      <c r="G7" s="177"/>
      <c r="H7" s="182"/>
      <c r="I7" s="21" t="s">
        <v>139</v>
      </c>
      <c r="J7" s="22">
        <v>0.02</v>
      </c>
      <c r="K7" s="23">
        <v>0.04</v>
      </c>
    </row>
    <row r="8" spans="1:11" ht="15.75" x14ac:dyDescent="0.25">
      <c r="A8" s="162" t="s">
        <v>50</v>
      </c>
      <c r="B8" s="163"/>
      <c r="C8" s="8">
        <v>0</v>
      </c>
      <c r="D8" s="41">
        <f>((100/(F2+H2))*C8)/100</f>
        <v>0</v>
      </c>
      <c r="E8" s="177"/>
      <c r="F8" s="178"/>
      <c r="G8" s="177"/>
      <c r="H8" s="182"/>
      <c r="I8" s="21" t="s">
        <v>140</v>
      </c>
      <c r="J8" s="22">
        <v>0.04</v>
      </c>
      <c r="K8" s="23">
        <v>0.08</v>
      </c>
    </row>
    <row r="9" spans="1:11" ht="15.75" x14ac:dyDescent="0.25">
      <c r="A9" s="162" t="s">
        <v>51</v>
      </c>
      <c r="B9" s="163"/>
      <c r="C9" s="8">
        <v>0</v>
      </c>
      <c r="D9" s="41">
        <f>((100/(F2+H2))*C9)/100</f>
        <v>0</v>
      </c>
      <c r="E9" s="177"/>
      <c r="F9" s="178"/>
      <c r="G9" s="177"/>
      <c r="H9" s="182"/>
      <c r="I9" s="21" t="s">
        <v>141</v>
      </c>
      <c r="J9" s="22">
        <v>0.05</v>
      </c>
      <c r="K9" s="23">
        <v>0.15</v>
      </c>
    </row>
    <row r="10" spans="1:11" ht="15.75" x14ac:dyDescent="0.25">
      <c r="A10" s="162" t="s">
        <v>52</v>
      </c>
      <c r="B10" s="163"/>
      <c r="C10" s="8">
        <v>0</v>
      </c>
      <c r="D10" s="41">
        <f>((100/(F2+H2))*C10)/100</f>
        <v>0</v>
      </c>
      <c r="E10" s="177"/>
      <c r="F10" s="178"/>
      <c r="G10" s="177"/>
      <c r="H10" s="182"/>
      <c r="I10" s="21" t="s">
        <v>142</v>
      </c>
      <c r="J10" s="22">
        <v>7.0000000000000007E-2</v>
      </c>
      <c r="K10" s="23">
        <v>0.2</v>
      </c>
    </row>
    <row r="11" spans="1:11" ht="16.5" thickBot="1" x14ac:dyDescent="0.3">
      <c r="A11" s="184" t="s">
        <v>53</v>
      </c>
      <c r="B11" s="185"/>
      <c r="C11" s="11">
        <v>0</v>
      </c>
      <c r="D11" s="42">
        <f>((100/(F2+H2))*C11)/100</f>
        <v>0</v>
      </c>
      <c r="E11" s="179"/>
      <c r="F11" s="180"/>
      <c r="G11" s="179"/>
      <c r="H11" s="183"/>
      <c r="I11" s="24" t="s">
        <v>143</v>
      </c>
      <c r="J11" s="25">
        <v>0.1</v>
      </c>
      <c r="K11" s="26">
        <v>0.3</v>
      </c>
    </row>
    <row r="12" spans="1:11" ht="15.75" x14ac:dyDescent="0.25">
      <c r="A12" s="45"/>
      <c r="B12" s="45"/>
      <c r="C12" s="46"/>
      <c r="D12" s="47"/>
      <c r="E12" s="47"/>
      <c r="F12" s="47"/>
      <c r="G12" s="47"/>
      <c r="H12" s="47"/>
      <c r="I12" s="48"/>
      <c r="J12" s="22"/>
      <c r="K12" s="22"/>
    </row>
    <row r="13" spans="1:11" x14ac:dyDescent="0.25">
      <c r="E13" s="43">
        <f>E5</f>
        <v>0.1</v>
      </c>
      <c r="G13" s="43">
        <f>G5</f>
        <v>0.3</v>
      </c>
    </row>
    <row r="14" spans="1:11" x14ac:dyDescent="0.25">
      <c r="E14" s="44"/>
      <c r="G14" s="44"/>
    </row>
  </sheetData>
  <mergeCells count="17">
    <mergeCell ref="A5:B5"/>
    <mergeCell ref="E5:F11"/>
    <mergeCell ref="G5:H11"/>
    <mergeCell ref="A6:B6"/>
    <mergeCell ref="A7:B7"/>
    <mergeCell ref="A8:B8"/>
    <mergeCell ref="A9:B9"/>
    <mergeCell ref="A10:B10"/>
    <mergeCell ref="A11:B11"/>
    <mergeCell ref="A4:B4"/>
    <mergeCell ref="E4:F4"/>
    <mergeCell ref="G4:H4"/>
    <mergeCell ref="A1:H1"/>
    <mergeCell ref="A2:B2"/>
    <mergeCell ref="C2:D2"/>
    <mergeCell ref="A3:B3"/>
    <mergeCell ref="C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79</v>
      </c>
      <c r="C2" s="186"/>
      <c r="D2" s="186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80</v>
      </c>
      <c r="B4" s="3" t="s">
        <v>81</v>
      </c>
      <c r="C4" s="187" t="s">
        <v>82</v>
      </c>
      <c r="D4" s="187"/>
      <c r="E4" s="187"/>
      <c r="F4" s="4"/>
      <c r="G4" s="187" t="s">
        <v>83</v>
      </c>
      <c r="H4" s="187"/>
      <c r="I4" s="187"/>
      <c r="J4" s="187" t="s">
        <v>84</v>
      </c>
      <c r="K4" s="187"/>
      <c r="L4" s="187"/>
    </row>
    <row r="5" spans="1:12" x14ac:dyDescent="0.25">
      <c r="A5" s="1">
        <v>202</v>
      </c>
      <c r="B5" s="3"/>
      <c r="C5" s="3" t="s">
        <v>85</v>
      </c>
      <c r="D5" s="3" t="s">
        <v>86</v>
      </c>
      <c r="E5" s="3" t="s">
        <v>61</v>
      </c>
      <c r="F5" s="3"/>
      <c r="G5" s="3" t="s">
        <v>85</v>
      </c>
      <c r="H5" s="3" t="s">
        <v>86</v>
      </c>
      <c r="I5" s="3" t="s">
        <v>61</v>
      </c>
      <c r="J5" s="3" t="s">
        <v>85</v>
      </c>
      <c r="K5" s="3" t="s">
        <v>86</v>
      </c>
      <c r="L5" s="3" t="s">
        <v>61</v>
      </c>
    </row>
    <row r="6" spans="1:12" x14ac:dyDescent="0.25">
      <c r="B6" s="5" t="s">
        <v>87</v>
      </c>
      <c r="C6" s="5">
        <v>4.5</v>
      </c>
      <c r="D6" s="5">
        <v>2.9</v>
      </c>
      <c r="E6" s="5">
        <f>C6*D6</f>
        <v>13.049999999999999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90</v>
      </c>
      <c r="C9" s="5">
        <v>1.88</v>
      </c>
      <c r="D9" s="5">
        <v>2.13</v>
      </c>
      <c r="E9" s="5">
        <f t="shared" si="0"/>
        <v>4.0043999999999995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93</v>
      </c>
      <c r="C23" s="5">
        <v>1.9</v>
      </c>
      <c r="D23" s="5">
        <v>1.07</v>
      </c>
      <c r="E23" s="5">
        <f t="shared" si="0"/>
        <v>2.0329999999999999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62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E8" sqref="E8"/>
    </sheetView>
  </sheetViews>
  <sheetFormatPr defaultColWidth="8.7109375" defaultRowHeight="15" x14ac:dyDescent="0.25"/>
  <cols>
    <col min="1" max="1" width="8.7109375" style="27"/>
    <col min="2" max="2" width="22.140625" style="27" customWidth="1"/>
    <col min="3" max="3" width="37" style="27" customWidth="1"/>
    <col min="4" max="5" width="11.42578125" style="27" customWidth="1"/>
    <col min="6" max="6" width="14" style="27" customWidth="1"/>
    <col min="7" max="7" width="20" style="27" customWidth="1"/>
    <col min="8" max="8" width="16.42578125" style="27" customWidth="1"/>
    <col min="9" max="16384" width="8.7109375" style="27"/>
  </cols>
  <sheetData>
    <row r="1" spans="1:9" ht="15" customHeight="1" x14ac:dyDescent="0.25"/>
    <row r="2" spans="1:9" ht="15" customHeight="1" x14ac:dyDescent="0.25">
      <c r="A2" s="28"/>
      <c r="B2" s="28"/>
      <c r="C2" s="28"/>
      <c r="D2" s="28"/>
      <c r="E2" s="28"/>
      <c r="F2" s="28"/>
      <c r="G2" s="28"/>
      <c r="H2" s="28"/>
    </row>
    <row r="3" spans="1:9" ht="15.75" customHeight="1" x14ac:dyDescent="0.25">
      <c r="A3" s="28"/>
      <c r="B3" s="188" t="s">
        <v>148</v>
      </c>
      <c r="C3" s="188"/>
      <c r="D3" s="188"/>
      <c r="E3" s="188"/>
      <c r="F3" s="188"/>
      <c r="G3" s="188"/>
      <c r="H3" s="188"/>
    </row>
    <row r="4" spans="1:9" x14ac:dyDescent="0.25">
      <c r="A4" s="28"/>
      <c r="B4" s="29" t="s">
        <v>149</v>
      </c>
      <c r="C4" s="29" t="s">
        <v>150</v>
      </c>
      <c r="D4" s="29" t="s">
        <v>80</v>
      </c>
      <c r="E4" s="29" t="s">
        <v>151</v>
      </c>
      <c r="F4" s="29" t="s">
        <v>158</v>
      </c>
      <c r="G4" s="29" t="s">
        <v>159</v>
      </c>
      <c r="H4" s="29" t="s">
        <v>152</v>
      </c>
    </row>
    <row r="5" spans="1:9" ht="15" customHeight="1" x14ac:dyDescent="0.25">
      <c r="A5" s="28"/>
      <c r="B5" s="31" t="s">
        <v>153</v>
      </c>
      <c r="C5" s="32"/>
      <c r="D5" s="31" t="s">
        <v>154</v>
      </c>
      <c r="E5" s="31">
        <v>1106</v>
      </c>
      <c r="F5" s="33">
        <f>E5*1.6</f>
        <v>1769.6000000000001</v>
      </c>
      <c r="G5" s="33">
        <f>H5/F5</f>
        <v>31532.549728752259</v>
      </c>
      <c r="H5" s="34">
        <v>55800000</v>
      </c>
    </row>
    <row r="6" spans="1:9" x14ac:dyDescent="0.25">
      <c r="A6" s="28"/>
      <c r="B6" s="31" t="s">
        <v>153</v>
      </c>
      <c r="C6" s="35"/>
      <c r="D6" s="31"/>
      <c r="E6" s="31"/>
      <c r="F6" s="33">
        <f t="shared" ref="F6:F11" si="0">E6*1.6</f>
        <v>0</v>
      </c>
      <c r="G6" s="33" t="e">
        <f t="shared" ref="G6:G11" si="1">H6/F6</f>
        <v>#DIV/0!</v>
      </c>
      <c r="H6" s="34"/>
    </row>
    <row r="7" spans="1:9" ht="15" customHeight="1" x14ac:dyDescent="0.25">
      <c r="A7" s="28"/>
      <c r="B7" s="31" t="s">
        <v>153</v>
      </c>
      <c r="C7" s="32"/>
      <c r="D7" s="31"/>
      <c r="E7" s="31"/>
      <c r="F7" s="33">
        <f t="shared" si="0"/>
        <v>0</v>
      </c>
      <c r="G7" s="33" t="e">
        <f t="shared" si="1"/>
        <v>#DIV/0!</v>
      </c>
      <c r="H7" s="34"/>
    </row>
    <row r="8" spans="1:9" x14ac:dyDescent="0.25">
      <c r="A8" s="28"/>
      <c r="B8" s="31" t="s">
        <v>153</v>
      </c>
      <c r="C8" s="35"/>
      <c r="D8" s="31"/>
      <c r="E8" s="31"/>
      <c r="F8" s="33">
        <f t="shared" si="0"/>
        <v>0</v>
      </c>
      <c r="G8" s="33" t="e">
        <f t="shared" si="1"/>
        <v>#DIV/0!</v>
      </c>
      <c r="H8" s="34"/>
    </row>
    <row r="9" spans="1:9" ht="15" customHeight="1" x14ac:dyDescent="0.25">
      <c r="A9" s="28"/>
      <c r="B9" s="31" t="s">
        <v>153</v>
      </c>
      <c r="C9" s="35"/>
      <c r="D9" s="31"/>
      <c r="E9" s="31"/>
      <c r="F9" s="33">
        <f t="shared" si="0"/>
        <v>0</v>
      </c>
      <c r="G9" s="33" t="e">
        <f t="shared" si="1"/>
        <v>#DIV/0!</v>
      </c>
      <c r="H9" s="34"/>
    </row>
    <row r="10" spans="1:9" ht="15" customHeight="1" x14ac:dyDescent="0.25">
      <c r="A10" s="28"/>
      <c r="B10" s="31" t="s">
        <v>155</v>
      </c>
      <c r="C10" s="32"/>
      <c r="D10" s="31"/>
      <c r="E10" s="31"/>
      <c r="F10" s="33">
        <f t="shared" si="0"/>
        <v>0</v>
      </c>
      <c r="G10" s="33" t="e">
        <f t="shared" si="1"/>
        <v>#DIV/0!</v>
      </c>
      <c r="H10" s="34"/>
    </row>
    <row r="11" spans="1:9" ht="15" customHeight="1" x14ac:dyDescent="0.25">
      <c r="A11" s="28"/>
      <c r="B11" s="31" t="s">
        <v>155</v>
      </c>
      <c r="C11" s="32"/>
      <c r="D11" s="31"/>
      <c r="E11" s="31"/>
      <c r="F11" s="33">
        <f t="shared" si="0"/>
        <v>0</v>
      </c>
      <c r="G11" s="33" t="e">
        <f t="shared" si="1"/>
        <v>#DIV/0!</v>
      </c>
      <c r="H11" s="34"/>
    </row>
    <row r="12" spans="1:9" ht="15" customHeight="1" x14ac:dyDescent="0.25">
      <c r="A12" s="28"/>
      <c r="B12" s="36" t="s">
        <v>156</v>
      </c>
      <c r="C12" s="31"/>
      <c r="D12" s="31"/>
      <c r="E12" s="31"/>
      <c r="F12" s="31"/>
      <c r="G12" s="37" t="e">
        <f>AVERAGE(G5:G11)</f>
        <v>#DIV/0!</v>
      </c>
      <c r="H12" s="31"/>
    </row>
    <row r="13" spans="1:9" ht="15" customHeight="1" x14ac:dyDescent="0.25">
      <c r="B13" s="36" t="s">
        <v>157</v>
      </c>
      <c r="C13" s="31"/>
      <c r="D13" s="31"/>
      <c r="E13" s="31"/>
      <c r="F13" s="38"/>
      <c r="G13" s="36"/>
      <c r="H13" s="36"/>
      <c r="I13" s="30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2025-08-13T17:41:59Z</cp:lastPrinted>
  <dcterms:created xsi:type="dcterms:W3CDTF">2019-07-16T09:29:46Z</dcterms:created>
  <dcterms:modified xsi:type="dcterms:W3CDTF">2025-08-13T17:43:12Z</dcterms:modified>
</cp:coreProperties>
</file>