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hruti\Aug 25\Dump\DUMP\"/>
    </mc:Choice>
  </mc:AlternateContent>
  <bookViews>
    <workbookView xWindow="0" yWindow="0" windowWidth="20490" windowHeight="7755"/>
  </bookViews>
  <sheets>
    <sheet name="Report (2)" sheetId="1" r:id="rId1"/>
    <sheet name="C%" sheetId="2" r:id="rId2"/>
    <sheet name="C% (2)" sheetId="4" r:id="rId3"/>
    <sheet name="Note" sheetId="5" r:id="rId4"/>
    <sheet name="Valuation" sheetId="6" r:id="rId5"/>
    <sheet name="Flat detail" sheetId="3" r:id="rId6"/>
  </sheets>
  <definedNames>
    <definedName name="_xlnm.Print_Area" localSheetId="0">'Report (2)'!$A$1:$J$295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M96" i="1" l="1"/>
  <c r="M95" i="1"/>
  <c r="M94" i="1"/>
  <c r="M93" i="1"/>
  <c r="M82" i="1"/>
  <c r="M81" i="1"/>
  <c r="M80" i="1"/>
  <c r="M79" i="1"/>
  <c r="M68" i="1"/>
  <c r="M67" i="1"/>
  <c r="M66" i="1"/>
  <c r="M65" i="1"/>
  <c r="I72" i="1"/>
  <c r="I86" i="1"/>
  <c r="I58" i="1"/>
  <c r="D91" i="1" l="1"/>
  <c r="M89" i="1"/>
  <c r="M91" i="1"/>
  <c r="M92" i="1" s="1"/>
  <c r="M97" i="1" s="1"/>
  <c r="M98" i="1" s="1"/>
  <c r="D90" i="1" s="1"/>
  <c r="D97" i="1"/>
  <c r="D93" i="1"/>
  <c r="D98" i="1"/>
  <c r="D96" i="1"/>
  <c r="D94" i="1"/>
  <c r="D92" i="1"/>
  <c r="M90" i="1"/>
  <c r="D89" i="1" s="1"/>
  <c r="M88" i="1"/>
  <c r="D95" i="1"/>
  <c r="C77" i="1"/>
  <c r="D77" i="1" s="1"/>
  <c r="M75" i="1"/>
  <c r="M77" i="1"/>
  <c r="M78" i="1" s="1"/>
  <c r="M83" i="1" s="1"/>
  <c r="M84" i="1" s="1"/>
  <c r="C76" i="1" s="1"/>
  <c r="D76" i="1" s="1"/>
  <c r="D83" i="1"/>
  <c r="D81" i="1"/>
  <c r="D79" i="1"/>
  <c r="D84" i="1"/>
  <c r="D82" i="1"/>
  <c r="D80" i="1"/>
  <c r="D78" i="1"/>
  <c r="M76" i="1"/>
  <c r="C75" i="1" s="1"/>
  <c r="M74" i="1"/>
  <c r="C63" i="1"/>
  <c r="D63" i="1" s="1"/>
  <c r="M61" i="1"/>
  <c r="D69" i="1"/>
  <c r="D65" i="1"/>
  <c r="D70" i="1"/>
  <c r="D68" i="1"/>
  <c r="D66" i="1"/>
  <c r="D64" i="1"/>
  <c r="M62" i="1"/>
  <c r="C61" i="1" s="1"/>
  <c r="D61" i="1" s="1"/>
  <c r="M60" i="1"/>
  <c r="M63" i="1"/>
  <c r="M64" i="1" s="1"/>
  <c r="M69" i="1" s="1"/>
  <c r="M70" i="1" s="1"/>
  <c r="C62" i="1" s="1"/>
  <c r="D62" i="1" s="1"/>
  <c r="D67" i="1"/>
  <c r="F5" i="6"/>
  <c r="G5" i="6" s="1"/>
  <c r="G6" i="6" s="1"/>
  <c r="K85" i="1" l="1"/>
  <c r="C87" i="1" s="1"/>
  <c r="F89" i="1" s="1"/>
  <c r="H89" i="1"/>
  <c r="H75" i="1"/>
  <c r="D75" i="1"/>
  <c r="K71" i="1" s="1"/>
  <c r="C73" i="1" s="1"/>
  <c r="F75" i="1" s="1"/>
  <c r="K57" i="1"/>
  <c r="C59" i="1" s="1"/>
  <c r="F61" i="1" s="1"/>
  <c r="H61" i="1"/>
  <c r="G103" i="1"/>
  <c r="G15" i="4" l="1"/>
  <c r="G16" i="4" s="1"/>
  <c r="C15" i="4" s="1"/>
  <c r="B7" i="4"/>
  <c r="H16" i="4" s="1"/>
  <c r="C16" i="4" s="1"/>
  <c r="D6" i="4"/>
  <c r="C5" i="4"/>
  <c r="B12" i="4" s="1"/>
  <c r="F41" i="1"/>
  <c r="B15" i="4" l="1"/>
  <c r="B9" i="4"/>
  <c r="J16" i="4" s="1"/>
  <c r="C18" i="4" s="1"/>
  <c r="B11" i="4"/>
  <c r="L15" i="4" s="1"/>
  <c r="B20" i="4" s="1"/>
  <c r="D12" i="4"/>
  <c r="M16" i="4"/>
  <c r="C21" i="4" s="1"/>
  <c r="M15" i="4"/>
  <c r="B21" i="4" s="1"/>
  <c r="L16" i="4"/>
  <c r="C20" i="4" s="1"/>
  <c r="D7" i="4"/>
  <c r="J15" i="4"/>
  <c r="B18" i="4" s="1"/>
  <c r="B8" i="4"/>
  <c r="B10" i="4"/>
  <c r="H15" i="4"/>
  <c r="B16" i="4" s="1"/>
  <c r="I188" i="1"/>
  <c r="D195" i="1"/>
  <c r="G195" i="1" s="1"/>
  <c r="D194" i="1"/>
  <c r="G194" i="1" s="1"/>
  <c r="D193" i="1"/>
  <c r="G193" i="1" s="1"/>
  <c r="D192" i="1"/>
  <c r="G192" i="1" s="1"/>
  <c r="D191" i="1"/>
  <c r="G191" i="1" s="1"/>
  <c r="D190" i="1"/>
  <c r="G190" i="1" s="1"/>
  <c r="D189" i="1"/>
  <c r="G189" i="1" s="1"/>
  <c r="D188" i="1"/>
  <c r="G188" i="1" s="1"/>
  <c r="I179" i="1"/>
  <c r="D186" i="1"/>
  <c r="G186" i="1" s="1"/>
  <c r="D185" i="1"/>
  <c r="G185" i="1" s="1"/>
  <c r="D184" i="1"/>
  <c r="G184" i="1" s="1"/>
  <c r="D183" i="1"/>
  <c r="G183" i="1" s="1"/>
  <c r="D182" i="1"/>
  <c r="G182" i="1" s="1"/>
  <c r="D181" i="1"/>
  <c r="G181" i="1" s="1"/>
  <c r="D180" i="1"/>
  <c r="D179" i="1"/>
  <c r="G179" i="1" s="1"/>
  <c r="D177" i="1"/>
  <c r="G177" i="1" s="1"/>
  <c r="D176" i="1"/>
  <c r="G176" i="1" s="1"/>
  <c r="D175" i="1"/>
  <c r="G175" i="1" s="1"/>
  <c r="D174" i="1"/>
  <c r="G174" i="1" s="1"/>
  <c r="D173" i="1"/>
  <c r="G173" i="1" s="1"/>
  <c r="D172" i="1"/>
  <c r="I161" i="1"/>
  <c r="I165" i="1" s="1"/>
  <c r="D169" i="1"/>
  <c r="D168" i="1"/>
  <c r="D167" i="1"/>
  <c r="D166" i="1"/>
  <c r="D165" i="1"/>
  <c r="D164" i="1"/>
  <c r="D163" i="1"/>
  <c r="D162" i="1"/>
  <c r="D161" i="1"/>
  <c r="I151" i="1"/>
  <c r="D158" i="1"/>
  <c r="D159" i="1"/>
  <c r="D156" i="1"/>
  <c r="D155" i="1"/>
  <c r="D157" i="1"/>
  <c r="D154" i="1"/>
  <c r="D153" i="1"/>
  <c r="D152" i="1"/>
  <c r="D151" i="1"/>
  <c r="E6" i="3"/>
  <c r="D149" i="1"/>
  <c r="D148" i="1"/>
  <c r="I137" i="1"/>
  <c r="D145" i="1"/>
  <c r="D144" i="1"/>
  <c r="D143" i="1"/>
  <c r="D142" i="1"/>
  <c r="D141" i="1"/>
  <c r="D140" i="1"/>
  <c r="D139" i="1"/>
  <c r="D138" i="1"/>
  <c r="D137" i="1"/>
  <c r="D135" i="1"/>
  <c r="D133" i="1"/>
  <c r="D132" i="1"/>
  <c r="D131" i="1"/>
  <c r="I127" i="1"/>
  <c r="I130" i="1" s="1"/>
  <c r="D134" i="1"/>
  <c r="D130" i="1"/>
  <c r="D129" i="1"/>
  <c r="D128" i="1"/>
  <c r="D127" i="1"/>
  <c r="D100" i="3"/>
  <c r="D125" i="1"/>
  <c r="D124" i="1"/>
  <c r="B7" i="2"/>
  <c r="D11" i="4" l="1"/>
  <c r="D9" i="4"/>
  <c r="D112" i="1"/>
  <c r="K16" i="4"/>
  <c r="C19" i="4" s="1"/>
  <c r="D10" i="4"/>
  <c r="K15" i="4"/>
  <c r="B19" i="4" s="1"/>
  <c r="D8" i="4"/>
  <c r="I16" i="4"/>
  <c r="C17" i="4" s="1"/>
  <c r="C22" i="4" s="1"/>
  <c r="I15" i="4"/>
  <c r="B17" i="4" s="1"/>
  <c r="G116" i="1"/>
  <c r="G115" i="1"/>
  <c r="G172" i="1"/>
  <c r="G112" i="1" s="1"/>
  <c r="D117" i="1"/>
  <c r="C116" i="1"/>
  <c r="G180" i="1"/>
  <c r="G117" i="1" s="1"/>
  <c r="D115" i="1"/>
  <c r="C112" i="1"/>
  <c r="C117" i="1"/>
  <c r="D116" i="1"/>
  <c r="C115" i="1"/>
  <c r="G15" i="2"/>
  <c r="G16" i="2" s="1"/>
  <c r="C15" i="2" s="1"/>
  <c r="H15" i="2"/>
  <c r="B16" i="2" s="1"/>
  <c r="D6" i="2"/>
  <c r="C5" i="2"/>
  <c r="B12" i="2" s="1"/>
  <c r="D213" i="1"/>
  <c r="G109" i="1"/>
  <c r="D50" i="1"/>
  <c r="H47" i="1"/>
  <c r="C47" i="1"/>
  <c r="F42" i="1"/>
  <c r="D52" i="1" s="1"/>
  <c r="C14" i="1"/>
  <c r="F7" i="1"/>
  <c r="B15" i="2" l="1"/>
  <c r="B22" i="4"/>
  <c r="C118" i="1"/>
  <c r="D118" i="1"/>
  <c r="G118" i="1"/>
  <c r="B9" i="2"/>
  <c r="J16" i="2" s="1"/>
  <c r="C18" i="2" s="1"/>
  <c r="B11" i="2"/>
  <c r="L15" i="2" s="1"/>
  <c r="B20" i="2" s="1"/>
  <c r="D12" i="2"/>
  <c r="M16" i="2"/>
  <c r="C21" i="2" s="1"/>
  <c r="M15" i="2"/>
  <c r="B21" i="2" s="1"/>
  <c r="H16" i="2"/>
  <c r="C16" i="2" s="1"/>
  <c r="D7" i="2"/>
  <c r="B8" i="2"/>
  <c r="B10" i="2"/>
  <c r="L33" i="3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D11" i="2" l="1"/>
  <c r="D9" i="2"/>
  <c r="J15" i="2"/>
  <c r="B18" i="2" s="1"/>
  <c r="L16" i="2"/>
  <c r="C20" i="2" s="1"/>
  <c r="K16" i="2"/>
  <c r="C19" i="2" s="1"/>
  <c r="D10" i="2"/>
  <c r="K15" i="2"/>
  <c r="B19" i="2" s="1"/>
  <c r="D8" i="2"/>
  <c r="I16" i="2"/>
  <c r="C17" i="2" s="1"/>
  <c r="I15" i="2"/>
  <c r="B17" i="2" s="1"/>
  <c r="L34" i="3"/>
  <c r="K34" i="3" s="1"/>
  <c r="E34" i="3"/>
  <c r="I34" i="3"/>
  <c r="H34" i="3" s="1"/>
  <c r="C22" i="2" l="1"/>
  <c r="B22" i="2"/>
  <c r="D34" i="3"/>
  <c r="D36" i="3" s="1"/>
  <c r="E36" i="3"/>
</calcChain>
</file>

<file path=xl/sharedStrings.xml><?xml version="1.0" encoding="utf-8"?>
<sst xmlns="http://schemas.openxmlformats.org/spreadsheetml/2006/main" count="614" uniqueCount="289">
  <si>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</si>
  <si>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</si>
  <si>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</si>
  <si>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</si>
  <si>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</si>
  <si>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</si>
  <si>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</si>
  <si>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</si>
  <si>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</si>
  <si>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Approved Layout, Approved Building Plan, CC</t>
  </si>
  <si>
    <t>RERA No.</t>
  </si>
  <si>
    <t xml:space="preserve">Project location details       </t>
  </si>
  <si>
    <t>Road</t>
  </si>
  <si>
    <t>District</t>
  </si>
  <si>
    <t>City</t>
  </si>
  <si>
    <t>Pin Code</t>
  </si>
  <si>
    <t>Near by Landmark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</si>
  <si>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</si>
  <si>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</si>
  <si>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</si>
  <si>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</si>
  <si>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</si>
  <si>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Middle Class</t>
  </si>
  <si>
    <t>Nature of land with topographical condtion</t>
  </si>
  <si>
    <t>Plane</t>
  </si>
  <si>
    <t xml:space="preserve">Nature of the locality </t>
  </si>
  <si>
    <t>Developing</t>
  </si>
  <si>
    <t>Quality of infrastructure in vicinity</t>
  </si>
  <si>
    <t>Good</t>
  </si>
  <si>
    <t>Boundaries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</si>
  <si>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</si>
  <si>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</si>
  <si>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</si>
  <si>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</si>
  <si>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</si>
  <si>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</si>
  <si>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</si>
  <si>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</si>
  <si>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Type of Structure : RCC Frame Structure</t>
  </si>
  <si>
    <t xml:space="preserve">Latitude &amp; Longitude </t>
  </si>
  <si>
    <t>Latitude</t>
  </si>
  <si>
    <t>Longitude</t>
  </si>
  <si>
    <t>Approval details:</t>
  </si>
  <si>
    <t xml:space="preserve">Approved usage of the Property:                                                                                                                                             </t>
  </si>
  <si>
    <t xml:space="preserve">(Restrictive Covenants in regard to Land Use, if any)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</si>
  <si>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</si>
  <si>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</si>
  <si>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</si>
  <si>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</si>
  <si>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</si>
  <si>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</si>
  <si>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Approved Builtup area of the project in Sq. Mt.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</si>
  <si>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</si>
  <si>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</si>
  <si>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</si>
  <si>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</si>
  <si>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</si>
  <si>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</si>
  <si>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>Valid upto date: 
One year from date of issue</t>
  </si>
  <si>
    <t xml:space="preserve">O. Certificate No.: </t>
  </si>
  <si>
    <t xml:space="preserve">Date of approval: </t>
  </si>
  <si>
    <t xml:space="preserve">Commencement date of construction </t>
  </si>
  <si>
    <t>Expected Completion</t>
  </si>
  <si>
    <t>Building wise Construction details</t>
  </si>
  <si>
    <t>Approved area of the building in Sq.Mt</t>
  </si>
  <si>
    <t>Approved no of units</t>
  </si>
  <si>
    <t>Approved no of Floors</t>
  </si>
  <si>
    <t>No of floors at site : See Construction details</t>
  </si>
  <si>
    <t>Quality of construction: Good</t>
  </si>
  <si>
    <t>Projected life of the structure: 60 Years After Completion</t>
  </si>
  <si>
    <t xml:space="preserve">Construction details:                                                                  </t>
  </si>
  <si>
    <t>Type of Work</t>
  </si>
  <si>
    <t>Plinth</t>
  </si>
  <si>
    <t>RCC</t>
  </si>
  <si>
    <t>Plaster</t>
  </si>
  <si>
    <t>Flooring</t>
  </si>
  <si>
    <t>Finishing</t>
  </si>
  <si>
    <t>Violations Observed if any : NA</t>
  </si>
  <si>
    <t>Recommended Rates of the Property :</t>
  </si>
  <si>
    <t>Society formation charges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</si>
  <si>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</si>
  <si>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</si>
  <si>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</si>
  <si>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</si>
  <si>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</si>
  <si>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</si>
  <si>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</si>
  <si>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</si>
  <si>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</si>
  <si>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</si>
  <si>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</si>
  <si>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</si>
  <si>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PLC Y/N</t>
  </si>
  <si>
    <t>Floor</t>
  </si>
  <si>
    <t>N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</si>
  <si>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</si>
  <si>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</si>
  <si>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</si>
  <si>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</si>
  <si>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</si>
  <si>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</si>
  <si>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</si>
  <si>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 xml:space="preserve">PHOTOGRAPHS OF PROPERTY : 
</t>
  </si>
  <si>
    <t>Google Map :</t>
  </si>
  <si>
    <t xml:space="preserve">Remarks:  </t>
  </si>
  <si>
    <t>Particulars</t>
  </si>
  <si>
    <t>plinth</t>
  </si>
  <si>
    <t>slab</t>
  </si>
  <si>
    <t>rcc</t>
  </si>
  <si>
    <t>Bricks</t>
  </si>
  <si>
    <t>Wood &amp; painting</t>
  </si>
  <si>
    <t>Progress</t>
  </si>
  <si>
    <t xml:space="preserve">Bricks </t>
  </si>
  <si>
    <t xml:space="preserve">Recommended </t>
  </si>
  <si>
    <t>plaster</t>
  </si>
  <si>
    <t>Recommended</t>
  </si>
  <si>
    <t>total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</si>
  <si>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</si>
  <si>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</si>
  <si>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</si>
  <si>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</si>
  <si>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</si>
  <si>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</si>
  <si>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</si>
  <si>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</si>
  <si>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</si>
  <si>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</si>
  <si>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</si>
  <si>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</si>
  <si>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</si>
  <si>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</si>
  <si>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</si>
  <si>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</si>
  <si>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</si>
  <si>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</si>
  <si>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</si>
  <si>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</si>
  <si>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</si>
  <si>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</si>
  <si>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</si>
  <si>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Basement</t>
  </si>
  <si>
    <t>Podium</t>
  </si>
  <si>
    <t>Ground</t>
  </si>
  <si>
    <t>Upper Floor</t>
  </si>
  <si>
    <t>Taluka</t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</si>
  <si>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</si>
  <si>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</si>
  <si>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</si>
  <si>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</si>
  <si>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</si>
  <si>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</si>
  <si>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</si>
  <si>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>NA
Approved upto :</t>
  </si>
  <si>
    <t>Recommended rate of the flat Per Sq. Ft. ( on Saleable area)</t>
  </si>
  <si>
    <t>Recommended rate of the Shop Per Sq. Ft. ( on Saleable area)</t>
  </si>
  <si>
    <t>Commercial Area Details :</t>
  </si>
  <si>
    <t>Flat/Shop No.</t>
  </si>
  <si>
    <t>Accessibility to the Project from the City: (Proximity to civic amenities like school, hospital, market, etc.)</t>
  </si>
  <si>
    <t xml:space="preserve">total floor </t>
  </si>
  <si>
    <t>Parking</t>
  </si>
  <si>
    <t>Rate</t>
  </si>
  <si>
    <t>Palghar</t>
  </si>
  <si>
    <t>100000/-</t>
  </si>
  <si>
    <t>Ulwe, karanjade</t>
  </si>
  <si>
    <t>200000/-</t>
  </si>
  <si>
    <t>Panvel</t>
  </si>
  <si>
    <t>300000/-</t>
  </si>
  <si>
    <t>Mumbai - G + 15</t>
  </si>
  <si>
    <t>500000/-</t>
  </si>
  <si>
    <t>Mumbai - G + 25</t>
  </si>
  <si>
    <t>800000/-</t>
  </si>
  <si>
    <t>Mumbai - G + 35</t>
  </si>
  <si>
    <t>1000000/-</t>
  </si>
  <si>
    <t>Thane - G + 7</t>
  </si>
  <si>
    <t>Thane - G + 15</t>
  </si>
  <si>
    <t>400000/-</t>
  </si>
  <si>
    <t>Thane - G + 25</t>
  </si>
  <si>
    <t>600000/-</t>
  </si>
  <si>
    <t>Inspected By :</t>
  </si>
  <si>
    <t>Report Prepared By :</t>
  </si>
  <si>
    <t>Authorized Signatory
Name &amp; Seal of the agency</t>
  </si>
  <si>
    <t>Axis Sanpada</t>
  </si>
  <si>
    <t>M/s.Laabh Buildcon</t>
  </si>
  <si>
    <t>Pehla Ghar- Divekar Complex</t>
  </si>
  <si>
    <t>P51700004024</t>
  </si>
  <si>
    <t>Survey No</t>
  </si>
  <si>
    <t>H No</t>
  </si>
  <si>
    <t>1 (PT)</t>
  </si>
  <si>
    <t>Sonale Bapgaon Road</t>
  </si>
  <si>
    <t>Village</t>
  </si>
  <si>
    <t>Bhadwad</t>
  </si>
  <si>
    <t>Thane</t>
  </si>
  <si>
    <t>Bhiwandi</t>
  </si>
  <si>
    <t>Royal Flora Shri Aadinath Realty</t>
  </si>
  <si>
    <t>About 5.3 Km from Bhivandi Railway Station</t>
  </si>
  <si>
    <t>Building</t>
  </si>
  <si>
    <t>Open Space</t>
  </si>
  <si>
    <t>22/09/2015.</t>
  </si>
  <si>
    <t>Ground Floor is for Parking &amp; Reaidential</t>
  </si>
  <si>
    <t>1 RK</t>
  </si>
  <si>
    <t>Ground Floor</t>
  </si>
  <si>
    <t>1st Floor</t>
  </si>
  <si>
    <t>1 BHK</t>
  </si>
  <si>
    <t>Multipurpose Room</t>
  </si>
  <si>
    <t xml:space="preserve">2nd to 7th Floor </t>
  </si>
  <si>
    <t>Shop</t>
  </si>
  <si>
    <t>1st to 5th Floor</t>
  </si>
  <si>
    <t>6th &amp; 7th Floor</t>
  </si>
  <si>
    <t>No. of Shops</t>
  </si>
  <si>
    <t>No. of Flats</t>
  </si>
  <si>
    <t>Flats = 186  &amp; shop = 06</t>
  </si>
  <si>
    <t>Residential + Commercial</t>
  </si>
  <si>
    <t>J.K.N.R.V.1526</t>
  </si>
  <si>
    <t>Material laying at Site: Bricks, Cement &amp; Steel etc.</t>
  </si>
  <si>
    <t>Wheather the construction is as per approved Building plan : Under Construction</t>
  </si>
  <si>
    <t>Ground Floor is for Parking &amp; Residential</t>
  </si>
  <si>
    <t>Ground Floor is for Parking &amp; Commercial</t>
  </si>
  <si>
    <t>Builder Saleable area</t>
  </si>
  <si>
    <t>Building A
Building B
Building C</t>
  </si>
  <si>
    <t>03 Buildings</t>
  </si>
  <si>
    <t xml:space="preserve">Building A, B, C = G + 7th Floor </t>
  </si>
  <si>
    <t>C Building</t>
  </si>
  <si>
    <t>B Building</t>
  </si>
  <si>
    <t>A Building</t>
  </si>
  <si>
    <r>
      <t xml:space="preserve">Proposed Amenities: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</si>
  <si>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125000/-</t>
  </si>
  <si>
    <t>150000/-</t>
  </si>
  <si>
    <t>Development charges</t>
  </si>
  <si>
    <t>Advance Maintenance Charges (For 12 Months)</t>
  </si>
  <si>
    <t>Pratiksha</t>
  </si>
  <si>
    <t>Market Research Data</t>
  </si>
  <si>
    <t>Source</t>
  </si>
  <si>
    <t>Distance from proposed property</t>
  </si>
  <si>
    <t>Net Carpet</t>
  </si>
  <si>
    <t>Saleable Area</t>
  </si>
  <si>
    <t>Rate on Saleable</t>
  </si>
  <si>
    <t>Market Value</t>
  </si>
  <si>
    <t>99 Acres</t>
  </si>
  <si>
    <t>Average</t>
  </si>
  <si>
    <t xml:space="preserve">Valuation Adopted </t>
  </si>
  <si>
    <t>1BHK</t>
  </si>
  <si>
    <t>vg</t>
  </si>
  <si>
    <t>direct visit_x000B_external visit complete side off closed side var koni available nahi hot wing identify hot nahi rate 4000per sq (box price 1bhk 30 laks )</t>
  </si>
  <si>
    <t>a wing rcc breck work complete b rcc breck work plaster in out complete windows and doors fram complete 1side panting complete</t>
  </si>
  <si>
    <t>Construction details:</t>
  </si>
  <si>
    <t>Floors</t>
  </si>
  <si>
    <t>All work Completed. Provide OC.</t>
  </si>
  <si>
    <t xml:space="preserve">Stage of construction: </t>
  </si>
  <si>
    <t>All work Completed. OC Received.</t>
  </si>
  <si>
    <t>Slab/Floor</t>
  </si>
  <si>
    <t>Complition %</t>
  </si>
  <si>
    <t>Progress %</t>
  </si>
  <si>
    <t>Disbursement %</t>
  </si>
  <si>
    <t>Piling Work in process</t>
  </si>
  <si>
    <t>Excavation</t>
  </si>
  <si>
    <t>RCC (Including podiums)</t>
  </si>
  <si>
    <t>Brickwork</t>
  </si>
  <si>
    <t>Brickwork &amp; Internal Plaster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</si>
  <si>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</si>
  <si>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</si>
  <si>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</si>
  <si>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</si>
  <si>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</si>
  <si>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</si>
  <si>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</si>
  <si>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</si>
  <si>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</si>
  <si>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</si>
  <si>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Possession</t>
  </si>
  <si>
    <t xml:space="preserve">BPK/23/BHADWAD/2015-2016/JKNRV/PP/1526
Valid Up to: Building A, B, C = G + 1st to 7th Floor </t>
  </si>
  <si>
    <t xml:space="preserve">Building A = G + 1st to 7th Floor </t>
  </si>
  <si>
    <t xml:space="preserve">Building B = G + 1st to 7th Floor </t>
  </si>
  <si>
    <t xml:space="preserve">Building C = G + 1st to 7th Floor </t>
  </si>
  <si>
    <t>35000/-</t>
  </si>
  <si>
    <t>Work not started yet.</t>
  </si>
  <si>
    <t>Office No. 1031, Wing J, Akshar Business Park, Plot No. 03 Sector 25, Near APMC Market, 
Vashi, Navi Mumbai, Maharashtra 400703 TEL: 022-46090378/79/8
E mail : vsjcapf@gmail.com. Web site : www.vsjadon.com</t>
  </si>
  <si>
    <t>Contact Details ( Name &amp; contact No.)</t>
  </si>
  <si>
    <t>Site Meet Person ( Name &amp; contact No.)</t>
  </si>
  <si>
    <t>Location Link</t>
  </si>
  <si>
    <t>https://goo.gl/maps/9kpCJnatfrk4sLL48</t>
  </si>
  <si>
    <t>Mr. Mangesh Bapardekar</t>
  </si>
  <si>
    <t>2. Wing B</t>
  </si>
  <si>
    <t>1. Wing A</t>
  </si>
  <si>
    <t>Work is same as last visit (10/07/2024). Some Tenants have occupied flats in building.</t>
  </si>
  <si>
    <t xml:space="preserve">3. Wing C </t>
  </si>
  <si>
    <t>Mr. Monish Singh 8850281014</t>
  </si>
  <si>
    <r>
      <t xml:space="preserve">3. We considered  Building A &amp; B Saleable area as per Builder area Sheet &amp;  Building C as per our calculation.
4. We considered Carpet area as per Approved Plan.
5. We considered Gross carpet area = Net carpet + Enclose balcony + C.B Area.
6. We considered rate as per Market Inquire.
7. Car parking is subjected to authentic documentation.
8. Since Wing C have received CC on  22/09/2015, but as of construction work is not started.
9. </t>
    </r>
    <r>
      <rPr>
        <b/>
        <sz val="12"/>
        <color rgb="FFFF0000"/>
        <rFont val="Times New Roman"/>
        <family val="1"/>
      </rPr>
      <t xml:space="preserve">As per RERA, completion period of project Pehla Ghar- Divekar Complex is expired on 29/12/2024 but still project is under construction.
</t>
    </r>
    <r>
      <rPr>
        <b/>
        <sz val="12"/>
        <rFont val="Times New Roman"/>
        <family val="1"/>
      </rPr>
      <t>10.As checked on RERA portal on date 14/08/2025, we have observed that above project "Pehla Ghar- Divekar Complex " is kept under abeyance. Please check from your end.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rFont val="Times New Roman"/>
        <family val="1"/>
      </rPr>
      <t xml:space="preserve">
</t>
    </r>
  </si>
  <si>
    <t>Shruti Tathare</t>
  </si>
  <si>
    <t>Finishing work is pending (Slow Speed).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</si>
</sst>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dd\/mm\/yyyy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000000"/>
      <name val="Calibri"/>
      <family val="2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color rgb="FF272727"/>
      <name val="Arial"/>
      <family val="2"/>
    </font>
    <font>
      <b/>
      <sz val="11"/>
      <name val="Times New Roman"/>
      <family val="1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5" fillId="0" borderId="0"/>
    <xf numFmtId="0" fontId="2" fillId="0" borderId="0"/>
    <xf numFmtId="9" fontId="11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227">
    <xf numFmtId="0" fontId="0" fillId="0" borderId="0" xfId="0"/>
    <xf numFmtId="0" fontId="0" fillId="2" borderId="4" xfId="0" applyFill="1" applyBorder="1"/>
    <xf numFmtId="0" fontId="0" fillId="0" borderId="9" xfId="0" applyBorder="1" applyAlignment="1"/>
    <xf numFmtId="0" fontId="9" fillId="0" borderId="4" xfId="0" applyFont="1" applyBorder="1"/>
    <xf numFmtId="0" fontId="9" fillId="0" borderId="4" xfId="0" applyFont="1" applyBorder="1" applyAlignment="1">
      <alignment horizontal="center"/>
    </xf>
    <xf numFmtId="0" fontId="0" fillId="0" borderId="4" xfId="0" applyBorder="1"/>
    <xf numFmtId="0" fontId="16" fillId="0" borderId="0" xfId="0" applyFont="1"/>
    <xf numFmtId="0" fontId="16" fillId="0" borderId="4" xfId="0" applyFont="1" applyBorder="1"/>
    <xf numFmtId="0" fontId="17" fillId="0" borderId="4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6" fillId="2" borderId="4" xfId="0" applyFont="1" applyFill="1" applyBorder="1"/>
    <xf numFmtId="0" fontId="16" fillId="0" borderId="4" xfId="0" applyFont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9" fontId="16" fillId="0" borderId="0" xfId="4" applyFont="1" applyBorder="1"/>
    <xf numFmtId="0" fontId="16" fillId="0" borderId="0" xfId="0" applyFont="1" applyBorder="1"/>
    <xf numFmtId="0" fontId="15" fillId="0" borderId="4" xfId="0" applyFont="1" applyBorder="1" applyAlignment="1">
      <alignment horizontal="center"/>
    </xf>
    <xf numFmtId="0" fontId="16" fillId="0" borderId="0" xfId="0" applyFont="1" applyAlignment="1">
      <alignment wrapText="1"/>
    </xf>
    <xf numFmtId="0" fontId="16" fillId="0" borderId="13" xfId="0" applyFont="1" applyBorder="1"/>
    <xf numFmtId="0" fontId="16" fillId="0" borderId="4" xfId="0" applyFont="1" applyBorder="1" applyAlignment="1">
      <alignment wrapText="1"/>
    </xf>
    <xf numFmtId="9" fontId="16" fillId="0" borderId="4" xfId="4" applyFont="1" applyBorder="1"/>
    <xf numFmtId="0" fontId="16" fillId="0" borderId="0" xfId="0" applyFont="1" applyFill="1" applyBorder="1"/>
    <xf numFmtId="9" fontId="16" fillId="0" borderId="0" xfId="0" applyNumberFormat="1" applyFont="1"/>
    <xf numFmtId="0" fontId="16" fillId="0" borderId="0" xfId="0" applyFont="1" applyBorder="1" applyAlignment="1">
      <alignment horizontal="right"/>
    </xf>
    <xf numFmtId="0" fontId="16" fillId="0" borderId="4" xfId="0" applyFont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5" fillId="0" borderId="4" xfId="0" applyFont="1" applyBorder="1" applyAlignment="1">
      <alignment horizontal="center"/>
    </xf>
    <xf numFmtId="14" fontId="0" fillId="0" borderId="0" xfId="0" applyNumberFormat="1"/>
    <xf numFmtId="14" fontId="5" fillId="0" borderId="0" xfId="5" applyNumberFormat="1"/>
    <xf numFmtId="0" fontId="5" fillId="0" borderId="0" xfId="5"/>
    <xf numFmtId="0" fontId="1" fillId="0" borderId="0" xfId="6"/>
    <xf numFmtId="0" fontId="9" fillId="0" borderId="4" xfId="6" applyFont="1" applyBorder="1" applyAlignment="1">
      <alignment horizontal="center" vertical="top" wrapText="1"/>
    </xf>
    <xf numFmtId="0" fontId="1" fillId="0" borderId="4" xfId="6" applyBorder="1" applyAlignment="1">
      <alignment horizontal="center" vertical="center"/>
    </xf>
    <xf numFmtId="0" fontId="1" fillId="0" borderId="4" xfId="6" applyBorder="1" applyAlignment="1">
      <alignment horizontal="left" vertical="center"/>
    </xf>
    <xf numFmtId="1" fontId="1" fillId="0" borderId="4" xfId="6" applyNumberFormat="1" applyBorder="1" applyAlignment="1">
      <alignment horizontal="center" vertical="center"/>
    </xf>
    <xf numFmtId="166" fontId="1" fillId="0" borderId="4" xfId="7" applyNumberFormat="1" applyFont="1" applyBorder="1" applyAlignment="1">
      <alignment horizontal="right" vertical="center"/>
    </xf>
    <xf numFmtId="0" fontId="9" fillId="0" borderId="4" xfId="6" applyFont="1" applyBorder="1" applyAlignment="1">
      <alignment horizontal="center" vertical="center"/>
    </xf>
    <xf numFmtId="1" fontId="19" fillId="0" borderId="4" xfId="6" applyNumberFormat="1" applyFont="1" applyBorder="1" applyAlignment="1">
      <alignment horizontal="center" vertical="center"/>
    </xf>
    <xf numFmtId="0" fontId="5" fillId="0" borderId="4" xfId="5" applyBorder="1" applyAlignment="1">
      <alignment horizontal="center" vertical="center"/>
    </xf>
    <xf numFmtId="0" fontId="20" fillId="0" borderId="0" xfId="5" applyFont="1"/>
    <xf numFmtId="0" fontId="7" fillId="0" borderId="17" xfId="1" applyFont="1" applyFill="1" applyBorder="1" applyProtection="1">
      <protection hidden="1"/>
    </xf>
    <xf numFmtId="0" fontId="7" fillId="0" borderId="0" xfId="1" applyFont="1" applyFill="1" applyBorder="1" applyProtection="1">
      <protection hidden="1"/>
    </xf>
    <xf numFmtId="0" fontId="16" fillId="0" borderId="0" xfId="0" applyFont="1" applyFill="1" applyBorder="1" applyProtection="1">
      <protection hidden="1"/>
    </xf>
    <xf numFmtId="0" fontId="16" fillId="0" borderId="25" xfId="0" applyFont="1" applyFill="1" applyBorder="1" applyProtection="1">
      <protection hidden="1"/>
    </xf>
    <xf numFmtId="1" fontId="14" fillId="0" borderId="4" xfId="1" applyNumberFormat="1" applyFont="1" applyFill="1" applyBorder="1" applyAlignment="1">
      <alignment horizontal="center" vertical="top" wrapText="1"/>
    </xf>
    <xf numFmtId="1" fontId="22" fillId="0" borderId="4" xfId="1" applyNumberFormat="1" applyFont="1" applyFill="1" applyBorder="1" applyAlignment="1">
      <alignment horizontal="center" vertical="top" wrapText="1"/>
    </xf>
    <xf numFmtId="1" fontId="13" fillId="0" borderId="4" xfId="1" applyNumberFormat="1" applyFont="1" applyFill="1" applyBorder="1" applyAlignment="1">
      <alignment horizontal="center" vertical="center" wrapText="1"/>
    </xf>
    <xf numFmtId="0" fontId="13" fillId="0" borderId="4" xfId="1" applyFont="1" applyFill="1" applyBorder="1" applyAlignment="1" applyProtection="1">
      <alignment horizontal="center" vertical="top" wrapText="1"/>
      <protection locked="0"/>
    </xf>
    <xf numFmtId="0" fontId="13" fillId="0" borderId="4" xfId="1" applyFont="1" applyFill="1" applyBorder="1" applyAlignment="1" applyProtection="1">
      <alignment horizontal="center" vertical="top"/>
      <protection locked="0"/>
    </xf>
    <xf numFmtId="0" fontId="6" fillId="0" borderId="4" xfId="1" applyFont="1" applyFill="1" applyBorder="1" applyAlignment="1">
      <alignment horizontal="left" vertical="top"/>
    </xf>
    <xf numFmtId="0" fontId="13" fillId="0" borderId="19" xfId="1" applyFont="1" applyFill="1" applyBorder="1" applyAlignment="1" applyProtection="1">
      <alignment horizontal="center" vertical="top"/>
      <protection locked="0"/>
    </xf>
    <xf numFmtId="0" fontId="7" fillId="0" borderId="0" xfId="1" applyFont="1" applyFill="1"/>
    <xf numFmtId="0" fontId="6" fillId="0" borderId="4" xfId="1" applyFont="1" applyFill="1" applyBorder="1" applyAlignment="1">
      <alignment vertical="top"/>
    </xf>
    <xf numFmtId="0" fontId="7" fillId="0" borderId="18" xfId="1" applyFont="1" applyFill="1" applyBorder="1" applyProtection="1">
      <protection hidden="1"/>
    </xf>
    <xf numFmtId="0" fontId="0" fillId="0" borderId="0" xfId="0" applyFill="1"/>
    <xf numFmtId="0" fontId="7" fillId="0" borderId="21" xfId="1" applyFont="1" applyFill="1" applyBorder="1" applyProtection="1">
      <protection hidden="1"/>
    </xf>
    <xf numFmtId="0" fontId="7" fillId="0" borderId="0" xfId="1" applyFont="1" applyFill="1" applyBorder="1"/>
    <xf numFmtId="0" fontId="7" fillId="0" borderId="21" xfId="1" applyFont="1" applyFill="1" applyBorder="1"/>
    <xf numFmtId="0" fontId="13" fillId="0" borderId="4" xfId="1" applyFont="1" applyFill="1" applyBorder="1" applyAlignment="1" applyProtection="1">
      <alignment horizontal="center" wrapText="1"/>
      <protection locked="0"/>
    </xf>
    <xf numFmtId="9" fontId="16" fillId="0" borderId="0" xfId="0" applyNumberFormat="1" applyFont="1" applyFill="1" applyBorder="1" applyProtection="1">
      <protection hidden="1"/>
    </xf>
    <xf numFmtId="0" fontId="16" fillId="0" borderId="21" xfId="0" applyNumberFormat="1" applyFont="1" applyFill="1" applyBorder="1" applyProtection="1">
      <protection hidden="1"/>
    </xf>
    <xf numFmtId="1" fontId="13" fillId="0" borderId="4" xfId="1" applyNumberFormat="1" applyFont="1" applyFill="1" applyBorder="1" applyAlignment="1" applyProtection="1">
      <alignment horizontal="center" wrapText="1"/>
      <protection locked="0"/>
    </xf>
    <xf numFmtId="1" fontId="0" fillId="0" borderId="21" xfId="0" applyNumberFormat="1" applyFill="1" applyBorder="1"/>
    <xf numFmtId="1" fontId="0" fillId="0" borderId="0" xfId="0" applyNumberFormat="1" applyFill="1" applyBorder="1"/>
    <xf numFmtId="165" fontId="0" fillId="0" borderId="0" xfId="0" applyNumberFormat="1" applyFill="1" applyBorder="1"/>
    <xf numFmtId="1" fontId="0" fillId="0" borderId="21" xfId="0" applyNumberFormat="1" applyFill="1" applyBorder="1" applyAlignment="1">
      <alignment horizontal="right"/>
    </xf>
    <xf numFmtId="0" fontId="0" fillId="0" borderId="0" xfId="0" applyFill="1" applyBorder="1"/>
    <xf numFmtId="0" fontId="0" fillId="0" borderId="21" xfId="0" applyFill="1" applyBorder="1"/>
    <xf numFmtId="0" fontId="13" fillId="0" borderId="23" xfId="1" applyFont="1" applyFill="1" applyBorder="1" applyAlignment="1" applyProtection="1">
      <alignment horizontal="center" wrapText="1"/>
      <protection locked="0"/>
    </xf>
    <xf numFmtId="9" fontId="16" fillId="0" borderId="25" xfId="0" applyNumberFormat="1" applyFont="1" applyFill="1" applyBorder="1" applyProtection="1">
      <protection hidden="1"/>
    </xf>
    <xf numFmtId="1" fontId="0" fillId="0" borderId="26" xfId="0" applyNumberFormat="1" applyFill="1" applyBorder="1"/>
    <xf numFmtId="0" fontId="13" fillId="0" borderId="0" xfId="1" applyFont="1" applyFill="1"/>
    <xf numFmtId="0" fontId="6" fillId="0" borderId="0" xfId="2" applyFont="1" applyFill="1"/>
    <xf numFmtId="0" fontId="7" fillId="0" borderId="0" xfId="0" applyFont="1" applyFill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7" fillId="0" borderId="0" xfId="0" applyFont="1" applyFill="1"/>
    <xf numFmtId="0" fontId="8" fillId="0" borderId="0" xfId="1" applyFont="1" applyFill="1" applyBorder="1" applyAlignment="1">
      <alignment vertical="top"/>
    </xf>
    <xf numFmtId="0" fontId="8" fillId="0" borderId="0" xfId="1" applyFont="1" applyFill="1" applyBorder="1" applyAlignment="1">
      <alignment vertical="top" wrapText="1"/>
    </xf>
    <xf numFmtId="0" fontId="10" fillId="0" borderId="0" xfId="1" applyFont="1" applyFill="1"/>
    <xf numFmtId="0" fontId="13" fillId="0" borderId="4" xfId="1" applyFont="1" applyFill="1" applyBorder="1" applyAlignment="1" applyProtection="1">
      <alignment horizontal="left" vertical="top"/>
      <protection locked="0"/>
    </xf>
    <xf numFmtId="1" fontId="8" fillId="0" borderId="1" xfId="0" applyNumberFormat="1" applyFont="1" applyFill="1" applyBorder="1" applyAlignment="1">
      <alignment horizontal="left" vertical="top" wrapText="1"/>
    </xf>
    <xf numFmtId="1" fontId="8" fillId="0" borderId="2" xfId="0" applyNumberFormat="1" applyFont="1" applyFill="1" applyBorder="1" applyAlignment="1">
      <alignment horizontal="left" vertical="top" wrapText="1"/>
    </xf>
    <xf numFmtId="1" fontId="8" fillId="0" borderId="3" xfId="0" applyNumberFormat="1" applyFont="1" applyFill="1" applyBorder="1" applyAlignment="1">
      <alignment horizontal="left" vertical="top" wrapText="1"/>
    </xf>
    <xf numFmtId="0" fontId="6" fillId="0" borderId="4" xfId="1" applyFont="1" applyFill="1" applyBorder="1" applyAlignment="1">
      <alignment horizontal="left" vertical="top"/>
    </xf>
    <xf numFmtId="0" fontId="23" fillId="0" borderId="4" xfId="8" applyFill="1" applyBorder="1" applyAlignment="1">
      <alignment horizontal="left" vertical="top"/>
    </xf>
    <xf numFmtId="0" fontId="13" fillId="0" borderId="22" xfId="1" applyFont="1" applyFill="1" applyBorder="1" applyAlignment="1" applyProtection="1">
      <alignment horizontal="center" vertical="top" wrapText="1"/>
      <protection locked="0"/>
    </xf>
    <xf numFmtId="0" fontId="13" fillId="0" borderId="23" xfId="1" applyFont="1" applyFill="1" applyBorder="1" applyAlignment="1" applyProtection="1">
      <alignment horizontal="center" vertical="top" wrapText="1"/>
      <protection locked="0"/>
    </xf>
    <xf numFmtId="9" fontId="13" fillId="0" borderId="23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19" xfId="1" applyFont="1" applyFill="1" applyBorder="1" applyAlignment="1" applyProtection="1">
      <alignment horizontal="center" vertical="top" wrapText="1"/>
      <protection locked="0"/>
    </xf>
    <xf numFmtId="0" fontId="13" fillId="0" borderId="4" xfId="1" applyFont="1" applyFill="1" applyBorder="1" applyAlignment="1" applyProtection="1">
      <alignment horizontal="center" vertical="top" wrapText="1"/>
      <protection locked="0"/>
    </xf>
    <xf numFmtId="0" fontId="13" fillId="0" borderId="20" xfId="1" applyFont="1" applyFill="1" applyBorder="1" applyAlignment="1" applyProtection="1">
      <alignment horizontal="center" vertical="top" wrapText="1"/>
      <protection locked="0"/>
    </xf>
    <xf numFmtId="9" fontId="13" fillId="0" borderId="4" xfId="1" applyNumberFormat="1" applyFont="1" applyFill="1" applyBorder="1" applyAlignment="1" applyProtection="1">
      <alignment horizontal="center" vertical="center" wrapText="1"/>
      <protection hidden="1"/>
    </xf>
    <xf numFmtId="9" fontId="13" fillId="0" borderId="20" xfId="1" applyNumberFormat="1" applyFont="1" applyFill="1" applyBorder="1" applyAlignment="1" applyProtection="1">
      <alignment horizontal="center" vertical="center" wrapText="1"/>
      <protection hidden="1"/>
    </xf>
    <xf numFmtId="9" fontId="13" fillId="0" borderId="24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19" xfId="1" applyFont="1" applyFill="1" applyBorder="1" applyAlignment="1" applyProtection="1">
      <alignment horizontal="center" vertical="top"/>
      <protection locked="0"/>
    </xf>
    <xf numFmtId="0" fontId="13" fillId="0" borderId="4" xfId="1" applyFont="1" applyFill="1" applyBorder="1" applyAlignment="1" applyProtection="1">
      <alignment horizontal="center" vertical="top"/>
      <protection locked="0"/>
    </xf>
    <xf numFmtId="0" fontId="14" fillId="0" borderId="14" xfId="1" applyFont="1" applyFill="1" applyBorder="1" applyAlignment="1" applyProtection="1">
      <alignment horizontal="center" vertical="top" wrapText="1"/>
      <protection locked="0"/>
    </xf>
    <xf numFmtId="0" fontId="14" fillId="0" borderId="15" xfId="1" applyFont="1" applyFill="1" applyBorder="1" applyAlignment="1" applyProtection="1">
      <alignment horizontal="center" vertical="top" wrapText="1"/>
      <protection locked="0"/>
    </xf>
    <xf numFmtId="0" fontId="14" fillId="0" borderId="15" xfId="1" applyFont="1" applyFill="1" applyBorder="1" applyAlignment="1" applyProtection="1">
      <alignment horizontal="left" vertical="top" wrapText="1"/>
      <protection locked="0"/>
    </xf>
    <xf numFmtId="0" fontId="14" fillId="0" borderId="16" xfId="1" applyFont="1" applyFill="1" applyBorder="1" applyAlignment="1" applyProtection="1">
      <alignment horizontal="left" vertical="top" wrapText="1"/>
      <protection locked="0"/>
    </xf>
    <xf numFmtId="0" fontId="13" fillId="0" borderId="20" xfId="1" applyFont="1" applyFill="1" applyBorder="1" applyAlignment="1" applyProtection="1">
      <alignment horizontal="center" vertical="top"/>
      <protection locked="0"/>
    </xf>
    <xf numFmtId="0" fontId="14" fillId="0" borderId="19" xfId="1" applyFont="1" applyFill="1" applyBorder="1" applyAlignment="1" applyProtection="1">
      <alignment horizontal="left" vertical="top"/>
      <protection locked="0"/>
    </xf>
    <xf numFmtId="0" fontId="14" fillId="0" borderId="4" xfId="1" applyFont="1" applyFill="1" applyBorder="1" applyAlignment="1" applyProtection="1">
      <alignment horizontal="left" vertical="top"/>
      <protection locked="0"/>
    </xf>
    <xf numFmtId="0" fontId="14" fillId="0" borderId="4" xfId="1" applyFont="1" applyFill="1" applyBorder="1" applyAlignment="1" applyProtection="1">
      <alignment horizontal="left" vertical="top" wrapText="1"/>
      <protection locked="0"/>
    </xf>
    <xf numFmtId="0" fontId="14" fillId="0" borderId="20" xfId="1" applyFont="1" applyFill="1" applyBorder="1" applyAlignment="1" applyProtection="1">
      <alignment horizontal="left" vertical="top" wrapText="1"/>
      <protection locked="0"/>
    </xf>
    <xf numFmtId="0" fontId="21" fillId="0" borderId="0" xfId="0" applyFont="1" applyFill="1" applyBorder="1" applyAlignment="1">
      <alignment horizontal="center" vertical="top" wrapText="1"/>
    </xf>
    <xf numFmtId="1" fontId="13" fillId="0" borderId="5" xfId="1" applyNumberFormat="1" applyFont="1" applyFill="1" applyBorder="1" applyAlignment="1">
      <alignment horizontal="center" vertical="center" wrapText="1"/>
    </xf>
    <xf numFmtId="1" fontId="13" fillId="0" borderId="7" xfId="1" applyNumberFormat="1" applyFont="1" applyFill="1" applyBorder="1" applyAlignment="1">
      <alignment horizontal="center" vertical="center" wrapText="1"/>
    </xf>
    <xf numFmtId="1" fontId="13" fillId="0" borderId="11" xfId="1" applyNumberFormat="1" applyFont="1" applyFill="1" applyBorder="1" applyAlignment="1">
      <alignment horizontal="center" vertical="center" wrapText="1"/>
    </xf>
    <xf numFmtId="1" fontId="13" fillId="0" borderId="12" xfId="1" applyNumberFormat="1" applyFont="1" applyFill="1" applyBorder="1" applyAlignment="1">
      <alignment horizontal="center" vertical="center" wrapText="1"/>
    </xf>
    <xf numFmtId="1" fontId="13" fillId="0" borderId="8" xfId="1" applyNumberFormat="1" applyFont="1" applyFill="1" applyBorder="1" applyAlignment="1">
      <alignment horizontal="center" vertical="center" wrapText="1"/>
    </xf>
    <xf numFmtId="1" fontId="13" fillId="0" borderId="10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left" vertical="top" wrapText="1"/>
    </xf>
    <xf numFmtId="0" fontId="13" fillId="0" borderId="2" xfId="1" applyFont="1" applyFill="1" applyBorder="1" applyAlignment="1">
      <alignment horizontal="left" vertical="top" wrapText="1"/>
    </xf>
    <xf numFmtId="0" fontId="13" fillId="0" borderId="3" xfId="1" applyFont="1" applyFill="1" applyBorder="1" applyAlignment="1">
      <alignment horizontal="left" vertical="top" wrapText="1"/>
    </xf>
    <xf numFmtId="0" fontId="13" fillId="0" borderId="1" xfId="1" applyFont="1" applyFill="1" applyBorder="1" applyAlignment="1">
      <alignment horizontal="left" vertical="top"/>
    </xf>
    <xf numFmtId="0" fontId="13" fillId="0" borderId="2" xfId="1" applyFont="1" applyFill="1" applyBorder="1" applyAlignment="1">
      <alignment horizontal="left" vertical="top"/>
    </xf>
    <xf numFmtId="0" fontId="13" fillId="0" borderId="3" xfId="1" applyFont="1" applyFill="1" applyBorder="1" applyAlignment="1">
      <alignment horizontal="left" vertical="top"/>
    </xf>
    <xf numFmtId="0" fontId="14" fillId="0" borderId="1" xfId="1" applyFont="1" applyFill="1" applyBorder="1" applyAlignment="1">
      <alignment horizontal="left" vertical="top"/>
    </xf>
    <xf numFmtId="0" fontId="14" fillId="0" borderId="3" xfId="1" applyFont="1" applyFill="1" applyBorder="1" applyAlignment="1">
      <alignment horizontal="left" vertical="top"/>
    </xf>
    <xf numFmtId="0" fontId="14" fillId="0" borderId="1" xfId="1" applyFont="1" applyFill="1" applyBorder="1" applyAlignment="1">
      <alignment horizontal="left" vertical="top" wrapText="1"/>
    </xf>
    <xf numFmtId="0" fontId="14" fillId="0" borderId="2" xfId="1" applyFont="1" applyFill="1" applyBorder="1" applyAlignment="1">
      <alignment horizontal="left" vertical="top" wrapText="1"/>
    </xf>
    <xf numFmtId="0" fontId="14" fillId="0" borderId="3" xfId="1" applyFont="1" applyFill="1" applyBorder="1" applyAlignment="1">
      <alignment horizontal="left" vertical="top" wrapText="1"/>
    </xf>
    <xf numFmtId="0" fontId="14" fillId="0" borderId="2" xfId="1" applyFont="1" applyFill="1" applyBorder="1" applyAlignment="1">
      <alignment horizontal="left" vertical="top"/>
    </xf>
    <xf numFmtId="1" fontId="14" fillId="0" borderId="4" xfId="0" applyNumberFormat="1" applyFont="1" applyFill="1" applyBorder="1" applyAlignment="1">
      <alignment horizontal="center" vertical="center" wrapText="1"/>
    </xf>
    <xf numFmtId="1" fontId="14" fillId="0" borderId="4" xfId="0" applyNumberFormat="1" applyFont="1" applyFill="1" applyBorder="1" applyAlignment="1">
      <alignment horizontal="center" vertical="top" wrapText="1"/>
    </xf>
    <xf numFmtId="0" fontId="14" fillId="0" borderId="4" xfId="0" applyFont="1" applyFill="1" applyBorder="1" applyAlignment="1">
      <alignment horizontal="center" vertical="top" wrapText="1"/>
    </xf>
    <xf numFmtId="0" fontId="8" fillId="0" borderId="5" xfId="1" applyFont="1" applyFill="1" applyBorder="1" applyAlignment="1">
      <alignment horizontal="center" vertical="top" wrapText="1"/>
    </xf>
    <xf numFmtId="0" fontId="8" fillId="0" borderId="6" xfId="1" applyFont="1" applyFill="1" applyBorder="1" applyAlignment="1">
      <alignment horizontal="center" vertical="top" wrapText="1"/>
    </xf>
    <xf numFmtId="0" fontId="8" fillId="0" borderId="7" xfId="1" applyFont="1" applyFill="1" applyBorder="1" applyAlignment="1">
      <alignment horizontal="center" vertical="top" wrapText="1"/>
    </xf>
    <xf numFmtId="0" fontId="8" fillId="0" borderId="11" xfId="1" applyFont="1" applyFill="1" applyBorder="1" applyAlignment="1">
      <alignment horizontal="center" vertical="top" wrapText="1"/>
    </xf>
    <xf numFmtId="0" fontId="8" fillId="0" borderId="0" xfId="1" applyFont="1" applyFill="1" applyBorder="1" applyAlignment="1">
      <alignment horizontal="center" vertical="top" wrapText="1"/>
    </xf>
    <xf numFmtId="0" fontId="8" fillId="0" borderId="12" xfId="1" applyFont="1" applyFill="1" applyBorder="1" applyAlignment="1">
      <alignment horizontal="center" vertical="top" wrapText="1"/>
    </xf>
    <xf numFmtId="0" fontId="8" fillId="0" borderId="8" xfId="1" applyFont="1" applyFill="1" applyBorder="1" applyAlignment="1">
      <alignment horizontal="center" vertical="top" wrapText="1"/>
    </xf>
    <xf numFmtId="0" fontId="8" fillId="0" borderId="9" xfId="1" applyFont="1" applyFill="1" applyBorder="1" applyAlignment="1">
      <alignment horizontal="center" vertical="top" wrapText="1"/>
    </xf>
    <xf numFmtId="0" fontId="8" fillId="0" borderId="10" xfId="1" applyFont="1" applyFill="1" applyBorder="1" applyAlignment="1">
      <alignment horizontal="center" vertical="top" wrapText="1"/>
    </xf>
    <xf numFmtId="0" fontId="4" fillId="0" borderId="4" xfId="1" applyFont="1" applyFill="1" applyBorder="1" applyAlignment="1">
      <alignment horizontal="center" vertical="top" wrapText="1"/>
    </xf>
    <xf numFmtId="0" fontId="18" fillId="0" borderId="4" xfId="1" applyFont="1" applyFill="1" applyBorder="1" applyAlignment="1">
      <alignment horizontal="center" vertical="top" wrapText="1"/>
    </xf>
    <xf numFmtId="0" fontId="6" fillId="0" borderId="5" xfId="1" applyFont="1" applyFill="1" applyBorder="1" applyAlignment="1">
      <alignment horizontal="left" vertical="top" wrapText="1"/>
    </xf>
    <xf numFmtId="0" fontId="6" fillId="0" borderId="7" xfId="1" applyFont="1" applyFill="1" applyBorder="1" applyAlignment="1">
      <alignment horizontal="left" vertical="top" wrapText="1"/>
    </xf>
    <xf numFmtId="0" fontId="7" fillId="0" borderId="4" xfId="1" applyFont="1" applyFill="1" applyBorder="1" applyAlignment="1">
      <alignment horizontal="left"/>
    </xf>
    <xf numFmtId="0" fontId="7" fillId="0" borderId="1" xfId="1" applyFont="1" applyFill="1" applyBorder="1" applyAlignment="1">
      <alignment horizontal="center" vertical="top"/>
    </xf>
    <xf numFmtId="0" fontId="7" fillId="0" borderId="3" xfId="1" applyFont="1" applyFill="1" applyBorder="1" applyAlignment="1">
      <alignment horizontal="center" vertical="top"/>
    </xf>
    <xf numFmtId="0" fontId="6" fillId="0" borderId="1" xfId="1" applyFont="1" applyFill="1" applyBorder="1" applyAlignment="1">
      <alignment horizontal="center" vertical="top"/>
    </xf>
    <xf numFmtId="0" fontId="6" fillId="0" borderId="3" xfId="1" applyFont="1" applyFill="1" applyBorder="1" applyAlignment="1">
      <alignment horizontal="center" vertical="top"/>
    </xf>
    <xf numFmtId="165" fontId="6" fillId="0" borderId="4" xfId="1" applyNumberFormat="1" applyFont="1" applyFill="1" applyBorder="1" applyAlignment="1">
      <alignment horizontal="left" vertical="top"/>
    </xf>
    <xf numFmtId="0" fontId="6" fillId="0" borderId="4" xfId="1" applyFont="1" applyFill="1" applyBorder="1" applyAlignment="1">
      <alignment horizontal="left" vertical="top" wrapText="1"/>
    </xf>
    <xf numFmtId="0" fontId="13" fillId="0" borderId="4" xfId="1" applyFont="1" applyFill="1" applyBorder="1" applyAlignment="1" applyProtection="1">
      <alignment horizontal="left" vertical="center" wrapText="1"/>
      <protection locked="0"/>
    </xf>
    <xf numFmtId="0" fontId="6" fillId="0" borderId="1" xfId="1" applyFont="1" applyFill="1" applyBorder="1" applyAlignment="1">
      <alignment horizontal="left" vertical="top"/>
    </xf>
    <xf numFmtId="0" fontId="6" fillId="0" borderId="2" xfId="1" applyFont="1" applyFill="1" applyBorder="1" applyAlignment="1">
      <alignment horizontal="left" vertical="top"/>
    </xf>
    <xf numFmtId="0" fontId="6" fillId="0" borderId="3" xfId="1" applyFont="1" applyFill="1" applyBorder="1" applyAlignment="1">
      <alignment horizontal="left" vertical="top"/>
    </xf>
    <xf numFmtId="0" fontId="12" fillId="0" borderId="1" xfId="1" applyFont="1" applyFill="1" applyBorder="1" applyAlignment="1">
      <alignment horizontal="center" vertical="top" wrapText="1"/>
    </xf>
    <xf numFmtId="0" fontId="12" fillId="0" borderId="2" xfId="1" applyFont="1" applyFill="1" applyBorder="1" applyAlignment="1">
      <alignment horizontal="center" vertical="top" wrapText="1"/>
    </xf>
    <xf numFmtId="0" fontId="12" fillId="0" borderId="3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/>
    </xf>
    <xf numFmtId="0" fontId="8" fillId="0" borderId="2" xfId="1" applyFont="1" applyFill="1" applyBorder="1" applyAlignment="1">
      <alignment horizontal="center" vertical="top"/>
    </xf>
    <xf numFmtId="0" fontId="8" fillId="0" borderId="3" xfId="1" applyFont="1" applyFill="1" applyBorder="1" applyAlignment="1">
      <alignment horizontal="center" vertical="top"/>
    </xf>
    <xf numFmtId="167" fontId="13" fillId="0" borderId="1" xfId="1" applyNumberFormat="1" applyFont="1" applyFill="1" applyBorder="1" applyAlignment="1" applyProtection="1">
      <alignment horizontal="left" vertical="top"/>
      <protection locked="0"/>
    </xf>
    <xf numFmtId="167" fontId="13" fillId="0" borderId="2" xfId="1" applyNumberFormat="1" applyFont="1" applyFill="1" applyBorder="1" applyAlignment="1" applyProtection="1">
      <alignment horizontal="left" vertical="top"/>
      <protection locked="0"/>
    </xf>
    <xf numFmtId="167" fontId="13" fillId="0" borderId="3" xfId="1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>
      <alignment horizontal="left" vertical="top"/>
    </xf>
    <xf numFmtId="0" fontId="8" fillId="0" borderId="2" xfId="1" applyFont="1" applyFill="1" applyBorder="1" applyAlignment="1">
      <alignment horizontal="left" vertical="top"/>
    </xf>
    <xf numFmtId="0" fontId="8" fillId="0" borderId="3" xfId="1" applyFont="1" applyFill="1" applyBorder="1" applyAlignment="1">
      <alignment horizontal="left" vertical="top"/>
    </xf>
    <xf numFmtId="0" fontId="7" fillId="0" borderId="1" xfId="1" applyFont="1" applyFill="1" applyBorder="1" applyAlignment="1" applyProtection="1">
      <alignment horizontal="left" vertical="center" wrapText="1"/>
      <protection locked="0"/>
    </xf>
    <xf numFmtId="0" fontId="7" fillId="0" borderId="2" xfId="1" applyFont="1" applyFill="1" applyBorder="1" applyAlignment="1" applyProtection="1">
      <alignment horizontal="left" vertical="center" wrapText="1"/>
      <protection locked="0"/>
    </xf>
    <xf numFmtId="0" fontId="7" fillId="0" borderId="3" xfId="1" applyFont="1" applyFill="1" applyBorder="1" applyAlignment="1" applyProtection="1">
      <alignment horizontal="left" vertical="center" wrapText="1"/>
      <protection locked="0"/>
    </xf>
    <xf numFmtId="14" fontId="6" fillId="0" borderId="1" xfId="1" applyNumberFormat="1" applyFont="1" applyFill="1" applyBorder="1" applyAlignment="1">
      <alignment horizontal="left" vertical="top"/>
    </xf>
    <xf numFmtId="14" fontId="6" fillId="0" borderId="2" xfId="1" applyNumberFormat="1" applyFont="1" applyFill="1" applyBorder="1" applyAlignment="1">
      <alignment horizontal="left" vertical="top"/>
    </xf>
    <xf numFmtId="14" fontId="6" fillId="0" borderId="3" xfId="1" applyNumberFormat="1" applyFont="1" applyFill="1" applyBorder="1" applyAlignment="1">
      <alignment horizontal="left" vertical="top"/>
    </xf>
    <xf numFmtId="0" fontId="6" fillId="0" borderId="1" xfId="1" applyFont="1" applyFill="1" applyBorder="1" applyAlignment="1">
      <alignment horizontal="left" vertical="top" wrapText="1"/>
    </xf>
    <xf numFmtId="0" fontId="6" fillId="0" borderId="2" xfId="1" applyFont="1" applyFill="1" applyBorder="1" applyAlignment="1">
      <alignment horizontal="left" vertical="top" wrapText="1"/>
    </xf>
    <xf numFmtId="0" fontId="6" fillId="0" borderId="3" xfId="1" applyFont="1" applyFill="1" applyBorder="1" applyAlignment="1">
      <alignment horizontal="left" vertical="top" wrapText="1"/>
    </xf>
    <xf numFmtId="0" fontId="6" fillId="0" borderId="6" xfId="1" applyFont="1" applyFill="1" applyBorder="1" applyAlignment="1">
      <alignment horizontal="left" vertical="top" wrapText="1"/>
    </xf>
    <xf numFmtId="0" fontId="6" fillId="0" borderId="8" xfId="1" applyFont="1" applyFill="1" applyBorder="1" applyAlignment="1">
      <alignment horizontal="left" vertical="top" wrapText="1"/>
    </xf>
    <xf numFmtId="0" fontId="6" fillId="0" borderId="9" xfId="1" applyFont="1" applyFill="1" applyBorder="1" applyAlignment="1">
      <alignment horizontal="left" vertical="top" wrapText="1"/>
    </xf>
    <xf numFmtId="0" fontId="6" fillId="0" borderId="10" xfId="1" applyFont="1" applyFill="1" applyBorder="1" applyAlignment="1">
      <alignment horizontal="left" vertical="top" wrapText="1"/>
    </xf>
    <xf numFmtId="0" fontId="6" fillId="0" borderId="5" xfId="1" applyFont="1" applyFill="1" applyBorder="1" applyAlignment="1">
      <alignment horizontal="left" vertical="top"/>
    </xf>
    <xf numFmtId="0" fontId="6" fillId="0" borderId="6" xfId="1" applyFont="1" applyFill="1" applyBorder="1" applyAlignment="1">
      <alignment horizontal="left" vertical="top"/>
    </xf>
    <xf numFmtId="0" fontId="6" fillId="0" borderId="7" xfId="1" applyFont="1" applyFill="1" applyBorder="1" applyAlignment="1">
      <alignment horizontal="left" vertical="top"/>
    </xf>
    <xf numFmtId="0" fontId="6" fillId="0" borderId="8" xfId="1" applyFont="1" applyFill="1" applyBorder="1" applyAlignment="1">
      <alignment horizontal="left" vertical="top"/>
    </xf>
    <xf numFmtId="0" fontId="6" fillId="0" borderId="9" xfId="1" applyFont="1" applyFill="1" applyBorder="1" applyAlignment="1">
      <alignment horizontal="left" vertical="top"/>
    </xf>
    <xf numFmtId="0" fontId="6" fillId="0" borderId="10" xfId="1" applyFont="1" applyFill="1" applyBorder="1" applyAlignment="1">
      <alignment horizontal="left" vertical="top"/>
    </xf>
    <xf numFmtId="0" fontId="6" fillId="0" borderId="4" xfId="1" applyFont="1" applyFill="1" applyBorder="1" applyAlignment="1">
      <alignment horizontal="center" vertical="top"/>
    </xf>
    <xf numFmtId="0" fontId="8" fillId="0" borderId="4" xfId="1" applyFont="1" applyFill="1" applyBorder="1" applyAlignment="1">
      <alignment horizontal="left" vertical="top"/>
    </xf>
    <xf numFmtId="0" fontId="7" fillId="0" borderId="3" xfId="1" applyFont="1" applyFill="1" applyBorder="1" applyAlignment="1">
      <alignment horizontal="left"/>
    </xf>
    <xf numFmtId="14" fontId="13" fillId="0" borderId="1" xfId="1" applyNumberFormat="1" applyFont="1" applyFill="1" applyBorder="1" applyAlignment="1">
      <alignment horizontal="left" vertical="top"/>
    </xf>
    <xf numFmtId="2" fontId="6" fillId="0" borderId="4" xfId="1" applyNumberFormat="1" applyFont="1" applyFill="1" applyBorder="1" applyAlignment="1">
      <alignment horizontal="left" vertical="top" wrapText="1"/>
    </xf>
    <xf numFmtId="0" fontId="4" fillId="0" borderId="4" xfId="1" applyFont="1" applyFill="1" applyBorder="1" applyAlignment="1">
      <alignment horizontal="left" vertical="top" wrapText="1"/>
    </xf>
    <xf numFmtId="0" fontId="8" fillId="0" borderId="1" xfId="1" applyFont="1" applyFill="1" applyBorder="1" applyAlignment="1">
      <alignment vertical="top"/>
    </xf>
    <xf numFmtId="0" fontId="8" fillId="0" borderId="2" xfId="1" applyFont="1" applyFill="1" applyBorder="1" applyAlignment="1">
      <alignment vertical="top"/>
    </xf>
    <xf numFmtId="0" fontId="8" fillId="0" borderId="3" xfId="1" applyFont="1" applyFill="1" applyBorder="1" applyAlignment="1">
      <alignment vertical="top"/>
    </xf>
    <xf numFmtId="0" fontId="13" fillId="0" borderId="1" xfId="1" applyFont="1" applyFill="1" applyBorder="1" applyAlignment="1">
      <alignment horizontal="center" vertical="top" wrapText="1"/>
    </xf>
    <xf numFmtId="0" fontId="13" fillId="0" borderId="3" xfId="1" applyFont="1" applyFill="1" applyBorder="1" applyAlignment="1">
      <alignment horizontal="center" vertical="top" wrapText="1"/>
    </xf>
    <xf numFmtId="0" fontId="13" fillId="0" borderId="2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left" vertical="top" wrapText="1"/>
    </xf>
    <xf numFmtId="0" fontId="8" fillId="0" borderId="2" xfId="1" applyFont="1" applyFill="1" applyBorder="1" applyAlignment="1">
      <alignment horizontal="left" vertical="top" wrapText="1"/>
    </xf>
    <xf numFmtId="0" fontId="8" fillId="0" borderId="3" xfId="1" applyFont="1" applyFill="1" applyBorder="1" applyAlignment="1">
      <alignment horizontal="left" vertical="top" wrapText="1"/>
    </xf>
    <xf numFmtId="1" fontId="13" fillId="0" borderId="4" xfId="0" applyNumberFormat="1" applyFont="1" applyFill="1" applyBorder="1" applyAlignment="1">
      <alignment horizontal="center" vertical="center" wrapText="1"/>
    </xf>
    <xf numFmtId="1" fontId="13" fillId="0" borderId="4" xfId="0" applyNumberFormat="1" applyFont="1" applyFill="1" applyBorder="1" applyAlignment="1">
      <alignment horizontal="center" vertical="top" wrapText="1"/>
    </xf>
    <xf numFmtId="1" fontId="13" fillId="0" borderId="1" xfId="1" applyNumberFormat="1" applyFont="1" applyFill="1" applyBorder="1" applyAlignment="1">
      <alignment horizontal="center" vertical="center" wrapText="1"/>
    </xf>
    <xf numFmtId="1" fontId="13" fillId="0" borderId="3" xfId="1" applyNumberFormat="1" applyFont="1" applyFill="1" applyBorder="1" applyAlignment="1">
      <alignment horizontal="center" vertical="center" wrapText="1"/>
    </xf>
    <xf numFmtId="0" fontId="14" fillId="0" borderId="4" xfId="1" applyFont="1" applyFill="1" applyBorder="1" applyAlignment="1">
      <alignment horizontal="center" vertical="top"/>
    </xf>
    <xf numFmtId="0" fontId="14" fillId="0" borderId="1" xfId="1" applyFont="1" applyFill="1" applyBorder="1" applyAlignment="1">
      <alignment horizontal="center" vertical="top"/>
    </xf>
    <xf numFmtId="0" fontId="14" fillId="0" borderId="2" xfId="1" applyFont="1" applyFill="1" applyBorder="1" applyAlignment="1">
      <alignment horizontal="center" vertical="top"/>
    </xf>
    <xf numFmtId="0" fontId="14" fillId="0" borderId="3" xfId="1" applyFont="1" applyFill="1" applyBorder="1" applyAlignment="1">
      <alignment horizontal="center" vertical="top"/>
    </xf>
    <xf numFmtId="1" fontId="14" fillId="0" borderId="1" xfId="1" applyNumberFormat="1" applyFont="1" applyFill="1" applyBorder="1" applyAlignment="1">
      <alignment horizontal="center" vertical="top" wrapText="1"/>
    </xf>
    <xf numFmtId="1" fontId="14" fillId="0" borderId="3" xfId="1" applyNumberFormat="1" applyFont="1" applyFill="1" applyBorder="1" applyAlignment="1">
      <alignment horizontal="center" vertical="top" wrapText="1"/>
    </xf>
    <xf numFmtId="1" fontId="14" fillId="0" borderId="1" xfId="1" applyNumberFormat="1" applyFont="1" applyFill="1" applyBorder="1" applyAlignment="1">
      <alignment horizontal="center" vertical="center" wrapText="1"/>
    </xf>
    <xf numFmtId="1" fontId="14" fillId="0" borderId="2" xfId="1" applyNumberFormat="1" applyFont="1" applyFill="1" applyBorder="1" applyAlignment="1">
      <alignment horizontal="center" vertical="center" wrapText="1"/>
    </xf>
    <xf numFmtId="1" fontId="14" fillId="0" borderId="3" xfId="1" applyNumberFormat="1" applyFont="1" applyFill="1" applyBorder="1" applyAlignment="1">
      <alignment horizontal="center" vertical="center" wrapText="1"/>
    </xf>
    <xf numFmtId="1" fontId="13" fillId="0" borderId="4" xfId="1" applyNumberFormat="1" applyFont="1" applyFill="1" applyBorder="1" applyAlignment="1">
      <alignment horizontal="center" vertical="center" wrapText="1"/>
    </xf>
    <xf numFmtId="1" fontId="14" fillId="0" borderId="4" xfId="1" applyNumberFormat="1" applyFont="1" applyFill="1" applyBorder="1" applyAlignment="1">
      <alignment horizontal="center" vertical="center" wrapText="1"/>
    </xf>
    <xf numFmtId="2" fontId="6" fillId="0" borderId="4" xfId="1" applyNumberFormat="1" applyFont="1" applyFill="1" applyBorder="1" applyAlignment="1">
      <alignment horizontal="left" vertical="top"/>
    </xf>
    <xf numFmtId="0" fontId="13" fillId="0" borderId="4" xfId="1" applyFont="1" applyFill="1" applyBorder="1" applyAlignment="1">
      <alignment horizontal="left" vertical="top"/>
    </xf>
    <xf numFmtId="1" fontId="8" fillId="0" borderId="4" xfId="0" applyNumberFormat="1" applyFont="1" applyFill="1" applyBorder="1" applyAlignment="1">
      <alignment horizontal="left" vertical="top" wrapText="1"/>
    </xf>
    <xf numFmtId="0" fontId="14" fillId="0" borderId="4" xfId="2" applyFont="1" applyFill="1" applyBorder="1" applyAlignment="1">
      <alignment horizontal="left" vertical="top" wrapText="1"/>
    </xf>
    <xf numFmtId="0" fontId="6" fillId="0" borderId="1" xfId="1" applyFont="1" applyFill="1" applyBorder="1" applyAlignment="1">
      <alignment vertical="top"/>
    </xf>
    <xf numFmtId="0" fontId="6" fillId="0" borderId="2" xfId="1" applyFont="1" applyFill="1" applyBorder="1" applyAlignment="1">
      <alignment vertical="top"/>
    </xf>
    <xf numFmtId="0" fontId="6" fillId="0" borderId="3" xfId="1" applyFont="1" applyFill="1" applyBorder="1" applyAlignment="1">
      <alignment vertical="top"/>
    </xf>
    <xf numFmtId="0" fontId="16" fillId="0" borderId="4" xfId="0" applyFont="1" applyBorder="1" applyAlignment="1">
      <alignment horizontal="center"/>
    </xf>
    <xf numFmtId="0" fontId="16" fillId="0" borderId="4" xfId="0" applyFont="1" applyBorder="1" applyAlignment="1">
      <alignment horizontal="left"/>
    </xf>
    <xf numFmtId="0" fontId="16" fillId="2" borderId="4" xfId="0" applyFont="1" applyFill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9" fillId="0" borderId="4" xfId="6" applyFont="1" applyBorder="1" applyAlignment="1">
      <alignment horizontal="left"/>
    </xf>
    <xf numFmtId="0" fontId="0" fillId="2" borderId="4" xfId="0" applyFill="1" applyBorder="1" applyAlignment="1">
      <alignment horizontal="center" wrapText="1"/>
    </xf>
    <xf numFmtId="0" fontId="9" fillId="0" borderId="4" xfId="0" applyFont="1" applyBorder="1" applyAlignment="1">
      <alignment horizontal="center"/>
    </xf>
  </cellXfs>
  <cellStyles count="9">
    <cellStyle name="Comma 2" xfId="7"/>
    <cellStyle name="Excel Built-in Normal" xfId="2"/>
    <cellStyle name="Excel Built-in Normal 2" xfId="5"/>
    <cellStyle name="Hyperlink" xfId="8" builtinId="8"/>
    <cellStyle name="Normal" xfId="0" builtinId="0"/>
    <cellStyle name="Normal 2" xfId="3"/>
    <cellStyle name="Normal 3" xfId="1"/>
    <cellStyle name="Normal 4" xfId="6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image" Target="../media/image27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256</xdr:row>
      <xdr:rowOff>100854</xdr:rowOff>
    </xdr:from>
    <xdr:to>
      <xdr:col>9</xdr:col>
      <xdr:colOff>6367</xdr:colOff>
      <xdr:row>274</xdr:row>
      <xdr:rowOff>103205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0975" y="61509089"/>
          <a:ext cx="6326841" cy="363305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180976</xdr:colOff>
      <xdr:row>275</xdr:row>
      <xdr:rowOff>19306</xdr:rowOff>
    </xdr:from>
    <xdr:to>
      <xdr:col>9</xdr:col>
      <xdr:colOff>6368</xdr:colOff>
      <xdr:row>293</xdr:row>
      <xdr:rowOff>18857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0976" y="65259953"/>
          <a:ext cx="6326841" cy="363025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12</xdr:col>
      <xdr:colOff>0</xdr:colOff>
      <xdr:row>218</xdr:row>
      <xdr:rowOff>0</xdr:rowOff>
    </xdr:from>
    <xdr:ext cx="799065" cy="342786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7861300" y="51809650"/>
          <a:ext cx="799065" cy="342786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600" b="1"/>
            <a:t>Wing A</a:t>
          </a:r>
        </a:p>
      </xdr:txBody>
    </xdr:sp>
    <xdr:clientData/>
  </xdr:oneCellAnchor>
  <xdr:twoCellAnchor>
    <xdr:from>
      <xdr:col>10</xdr:col>
      <xdr:colOff>457200</xdr:colOff>
      <xdr:row>214</xdr:row>
      <xdr:rowOff>79375</xdr:rowOff>
    </xdr:from>
    <xdr:to>
      <xdr:col>20</xdr:col>
      <xdr:colOff>507105</xdr:colOff>
      <xdr:row>251</xdr:row>
      <xdr:rowOff>47743</xdr:rowOff>
    </xdr:to>
    <xdr:grpSp>
      <xdr:nvGrpSpPr>
        <xdr:cNvPr id="4" name="Group 3"/>
        <xdr:cNvGrpSpPr/>
      </xdr:nvGrpSpPr>
      <xdr:grpSpPr>
        <a:xfrm>
          <a:off x="6743700" y="53609875"/>
          <a:ext cx="6145905" cy="7359768"/>
          <a:chOff x="76200" y="52330350"/>
          <a:chExt cx="6428480" cy="7245468"/>
        </a:xfrm>
      </xdr:grpSpPr>
      <xdr:pic>
        <xdr:nvPicPr>
          <xdr:cNvPr id="20" name="Picture 19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86387" y="57415818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6304" y="52330350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51583" y="55143084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26966" y="55143084"/>
            <a:ext cx="2877714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00688" y="52330350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11004" y="57415818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6200" y="55143084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35621" y="57415818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63496" y="52330350"/>
            <a:ext cx="2022891" cy="270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 editAs="oneCell">
    <xdr:from>
      <xdr:col>11</xdr:col>
      <xdr:colOff>257174</xdr:colOff>
      <xdr:row>44</xdr:row>
      <xdr:rowOff>37059</xdr:rowOff>
    </xdr:from>
    <xdr:to>
      <xdr:col>19</xdr:col>
      <xdr:colOff>236817</xdr:colOff>
      <xdr:row>52</xdr:row>
      <xdr:rowOff>313658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153274" y="10104984"/>
          <a:ext cx="4856443" cy="2476874"/>
        </a:xfrm>
        <a:prstGeom prst="rect">
          <a:avLst/>
        </a:prstGeom>
      </xdr:spPr>
    </xdr:pic>
    <xdr:clientData/>
  </xdr:twoCellAnchor>
  <xdr:twoCellAnchor>
    <xdr:from>
      <xdr:col>0</xdr:col>
      <xdr:colOff>76201</xdr:colOff>
      <xdr:row>213</xdr:row>
      <xdr:rowOff>0</xdr:rowOff>
    </xdr:from>
    <xdr:to>
      <xdr:col>9</xdr:col>
      <xdr:colOff>203984</xdr:colOff>
      <xdr:row>254</xdr:row>
      <xdr:rowOff>45449</xdr:rowOff>
    </xdr:to>
    <xdr:grpSp>
      <xdr:nvGrpSpPr>
        <xdr:cNvPr id="10" name="Group 9"/>
        <xdr:cNvGrpSpPr/>
      </xdr:nvGrpSpPr>
      <xdr:grpSpPr>
        <a:xfrm>
          <a:off x="76201" y="53330475"/>
          <a:ext cx="6176158" cy="8236949"/>
          <a:chOff x="76201" y="53273325"/>
          <a:chExt cx="6176158" cy="8236949"/>
        </a:xfrm>
      </xdr:grpSpPr>
      <xdr:grpSp>
        <xdr:nvGrpSpPr>
          <xdr:cNvPr id="6" name="Group 5"/>
          <xdr:cNvGrpSpPr/>
        </xdr:nvGrpSpPr>
        <xdr:grpSpPr>
          <a:xfrm>
            <a:off x="76201" y="53319362"/>
            <a:ext cx="6176158" cy="8190912"/>
            <a:chOff x="76201" y="53319362"/>
            <a:chExt cx="6176158" cy="8190912"/>
          </a:xfrm>
        </xdr:grpSpPr>
        <xdr:pic>
          <xdr:nvPicPr>
            <xdr:cNvPr id="16" name="Picture 15" descr="https://vsjcllp.vsjadon.com/upload/insp-243275-152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219450" y="59717707"/>
              <a:ext cx="1343025" cy="1792567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7" name="Picture 16" descr="https://vsjcllp.vsjadon.com/upload/insp-243275-843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847850" y="53320950"/>
              <a:ext cx="161831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8" name="Picture 17" descr="https://vsjcllp.vsjadon.com/upload/insp-243275-84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866901" y="57641558"/>
              <a:ext cx="1478390" cy="1973241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9" name="Picture 18" descr="https://vsjcllp.vsjadon.com/upload/insp-243275-847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95946" y="57645780"/>
              <a:ext cx="1469720" cy="196167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1" name="Picture 20" descr="https://vsjcllp.vsjadon.com/upload/insp-243275-849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429001" y="57649495"/>
              <a:ext cx="2628900" cy="1973241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2" name="Picture 21" descr="https://vsjcllp.vsjadon.com/upload/insp-243275-861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638300" y="55568850"/>
              <a:ext cx="1489859" cy="198855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7" name="Picture 26" descr="https://vsjcllp.vsjadon.com/upload/insp-243275-860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6201" y="55568850"/>
              <a:ext cx="1489859" cy="198855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2" name="Picture 31" descr="https://vsjcllp.vsjadon.com/upload/insp-243275-877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3825" y="53320950"/>
              <a:ext cx="161831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3" name="Picture 32" descr="https://vsjcllp.vsjadon.com/upload/insp-243275-1022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1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790700" y="59708182"/>
              <a:ext cx="1343025" cy="1792567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4" name="Picture 33" descr="https://vsjcllp.vsjadon.com/upload/insp-243275-883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2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200400" y="55568850"/>
              <a:ext cx="1489859" cy="198855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5" name="Picture 34" descr="https://vsjcllp.vsjadon.com/upload/insp-243275-931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3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762500" y="55578375"/>
              <a:ext cx="1489859" cy="198855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36" name="Picture 35" descr="https://vsjcllp.vsjadon.com/upload/insp-243275-916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4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543300" y="53319362"/>
              <a:ext cx="2647950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9" name="TextBox 8"/>
          <xdr:cNvSpPr txBox="1"/>
        </xdr:nvSpPr>
        <xdr:spPr>
          <a:xfrm>
            <a:off x="981075" y="53311425"/>
            <a:ext cx="74295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400" b="1"/>
              <a:t>Wing A</a:t>
            </a:r>
          </a:p>
        </xdr:txBody>
      </xdr:sp>
      <xdr:sp macro="" textlink="">
        <xdr:nvSpPr>
          <xdr:cNvPr id="37" name="TextBox 36"/>
          <xdr:cNvSpPr txBox="1"/>
        </xdr:nvSpPr>
        <xdr:spPr>
          <a:xfrm>
            <a:off x="2705100" y="53273325"/>
            <a:ext cx="74295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400" b="1"/>
              <a:t>Wing B</a:t>
            </a:r>
          </a:p>
        </xdr:txBody>
      </xdr:sp>
      <xdr:sp macro="" textlink="">
        <xdr:nvSpPr>
          <xdr:cNvPr id="38" name="TextBox 37"/>
          <xdr:cNvSpPr txBox="1"/>
        </xdr:nvSpPr>
        <xdr:spPr>
          <a:xfrm>
            <a:off x="5448300" y="53320950"/>
            <a:ext cx="742950" cy="295275"/>
          </a:xfrm>
          <a:prstGeom prst="rect">
            <a:avLst/>
          </a:prstGeom>
          <a:solidFill>
            <a:schemeClr val="bg2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400" b="1"/>
              <a:t>Wing C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171450</xdr:colOff>
      <xdr:row>0</xdr:row>
      <xdr:rowOff>152400</xdr:rowOff>
    </xdr:from>
    <xdr:to>
      <xdr:col>12</xdr:col>
      <xdr:colOff>92063</xdr:colOff>
      <xdr:row>24</xdr:row>
      <xdr:rowOff>174900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238875" y="152400"/>
          <a:ext cx="2778113" cy="28800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25</xdr:row>
      <xdr:rowOff>0</xdr:rowOff>
    </xdr:from>
    <xdr:to>
      <xdr:col>13</xdr:col>
      <xdr:colOff>374775</xdr:colOff>
      <xdr:row>36</xdr:row>
      <xdr:rowOff>64500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7425" y="3048000"/>
          <a:ext cx="3841875" cy="216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6</xdr:col>
      <xdr:colOff>1040695</xdr:colOff>
      <xdr:row>29</xdr:row>
      <xdr:rowOff>104280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08660" y="2651760"/>
          <a:ext cx="7624375" cy="39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9kpCJnatfrk4sLL4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6"/>
  <sheetViews>
    <sheetView tabSelected="1" view="pageBreakPreview" topLeftCell="A139" zoomScaleNormal="100" zoomScaleSheetLayoutView="100" zoomScalePageLayoutView="85" workbookViewId="0">
      <selection activeCell="Q153" sqref="Q153"/>
    </sheetView>
  </sheetViews>
  <sheetFormatPr defaultRowHeight="15.75" x14ac:dyDescent="0.25"/>
  <cols>
    <col min="1" max="1" width="9.28515625" style="50" customWidth="1"/>
    <col min="2" max="2" width="14" style="50" customWidth="1"/>
    <col min="3" max="3" width="14.7109375" style="50" customWidth="1"/>
    <col min="4" max="4" width="7.28515625" style="50" customWidth="1"/>
    <col min="5" max="5" width="5.5703125" style="50" customWidth="1"/>
    <col min="6" max="6" width="9.85546875" style="50" customWidth="1"/>
    <col min="7" max="7" width="10" style="50" customWidth="1"/>
    <col min="8" max="8" width="11.28515625" style="50" customWidth="1"/>
    <col min="9" max="9" width="8.7109375" style="50" customWidth="1"/>
    <col min="10" max="10" width="3.5703125" style="50" customWidth="1"/>
    <col min="11" max="252" width="9.140625" style="50"/>
    <col min="253" max="253" width="8.7109375" style="50" customWidth="1"/>
    <col min="254" max="254" width="9.85546875" style="50" customWidth="1"/>
    <col min="255" max="255" width="14.42578125" style="50" customWidth="1"/>
    <col min="256" max="256" width="7.28515625" style="50" customWidth="1"/>
    <col min="257" max="257" width="5.5703125" style="50" customWidth="1"/>
    <col min="258" max="258" width="9" style="50" customWidth="1"/>
    <col min="259" max="260" width="9.85546875" style="50" customWidth="1"/>
    <col min="261" max="261" width="11.140625" style="50" customWidth="1"/>
    <col min="262" max="262" width="2.85546875" style="50" customWidth="1"/>
    <col min="263" max="263" width="3.5703125" style="50" customWidth="1"/>
    <col min="264" max="508" width="9.140625" style="50"/>
    <col min="509" max="509" width="8.7109375" style="50" customWidth="1"/>
    <col min="510" max="510" width="9.85546875" style="50" customWidth="1"/>
    <col min="511" max="511" width="14.42578125" style="50" customWidth="1"/>
    <col min="512" max="512" width="7.28515625" style="50" customWidth="1"/>
    <col min="513" max="513" width="5.5703125" style="50" customWidth="1"/>
    <col min="514" max="514" width="9" style="50" customWidth="1"/>
    <col min="515" max="516" width="9.85546875" style="50" customWidth="1"/>
    <col min="517" max="517" width="11.140625" style="50" customWidth="1"/>
    <col min="518" max="518" width="2.85546875" style="50" customWidth="1"/>
    <col min="519" max="519" width="3.5703125" style="50" customWidth="1"/>
    <col min="520" max="764" width="9.140625" style="50"/>
    <col min="765" max="765" width="8.7109375" style="50" customWidth="1"/>
    <col min="766" max="766" width="9.85546875" style="50" customWidth="1"/>
    <col min="767" max="767" width="14.42578125" style="50" customWidth="1"/>
    <col min="768" max="768" width="7.28515625" style="50" customWidth="1"/>
    <col min="769" max="769" width="5.5703125" style="50" customWidth="1"/>
    <col min="770" max="770" width="9" style="50" customWidth="1"/>
    <col min="771" max="772" width="9.85546875" style="50" customWidth="1"/>
    <col min="773" max="773" width="11.140625" style="50" customWidth="1"/>
    <col min="774" max="774" width="2.85546875" style="50" customWidth="1"/>
    <col min="775" max="775" width="3.5703125" style="50" customWidth="1"/>
    <col min="776" max="1020" width="9.140625" style="50"/>
    <col min="1021" max="1021" width="8.7109375" style="50" customWidth="1"/>
    <col min="1022" max="1022" width="9.85546875" style="50" customWidth="1"/>
    <col min="1023" max="1023" width="14.42578125" style="50" customWidth="1"/>
    <col min="1024" max="1024" width="7.28515625" style="50" customWidth="1"/>
    <col min="1025" max="1025" width="5.5703125" style="50" customWidth="1"/>
    <col min="1026" max="1026" width="9" style="50" customWidth="1"/>
    <col min="1027" max="1028" width="9.85546875" style="50" customWidth="1"/>
    <col min="1029" max="1029" width="11.140625" style="50" customWidth="1"/>
    <col min="1030" max="1030" width="2.85546875" style="50" customWidth="1"/>
    <col min="1031" max="1031" width="3.5703125" style="50" customWidth="1"/>
    <col min="1032" max="1276" width="9.140625" style="50"/>
    <col min="1277" max="1277" width="8.7109375" style="50" customWidth="1"/>
    <col min="1278" max="1278" width="9.85546875" style="50" customWidth="1"/>
    <col min="1279" max="1279" width="14.42578125" style="50" customWidth="1"/>
    <col min="1280" max="1280" width="7.28515625" style="50" customWidth="1"/>
    <col min="1281" max="1281" width="5.5703125" style="50" customWidth="1"/>
    <col min="1282" max="1282" width="9" style="50" customWidth="1"/>
    <col min="1283" max="1284" width="9.85546875" style="50" customWidth="1"/>
    <col min="1285" max="1285" width="11.140625" style="50" customWidth="1"/>
    <col min="1286" max="1286" width="2.85546875" style="50" customWidth="1"/>
    <col min="1287" max="1287" width="3.5703125" style="50" customWidth="1"/>
    <col min="1288" max="1532" width="9.140625" style="50"/>
    <col min="1533" max="1533" width="8.7109375" style="50" customWidth="1"/>
    <col min="1534" max="1534" width="9.85546875" style="50" customWidth="1"/>
    <col min="1535" max="1535" width="14.42578125" style="50" customWidth="1"/>
    <col min="1536" max="1536" width="7.28515625" style="50" customWidth="1"/>
    <col min="1537" max="1537" width="5.5703125" style="50" customWidth="1"/>
    <col min="1538" max="1538" width="9" style="50" customWidth="1"/>
    <col min="1539" max="1540" width="9.85546875" style="50" customWidth="1"/>
    <col min="1541" max="1541" width="11.140625" style="50" customWidth="1"/>
    <col min="1542" max="1542" width="2.85546875" style="50" customWidth="1"/>
    <col min="1543" max="1543" width="3.5703125" style="50" customWidth="1"/>
    <col min="1544" max="1788" width="9.140625" style="50"/>
    <col min="1789" max="1789" width="8.7109375" style="50" customWidth="1"/>
    <col min="1790" max="1790" width="9.85546875" style="50" customWidth="1"/>
    <col min="1791" max="1791" width="14.42578125" style="50" customWidth="1"/>
    <col min="1792" max="1792" width="7.28515625" style="50" customWidth="1"/>
    <col min="1793" max="1793" width="5.5703125" style="50" customWidth="1"/>
    <col min="1794" max="1794" width="9" style="50" customWidth="1"/>
    <col min="1795" max="1796" width="9.85546875" style="50" customWidth="1"/>
    <col min="1797" max="1797" width="11.140625" style="50" customWidth="1"/>
    <col min="1798" max="1798" width="2.85546875" style="50" customWidth="1"/>
    <col min="1799" max="1799" width="3.5703125" style="50" customWidth="1"/>
    <col min="1800" max="2044" width="9.140625" style="50"/>
    <col min="2045" max="2045" width="8.7109375" style="50" customWidth="1"/>
    <col min="2046" max="2046" width="9.85546875" style="50" customWidth="1"/>
    <col min="2047" max="2047" width="14.42578125" style="50" customWidth="1"/>
    <col min="2048" max="2048" width="7.28515625" style="50" customWidth="1"/>
    <col min="2049" max="2049" width="5.5703125" style="50" customWidth="1"/>
    <col min="2050" max="2050" width="9" style="50" customWidth="1"/>
    <col min="2051" max="2052" width="9.85546875" style="50" customWidth="1"/>
    <col min="2053" max="2053" width="11.140625" style="50" customWidth="1"/>
    <col min="2054" max="2054" width="2.85546875" style="50" customWidth="1"/>
    <col min="2055" max="2055" width="3.5703125" style="50" customWidth="1"/>
    <col min="2056" max="2300" width="9.140625" style="50"/>
    <col min="2301" max="2301" width="8.7109375" style="50" customWidth="1"/>
    <col min="2302" max="2302" width="9.85546875" style="50" customWidth="1"/>
    <col min="2303" max="2303" width="14.42578125" style="50" customWidth="1"/>
    <col min="2304" max="2304" width="7.28515625" style="50" customWidth="1"/>
    <col min="2305" max="2305" width="5.5703125" style="50" customWidth="1"/>
    <col min="2306" max="2306" width="9" style="50" customWidth="1"/>
    <col min="2307" max="2308" width="9.85546875" style="50" customWidth="1"/>
    <col min="2309" max="2309" width="11.140625" style="50" customWidth="1"/>
    <col min="2310" max="2310" width="2.85546875" style="50" customWidth="1"/>
    <col min="2311" max="2311" width="3.5703125" style="50" customWidth="1"/>
    <col min="2312" max="2556" width="9.140625" style="50"/>
    <col min="2557" max="2557" width="8.7109375" style="50" customWidth="1"/>
    <col min="2558" max="2558" width="9.85546875" style="50" customWidth="1"/>
    <col min="2559" max="2559" width="14.42578125" style="50" customWidth="1"/>
    <col min="2560" max="2560" width="7.28515625" style="50" customWidth="1"/>
    <col min="2561" max="2561" width="5.5703125" style="50" customWidth="1"/>
    <col min="2562" max="2562" width="9" style="50" customWidth="1"/>
    <col min="2563" max="2564" width="9.85546875" style="50" customWidth="1"/>
    <col min="2565" max="2565" width="11.140625" style="50" customWidth="1"/>
    <col min="2566" max="2566" width="2.85546875" style="50" customWidth="1"/>
    <col min="2567" max="2567" width="3.5703125" style="50" customWidth="1"/>
    <col min="2568" max="2812" width="9.140625" style="50"/>
    <col min="2813" max="2813" width="8.7109375" style="50" customWidth="1"/>
    <col min="2814" max="2814" width="9.85546875" style="50" customWidth="1"/>
    <col min="2815" max="2815" width="14.42578125" style="50" customWidth="1"/>
    <col min="2816" max="2816" width="7.28515625" style="50" customWidth="1"/>
    <col min="2817" max="2817" width="5.5703125" style="50" customWidth="1"/>
    <col min="2818" max="2818" width="9" style="50" customWidth="1"/>
    <col min="2819" max="2820" width="9.85546875" style="50" customWidth="1"/>
    <col min="2821" max="2821" width="11.140625" style="50" customWidth="1"/>
    <col min="2822" max="2822" width="2.85546875" style="50" customWidth="1"/>
    <col min="2823" max="2823" width="3.5703125" style="50" customWidth="1"/>
    <col min="2824" max="3068" width="9.140625" style="50"/>
    <col min="3069" max="3069" width="8.7109375" style="50" customWidth="1"/>
    <col min="3070" max="3070" width="9.85546875" style="50" customWidth="1"/>
    <col min="3071" max="3071" width="14.42578125" style="50" customWidth="1"/>
    <col min="3072" max="3072" width="7.28515625" style="50" customWidth="1"/>
    <col min="3073" max="3073" width="5.5703125" style="50" customWidth="1"/>
    <col min="3074" max="3074" width="9" style="50" customWidth="1"/>
    <col min="3075" max="3076" width="9.85546875" style="50" customWidth="1"/>
    <col min="3077" max="3077" width="11.140625" style="50" customWidth="1"/>
    <col min="3078" max="3078" width="2.85546875" style="50" customWidth="1"/>
    <col min="3079" max="3079" width="3.5703125" style="50" customWidth="1"/>
    <col min="3080" max="3324" width="9.140625" style="50"/>
    <col min="3325" max="3325" width="8.7109375" style="50" customWidth="1"/>
    <col min="3326" max="3326" width="9.85546875" style="50" customWidth="1"/>
    <col min="3327" max="3327" width="14.42578125" style="50" customWidth="1"/>
    <col min="3328" max="3328" width="7.28515625" style="50" customWidth="1"/>
    <col min="3329" max="3329" width="5.5703125" style="50" customWidth="1"/>
    <col min="3330" max="3330" width="9" style="50" customWidth="1"/>
    <col min="3331" max="3332" width="9.85546875" style="50" customWidth="1"/>
    <col min="3333" max="3333" width="11.140625" style="50" customWidth="1"/>
    <col min="3334" max="3334" width="2.85546875" style="50" customWidth="1"/>
    <col min="3335" max="3335" width="3.5703125" style="50" customWidth="1"/>
    <col min="3336" max="3580" width="9.140625" style="50"/>
    <col min="3581" max="3581" width="8.7109375" style="50" customWidth="1"/>
    <col min="3582" max="3582" width="9.85546875" style="50" customWidth="1"/>
    <col min="3583" max="3583" width="14.42578125" style="50" customWidth="1"/>
    <col min="3584" max="3584" width="7.28515625" style="50" customWidth="1"/>
    <col min="3585" max="3585" width="5.5703125" style="50" customWidth="1"/>
    <col min="3586" max="3586" width="9" style="50" customWidth="1"/>
    <col min="3587" max="3588" width="9.85546875" style="50" customWidth="1"/>
    <col min="3589" max="3589" width="11.140625" style="50" customWidth="1"/>
    <col min="3590" max="3590" width="2.85546875" style="50" customWidth="1"/>
    <col min="3591" max="3591" width="3.5703125" style="50" customWidth="1"/>
    <col min="3592" max="3836" width="9.140625" style="50"/>
    <col min="3837" max="3837" width="8.7109375" style="50" customWidth="1"/>
    <col min="3838" max="3838" width="9.85546875" style="50" customWidth="1"/>
    <col min="3839" max="3839" width="14.42578125" style="50" customWidth="1"/>
    <col min="3840" max="3840" width="7.28515625" style="50" customWidth="1"/>
    <col min="3841" max="3841" width="5.5703125" style="50" customWidth="1"/>
    <col min="3842" max="3842" width="9" style="50" customWidth="1"/>
    <col min="3843" max="3844" width="9.85546875" style="50" customWidth="1"/>
    <col min="3845" max="3845" width="11.140625" style="50" customWidth="1"/>
    <col min="3846" max="3846" width="2.85546875" style="50" customWidth="1"/>
    <col min="3847" max="3847" width="3.5703125" style="50" customWidth="1"/>
    <col min="3848" max="4092" width="9.140625" style="50"/>
    <col min="4093" max="4093" width="8.7109375" style="50" customWidth="1"/>
    <col min="4094" max="4094" width="9.85546875" style="50" customWidth="1"/>
    <col min="4095" max="4095" width="14.42578125" style="50" customWidth="1"/>
    <col min="4096" max="4096" width="7.28515625" style="50" customWidth="1"/>
    <col min="4097" max="4097" width="5.5703125" style="50" customWidth="1"/>
    <col min="4098" max="4098" width="9" style="50" customWidth="1"/>
    <col min="4099" max="4100" width="9.85546875" style="50" customWidth="1"/>
    <col min="4101" max="4101" width="11.140625" style="50" customWidth="1"/>
    <col min="4102" max="4102" width="2.85546875" style="50" customWidth="1"/>
    <col min="4103" max="4103" width="3.5703125" style="50" customWidth="1"/>
    <col min="4104" max="4348" width="9.140625" style="50"/>
    <col min="4349" max="4349" width="8.7109375" style="50" customWidth="1"/>
    <col min="4350" max="4350" width="9.85546875" style="50" customWidth="1"/>
    <col min="4351" max="4351" width="14.42578125" style="50" customWidth="1"/>
    <col min="4352" max="4352" width="7.28515625" style="50" customWidth="1"/>
    <col min="4353" max="4353" width="5.5703125" style="50" customWidth="1"/>
    <col min="4354" max="4354" width="9" style="50" customWidth="1"/>
    <col min="4355" max="4356" width="9.85546875" style="50" customWidth="1"/>
    <col min="4357" max="4357" width="11.140625" style="50" customWidth="1"/>
    <col min="4358" max="4358" width="2.85546875" style="50" customWidth="1"/>
    <col min="4359" max="4359" width="3.5703125" style="50" customWidth="1"/>
    <col min="4360" max="4604" width="9.140625" style="50"/>
    <col min="4605" max="4605" width="8.7109375" style="50" customWidth="1"/>
    <col min="4606" max="4606" width="9.85546875" style="50" customWidth="1"/>
    <col min="4607" max="4607" width="14.42578125" style="50" customWidth="1"/>
    <col min="4608" max="4608" width="7.28515625" style="50" customWidth="1"/>
    <col min="4609" max="4609" width="5.5703125" style="50" customWidth="1"/>
    <col min="4610" max="4610" width="9" style="50" customWidth="1"/>
    <col min="4611" max="4612" width="9.85546875" style="50" customWidth="1"/>
    <col min="4613" max="4613" width="11.140625" style="50" customWidth="1"/>
    <col min="4614" max="4614" width="2.85546875" style="50" customWidth="1"/>
    <col min="4615" max="4615" width="3.5703125" style="50" customWidth="1"/>
    <col min="4616" max="4860" width="9.140625" style="50"/>
    <col min="4861" max="4861" width="8.7109375" style="50" customWidth="1"/>
    <col min="4862" max="4862" width="9.85546875" style="50" customWidth="1"/>
    <col min="4863" max="4863" width="14.42578125" style="50" customWidth="1"/>
    <col min="4864" max="4864" width="7.28515625" style="50" customWidth="1"/>
    <col min="4865" max="4865" width="5.5703125" style="50" customWidth="1"/>
    <col min="4866" max="4866" width="9" style="50" customWidth="1"/>
    <col min="4867" max="4868" width="9.85546875" style="50" customWidth="1"/>
    <col min="4869" max="4869" width="11.140625" style="50" customWidth="1"/>
    <col min="4870" max="4870" width="2.85546875" style="50" customWidth="1"/>
    <col min="4871" max="4871" width="3.5703125" style="50" customWidth="1"/>
    <col min="4872" max="5116" width="9.140625" style="50"/>
    <col min="5117" max="5117" width="8.7109375" style="50" customWidth="1"/>
    <col min="5118" max="5118" width="9.85546875" style="50" customWidth="1"/>
    <col min="5119" max="5119" width="14.42578125" style="50" customWidth="1"/>
    <col min="5120" max="5120" width="7.28515625" style="50" customWidth="1"/>
    <col min="5121" max="5121" width="5.5703125" style="50" customWidth="1"/>
    <col min="5122" max="5122" width="9" style="50" customWidth="1"/>
    <col min="5123" max="5124" width="9.85546875" style="50" customWidth="1"/>
    <col min="5125" max="5125" width="11.140625" style="50" customWidth="1"/>
    <col min="5126" max="5126" width="2.85546875" style="50" customWidth="1"/>
    <col min="5127" max="5127" width="3.5703125" style="50" customWidth="1"/>
    <col min="5128" max="5372" width="9.140625" style="50"/>
    <col min="5373" max="5373" width="8.7109375" style="50" customWidth="1"/>
    <col min="5374" max="5374" width="9.85546875" style="50" customWidth="1"/>
    <col min="5375" max="5375" width="14.42578125" style="50" customWidth="1"/>
    <col min="5376" max="5376" width="7.28515625" style="50" customWidth="1"/>
    <col min="5377" max="5377" width="5.5703125" style="50" customWidth="1"/>
    <col min="5378" max="5378" width="9" style="50" customWidth="1"/>
    <col min="5379" max="5380" width="9.85546875" style="50" customWidth="1"/>
    <col min="5381" max="5381" width="11.140625" style="50" customWidth="1"/>
    <col min="5382" max="5382" width="2.85546875" style="50" customWidth="1"/>
    <col min="5383" max="5383" width="3.5703125" style="50" customWidth="1"/>
    <col min="5384" max="5628" width="9.140625" style="50"/>
    <col min="5629" max="5629" width="8.7109375" style="50" customWidth="1"/>
    <col min="5630" max="5630" width="9.85546875" style="50" customWidth="1"/>
    <col min="5631" max="5631" width="14.42578125" style="50" customWidth="1"/>
    <col min="5632" max="5632" width="7.28515625" style="50" customWidth="1"/>
    <col min="5633" max="5633" width="5.5703125" style="50" customWidth="1"/>
    <col min="5634" max="5634" width="9" style="50" customWidth="1"/>
    <col min="5635" max="5636" width="9.85546875" style="50" customWidth="1"/>
    <col min="5637" max="5637" width="11.140625" style="50" customWidth="1"/>
    <col min="5638" max="5638" width="2.85546875" style="50" customWidth="1"/>
    <col min="5639" max="5639" width="3.5703125" style="50" customWidth="1"/>
    <col min="5640" max="5884" width="9.140625" style="50"/>
    <col min="5885" max="5885" width="8.7109375" style="50" customWidth="1"/>
    <col min="5886" max="5886" width="9.85546875" style="50" customWidth="1"/>
    <col min="5887" max="5887" width="14.42578125" style="50" customWidth="1"/>
    <col min="5888" max="5888" width="7.28515625" style="50" customWidth="1"/>
    <col min="5889" max="5889" width="5.5703125" style="50" customWidth="1"/>
    <col min="5890" max="5890" width="9" style="50" customWidth="1"/>
    <col min="5891" max="5892" width="9.85546875" style="50" customWidth="1"/>
    <col min="5893" max="5893" width="11.140625" style="50" customWidth="1"/>
    <col min="5894" max="5894" width="2.85546875" style="50" customWidth="1"/>
    <col min="5895" max="5895" width="3.5703125" style="50" customWidth="1"/>
    <col min="5896" max="6140" width="9.140625" style="50"/>
    <col min="6141" max="6141" width="8.7109375" style="50" customWidth="1"/>
    <col min="6142" max="6142" width="9.85546875" style="50" customWidth="1"/>
    <col min="6143" max="6143" width="14.42578125" style="50" customWidth="1"/>
    <col min="6144" max="6144" width="7.28515625" style="50" customWidth="1"/>
    <col min="6145" max="6145" width="5.5703125" style="50" customWidth="1"/>
    <col min="6146" max="6146" width="9" style="50" customWidth="1"/>
    <col min="6147" max="6148" width="9.85546875" style="50" customWidth="1"/>
    <col min="6149" max="6149" width="11.140625" style="50" customWidth="1"/>
    <col min="6150" max="6150" width="2.85546875" style="50" customWidth="1"/>
    <col min="6151" max="6151" width="3.5703125" style="50" customWidth="1"/>
    <col min="6152" max="6396" width="9.140625" style="50"/>
    <col min="6397" max="6397" width="8.7109375" style="50" customWidth="1"/>
    <col min="6398" max="6398" width="9.85546875" style="50" customWidth="1"/>
    <col min="6399" max="6399" width="14.42578125" style="50" customWidth="1"/>
    <col min="6400" max="6400" width="7.28515625" style="50" customWidth="1"/>
    <col min="6401" max="6401" width="5.5703125" style="50" customWidth="1"/>
    <col min="6402" max="6402" width="9" style="50" customWidth="1"/>
    <col min="6403" max="6404" width="9.85546875" style="50" customWidth="1"/>
    <col min="6405" max="6405" width="11.140625" style="50" customWidth="1"/>
    <col min="6406" max="6406" width="2.85546875" style="50" customWidth="1"/>
    <col min="6407" max="6407" width="3.5703125" style="50" customWidth="1"/>
    <col min="6408" max="6652" width="9.140625" style="50"/>
    <col min="6653" max="6653" width="8.7109375" style="50" customWidth="1"/>
    <col min="6654" max="6654" width="9.85546875" style="50" customWidth="1"/>
    <col min="6655" max="6655" width="14.42578125" style="50" customWidth="1"/>
    <col min="6656" max="6656" width="7.28515625" style="50" customWidth="1"/>
    <col min="6657" max="6657" width="5.5703125" style="50" customWidth="1"/>
    <col min="6658" max="6658" width="9" style="50" customWidth="1"/>
    <col min="6659" max="6660" width="9.85546875" style="50" customWidth="1"/>
    <col min="6661" max="6661" width="11.140625" style="50" customWidth="1"/>
    <col min="6662" max="6662" width="2.85546875" style="50" customWidth="1"/>
    <col min="6663" max="6663" width="3.5703125" style="50" customWidth="1"/>
    <col min="6664" max="6908" width="9.140625" style="50"/>
    <col min="6909" max="6909" width="8.7109375" style="50" customWidth="1"/>
    <col min="6910" max="6910" width="9.85546875" style="50" customWidth="1"/>
    <col min="6911" max="6911" width="14.42578125" style="50" customWidth="1"/>
    <col min="6912" max="6912" width="7.28515625" style="50" customWidth="1"/>
    <col min="6913" max="6913" width="5.5703125" style="50" customWidth="1"/>
    <col min="6914" max="6914" width="9" style="50" customWidth="1"/>
    <col min="6915" max="6916" width="9.85546875" style="50" customWidth="1"/>
    <col min="6917" max="6917" width="11.140625" style="50" customWidth="1"/>
    <col min="6918" max="6918" width="2.85546875" style="50" customWidth="1"/>
    <col min="6919" max="6919" width="3.5703125" style="50" customWidth="1"/>
    <col min="6920" max="7164" width="9.140625" style="50"/>
    <col min="7165" max="7165" width="8.7109375" style="50" customWidth="1"/>
    <col min="7166" max="7166" width="9.85546875" style="50" customWidth="1"/>
    <col min="7167" max="7167" width="14.42578125" style="50" customWidth="1"/>
    <col min="7168" max="7168" width="7.28515625" style="50" customWidth="1"/>
    <col min="7169" max="7169" width="5.5703125" style="50" customWidth="1"/>
    <col min="7170" max="7170" width="9" style="50" customWidth="1"/>
    <col min="7171" max="7172" width="9.85546875" style="50" customWidth="1"/>
    <col min="7173" max="7173" width="11.140625" style="50" customWidth="1"/>
    <col min="7174" max="7174" width="2.85546875" style="50" customWidth="1"/>
    <col min="7175" max="7175" width="3.5703125" style="50" customWidth="1"/>
    <col min="7176" max="7420" width="9.140625" style="50"/>
    <col min="7421" max="7421" width="8.7109375" style="50" customWidth="1"/>
    <col min="7422" max="7422" width="9.85546875" style="50" customWidth="1"/>
    <col min="7423" max="7423" width="14.42578125" style="50" customWidth="1"/>
    <col min="7424" max="7424" width="7.28515625" style="50" customWidth="1"/>
    <col min="7425" max="7425" width="5.5703125" style="50" customWidth="1"/>
    <col min="7426" max="7426" width="9" style="50" customWidth="1"/>
    <col min="7427" max="7428" width="9.85546875" style="50" customWidth="1"/>
    <col min="7429" max="7429" width="11.140625" style="50" customWidth="1"/>
    <col min="7430" max="7430" width="2.85546875" style="50" customWidth="1"/>
    <col min="7431" max="7431" width="3.5703125" style="50" customWidth="1"/>
    <col min="7432" max="7676" width="9.140625" style="50"/>
    <col min="7677" max="7677" width="8.7109375" style="50" customWidth="1"/>
    <col min="7678" max="7678" width="9.85546875" style="50" customWidth="1"/>
    <col min="7679" max="7679" width="14.42578125" style="50" customWidth="1"/>
    <col min="7680" max="7680" width="7.28515625" style="50" customWidth="1"/>
    <col min="7681" max="7681" width="5.5703125" style="50" customWidth="1"/>
    <col min="7682" max="7682" width="9" style="50" customWidth="1"/>
    <col min="7683" max="7684" width="9.85546875" style="50" customWidth="1"/>
    <col min="7685" max="7685" width="11.140625" style="50" customWidth="1"/>
    <col min="7686" max="7686" width="2.85546875" style="50" customWidth="1"/>
    <col min="7687" max="7687" width="3.5703125" style="50" customWidth="1"/>
    <col min="7688" max="7932" width="9.140625" style="50"/>
    <col min="7933" max="7933" width="8.7109375" style="50" customWidth="1"/>
    <col min="7934" max="7934" width="9.85546875" style="50" customWidth="1"/>
    <col min="7935" max="7935" width="14.42578125" style="50" customWidth="1"/>
    <col min="7936" max="7936" width="7.28515625" style="50" customWidth="1"/>
    <col min="7937" max="7937" width="5.5703125" style="50" customWidth="1"/>
    <col min="7938" max="7938" width="9" style="50" customWidth="1"/>
    <col min="7939" max="7940" width="9.85546875" style="50" customWidth="1"/>
    <col min="7941" max="7941" width="11.140625" style="50" customWidth="1"/>
    <col min="7942" max="7942" width="2.85546875" style="50" customWidth="1"/>
    <col min="7943" max="7943" width="3.5703125" style="50" customWidth="1"/>
    <col min="7944" max="8188" width="9.140625" style="50"/>
    <col min="8189" max="8189" width="8.7109375" style="50" customWidth="1"/>
    <col min="8190" max="8190" width="9.85546875" style="50" customWidth="1"/>
    <col min="8191" max="8191" width="14.42578125" style="50" customWidth="1"/>
    <col min="8192" max="8192" width="7.28515625" style="50" customWidth="1"/>
    <col min="8193" max="8193" width="5.5703125" style="50" customWidth="1"/>
    <col min="8194" max="8194" width="9" style="50" customWidth="1"/>
    <col min="8195" max="8196" width="9.85546875" style="50" customWidth="1"/>
    <col min="8197" max="8197" width="11.140625" style="50" customWidth="1"/>
    <col min="8198" max="8198" width="2.85546875" style="50" customWidth="1"/>
    <col min="8199" max="8199" width="3.5703125" style="50" customWidth="1"/>
    <col min="8200" max="8444" width="9.140625" style="50"/>
    <col min="8445" max="8445" width="8.7109375" style="50" customWidth="1"/>
    <col min="8446" max="8446" width="9.85546875" style="50" customWidth="1"/>
    <col min="8447" max="8447" width="14.42578125" style="50" customWidth="1"/>
    <col min="8448" max="8448" width="7.28515625" style="50" customWidth="1"/>
    <col min="8449" max="8449" width="5.5703125" style="50" customWidth="1"/>
    <col min="8450" max="8450" width="9" style="50" customWidth="1"/>
    <col min="8451" max="8452" width="9.85546875" style="50" customWidth="1"/>
    <col min="8453" max="8453" width="11.140625" style="50" customWidth="1"/>
    <col min="8454" max="8454" width="2.85546875" style="50" customWidth="1"/>
    <col min="8455" max="8455" width="3.5703125" style="50" customWidth="1"/>
    <col min="8456" max="8700" width="9.140625" style="50"/>
    <col min="8701" max="8701" width="8.7109375" style="50" customWidth="1"/>
    <col min="8702" max="8702" width="9.85546875" style="50" customWidth="1"/>
    <col min="8703" max="8703" width="14.42578125" style="50" customWidth="1"/>
    <col min="8704" max="8704" width="7.28515625" style="50" customWidth="1"/>
    <col min="8705" max="8705" width="5.5703125" style="50" customWidth="1"/>
    <col min="8706" max="8706" width="9" style="50" customWidth="1"/>
    <col min="8707" max="8708" width="9.85546875" style="50" customWidth="1"/>
    <col min="8709" max="8709" width="11.140625" style="50" customWidth="1"/>
    <col min="8710" max="8710" width="2.85546875" style="50" customWidth="1"/>
    <col min="8711" max="8711" width="3.5703125" style="50" customWidth="1"/>
    <col min="8712" max="8956" width="9.140625" style="50"/>
    <col min="8957" max="8957" width="8.7109375" style="50" customWidth="1"/>
    <col min="8958" max="8958" width="9.85546875" style="50" customWidth="1"/>
    <col min="8959" max="8959" width="14.42578125" style="50" customWidth="1"/>
    <col min="8960" max="8960" width="7.28515625" style="50" customWidth="1"/>
    <col min="8961" max="8961" width="5.5703125" style="50" customWidth="1"/>
    <col min="8962" max="8962" width="9" style="50" customWidth="1"/>
    <col min="8963" max="8964" width="9.85546875" style="50" customWidth="1"/>
    <col min="8965" max="8965" width="11.140625" style="50" customWidth="1"/>
    <col min="8966" max="8966" width="2.85546875" style="50" customWidth="1"/>
    <col min="8967" max="8967" width="3.5703125" style="50" customWidth="1"/>
    <col min="8968" max="9212" width="9.140625" style="50"/>
    <col min="9213" max="9213" width="8.7109375" style="50" customWidth="1"/>
    <col min="9214" max="9214" width="9.85546875" style="50" customWidth="1"/>
    <col min="9215" max="9215" width="14.42578125" style="50" customWidth="1"/>
    <col min="9216" max="9216" width="7.28515625" style="50" customWidth="1"/>
    <col min="9217" max="9217" width="5.5703125" style="50" customWidth="1"/>
    <col min="9218" max="9218" width="9" style="50" customWidth="1"/>
    <col min="9219" max="9220" width="9.85546875" style="50" customWidth="1"/>
    <col min="9221" max="9221" width="11.140625" style="50" customWidth="1"/>
    <col min="9222" max="9222" width="2.85546875" style="50" customWidth="1"/>
    <col min="9223" max="9223" width="3.5703125" style="50" customWidth="1"/>
    <col min="9224" max="9468" width="9.140625" style="50"/>
    <col min="9469" max="9469" width="8.7109375" style="50" customWidth="1"/>
    <col min="9470" max="9470" width="9.85546875" style="50" customWidth="1"/>
    <col min="9471" max="9471" width="14.42578125" style="50" customWidth="1"/>
    <col min="9472" max="9472" width="7.28515625" style="50" customWidth="1"/>
    <col min="9473" max="9473" width="5.5703125" style="50" customWidth="1"/>
    <col min="9474" max="9474" width="9" style="50" customWidth="1"/>
    <col min="9475" max="9476" width="9.85546875" style="50" customWidth="1"/>
    <col min="9477" max="9477" width="11.140625" style="50" customWidth="1"/>
    <col min="9478" max="9478" width="2.85546875" style="50" customWidth="1"/>
    <col min="9479" max="9479" width="3.5703125" style="50" customWidth="1"/>
    <col min="9480" max="9724" width="9.140625" style="50"/>
    <col min="9725" max="9725" width="8.7109375" style="50" customWidth="1"/>
    <col min="9726" max="9726" width="9.85546875" style="50" customWidth="1"/>
    <col min="9727" max="9727" width="14.42578125" style="50" customWidth="1"/>
    <col min="9728" max="9728" width="7.28515625" style="50" customWidth="1"/>
    <col min="9729" max="9729" width="5.5703125" style="50" customWidth="1"/>
    <col min="9730" max="9730" width="9" style="50" customWidth="1"/>
    <col min="9731" max="9732" width="9.85546875" style="50" customWidth="1"/>
    <col min="9733" max="9733" width="11.140625" style="50" customWidth="1"/>
    <col min="9734" max="9734" width="2.85546875" style="50" customWidth="1"/>
    <col min="9735" max="9735" width="3.5703125" style="50" customWidth="1"/>
    <col min="9736" max="9980" width="9.140625" style="50"/>
    <col min="9981" max="9981" width="8.7109375" style="50" customWidth="1"/>
    <col min="9982" max="9982" width="9.85546875" style="50" customWidth="1"/>
    <col min="9983" max="9983" width="14.42578125" style="50" customWidth="1"/>
    <col min="9984" max="9984" width="7.28515625" style="50" customWidth="1"/>
    <col min="9985" max="9985" width="5.5703125" style="50" customWidth="1"/>
    <col min="9986" max="9986" width="9" style="50" customWidth="1"/>
    <col min="9987" max="9988" width="9.85546875" style="50" customWidth="1"/>
    <col min="9989" max="9989" width="11.140625" style="50" customWidth="1"/>
    <col min="9990" max="9990" width="2.85546875" style="50" customWidth="1"/>
    <col min="9991" max="9991" width="3.5703125" style="50" customWidth="1"/>
    <col min="9992" max="10236" width="9.140625" style="50"/>
    <col min="10237" max="10237" width="8.7109375" style="50" customWidth="1"/>
    <col min="10238" max="10238" width="9.85546875" style="50" customWidth="1"/>
    <col min="10239" max="10239" width="14.42578125" style="50" customWidth="1"/>
    <col min="10240" max="10240" width="7.28515625" style="50" customWidth="1"/>
    <col min="10241" max="10241" width="5.5703125" style="50" customWidth="1"/>
    <col min="10242" max="10242" width="9" style="50" customWidth="1"/>
    <col min="10243" max="10244" width="9.85546875" style="50" customWidth="1"/>
    <col min="10245" max="10245" width="11.140625" style="50" customWidth="1"/>
    <col min="10246" max="10246" width="2.85546875" style="50" customWidth="1"/>
    <col min="10247" max="10247" width="3.5703125" style="50" customWidth="1"/>
    <col min="10248" max="10492" width="9.140625" style="50"/>
    <col min="10493" max="10493" width="8.7109375" style="50" customWidth="1"/>
    <col min="10494" max="10494" width="9.85546875" style="50" customWidth="1"/>
    <col min="10495" max="10495" width="14.42578125" style="50" customWidth="1"/>
    <col min="10496" max="10496" width="7.28515625" style="50" customWidth="1"/>
    <col min="10497" max="10497" width="5.5703125" style="50" customWidth="1"/>
    <col min="10498" max="10498" width="9" style="50" customWidth="1"/>
    <col min="10499" max="10500" width="9.85546875" style="50" customWidth="1"/>
    <col min="10501" max="10501" width="11.140625" style="50" customWidth="1"/>
    <col min="10502" max="10502" width="2.85546875" style="50" customWidth="1"/>
    <col min="10503" max="10503" width="3.5703125" style="50" customWidth="1"/>
    <col min="10504" max="10748" width="9.140625" style="50"/>
    <col min="10749" max="10749" width="8.7109375" style="50" customWidth="1"/>
    <col min="10750" max="10750" width="9.85546875" style="50" customWidth="1"/>
    <col min="10751" max="10751" width="14.42578125" style="50" customWidth="1"/>
    <col min="10752" max="10752" width="7.28515625" style="50" customWidth="1"/>
    <col min="10753" max="10753" width="5.5703125" style="50" customWidth="1"/>
    <col min="10754" max="10754" width="9" style="50" customWidth="1"/>
    <col min="10755" max="10756" width="9.85546875" style="50" customWidth="1"/>
    <col min="10757" max="10757" width="11.140625" style="50" customWidth="1"/>
    <col min="10758" max="10758" width="2.85546875" style="50" customWidth="1"/>
    <col min="10759" max="10759" width="3.5703125" style="50" customWidth="1"/>
    <col min="10760" max="11004" width="9.140625" style="50"/>
    <col min="11005" max="11005" width="8.7109375" style="50" customWidth="1"/>
    <col min="11006" max="11006" width="9.85546875" style="50" customWidth="1"/>
    <col min="11007" max="11007" width="14.42578125" style="50" customWidth="1"/>
    <col min="11008" max="11008" width="7.28515625" style="50" customWidth="1"/>
    <col min="11009" max="11009" width="5.5703125" style="50" customWidth="1"/>
    <col min="11010" max="11010" width="9" style="50" customWidth="1"/>
    <col min="11011" max="11012" width="9.85546875" style="50" customWidth="1"/>
    <col min="11013" max="11013" width="11.140625" style="50" customWidth="1"/>
    <col min="11014" max="11014" width="2.85546875" style="50" customWidth="1"/>
    <col min="11015" max="11015" width="3.5703125" style="50" customWidth="1"/>
    <col min="11016" max="11260" width="9.140625" style="50"/>
    <col min="11261" max="11261" width="8.7109375" style="50" customWidth="1"/>
    <col min="11262" max="11262" width="9.85546875" style="50" customWidth="1"/>
    <col min="11263" max="11263" width="14.42578125" style="50" customWidth="1"/>
    <col min="11264" max="11264" width="7.28515625" style="50" customWidth="1"/>
    <col min="11265" max="11265" width="5.5703125" style="50" customWidth="1"/>
    <col min="11266" max="11266" width="9" style="50" customWidth="1"/>
    <col min="11267" max="11268" width="9.85546875" style="50" customWidth="1"/>
    <col min="11269" max="11269" width="11.140625" style="50" customWidth="1"/>
    <col min="11270" max="11270" width="2.85546875" style="50" customWidth="1"/>
    <col min="11271" max="11271" width="3.5703125" style="50" customWidth="1"/>
    <col min="11272" max="11516" width="9.140625" style="50"/>
    <col min="11517" max="11517" width="8.7109375" style="50" customWidth="1"/>
    <col min="11518" max="11518" width="9.85546875" style="50" customWidth="1"/>
    <col min="11519" max="11519" width="14.42578125" style="50" customWidth="1"/>
    <col min="11520" max="11520" width="7.28515625" style="50" customWidth="1"/>
    <col min="11521" max="11521" width="5.5703125" style="50" customWidth="1"/>
    <col min="11522" max="11522" width="9" style="50" customWidth="1"/>
    <col min="11523" max="11524" width="9.85546875" style="50" customWidth="1"/>
    <col min="11525" max="11525" width="11.140625" style="50" customWidth="1"/>
    <col min="11526" max="11526" width="2.85546875" style="50" customWidth="1"/>
    <col min="11527" max="11527" width="3.5703125" style="50" customWidth="1"/>
    <col min="11528" max="11772" width="9.140625" style="50"/>
    <col min="11773" max="11773" width="8.7109375" style="50" customWidth="1"/>
    <col min="11774" max="11774" width="9.85546875" style="50" customWidth="1"/>
    <col min="11775" max="11775" width="14.42578125" style="50" customWidth="1"/>
    <col min="11776" max="11776" width="7.28515625" style="50" customWidth="1"/>
    <col min="11777" max="11777" width="5.5703125" style="50" customWidth="1"/>
    <col min="11778" max="11778" width="9" style="50" customWidth="1"/>
    <col min="11779" max="11780" width="9.85546875" style="50" customWidth="1"/>
    <col min="11781" max="11781" width="11.140625" style="50" customWidth="1"/>
    <col min="11782" max="11782" width="2.85546875" style="50" customWidth="1"/>
    <col min="11783" max="11783" width="3.5703125" style="50" customWidth="1"/>
    <col min="11784" max="12028" width="9.140625" style="50"/>
    <col min="12029" max="12029" width="8.7109375" style="50" customWidth="1"/>
    <col min="12030" max="12030" width="9.85546875" style="50" customWidth="1"/>
    <col min="12031" max="12031" width="14.42578125" style="50" customWidth="1"/>
    <col min="12032" max="12032" width="7.28515625" style="50" customWidth="1"/>
    <col min="12033" max="12033" width="5.5703125" style="50" customWidth="1"/>
    <col min="12034" max="12034" width="9" style="50" customWidth="1"/>
    <col min="12035" max="12036" width="9.85546875" style="50" customWidth="1"/>
    <col min="12037" max="12037" width="11.140625" style="50" customWidth="1"/>
    <col min="12038" max="12038" width="2.85546875" style="50" customWidth="1"/>
    <col min="12039" max="12039" width="3.5703125" style="50" customWidth="1"/>
    <col min="12040" max="12284" width="9.140625" style="50"/>
    <col min="12285" max="12285" width="8.7109375" style="50" customWidth="1"/>
    <col min="12286" max="12286" width="9.85546875" style="50" customWidth="1"/>
    <col min="12287" max="12287" width="14.42578125" style="50" customWidth="1"/>
    <col min="12288" max="12288" width="7.28515625" style="50" customWidth="1"/>
    <col min="12289" max="12289" width="5.5703125" style="50" customWidth="1"/>
    <col min="12290" max="12290" width="9" style="50" customWidth="1"/>
    <col min="12291" max="12292" width="9.85546875" style="50" customWidth="1"/>
    <col min="12293" max="12293" width="11.140625" style="50" customWidth="1"/>
    <col min="12294" max="12294" width="2.85546875" style="50" customWidth="1"/>
    <col min="12295" max="12295" width="3.5703125" style="50" customWidth="1"/>
    <col min="12296" max="12540" width="9.140625" style="50"/>
    <col min="12541" max="12541" width="8.7109375" style="50" customWidth="1"/>
    <col min="12542" max="12542" width="9.85546875" style="50" customWidth="1"/>
    <col min="12543" max="12543" width="14.42578125" style="50" customWidth="1"/>
    <col min="12544" max="12544" width="7.28515625" style="50" customWidth="1"/>
    <col min="12545" max="12545" width="5.5703125" style="50" customWidth="1"/>
    <col min="12546" max="12546" width="9" style="50" customWidth="1"/>
    <col min="12547" max="12548" width="9.85546875" style="50" customWidth="1"/>
    <col min="12549" max="12549" width="11.140625" style="50" customWidth="1"/>
    <col min="12550" max="12550" width="2.85546875" style="50" customWidth="1"/>
    <col min="12551" max="12551" width="3.5703125" style="50" customWidth="1"/>
    <col min="12552" max="12796" width="9.140625" style="50"/>
    <col min="12797" max="12797" width="8.7109375" style="50" customWidth="1"/>
    <col min="12798" max="12798" width="9.85546875" style="50" customWidth="1"/>
    <col min="12799" max="12799" width="14.42578125" style="50" customWidth="1"/>
    <col min="12800" max="12800" width="7.28515625" style="50" customWidth="1"/>
    <col min="12801" max="12801" width="5.5703125" style="50" customWidth="1"/>
    <col min="12802" max="12802" width="9" style="50" customWidth="1"/>
    <col min="12803" max="12804" width="9.85546875" style="50" customWidth="1"/>
    <col min="12805" max="12805" width="11.140625" style="50" customWidth="1"/>
    <col min="12806" max="12806" width="2.85546875" style="50" customWidth="1"/>
    <col min="12807" max="12807" width="3.5703125" style="50" customWidth="1"/>
    <col min="12808" max="13052" width="9.140625" style="50"/>
    <col min="13053" max="13053" width="8.7109375" style="50" customWidth="1"/>
    <col min="13054" max="13054" width="9.85546875" style="50" customWidth="1"/>
    <col min="13055" max="13055" width="14.42578125" style="50" customWidth="1"/>
    <col min="13056" max="13056" width="7.28515625" style="50" customWidth="1"/>
    <col min="13057" max="13057" width="5.5703125" style="50" customWidth="1"/>
    <col min="13058" max="13058" width="9" style="50" customWidth="1"/>
    <col min="13059" max="13060" width="9.85546875" style="50" customWidth="1"/>
    <col min="13061" max="13061" width="11.140625" style="50" customWidth="1"/>
    <col min="13062" max="13062" width="2.85546875" style="50" customWidth="1"/>
    <col min="13063" max="13063" width="3.5703125" style="50" customWidth="1"/>
    <col min="13064" max="13308" width="9.140625" style="50"/>
    <col min="13309" max="13309" width="8.7109375" style="50" customWidth="1"/>
    <col min="13310" max="13310" width="9.85546875" style="50" customWidth="1"/>
    <col min="13311" max="13311" width="14.42578125" style="50" customWidth="1"/>
    <col min="13312" max="13312" width="7.28515625" style="50" customWidth="1"/>
    <col min="13313" max="13313" width="5.5703125" style="50" customWidth="1"/>
    <col min="13314" max="13314" width="9" style="50" customWidth="1"/>
    <col min="13315" max="13316" width="9.85546875" style="50" customWidth="1"/>
    <col min="13317" max="13317" width="11.140625" style="50" customWidth="1"/>
    <col min="13318" max="13318" width="2.85546875" style="50" customWidth="1"/>
    <col min="13319" max="13319" width="3.5703125" style="50" customWidth="1"/>
    <col min="13320" max="13564" width="9.140625" style="50"/>
    <col min="13565" max="13565" width="8.7109375" style="50" customWidth="1"/>
    <col min="13566" max="13566" width="9.85546875" style="50" customWidth="1"/>
    <col min="13567" max="13567" width="14.42578125" style="50" customWidth="1"/>
    <col min="13568" max="13568" width="7.28515625" style="50" customWidth="1"/>
    <col min="13569" max="13569" width="5.5703125" style="50" customWidth="1"/>
    <col min="13570" max="13570" width="9" style="50" customWidth="1"/>
    <col min="13571" max="13572" width="9.85546875" style="50" customWidth="1"/>
    <col min="13573" max="13573" width="11.140625" style="50" customWidth="1"/>
    <col min="13574" max="13574" width="2.85546875" style="50" customWidth="1"/>
    <col min="13575" max="13575" width="3.5703125" style="50" customWidth="1"/>
    <col min="13576" max="13820" width="9.140625" style="50"/>
    <col min="13821" max="13821" width="8.7109375" style="50" customWidth="1"/>
    <col min="13822" max="13822" width="9.85546875" style="50" customWidth="1"/>
    <col min="13823" max="13823" width="14.42578125" style="50" customWidth="1"/>
    <col min="13824" max="13824" width="7.28515625" style="50" customWidth="1"/>
    <col min="13825" max="13825" width="5.5703125" style="50" customWidth="1"/>
    <col min="13826" max="13826" width="9" style="50" customWidth="1"/>
    <col min="13827" max="13828" width="9.85546875" style="50" customWidth="1"/>
    <col min="13829" max="13829" width="11.140625" style="50" customWidth="1"/>
    <col min="13830" max="13830" width="2.85546875" style="50" customWidth="1"/>
    <col min="13831" max="13831" width="3.5703125" style="50" customWidth="1"/>
    <col min="13832" max="14076" width="9.140625" style="50"/>
    <col min="14077" max="14077" width="8.7109375" style="50" customWidth="1"/>
    <col min="14078" max="14078" width="9.85546875" style="50" customWidth="1"/>
    <col min="14079" max="14079" width="14.42578125" style="50" customWidth="1"/>
    <col min="14080" max="14080" width="7.28515625" style="50" customWidth="1"/>
    <col min="14081" max="14081" width="5.5703125" style="50" customWidth="1"/>
    <col min="14082" max="14082" width="9" style="50" customWidth="1"/>
    <col min="14083" max="14084" width="9.85546875" style="50" customWidth="1"/>
    <col min="14085" max="14085" width="11.140625" style="50" customWidth="1"/>
    <col min="14086" max="14086" width="2.85546875" style="50" customWidth="1"/>
    <col min="14087" max="14087" width="3.5703125" style="50" customWidth="1"/>
    <col min="14088" max="14332" width="9.140625" style="50"/>
    <col min="14333" max="14333" width="8.7109375" style="50" customWidth="1"/>
    <col min="14334" max="14334" width="9.85546875" style="50" customWidth="1"/>
    <col min="14335" max="14335" width="14.42578125" style="50" customWidth="1"/>
    <col min="14336" max="14336" width="7.28515625" style="50" customWidth="1"/>
    <col min="14337" max="14337" width="5.5703125" style="50" customWidth="1"/>
    <col min="14338" max="14338" width="9" style="50" customWidth="1"/>
    <col min="14339" max="14340" width="9.85546875" style="50" customWidth="1"/>
    <col min="14341" max="14341" width="11.140625" style="50" customWidth="1"/>
    <col min="14342" max="14342" width="2.85546875" style="50" customWidth="1"/>
    <col min="14343" max="14343" width="3.5703125" style="50" customWidth="1"/>
    <col min="14344" max="14588" width="9.140625" style="50"/>
    <col min="14589" max="14589" width="8.7109375" style="50" customWidth="1"/>
    <col min="14590" max="14590" width="9.85546875" style="50" customWidth="1"/>
    <col min="14591" max="14591" width="14.42578125" style="50" customWidth="1"/>
    <col min="14592" max="14592" width="7.28515625" style="50" customWidth="1"/>
    <col min="14593" max="14593" width="5.5703125" style="50" customWidth="1"/>
    <col min="14594" max="14594" width="9" style="50" customWidth="1"/>
    <col min="14595" max="14596" width="9.85546875" style="50" customWidth="1"/>
    <col min="14597" max="14597" width="11.140625" style="50" customWidth="1"/>
    <col min="14598" max="14598" width="2.85546875" style="50" customWidth="1"/>
    <col min="14599" max="14599" width="3.5703125" style="50" customWidth="1"/>
    <col min="14600" max="14844" width="9.140625" style="50"/>
    <col min="14845" max="14845" width="8.7109375" style="50" customWidth="1"/>
    <col min="14846" max="14846" width="9.85546875" style="50" customWidth="1"/>
    <col min="14847" max="14847" width="14.42578125" style="50" customWidth="1"/>
    <col min="14848" max="14848" width="7.28515625" style="50" customWidth="1"/>
    <col min="14849" max="14849" width="5.5703125" style="50" customWidth="1"/>
    <col min="14850" max="14850" width="9" style="50" customWidth="1"/>
    <col min="14851" max="14852" width="9.85546875" style="50" customWidth="1"/>
    <col min="14853" max="14853" width="11.140625" style="50" customWidth="1"/>
    <col min="14854" max="14854" width="2.85546875" style="50" customWidth="1"/>
    <col min="14855" max="14855" width="3.5703125" style="50" customWidth="1"/>
    <col min="14856" max="15100" width="9.140625" style="50"/>
    <col min="15101" max="15101" width="8.7109375" style="50" customWidth="1"/>
    <col min="15102" max="15102" width="9.85546875" style="50" customWidth="1"/>
    <col min="15103" max="15103" width="14.42578125" style="50" customWidth="1"/>
    <col min="15104" max="15104" width="7.28515625" style="50" customWidth="1"/>
    <col min="15105" max="15105" width="5.5703125" style="50" customWidth="1"/>
    <col min="15106" max="15106" width="9" style="50" customWidth="1"/>
    <col min="15107" max="15108" width="9.85546875" style="50" customWidth="1"/>
    <col min="15109" max="15109" width="11.140625" style="50" customWidth="1"/>
    <col min="15110" max="15110" width="2.85546875" style="50" customWidth="1"/>
    <col min="15111" max="15111" width="3.5703125" style="50" customWidth="1"/>
    <col min="15112" max="15356" width="9.140625" style="50"/>
    <col min="15357" max="15357" width="8.7109375" style="50" customWidth="1"/>
    <col min="15358" max="15358" width="9.85546875" style="50" customWidth="1"/>
    <col min="15359" max="15359" width="14.42578125" style="50" customWidth="1"/>
    <col min="15360" max="15360" width="7.28515625" style="50" customWidth="1"/>
    <col min="15361" max="15361" width="5.5703125" style="50" customWidth="1"/>
    <col min="15362" max="15362" width="9" style="50" customWidth="1"/>
    <col min="15363" max="15364" width="9.85546875" style="50" customWidth="1"/>
    <col min="15365" max="15365" width="11.140625" style="50" customWidth="1"/>
    <col min="15366" max="15366" width="2.85546875" style="50" customWidth="1"/>
    <col min="15367" max="15367" width="3.5703125" style="50" customWidth="1"/>
    <col min="15368" max="15612" width="9.140625" style="50"/>
    <col min="15613" max="15613" width="8.7109375" style="50" customWidth="1"/>
    <col min="15614" max="15614" width="9.85546875" style="50" customWidth="1"/>
    <col min="15615" max="15615" width="14.42578125" style="50" customWidth="1"/>
    <col min="15616" max="15616" width="7.28515625" style="50" customWidth="1"/>
    <col min="15617" max="15617" width="5.5703125" style="50" customWidth="1"/>
    <col min="15618" max="15618" width="9" style="50" customWidth="1"/>
    <col min="15619" max="15620" width="9.85546875" style="50" customWidth="1"/>
    <col min="15621" max="15621" width="11.140625" style="50" customWidth="1"/>
    <col min="15622" max="15622" width="2.85546875" style="50" customWidth="1"/>
    <col min="15623" max="15623" width="3.5703125" style="50" customWidth="1"/>
    <col min="15624" max="15868" width="9.140625" style="50"/>
    <col min="15869" max="15869" width="8.7109375" style="50" customWidth="1"/>
    <col min="15870" max="15870" width="9.85546875" style="50" customWidth="1"/>
    <col min="15871" max="15871" width="14.42578125" style="50" customWidth="1"/>
    <col min="15872" max="15872" width="7.28515625" style="50" customWidth="1"/>
    <col min="15873" max="15873" width="5.5703125" style="50" customWidth="1"/>
    <col min="15874" max="15874" width="9" style="50" customWidth="1"/>
    <col min="15875" max="15876" width="9.85546875" style="50" customWidth="1"/>
    <col min="15877" max="15877" width="11.140625" style="50" customWidth="1"/>
    <col min="15878" max="15878" width="2.85546875" style="50" customWidth="1"/>
    <col min="15879" max="15879" width="3.5703125" style="50" customWidth="1"/>
    <col min="15880" max="16124" width="9.140625" style="50"/>
    <col min="16125" max="16125" width="8.7109375" style="50" customWidth="1"/>
    <col min="16126" max="16126" width="9.85546875" style="50" customWidth="1"/>
    <col min="16127" max="16127" width="14.42578125" style="50" customWidth="1"/>
    <col min="16128" max="16128" width="7.28515625" style="50" customWidth="1"/>
    <col min="16129" max="16129" width="5.5703125" style="50" customWidth="1"/>
    <col min="16130" max="16130" width="9" style="50" customWidth="1"/>
    <col min="16131" max="16132" width="9.85546875" style="50" customWidth="1"/>
    <col min="16133" max="16133" width="11.140625" style="50" customWidth="1"/>
    <col min="16134" max="16134" width="2.85546875" style="50" customWidth="1"/>
    <col min="16135" max="16135" width="3.5703125" style="50" customWidth="1"/>
    <col min="16136" max="16384" width="9.140625" style="50"/>
  </cols>
  <sheetData>
    <row r="1" spans="1:10" ht="46.5" customHeight="1" x14ac:dyDescent="0.25">
      <c r="A1" s="152" t="s">
        <v>275</v>
      </c>
      <c r="B1" s="153"/>
      <c r="C1" s="153"/>
      <c r="D1" s="153"/>
      <c r="E1" s="153"/>
      <c r="F1" s="153"/>
      <c r="G1" s="153"/>
      <c r="H1" s="153"/>
      <c r="I1" s="153"/>
      <c r="J1" s="154"/>
    </row>
    <row r="2" spans="1:10" ht="16.5" customHeight="1" x14ac:dyDescent="0.25">
      <c r="A2" s="155" t="s">
        <v>0</v>
      </c>
      <c r="B2" s="156"/>
      <c r="C2" s="156"/>
      <c r="D2" s="156"/>
      <c r="E2" s="156"/>
      <c r="F2" s="156"/>
      <c r="G2" s="156"/>
      <c r="H2" s="156"/>
      <c r="I2" s="156"/>
      <c r="J2" s="157"/>
    </row>
    <row r="3" spans="1:10" x14ac:dyDescent="0.25">
      <c r="A3" s="149" t="s">
        <v>1</v>
      </c>
      <c r="B3" s="150"/>
      <c r="C3" s="150"/>
      <c r="D3" s="150"/>
      <c r="E3" s="151"/>
      <c r="F3" s="158" t="str">
        <f ca="1">TEXT(TODAY(),"DD/MM/YYYY")</f>
        <v>14/08/2025</v>
      </c>
      <c r="G3" s="159"/>
      <c r="H3" s="159"/>
      <c r="I3" s="159"/>
      <c r="J3" s="160"/>
    </row>
    <row r="4" spans="1:10" ht="15" customHeight="1" x14ac:dyDescent="0.25">
      <c r="A4" s="149" t="s">
        <v>2</v>
      </c>
      <c r="B4" s="150"/>
      <c r="C4" s="150"/>
      <c r="D4" s="150"/>
      <c r="E4" s="151"/>
      <c r="F4" s="164" t="s">
        <v>181</v>
      </c>
      <c r="G4" s="165"/>
      <c r="H4" s="165"/>
      <c r="I4" s="165"/>
      <c r="J4" s="166"/>
    </row>
    <row r="5" spans="1:10" x14ac:dyDescent="0.25">
      <c r="A5" s="149" t="s">
        <v>3</v>
      </c>
      <c r="B5" s="150"/>
      <c r="C5" s="150"/>
      <c r="D5" s="150"/>
      <c r="E5" s="151"/>
      <c r="F5" s="167">
        <v>45881</v>
      </c>
      <c r="G5" s="168"/>
      <c r="H5" s="168"/>
      <c r="I5" s="168"/>
      <c r="J5" s="169"/>
    </row>
    <row r="6" spans="1:10" ht="16.5" customHeight="1" x14ac:dyDescent="0.25">
      <c r="A6" s="149" t="s">
        <v>4</v>
      </c>
      <c r="B6" s="150"/>
      <c r="C6" s="150"/>
      <c r="D6" s="150"/>
      <c r="E6" s="151"/>
      <c r="F6" s="170" t="s">
        <v>182</v>
      </c>
      <c r="G6" s="171"/>
      <c r="H6" s="171"/>
      <c r="I6" s="171"/>
      <c r="J6" s="172"/>
    </row>
    <row r="7" spans="1:10" ht="15" customHeight="1" x14ac:dyDescent="0.25">
      <c r="A7" s="149" t="s">
        <v>5</v>
      </c>
      <c r="B7" s="150"/>
      <c r="C7" s="150"/>
      <c r="D7" s="150"/>
      <c r="E7" s="151"/>
      <c r="F7" s="170" t="str">
        <f>F6</f>
        <v>M/s.Laabh Buildcon</v>
      </c>
      <c r="G7" s="171"/>
      <c r="H7" s="171"/>
      <c r="I7" s="171"/>
      <c r="J7" s="172"/>
    </row>
    <row r="8" spans="1:10" x14ac:dyDescent="0.25">
      <c r="A8" s="149" t="s">
        <v>6</v>
      </c>
      <c r="B8" s="150"/>
      <c r="C8" s="150"/>
      <c r="D8" s="150"/>
      <c r="E8" s="151"/>
      <c r="F8" s="161" t="s">
        <v>183</v>
      </c>
      <c r="G8" s="162"/>
      <c r="H8" s="162"/>
      <c r="I8" s="162"/>
      <c r="J8" s="163"/>
    </row>
    <row r="9" spans="1:10" x14ac:dyDescent="0.25">
      <c r="A9" s="149" t="s">
        <v>276</v>
      </c>
      <c r="B9" s="150"/>
      <c r="C9" s="150"/>
      <c r="D9" s="150"/>
      <c r="E9" s="151"/>
      <c r="F9" s="149">
        <v>2267937466</v>
      </c>
      <c r="G9" s="150"/>
      <c r="H9" s="150"/>
      <c r="I9" s="150"/>
      <c r="J9" s="151"/>
    </row>
    <row r="10" spans="1:10" x14ac:dyDescent="0.25">
      <c r="A10" s="149" t="s">
        <v>277</v>
      </c>
      <c r="B10" s="150"/>
      <c r="C10" s="150"/>
      <c r="D10" s="150"/>
      <c r="E10" s="151"/>
      <c r="F10" s="149" t="s">
        <v>285</v>
      </c>
      <c r="G10" s="150"/>
      <c r="H10" s="150"/>
      <c r="I10" s="150"/>
      <c r="J10" s="151"/>
    </row>
    <row r="11" spans="1:10" ht="51" customHeight="1" x14ac:dyDescent="0.25">
      <c r="A11" s="149" t="s">
        <v>7</v>
      </c>
      <c r="B11" s="150"/>
      <c r="C11" s="150"/>
      <c r="D11" s="150"/>
      <c r="E11" s="151"/>
      <c r="F11" s="113" t="s">
        <v>218</v>
      </c>
      <c r="G11" s="117"/>
      <c r="H11" s="117"/>
      <c r="I11" s="117"/>
      <c r="J11" s="118"/>
    </row>
    <row r="12" spans="1:10" ht="16.5" customHeight="1" x14ac:dyDescent="0.25">
      <c r="A12" s="149" t="s">
        <v>8</v>
      </c>
      <c r="B12" s="150"/>
      <c r="C12" s="150"/>
      <c r="D12" s="150"/>
      <c r="E12" s="151"/>
      <c r="F12" s="113" t="s">
        <v>9</v>
      </c>
      <c r="G12" s="114"/>
      <c r="H12" s="114"/>
      <c r="I12" s="114"/>
      <c r="J12" s="115"/>
    </row>
    <row r="13" spans="1:10" x14ac:dyDescent="0.25">
      <c r="A13" s="149" t="s">
        <v>10</v>
      </c>
      <c r="B13" s="150"/>
      <c r="C13" s="150"/>
      <c r="D13" s="150"/>
      <c r="E13" s="151"/>
      <c r="F13" s="149" t="s">
        <v>184</v>
      </c>
      <c r="G13" s="150"/>
      <c r="H13" s="150"/>
      <c r="I13" s="150"/>
      <c r="J13" s="151"/>
    </row>
    <row r="14" spans="1:10" ht="31.5" customHeight="1" x14ac:dyDescent="0.25">
      <c r="A14" s="147" t="s">
        <v>11</v>
      </c>
      <c r="B14" s="147"/>
      <c r="C14" s="170" t="str">
        <f>CONCATENATE((IF(OR(F8="",F8="NA"),"",F8)),", ",(IF(OR(A15="",A15="NA"),"",A15)),".",(IF(OR(C15="",C15="NA"),"",C15)),", ",(IF(OR(F15="",F15="NA"),"",F15)),".",(IF(OR(H15="",H15="NA"),"",H15)),", ",(IF(OR(C16="",C16="NA"),"",C16)),", ",(IF(OR(H16="",H16="NA"),"",H16)),", ",(IF(OR(C17="",C17="NA"),"",C17)),", ",(IF(OR(C18="",C18="NA"),"",C18)),", ",(IF(OR(H17="",H17="NA"),"",H17)),".")</f>
        <v>Pehla Ghar- Divekar Complex, Survey No.69, H No.1 (PT), Sonale Bapgaon Road, Bhadwad, Bhiwandi, Bhiwandi, Thane.</v>
      </c>
      <c r="D14" s="171"/>
      <c r="E14" s="171"/>
      <c r="F14" s="171"/>
      <c r="G14" s="171"/>
      <c r="H14" s="171"/>
      <c r="I14" s="171"/>
      <c r="J14" s="172"/>
    </row>
    <row r="15" spans="1:10" ht="15.75" customHeight="1" x14ac:dyDescent="0.25">
      <c r="A15" s="170" t="s">
        <v>185</v>
      </c>
      <c r="B15" s="172"/>
      <c r="C15" s="170">
        <v>69</v>
      </c>
      <c r="D15" s="171"/>
      <c r="E15" s="171"/>
      <c r="F15" s="139" t="s">
        <v>186</v>
      </c>
      <c r="G15" s="140"/>
      <c r="H15" s="170" t="s">
        <v>187</v>
      </c>
      <c r="I15" s="171"/>
      <c r="J15" s="172"/>
    </row>
    <row r="16" spans="1:10" ht="15.75" customHeight="1" x14ac:dyDescent="0.25">
      <c r="A16" s="170" t="s">
        <v>12</v>
      </c>
      <c r="B16" s="172"/>
      <c r="C16" s="84" t="s">
        <v>188</v>
      </c>
      <c r="D16" s="84"/>
      <c r="E16" s="84"/>
      <c r="F16" s="139" t="s">
        <v>189</v>
      </c>
      <c r="G16" s="140"/>
      <c r="H16" s="170" t="s">
        <v>190</v>
      </c>
      <c r="I16" s="171"/>
      <c r="J16" s="172"/>
    </row>
    <row r="17" spans="1:10" x14ac:dyDescent="0.25">
      <c r="A17" s="84" t="s">
        <v>14</v>
      </c>
      <c r="B17" s="84"/>
      <c r="C17" s="84" t="s">
        <v>192</v>
      </c>
      <c r="D17" s="84"/>
      <c r="E17" s="84"/>
      <c r="F17" s="139" t="s">
        <v>13</v>
      </c>
      <c r="G17" s="140"/>
      <c r="H17" s="141" t="s">
        <v>191</v>
      </c>
      <c r="I17" s="141"/>
      <c r="J17" s="141"/>
    </row>
    <row r="18" spans="1:10" x14ac:dyDescent="0.25">
      <c r="A18" s="84" t="s">
        <v>144</v>
      </c>
      <c r="B18" s="84"/>
      <c r="C18" s="170" t="s">
        <v>192</v>
      </c>
      <c r="D18" s="171"/>
      <c r="E18" s="172"/>
      <c r="F18" s="139" t="s">
        <v>15</v>
      </c>
      <c r="G18" s="140"/>
      <c r="H18" s="170">
        <v>421302</v>
      </c>
      <c r="I18" s="171"/>
      <c r="J18" s="172"/>
    </row>
    <row r="19" spans="1:10" ht="34.5" customHeight="1" x14ac:dyDescent="0.25">
      <c r="A19" s="84" t="s">
        <v>16</v>
      </c>
      <c r="B19" s="84"/>
      <c r="C19" s="147" t="s">
        <v>193</v>
      </c>
      <c r="D19" s="147"/>
      <c r="E19" s="147"/>
      <c r="F19" s="147" t="s">
        <v>17</v>
      </c>
      <c r="G19" s="147"/>
      <c r="H19" s="114" t="s">
        <v>194</v>
      </c>
      <c r="I19" s="114"/>
      <c r="J19" s="115"/>
    </row>
    <row r="20" spans="1:10" ht="15" customHeight="1" x14ac:dyDescent="0.25">
      <c r="A20" s="139" t="s">
        <v>157</v>
      </c>
      <c r="B20" s="173"/>
      <c r="C20" s="173"/>
      <c r="D20" s="173"/>
      <c r="E20" s="140"/>
      <c r="F20" s="177" t="s">
        <v>18</v>
      </c>
      <c r="G20" s="178"/>
      <c r="H20" s="178"/>
      <c r="I20" s="178"/>
      <c r="J20" s="179"/>
    </row>
    <row r="21" spans="1:10" ht="18.75" customHeight="1" x14ac:dyDescent="0.25">
      <c r="A21" s="174"/>
      <c r="B21" s="175"/>
      <c r="C21" s="175"/>
      <c r="D21" s="175"/>
      <c r="E21" s="176"/>
      <c r="F21" s="180"/>
      <c r="G21" s="181"/>
      <c r="H21" s="181"/>
      <c r="I21" s="181"/>
      <c r="J21" s="182"/>
    </row>
    <row r="22" spans="1:10" ht="15" customHeight="1" x14ac:dyDescent="0.25">
      <c r="A22" s="139" t="s">
        <v>19</v>
      </c>
      <c r="B22" s="173"/>
      <c r="C22" s="173"/>
      <c r="D22" s="173"/>
      <c r="E22" s="140"/>
      <c r="F22" s="139" t="s">
        <v>20</v>
      </c>
      <c r="G22" s="173"/>
      <c r="H22" s="173"/>
      <c r="I22" s="173"/>
      <c r="J22" s="140"/>
    </row>
    <row r="23" spans="1:10" x14ac:dyDescent="0.25">
      <c r="A23" s="174"/>
      <c r="B23" s="175"/>
      <c r="C23" s="175"/>
      <c r="D23" s="175"/>
      <c r="E23" s="176"/>
      <c r="F23" s="174"/>
      <c r="G23" s="175"/>
      <c r="H23" s="175"/>
      <c r="I23" s="175"/>
      <c r="J23" s="176"/>
    </row>
    <row r="24" spans="1:10" ht="15" customHeight="1" x14ac:dyDescent="0.25">
      <c r="A24" s="149" t="s">
        <v>21</v>
      </c>
      <c r="B24" s="150"/>
      <c r="C24" s="150"/>
      <c r="D24" s="150"/>
      <c r="E24" s="151"/>
      <c r="F24" s="164" t="s">
        <v>22</v>
      </c>
      <c r="G24" s="165"/>
      <c r="H24" s="165"/>
      <c r="I24" s="165"/>
      <c r="J24" s="166"/>
    </row>
    <row r="25" spans="1:10" x14ac:dyDescent="0.25">
      <c r="A25" s="149" t="s">
        <v>23</v>
      </c>
      <c r="B25" s="150"/>
      <c r="C25" s="150"/>
      <c r="D25" s="150"/>
      <c r="E25" s="151"/>
      <c r="F25" s="164" t="s">
        <v>24</v>
      </c>
      <c r="G25" s="165"/>
      <c r="H25" s="165"/>
      <c r="I25" s="165"/>
      <c r="J25" s="166"/>
    </row>
    <row r="26" spans="1:10" ht="15" customHeight="1" x14ac:dyDescent="0.25">
      <c r="A26" s="149" t="s">
        <v>25</v>
      </c>
      <c r="B26" s="150"/>
      <c r="C26" s="150"/>
      <c r="D26" s="150"/>
      <c r="E26" s="151"/>
      <c r="F26" s="164" t="s">
        <v>26</v>
      </c>
      <c r="G26" s="165"/>
      <c r="H26" s="165"/>
      <c r="I26" s="165"/>
      <c r="J26" s="166"/>
    </row>
    <row r="27" spans="1:10" x14ac:dyDescent="0.25">
      <c r="A27" s="149" t="s">
        <v>27</v>
      </c>
      <c r="B27" s="150"/>
      <c r="C27" s="150"/>
      <c r="D27" s="150"/>
      <c r="E27" s="151"/>
      <c r="F27" s="164" t="s">
        <v>28</v>
      </c>
      <c r="G27" s="165"/>
      <c r="H27" s="165"/>
      <c r="I27" s="165"/>
      <c r="J27" s="166"/>
    </row>
    <row r="28" spans="1:10" x14ac:dyDescent="0.25">
      <c r="A28" s="142" t="s">
        <v>29</v>
      </c>
      <c r="B28" s="143"/>
      <c r="C28" s="142" t="s">
        <v>30</v>
      </c>
      <c r="D28" s="143"/>
      <c r="E28" s="142" t="s">
        <v>31</v>
      </c>
      <c r="F28" s="143"/>
      <c r="G28" s="142" t="s">
        <v>33</v>
      </c>
      <c r="H28" s="143"/>
      <c r="I28" s="142" t="s">
        <v>32</v>
      </c>
      <c r="J28" s="143"/>
    </row>
    <row r="29" spans="1:10" x14ac:dyDescent="0.25">
      <c r="A29" s="144" t="s">
        <v>34</v>
      </c>
      <c r="B29" s="145"/>
      <c r="C29" s="144" t="s">
        <v>35</v>
      </c>
      <c r="D29" s="145"/>
      <c r="E29" s="144" t="s">
        <v>35</v>
      </c>
      <c r="F29" s="145"/>
      <c r="G29" s="144" t="s">
        <v>35</v>
      </c>
      <c r="H29" s="145"/>
      <c r="I29" s="144" t="s">
        <v>35</v>
      </c>
      <c r="J29" s="145"/>
    </row>
    <row r="30" spans="1:10" x14ac:dyDescent="0.25">
      <c r="A30" s="144" t="s">
        <v>36</v>
      </c>
      <c r="B30" s="145"/>
      <c r="C30" s="144" t="s">
        <v>195</v>
      </c>
      <c r="D30" s="145"/>
      <c r="E30" s="144" t="s">
        <v>196</v>
      </c>
      <c r="F30" s="145"/>
      <c r="G30" s="144" t="s">
        <v>12</v>
      </c>
      <c r="H30" s="145"/>
      <c r="I30" s="144" t="s">
        <v>196</v>
      </c>
      <c r="J30" s="145"/>
    </row>
    <row r="31" spans="1:10" x14ac:dyDescent="0.25">
      <c r="A31" s="149" t="s">
        <v>37</v>
      </c>
      <c r="B31" s="150"/>
      <c r="C31" s="150"/>
      <c r="D31" s="150"/>
      <c r="E31" s="150"/>
      <c r="F31" s="150"/>
      <c r="G31" s="150"/>
      <c r="H31" s="150"/>
      <c r="I31" s="150"/>
      <c r="J31" s="151"/>
    </row>
    <row r="32" spans="1:10" x14ac:dyDescent="0.25">
      <c r="A32" s="84" t="s">
        <v>38</v>
      </c>
      <c r="B32" s="84"/>
      <c r="C32" s="84"/>
      <c r="D32" s="84"/>
      <c r="E32" s="84"/>
      <c r="F32" s="84"/>
      <c r="G32" s="84"/>
      <c r="H32" s="84"/>
      <c r="I32" s="84"/>
      <c r="J32" s="84"/>
    </row>
    <row r="33" spans="1:10" x14ac:dyDescent="0.25">
      <c r="A33" s="84" t="s">
        <v>39</v>
      </c>
      <c r="B33" s="84"/>
      <c r="C33" s="183" t="s">
        <v>40</v>
      </c>
      <c r="D33" s="183"/>
      <c r="E33" s="183">
        <v>19.288170999999998</v>
      </c>
      <c r="F33" s="183"/>
      <c r="G33" s="183" t="s">
        <v>41</v>
      </c>
      <c r="H33" s="183"/>
      <c r="I33" s="183">
        <v>73.085543999999999</v>
      </c>
      <c r="J33" s="183"/>
    </row>
    <row r="34" spans="1:10" x14ac:dyDescent="0.25">
      <c r="A34" s="84" t="s">
        <v>278</v>
      </c>
      <c r="B34" s="84"/>
      <c r="C34" s="85" t="s">
        <v>279</v>
      </c>
      <c r="D34" s="84"/>
      <c r="E34" s="84"/>
      <c r="F34" s="84"/>
      <c r="G34" s="84"/>
      <c r="H34" s="84"/>
      <c r="I34" s="84"/>
      <c r="J34" s="84"/>
    </row>
    <row r="35" spans="1:10" x14ac:dyDescent="0.25">
      <c r="A35" s="184" t="s">
        <v>42</v>
      </c>
      <c r="B35" s="184"/>
      <c r="C35" s="184"/>
      <c r="D35" s="184"/>
      <c r="E35" s="184"/>
      <c r="F35" s="184"/>
      <c r="G35" s="184"/>
      <c r="H35" s="184"/>
      <c r="I35" s="184"/>
      <c r="J35" s="184"/>
    </row>
    <row r="36" spans="1:10" ht="15" customHeight="1" x14ac:dyDescent="0.25">
      <c r="A36" s="147" t="s">
        <v>43</v>
      </c>
      <c r="B36" s="147"/>
      <c r="C36" s="147"/>
      <c r="D36" s="147"/>
      <c r="E36" s="147"/>
      <c r="F36" s="148" t="s">
        <v>211</v>
      </c>
      <c r="G36" s="148"/>
      <c r="H36" s="148"/>
      <c r="I36" s="148"/>
      <c r="J36" s="148"/>
    </row>
    <row r="37" spans="1:10" ht="15" customHeight="1" x14ac:dyDescent="0.25">
      <c r="A37" s="147" t="s">
        <v>44</v>
      </c>
      <c r="B37" s="147"/>
      <c r="C37" s="147"/>
      <c r="D37" s="147"/>
      <c r="E37" s="147"/>
      <c r="F37" s="147" t="s">
        <v>45</v>
      </c>
      <c r="G37" s="147"/>
      <c r="H37" s="147"/>
      <c r="I37" s="147"/>
      <c r="J37" s="147"/>
    </row>
    <row r="38" spans="1:10" x14ac:dyDescent="0.25">
      <c r="A38" s="184" t="s">
        <v>46</v>
      </c>
      <c r="B38" s="184"/>
      <c r="C38" s="184"/>
      <c r="D38" s="184"/>
      <c r="E38" s="184"/>
      <c r="F38" s="184"/>
      <c r="G38" s="184"/>
      <c r="H38" s="184"/>
      <c r="I38" s="184"/>
      <c r="J38" s="184"/>
    </row>
    <row r="39" spans="1:10" x14ac:dyDescent="0.25">
      <c r="A39" s="84" t="s">
        <v>47</v>
      </c>
      <c r="B39" s="84"/>
      <c r="C39" s="84"/>
      <c r="D39" s="84"/>
      <c r="E39" s="84"/>
      <c r="F39" s="187">
        <v>2998.78</v>
      </c>
      <c r="G39" s="187"/>
      <c r="H39" s="187"/>
      <c r="I39" s="187"/>
      <c r="J39" s="187"/>
    </row>
    <row r="40" spans="1:10" x14ac:dyDescent="0.25">
      <c r="A40" s="84" t="s">
        <v>48</v>
      </c>
      <c r="B40" s="84"/>
      <c r="C40" s="84"/>
      <c r="D40" s="84"/>
      <c r="E40" s="84"/>
      <c r="F40" s="146">
        <v>1</v>
      </c>
      <c r="G40" s="146"/>
      <c r="H40" s="146"/>
      <c r="I40" s="146"/>
      <c r="J40" s="146"/>
    </row>
    <row r="41" spans="1:10" x14ac:dyDescent="0.25">
      <c r="A41" s="84" t="s">
        <v>49</v>
      </c>
      <c r="B41" s="84"/>
      <c r="C41" s="84"/>
      <c r="D41" s="84"/>
      <c r="E41" s="84"/>
      <c r="F41" s="146">
        <f>F43/F39-F40</f>
        <v>0.72852293265928125</v>
      </c>
      <c r="G41" s="146"/>
      <c r="H41" s="146"/>
      <c r="I41" s="146"/>
      <c r="J41" s="146"/>
    </row>
    <row r="42" spans="1:10" x14ac:dyDescent="0.25">
      <c r="A42" s="84" t="s">
        <v>50</v>
      </c>
      <c r="B42" s="84"/>
      <c r="C42" s="84"/>
      <c r="D42" s="84"/>
      <c r="E42" s="84"/>
      <c r="F42" s="146">
        <f>F40+F41</f>
        <v>1.7285229326592813</v>
      </c>
      <c r="G42" s="146"/>
      <c r="H42" s="146"/>
      <c r="I42" s="146"/>
      <c r="J42" s="146"/>
    </row>
    <row r="43" spans="1:10" x14ac:dyDescent="0.25">
      <c r="A43" s="84" t="s">
        <v>51</v>
      </c>
      <c r="B43" s="84"/>
      <c r="C43" s="84"/>
      <c r="D43" s="84"/>
      <c r="E43" s="84"/>
      <c r="F43" s="213">
        <v>5183.46</v>
      </c>
      <c r="G43" s="213"/>
      <c r="H43" s="213"/>
      <c r="I43" s="213"/>
      <c r="J43" s="213"/>
    </row>
    <row r="44" spans="1:10" x14ac:dyDescent="0.25">
      <c r="A44" s="84" t="s">
        <v>52</v>
      </c>
      <c r="B44" s="84"/>
      <c r="C44" s="84"/>
      <c r="D44" s="84"/>
      <c r="E44" s="84"/>
      <c r="F44" s="214" t="s">
        <v>219</v>
      </c>
      <c r="G44" s="214"/>
      <c r="H44" s="214"/>
      <c r="I44" s="214"/>
      <c r="J44" s="214"/>
    </row>
    <row r="45" spans="1:10" x14ac:dyDescent="0.25">
      <c r="A45" s="161" t="s">
        <v>53</v>
      </c>
      <c r="B45" s="162"/>
      <c r="C45" s="162"/>
      <c r="D45" s="162"/>
      <c r="E45" s="162"/>
      <c r="F45" s="162"/>
      <c r="G45" s="162"/>
      <c r="H45" s="162"/>
      <c r="I45" s="162"/>
      <c r="J45" s="163"/>
    </row>
    <row r="46" spans="1:10" x14ac:dyDescent="0.25">
      <c r="A46" s="170" t="s">
        <v>54</v>
      </c>
      <c r="B46" s="172"/>
      <c r="C46" s="170" t="s">
        <v>212</v>
      </c>
      <c r="D46" s="171"/>
      <c r="E46" s="171"/>
      <c r="F46" s="172"/>
      <c r="G46" s="48" t="s">
        <v>55</v>
      </c>
      <c r="H46" s="170" t="s">
        <v>197</v>
      </c>
      <c r="I46" s="171"/>
      <c r="J46" s="172"/>
    </row>
    <row r="47" spans="1:10" x14ac:dyDescent="0.25">
      <c r="A47" s="170" t="s">
        <v>56</v>
      </c>
      <c r="B47" s="172"/>
      <c r="C47" s="170" t="str">
        <f>C46</f>
        <v>J.K.N.R.V.1526</v>
      </c>
      <c r="D47" s="171"/>
      <c r="E47" s="171"/>
      <c r="F47" s="172"/>
      <c r="G47" s="48" t="s">
        <v>55</v>
      </c>
      <c r="H47" s="170" t="str">
        <f>H46</f>
        <v>22/09/2015.</v>
      </c>
      <c r="I47" s="171"/>
      <c r="J47" s="172"/>
    </row>
    <row r="48" spans="1:10" ht="63.75" customHeight="1" x14ac:dyDescent="0.25">
      <c r="A48" s="170" t="s">
        <v>57</v>
      </c>
      <c r="B48" s="172"/>
      <c r="C48" s="170" t="s">
        <v>269</v>
      </c>
      <c r="D48" s="150"/>
      <c r="E48" s="150"/>
      <c r="F48" s="151"/>
      <c r="G48" s="51" t="s">
        <v>55</v>
      </c>
      <c r="H48" s="48" t="s">
        <v>197</v>
      </c>
      <c r="I48" s="188" t="s">
        <v>58</v>
      </c>
      <c r="J48" s="147"/>
    </row>
    <row r="49" spans="1:18" ht="15" customHeight="1" x14ac:dyDescent="0.25">
      <c r="A49" s="170" t="s">
        <v>59</v>
      </c>
      <c r="B49" s="172"/>
      <c r="C49" s="170" t="s">
        <v>152</v>
      </c>
      <c r="D49" s="150"/>
      <c r="E49" s="150"/>
      <c r="F49" s="151" t="s">
        <v>60</v>
      </c>
      <c r="G49" s="48" t="s">
        <v>55</v>
      </c>
      <c r="H49" s="170" t="s">
        <v>35</v>
      </c>
      <c r="I49" s="171" t="s">
        <v>35</v>
      </c>
      <c r="J49" s="172"/>
    </row>
    <row r="50" spans="1:18" x14ac:dyDescent="0.25">
      <c r="A50" s="84" t="s">
        <v>61</v>
      </c>
      <c r="B50" s="84"/>
      <c r="C50" s="84"/>
      <c r="D50" s="183" t="str">
        <f>H48</f>
        <v>22/09/2015.</v>
      </c>
      <c r="E50" s="183"/>
      <c r="F50" s="149" t="s">
        <v>62</v>
      </c>
      <c r="G50" s="185"/>
      <c r="H50" s="186">
        <v>45655</v>
      </c>
      <c r="I50" s="117"/>
      <c r="J50" s="118"/>
    </row>
    <row r="51" spans="1:18" x14ac:dyDescent="0.25">
      <c r="A51" s="189" t="s">
        <v>63</v>
      </c>
      <c r="B51" s="190"/>
      <c r="C51" s="190"/>
      <c r="D51" s="190"/>
      <c r="E51" s="190"/>
      <c r="F51" s="190"/>
      <c r="G51" s="190"/>
      <c r="H51" s="190"/>
      <c r="I51" s="190"/>
      <c r="J51" s="191"/>
    </row>
    <row r="52" spans="1:18" ht="15.75" customHeight="1" x14ac:dyDescent="0.25">
      <c r="A52" s="149" t="s">
        <v>64</v>
      </c>
      <c r="B52" s="150"/>
      <c r="C52" s="151"/>
      <c r="D52" s="144">
        <f>F43</f>
        <v>5183.46</v>
      </c>
      <c r="E52" s="145"/>
      <c r="F52" s="192" t="s">
        <v>65</v>
      </c>
      <c r="G52" s="193"/>
      <c r="H52" s="192" t="s">
        <v>210</v>
      </c>
      <c r="I52" s="194"/>
      <c r="J52" s="193"/>
    </row>
    <row r="53" spans="1:18" ht="31.5" customHeight="1" x14ac:dyDescent="0.25">
      <c r="A53" s="116" t="s">
        <v>66</v>
      </c>
      <c r="B53" s="117"/>
      <c r="C53" s="113" t="s">
        <v>220</v>
      </c>
      <c r="D53" s="114"/>
      <c r="E53" s="115"/>
      <c r="F53" s="149" t="s">
        <v>67</v>
      </c>
      <c r="G53" s="150"/>
      <c r="H53" s="150"/>
      <c r="I53" s="150"/>
      <c r="J53" s="151"/>
    </row>
    <row r="54" spans="1:18" ht="15.75" customHeight="1" x14ac:dyDescent="0.25">
      <c r="A54" s="149" t="s">
        <v>68</v>
      </c>
      <c r="B54" s="150"/>
      <c r="C54" s="150"/>
      <c r="D54" s="170" t="s">
        <v>69</v>
      </c>
      <c r="E54" s="171"/>
      <c r="F54" s="171"/>
      <c r="G54" s="171"/>
      <c r="H54" s="171"/>
      <c r="I54" s="171"/>
      <c r="J54" s="172"/>
    </row>
    <row r="55" spans="1:18" x14ac:dyDescent="0.25">
      <c r="A55" s="116" t="s">
        <v>213</v>
      </c>
      <c r="B55" s="117"/>
      <c r="C55" s="117"/>
      <c r="D55" s="117"/>
      <c r="E55" s="117"/>
      <c r="F55" s="117"/>
      <c r="G55" s="117"/>
      <c r="H55" s="117"/>
      <c r="I55" s="117"/>
      <c r="J55" s="118"/>
    </row>
    <row r="56" spans="1:18" ht="15" customHeight="1" thickBot="1" x14ac:dyDescent="0.3">
      <c r="A56" s="195" t="s">
        <v>70</v>
      </c>
      <c r="B56" s="196"/>
      <c r="C56" s="196"/>
      <c r="D56" s="196"/>
      <c r="E56" s="196"/>
      <c r="F56" s="196"/>
      <c r="G56" s="196"/>
      <c r="H56" s="196"/>
      <c r="I56" s="196"/>
      <c r="J56" s="197"/>
    </row>
    <row r="57" spans="1:18" s="53" customFormat="1" ht="15.75" customHeight="1" x14ac:dyDescent="0.25">
      <c r="A57" s="97" t="s">
        <v>244</v>
      </c>
      <c r="B57" s="98"/>
      <c r="C57" s="99" t="s">
        <v>270</v>
      </c>
      <c r="D57" s="99"/>
      <c r="E57" s="99"/>
      <c r="F57" s="99"/>
      <c r="G57" s="99"/>
      <c r="H57" s="99"/>
      <c r="I57" s="99"/>
      <c r="J57" s="100"/>
      <c r="K57" s="39" t="str">
        <f ca="1">(IF(C61=0,"Work not yet Started.",IF(D61=25%,"Piling work in process",IF(D61=50%,"Excavation work in process",IF(D61=100%,"Excavation work completed, ","0")))&amp;(IF(C62=0%,"",IF(C62=M63,"Footing work is process",IF(C62=M64,"Footing work Completed",IF(C62=M65,"1st Basement Completed",IF(C62=M66,"1st &amp; 2nd Basement Completed",IF(C62=M67,"1st to 3rd Basement Completed",IF(C62=M68,"1st to 4th Basement Completed",IF(C62=M69,"Plinth work is process",IF(C62=M70,"Plinth work completed","0")))))))))))&amp;(IF(C63&gt;0,", RCC upto "&amp;C63&amp;" Slab completed",""))&amp;(IF(C64&gt;0,", Brickwork upto "&amp;C64&amp;" Floor completed"," "))&amp;(IF(C65&gt;0,", Internal Plaster upto "&amp;C65&amp;" Floor completed"," "))&amp;(IF(C66&gt;0,", External Plaster upto "&amp;C66&amp;" Floor completed"," "))&amp;(IF(C67&gt;0,", Flooring upto "&amp;C67&amp;" Floor completed"," "))&amp;(IF(C68&gt;0,", Painting upto "&amp;C68&amp;" Floor completed"," "))&amp;(IF(C69&gt;0,", Finishing upto "&amp;C69&amp;" Floor completed"," ")))</f>
        <v>Excavation work completed, Plinth work completed, RCC upto 8 Slab completed, Brickwork upto 7 Floor completed, Internal Plaster upto 7 Floor completed, External Plaster upto 7 Floor completed, Flooring upto 7 Floor completed, Painting upto 5 Floor completed, Finishing upto 2 Floor completed</v>
      </c>
      <c r="L57" s="39"/>
      <c r="M57" s="52"/>
    </row>
    <row r="58" spans="1:18" s="53" customFormat="1" x14ac:dyDescent="0.25">
      <c r="A58" s="49" t="s">
        <v>140</v>
      </c>
      <c r="B58" s="47">
        <v>0</v>
      </c>
      <c r="C58" s="47" t="s">
        <v>142</v>
      </c>
      <c r="D58" s="47">
        <v>1</v>
      </c>
      <c r="E58" s="80" t="s">
        <v>141</v>
      </c>
      <c r="F58" s="96">
        <v>0</v>
      </c>
      <c r="G58" s="96"/>
      <c r="H58" s="47" t="s">
        <v>245</v>
      </c>
      <c r="I58" s="96">
        <f ca="1">--TRIM(RIGHT(SUBSTITUTE(LEFT(C57,_xlfn.AGGREGATE(16,6,FIND({0,1,2,3,4,5,6,7,8,9},C57,ROW(INDIRECT("1:"&amp;LEN(C57)))),1))," ",REPT(" ",LEN(C57))),LEN(C57)))</f>
        <v>7</v>
      </c>
      <c r="J58" s="101"/>
      <c r="K58" s="40" t="s">
        <v>246</v>
      </c>
      <c r="L58" s="40"/>
      <c r="M58" s="54"/>
    </row>
    <row r="59" spans="1:18" s="53" customFormat="1" ht="79.5" customHeight="1" x14ac:dyDescent="0.25">
      <c r="A59" s="102" t="s">
        <v>247</v>
      </c>
      <c r="B59" s="103"/>
      <c r="C59" s="104" t="str">
        <f ca="1">K57</f>
        <v>Excavation work completed, Plinth work completed, RCC upto 8 Slab completed, Brickwork upto 7 Floor completed, Internal Plaster upto 7 Floor completed, External Plaster upto 7 Floor completed, Flooring upto 7 Floor completed, Painting upto 5 Floor completed, Finishing upto 2 Floor completed</v>
      </c>
      <c r="D59" s="104"/>
      <c r="E59" s="104"/>
      <c r="F59" s="104"/>
      <c r="G59" s="104"/>
      <c r="H59" s="104"/>
      <c r="I59" s="104"/>
      <c r="J59" s="105"/>
      <c r="K59" s="40" t="s">
        <v>248</v>
      </c>
      <c r="L59" s="40"/>
      <c r="M59" s="54"/>
    </row>
    <row r="60" spans="1:18" s="53" customFormat="1" x14ac:dyDescent="0.25">
      <c r="A60" s="89" t="s">
        <v>71</v>
      </c>
      <c r="B60" s="90"/>
      <c r="C60" s="46" t="s">
        <v>249</v>
      </c>
      <c r="D60" s="90" t="s">
        <v>250</v>
      </c>
      <c r="E60" s="90"/>
      <c r="F60" s="90" t="s">
        <v>251</v>
      </c>
      <c r="G60" s="90"/>
      <c r="H60" s="90" t="s">
        <v>252</v>
      </c>
      <c r="I60" s="90"/>
      <c r="J60" s="91"/>
      <c r="K60" s="41" t="s">
        <v>253</v>
      </c>
      <c r="L60" s="55"/>
      <c r="M60" s="56">
        <f ca="1">I58*25%</f>
        <v>1.75</v>
      </c>
    </row>
    <row r="61" spans="1:18" s="53" customFormat="1" x14ac:dyDescent="0.25">
      <c r="A61" s="89" t="s">
        <v>254</v>
      </c>
      <c r="B61" s="90"/>
      <c r="C61" s="57">
        <f ca="1">M62</f>
        <v>7</v>
      </c>
      <c r="D61" s="92">
        <f ca="1">((100/I58)*C61)/100</f>
        <v>1</v>
      </c>
      <c r="E61" s="92"/>
      <c r="F61" s="92">
        <f ca="1">(IF(C59=K58,"100%",IF(C59=K59,"100%",(((C62/I58*10)+(40/(D58+F58+I58)*C63)+(7.5/(I58)*C64)+(7.5/(I58)*C65)+(10/I58*C66)+(10/I58*C67)+(5/I58*C68)+(5/I58*C69)+(5/I58*C70))/100))))</f>
        <v>0.9</v>
      </c>
      <c r="G61" s="92"/>
      <c r="H61" s="92">
        <f ca="1">((((C61/I58)*20)+((C62/I58)*25)+(30/(I58+F58+D58)*C63)+(5/I58*C64)+(5/I58*C65)+(5/I58*C66)+(5/I58*C67)+(0/I58*C68)+(0/I58*C69)+(5/I58*C70))/100)</f>
        <v>0.95</v>
      </c>
      <c r="I61" s="92"/>
      <c r="J61" s="93"/>
      <c r="K61" s="41" t="s">
        <v>146</v>
      </c>
      <c r="L61" s="58"/>
      <c r="M61" s="59">
        <f ca="1">I58*50%</f>
        <v>3.5</v>
      </c>
    </row>
    <row r="62" spans="1:18" s="53" customFormat="1" x14ac:dyDescent="0.25">
      <c r="A62" s="89" t="s">
        <v>72</v>
      </c>
      <c r="B62" s="90"/>
      <c r="C62" s="60">
        <f ca="1">M70</f>
        <v>7</v>
      </c>
      <c r="D62" s="92">
        <f ca="1">((100/I58)*C62)/100</f>
        <v>1</v>
      </c>
      <c r="E62" s="92"/>
      <c r="F62" s="92"/>
      <c r="G62" s="92"/>
      <c r="H62" s="92"/>
      <c r="I62" s="92"/>
      <c r="J62" s="93"/>
      <c r="K62" s="41" t="s">
        <v>147</v>
      </c>
      <c r="L62" s="58"/>
      <c r="M62" s="59">
        <f ca="1">I58</f>
        <v>7</v>
      </c>
    </row>
    <row r="63" spans="1:18" s="53" customFormat="1" x14ac:dyDescent="0.25">
      <c r="A63" s="89" t="s">
        <v>255</v>
      </c>
      <c r="B63" s="90"/>
      <c r="C63" s="60">
        <f ca="1">D58+F58+I58</f>
        <v>8</v>
      </c>
      <c r="D63" s="92">
        <f ca="1">((100/(D58+F58+I58))*C63)/100</f>
        <v>1</v>
      </c>
      <c r="E63" s="92"/>
      <c r="F63" s="92"/>
      <c r="G63" s="92"/>
      <c r="H63" s="92"/>
      <c r="I63" s="92"/>
      <c r="J63" s="93"/>
      <c r="K63" s="41" t="s">
        <v>148</v>
      </c>
      <c r="L63" s="58"/>
      <c r="M63" s="61">
        <f ca="1">(IF(B58=0,I58/4,(I58/(B58+4))))</f>
        <v>1.75</v>
      </c>
      <c r="P63" s="106" t="s">
        <v>243</v>
      </c>
      <c r="Q63" s="106"/>
      <c r="R63" s="106"/>
    </row>
    <row r="64" spans="1:18" s="53" customFormat="1" x14ac:dyDescent="0.25">
      <c r="A64" s="89" t="s">
        <v>256</v>
      </c>
      <c r="B64" s="90" t="s">
        <v>257</v>
      </c>
      <c r="C64" s="57">
        <v>7</v>
      </c>
      <c r="D64" s="92">
        <f ca="1">((100/I58)*C64)/100</f>
        <v>1</v>
      </c>
      <c r="E64" s="92"/>
      <c r="F64" s="92"/>
      <c r="G64" s="92"/>
      <c r="H64" s="92"/>
      <c r="I64" s="92"/>
      <c r="J64" s="93"/>
      <c r="K64" s="41" t="s">
        <v>149</v>
      </c>
      <c r="L64" s="58"/>
      <c r="M64" s="61">
        <f ca="1">(IF(B58=0,I58/4+M63,(I58/(B58+4)+M63)))</f>
        <v>3.5</v>
      </c>
      <c r="P64" s="106"/>
      <c r="Q64" s="106"/>
      <c r="R64" s="106"/>
    </row>
    <row r="65" spans="1:18" s="53" customFormat="1" x14ac:dyDescent="0.25">
      <c r="A65" s="89" t="s">
        <v>258</v>
      </c>
      <c r="B65" s="90" t="s">
        <v>257</v>
      </c>
      <c r="C65" s="57">
        <v>7</v>
      </c>
      <c r="D65" s="92">
        <f ca="1">((100/I58)*C65)/100</f>
        <v>1</v>
      </c>
      <c r="E65" s="92"/>
      <c r="F65" s="92"/>
      <c r="G65" s="92"/>
      <c r="H65" s="92"/>
      <c r="I65" s="92"/>
      <c r="J65" s="93"/>
      <c r="K65" s="41" t="s">
        <v>259</v>
      </c>
      <c r="L65" s="62"/>
      <c r="M65" s="61">
        <f>(IF(B58=0,0,(I58/(B58+4)+M64)))</f>
        <v>0</v>
      </c>
      <c r="P65" s="106"/>
      <c r="Q65" s="106"/>
      <c r="R65" s="106"/>
    </row>
    <row r="66" spans="1:18" s="53" customFormat="1" x14ac:dyDescent="0.25">
      <c r="A66" s="89" t="s">
        <v>260</v>
      </c>
      <c r="B66" s="90" t="s">
        <v>261</v>
      </c>
      <c r="C66" s="57">
        <v>7</v>
      </c>
      <c r="D66" s="92">
        <f ca="1">((100/(I58))*C66)/100</f>
        <v>1</v>
      </c>
      <c r="E66" s="92"/>
      <c r="F66" s="92"/>
      <c r="G66" s="92"/>
      <c r="H66" s="92"/>
      <c r="I66" s="92"/>
      <c r="J66" s="93"/>
      <c r="K66" s="41" t="s">
        <v>262</v>
      </c>
      <c r="L66" s="62"/>
      <c r="M66" s="61">
        <f>(IF(B58&gt;1,(I58/(B58+4)+M65),0))</f>
        <v>0</v>
      </c>
      <c r="P66" s="106"/>
      <c r="Q66" s="106"/>
      <c r="R66" s="106"/>
    </row>
    <row r="67" spans="1:18" s="53" customFormat="1" x14ac:dyDescent="0.25">
      <c r="A67" s="89" t="s">
        <v>263</v>
      </c>
      <c r="B67" s="90" t="s">
        <v>263</v>
      </c>
      <c r="C67" s="57">
        <v>7</v>
      </c>
      <c r="D67" s="92">
        <f ca="1">((100/I58)*C67)/100</f>
        <v>1</v>
      </c>
      <c r="E67" s="92"/>
      <c r="F67" s="92"/>
      <c r="G67" s="92"/>
      <c r="H67" s="92"/>
      <c r="I67" s="92"/>
      <c r="J67" s="93"/>
      <c r="K67" s="41" t="s">
        <v>264</v>
      </c>
      <c r="L67" s="63"/>
      <c r="M67" s="64">
        <f>(IF(B58&gt;2,(I58/(B58+4)+M66),0))</f>
        <v>0</v>
      </c>
      <c r="P67" s="106"/>
      <c r="Q67" s="106"/>
      <c r="R67" s="106"/>
    </row>
    <row r="68" spans="1:18" s="53" customFormat="1" x14ac:dyDescent="0.25">
      <c r="A68" s="89" t="s">
        <v>265</v>
      </c>
      <c r="B68" s="90"/>
      <c r="C68" s="57">
        <v>5</v>
      </c>
      <c r="D68" s="92">
        <f ca="1">((100/I58)*C68)/100</f>
        <v>0.7142857142857143</v>
      </c>
      <c r="E68" s="92"/>
      <c r="F68" s="92"/>
      <c r="G68" s="92"/>
      <c r="H68" s="92"/>
      <c r="I68" s="92"/>
      <c r="J68" s="93"/>
      <c r="K68" s="41" t="s">
        <v>266</v>
      </c>
      <c r="L68" s="65"/>
      <c r="M68" s="66">
        <f>(IF(B58&gt;3,(I58/(B58+4)+M67),0))</f>
        <v>0</v>
      </c>
      <c r="P68" s="106"/>
      <c r="Q68" s="106"/>
      <c r="R68" s="106"/>
    </row>
    <row r="69" spans="1:18" s="53" customFormat="1" x14ac:dyDescent="0.25">
      <c r="A69" s="89" t="s">
        <v>267</v>
      </c>
      <c r="B69" s="90" t="s">
        <v>267</v>
      </c>
      <c r="C69" s="57">
        <v>2</v>
      </c>
      <c r="D69" s="92">
        <f ca="1">((100/(I58))*C69)/100</f>
        <v>0.28571428571428575</v>
      </c>
      <c r="E69" s="92"/>
      <c r="F69" s="92"/>
      <c r="G69" s="92"/>
      <c r="H69" s="92"/>
      <c r="I69" s="92"/>
      <c r="J69" s="93"/>
      <c r="K69" s="41" t="s">
        <v>150</v>
      </c>
      <c r="L69" s="58"/>
      <c r="M69" s="61">
        <f ca="1">(IF(B58=0,I58/4+M64,(I58/(B58+4)+M64+MAX(0,M65-M64)+MAX(0,M66-M65)+MAX(0,M67-M66)+MAX(0,M68-M67))))</f>
        <v>5.25</v>
      </c>
      <c r="P69" s="106"/>
      <c r="Q69" s="106"/>
      <c r="R69" s="106"/>
    </row>
    <row r="70" spans="1:18" s="53" customFormat="1" ht="16.5" thickBot="1" x14ac:dyDescent="0.3">
      <c r="A70" s="86" t="s">
        <v>268</v>
      </c>
      <c r="B70" s="87"/>
      <c r="C70" s="67">
        <v>0</v>
      </c>
      <c r="D70" s="88">
        <f ca="1">((100/(I58))*C70)/100</f>
        <v>0</v>
      </c>
      <c r="E70" s="88"/>
      <c r="F70" s="88"/>
      <c r="G70" s="88"/>
      <c r="H70" s="88"/>
      <c r="I70" s="88"/>
      <c r="J70" s="94"/>
      <c r="K70" s="42" t="s">
        <v>151</v>
      </c>
      <c r="L70" s="68"/>
      <c r="M70" s="69">
        <f ca="1">(IF(B58=0,I58/4+M69,(I58/(B58+4)+M69)))</f>
        <v>7</v>
      </c>
      <c r="P70" s="106"/>
      <c r="Q70" s="106"/>
      <c r="R70" s="106"/>
    </row>
    <row r="71" spans="1:18" s="53" customFormat="1" ht="15.75" customHeight="1" x14ac:dyDescent="0.25">
      <c r="A71" s="97" t="s">
        <v>244</v>
      </c>
      <c r="B71" s="98"/>
      <c r="C71" s="99" t="s">
        <v>271</v>
      </c>
      <c r="D71" s="99"/>
      <c r="E71" s="99"/>
      <c r="F71" s="99"/>
      <c r="G71" s="99"/>
      <c r="H71" s="99"/>
      <c r="I71" s="99"/>
      <c r="J71" s="100"/>
      <c r="K71" s="39" t="str">
        <f ca="1">(IF(C75=0,"Work not yet Started.",IF(D75=25%,"Piling work in process",IF(D75=50%,"Excavation work in process",IF(D75=100%,"Excavation work completed, ","0")))&amp;(IF(C76=0%,"",IF(C76=M77,"Footing work is process",IF(C76=M78,"Footing work Completed",IF(C76=M79,"1st Basement Completed",IF(C76=M80,"1st &amp; 2nd Basement Completed",IF(C76=M81,"1st to 3rd Basement Completed",IF(C76=M82,"1st to 4th Basement Completed",IF(C76=M83,"Plinth work is process",IF(C76=M84,"Plinth work completed","0")))))))))))&amp;(IF(C77&gt;0,", RCC upto "&amp;C77&amp;" Slab completed",""))&amp;(IF(C78&gt;0,", Brickwork upto "&amp;C78&amp;" Floor completed"," "))&amp;(IF(C79&gt;0,", Internal Plaster upto "&amp;C79&amp;" Floor completed"," "))&amp;(IF(C80&gt;0,", External Plaster upto "&amp;C80&amp;" Floor completed"," "))&amp;(IF(C81&gt;0,", Flooring upto "&amp;C81&amp;" Floor completed"," "))&amp;(IF(C82&gt;0,", Painting upto "&amp;C82&amp;" Floor completed"," "))&amp;(IF(C83&gt;0,", Finishing upto "&amp;C83&amp;" Floor completed"," ")))</f>
        <v>Excavation work completed, Plinth work completed, RCC upto 8 Slab completed, Brickwork upto 7 Floor completed, Internal Plaster upto 7 Floor completed, External Plaster upto 7 Floor completed, Flooring upto 6 Floor completed, Painting upto 6 Floor completed, Finishing upto 3 Floor completed</v>
      </c>
      <c r="L71" s="39"/>
      <c r="M71" s="52"/>
      <c r="P71" s="106"/>
      <c r="Q71" s="106"/>
      <c r="R71" s="106"/>
    </row>
    <row r="72" spans="1:18" s="53" customFormat="1" x14ac:dyDescent="0.25">
      <c r="A72" s="49" t="s">
        <v>140</v>
      </c>
      <c r="B72" s="47">
        <v>0</v>
      </c>
      <c r="C72" s="47" t="s">
        <v>142</v>
      </c>
      <c r="D72" s="47">
        <v>1</v>
      </c>
      <c r="E72" s="47" t="s">
        <v>141</v>
      </c>
      <c r="F72" s="96">
        <v>0</v>
      </c>
      <c r="G72" s="96"/>
      <c r="H72" s="47" t="s">
        <v>245</v>
      </c>
      <c r="I72" s="96">
        <f ca="1">--TRIM(RIGHT(SUBSTITUTE(LEFT(C71,_xlfn.AGGREGATE(16,6,FIND({0,1,2,3,4,5,6,7,8,9},C71,ROW(INDIRECT("1:"&amp;LEN(C71)))),1))," ",REPT(" ",LEN(C71))),LEN(C71)))</f>
        <v>7</v>
      </c>
      <c r="J72" s="101"/>
      <c r="K72" s="40" t="s">
        <v>246</v>
      </c>
      <c r="L72" s="40"/>
      <c r="M72" s="54"/>
      <c r="P72" s="106"/>
      <c r="Q72" s="106"/>
      <c r="R72" s="106"/>
    </row>
    <row r="73" spans="1:18" s="53" customFormat="1" ht="81" customHeight="1" x14ac:dyDescent="0.25">
      <c r="A73" s="102" t="s">
        <v>247</v>
      </c>
      <c r="B73" s="103"/>
      <c r="C73" s="104" t="str">
        <f ca="1">K71</f>
        <v>Excavation work completed, Plinth work completed, RCC upto 8 Slab completed, Brickwork upto 7 Floor completed, Internal Plaster upto 7 Floor completed, External Plaster upto 7 Floor completed, Flooring upto 6 Floor completed, Painting upto 6 Floor completed, Finishing upto 3 Floor completed</v>
      </c>
      <c r="D73" s="104"/>
      <c r="E73" s="104"/>
      <c r="F73" s="104"/>
      <c r="G73" s="104"/>
      <c r="H73" s="104"/>
      <c r="I73" s="104"/>
      <c r="J73" s="105"/>
      <c r="K73" s="40" t="s">
        <v>248</v>
      </c>
      <c r="L73" s="40"/>
      <c r="M73" s="54"/>
      <c r="P73" s="106"/>
      <c r="Q73" s="106"/>
      <c r="R73" s="106"/>
    </row>
    <row r="74" spans="1:18" s="53" customFormat="1" x14ac:dyDescent="0.25">
      <c r="A74" s="89" t="s">
        <v>71</v>
      </c>
      <c r="B74" s="90"/>
      <c r="C74" s="46" t="s">
        <v>249</v>
      </c>
      <c r="D74" s="90" t="s">
        <v>250</v>
      </c>
      <c r="E74" s="90"/>
      <c r="F74" s="90" t="s">
        <v>251</v>
      </c>
      <c r="G74" s="90"/>
      <c r="H74" s="90" t="s">
        <v>252</v>
      </c>
      <c r="I74" s="90"/>
      <c r="J74" s="91"/>
      <c r="K74" s="41" t="s">
        <v>253</v>
      </c>
      <c r="L74" s="55"/>
      <c r="M74" s="56">
        <f ca="1">I72*25%</f>
        <v>1.75</v>
      </c>
      <c r="P74" s="106"/>
      <c r="Q74" s="106"/>
      <c r="R74" s="106"/>
    </row>
    <row r="75" spans="1:18" s="53" customFormat="1" x14ac:dyDescent="0.25">
      <c r="A75" s="89" t="s">
        <v>254</v>
      </c>
      <c r="B75" s="90"/>
      <c r="C75" s="57">
        <f ca="1">M76</f>
        <v>7</v>
      </c>
      <c r="D75" s="92">
        <f ca="1">((100/I72)*C75)/100</f>
        <v>1</v>
      </c>
      <c r="E75" s="92"/>
      <c r="F75" s="92">
        <f ca="1">(IF(C73=K72,"100%",IF(C73=K73,"100%",(((C76/I72*10)+(40/(D72+F72+I72)*C77)+(7.5/(I72)*C78)+(7.5/(I72)*C79)+(10/I72*C80)+(10/I72*C81)+(5/I72*C82)+(5/I72*C83)+(5/I72*C84))/100))))</f>
        <v>0.9</v>
      </c>
      <c r="G75" s="92"/>
      <c r="H75" s="92">
        <f ca="1">((((C75/I72)*20)+((C76/I72)*25)+(30/(I72+F72+D72)*C77)+(5/I72*C78)+(5/I72*C79)+(5/I72*C80)+(5/I72*C81)+(0/I72*C82)+(0/I72*C83)+(5/I72*C84))/100)</f>
        <v>0.94285714285714295</v>
      </c>
      <c r="I75" s="92"/>
      <c r="J75" s="93"/>
      <c r="K75" s="41" t="s">
        <v>146</v>
      </c>
      <c r="L75" s="58"/>
      <c r="M75" s="59">
        <f ca="1">I72*50%</f>
        <v>3.5</v>
      </c>
      <c r="P75" s="106"/>
      <c r="Q75" s="106"/>
      <c r="R75" s="106"/>
    </row>
    <row r="76" spans="1:18" s="53" customFormat="1" x14ac:dyDescent="0.25">
      <c r="A76" s="89" t="s">
        <v>72</v>
      </c>
      <c r="B76" s="90"/>
      <c r="C76" s="60">
        <f ca="1">M84</f>
        <v>7</v>
      </c>
      <c r="D76" s="92">
        <f ca="1">((100/I72)*C76)/100</f>
        <v>1</v>
      </c>
      <c r="E76" s="92"/>
      <c r="F76" s="92"/>
      <c r="G76" s="92"/>
      <c r="H76" s="92"/>
      <c r="I76" s="92"/>
      <c r="J76" s="93"/>
      <c r="K76" s="41" t="s">
        <v>147</v>
      </c>
      <c r="L76" s="58"/>
      <c r="M76" s="59">
        <f ca="1">I72</f>
        <v>7</v>
      </c>
    </row>
    <row r="77" spans="1:18" s="53" customFormat="1" x14ac:dyDescent="0.25">
      <c r="A77" s="95" t="s">
        <v>255</v>
      </c>
      <c r="B77" s="96"/>
      <c r="C77" s="60">
        <f ca="1">D72+F72+I72</f>
        <v>8</v>
      </c>
      <c r="D77" s="92">
        <f ca="1">((100/(D72+F72+I72))*C77)/100</f>
        <v>1</v>
      </c>
      <c r="E77" s="92"/>
      <c r="F77" s="92"/>
      <c r="G77" s="92"/>
      <c r="H77" s="92"/>
      <c r="I77" s="92"/>
      <c r="J77" s="93"/>
      <c r="K77" s="41" t="s">
        <v>148</v>
      </c>
      <c r="L77" s="58"/>
      <c r="M77" s="61">
        <f ca="1">(IF(B72=0,I72/4,(I72/(B72+4))))</f>
        <v>1.75</v>
      </c>
    </row>
    <row r="78" spans="1:18" s="53" customFormat="1" x14ac:dyDescent="0.25">
      <c r="A78" s="89" t="s">
        <v>256</v>
      </c>
      <c r="B78" s="90" t="s">
        <v>257</v>
      </c>
      <c r="C78" s="57">
        <v>7</v>
      </c>
      <c r="D78" s="92">
        <f ca="1">((100/I72)*C78)/100</f>
        <v>1</v>
      </c>
      <c r="E78" s="92"/>
      <c r="F78" s="92"/>
      <c r="G78" s="92"/>
      <c r="H78" s="92"/>
      <c r="I78" s="92"/>
      <c r="J78" s="93"/>
      <c r="K78" s="41" t="s">
        <v>149</v>
      </c>
      <c r="L78" s="58"/>
      <c r="M78" s="61">
        <f ca="1">(IF(B72=0,I72/4+M77,(I72/(B72+4)+M77)))</f>
        <v>3.5</v>
      </c>
    </row>
    <row r="79" spans="1:18" s="53" customFormat="1" x14ac:dyDescent="0.25">
      <c r="A79" s="89" t="s">
        <v>258</v>
      </c>
      <c r="B79" s="90" t="s">
        <v>257</v>
      </c>
      <c r="C79" s="57">
        <v>7</v>
      </c>
      <c r="D79" s="92">
        <f ca="1">((100/I72)*C79)/100</f>
        <v>1</v>
      </c>
      <c r="E79" s="92"/>
      <c r="F79" s="92"/>
      <c r="G79" s="92"/>
      <c r="H79" s="92"/>
      <c r="I79" s="92"/>
      <c r="J79" s="93"/>
      <c r="K79" s="41" t="s">
        <v>259</v>
      </c>
      <c r="L79" s="62"/>
      <c r="M79" s="61">
        <f>(IF(B72=0,0,(I72/(B72+4)+M78)))</f>
        <v>0</v>
      </c>
    </row>
    <row r="80" spans="1:18" s="53" customFormat="1" x14ac:dyDescent="0.25">
      <c r="A80" s="89" t="s">
        <v>260</v>
      </c>
      <c r="B80" s="90" t="s">
        <v>261</v>
      </c>
      <c r="C80" s="57">
        <v>7</v>
      </c>
      <c r="D80" s="92">
        <f ca="1">((100/(I72))*C80)/100</f>
        <v>1</v>
      </c>
      <c r="E80" s="92"/>
      <c r="F80" s="92"/>
      <c r="G80" s="92"/>
      <c r="H80" s="92"/>
      <c r="I80" s="92"/>
      <c r="J80" s="93"/>
      <c r="K80" s="41" t="s">
        <v>262</v>
      </c>
      <c r="L80" s="62"/>
      <c r="M80" s="61">
        <f>(IF(B72&gt;1,(I72/(B72+4)+M79),0))</f>
        <v>0</v>
      </c>
    </row>
    <row r="81" spans="1:13" s="53" customFormat="1" x14ac:dyDescent="0.25">
      <c r="A81" s="89" t="s">
        <v>263</v>
      </c>
      <c r="B81" s="90" t="s">
        <v>263</v>
      </c>
      <c r="C81" s="57">
        <v>6</v>
      </c>
      <c r="D81" s="92">
        <f ca="1">((100/I72)*C81)/100</f>
        <v>0.85714285714285721</v>
      </c>
      <c r="E81" s="92"/>
      <c r="F81" s="92"/>
      <c r="G81" s="92"/>
      <c r="H81" s="92"/>
      <c r="I81" s="92"/>
      <c r="J81" s="93"/>
      <c r="K81" s="41" t="s">
        <v>264</v>
      </c>
      <c r="L81" s="63"/>
      <c r="M81" s="64">
        <f>(IF(B72&gt;2,(I72/(B72+4)+M80),0))</f>
        <v>0</v>
      </c>
    </row>
    <row r="82" spans="1:13" s="53" customFormat="1" x14ac:dyDescent="0.25">
      <c r="A82" s="89" t="s">
        <v>265</v>
      </c>
      <c r="B82" s="90"/>
      <c r="C82" s="57">
        <v>6</v>
      </c>
      <c r="D82" s="92">
        <f ca="1">((100/I72)*C82)/100</f>
        <v>0.85714285714285721</v>
      </c>
      <c r="E82" s="92"/>
      <c r="F82" s="92"/>
      <c r="G82" s="92"/>
      <c r="H82" s="92"/>
      <c r="I82" s="92"/>
      <c r="J82" s="93"/>
      <c r="K82" s="41" t="s">
        <v>266</v>
      </c>
      <c r="L82" s="65"/>
      <c r="M82" s="66">
        <f>(IF(B72&gt;3,(I72/(B72+4)+M81),0))</f>
        <v>0</v>
      </c>
    </row>
    <row r="83" spans="1:13" s="53" customFormat="1" x14ac:dyDescent="0.25">
      <c r="A83" s="89" t="s">
        <v>267</v>
      </c>
      <c r="B83" s="90" t="s">
        <v>267</v>
      </c>
      <c r="C83" s="57">
        <v>3</v>
      </c>
      <c r="D83" s="92">
        <f ca="1">((100/(I72))*C83)/100</f>
        <v>0.4285714285714286</v>
      </c>
      <c r="E83" s="92"/>
      <c r="F83" s="92"/>
      <c r="G83" s="92"/>
      <c r="H83" s="92"/>
      <c r="I83" s="92"/>
      <c r="J83" s="93"/>
      <c r="K83" s="41" t="s">
        <v>150</v>
      </c>
      <c r="L83" s="58"/>
      <c r="M83" s="61">
        <f ca="1">(IF(B72=0,I72/4+M78,(I72/(B72+4)+M78+MAX(0,M79-M78)+MAX(0,M80-M79)+MAX(0,M81-M80)+MAX(0,M82-M81))))</f>
        <v>5.25</v>
      </c>
    </row>
    <row r="84" spans="1:13" s="53" customFormat="1" ht="16.5" thickBot="1" x14ac:dyDescent="0.3">
      <c r="A84" s="86" t="s">
        <v>268</v>
      </c>
      <c r="B84" s="87"/>
      <c r="C84" s="67">
        <v>0</v>
      </c>
      <c r="D84" s="88">
        <f ca="1">((100/(I72))*C84)/100</f>
        <v>0</v>
      </c>
      <c r="E84" s="88"/>
      <c r="F84" s="88"/>
      <c r="G84" s="88"/>
      <c r="H84" s="88"/>
      <c r="I84" s="88"/>
      <c r="J84" s="94"/>
      <c r="K84" s="42" t="s">
        <v>151</v>
      </c>
      <c r="L84" s="68"/>
      <c r="M84" s="69">
        <f ca="1">(IF(B72=0,I72/4+M83,(I72/(B72+4)+M83)))</f>
        <v>7</v>
      </c>
    </row>
    <row r="85" spans="1:13" s="53" customFormat="1" ht="15.75" customHeight="1" x14ac:dyDescent="0.25">
      <c r="A85" s="97" t="s">
        <v>244</v>
      </c>
      <c r="B85" s="98"/>
      <c r="C85" s="99" t="s">
        <v>272</v>
      </c>
      <c r="D85" s="99"/>
      <c r="E85" s="99"/>
      <c r="F85" s="99"/>
      <c r="G85" s="99"/>
      <c r="H85" s="99"/>
      <c r="I85" s="99"/>
      <c r="J85" s="100"/>
      <c r="K85" s="39" t="str">
        <f>(IF(C89=0,"Work not yet Started.",IF(D89=25%,"Piling work in process",IF(D89=50%,"Excavation work in process",IF(D89=100%,"Excavation work completed, ","0")))&amp;(IF(C90=0%,"",IF(C90=M91,"Footing work is process",IF(C90=M92,"Footing work Completed",IF(C90=M93,"1st Basement Completed",IF(C90=M94,"1st &amp; 2nd Basement Completed",IF(C90=M95,"1st to 3rd Basement Completed",IF(C90=M96,"1st to 4th Basement Completed",IF(C90=M97,"Plinth work is process",IF(C90=M98,"Plinth work completed","0")))))))))))&amp;(IF(C91&gt;0,", RCC upto "&amp;C91&amp;" Slab completed",""))&amp;(IF(C92&gt;0,", Brickwork upto "&amp;C92&amp;" Floor completed"," "))&amp;(IF(C93&gt;0,", Internal Plaster upto "&amp;C93&amp;" Floor completed"," "))&amp;(IF(C94&gt;0,", External Plaster upto "&amp;C94&amp;" Floor completed"," "))&amp;(IF(C95&gt;0,", Flooring upto "&amp;C95&amp;" Floor completed"," "))&amp;(IF(C96&gt;0,", Painting upto "&amp;C96&amp;" Floor completed"," "))&amp;(IF(C97&gt;0,", Finishing upto "&amp;C97&amp;" Floor completed"," ")))</f>
        <v xml:space="preserve">Work not yet Started.      </v>
      </c>
      <c r="L85" s="39"/>
      <c r="M85" s="52"/>
    </row>
    <row r="86" spans="1:13" s="53" customFormat="1" x14ac:dyDescent="0.25">
      <c r="A86" s="49" t="s">
        <v>140</v>
      </c>
      <c r="B86" s="47">
        <v>0</v>
      </c>
      <c r="C86" s="47" t="s">
        <v>142</v>
      </c>
      <c r="D86" s="47">
        <v>1</v>
      </c>
      <c r="E86" s="47" t="s">
        <v>141</v>
      </c>
      <c r="F86" s="96">
        <v>0</v>
      </c>
      <c r="G86" s="96"/>
      <c r="H86" s="47" t="s">
        <v>245</v>
      </c>
      <c r="I86" s="96">
        <f ca="1">--TRIM(RIGHT(SUBSTITUTE(LEFT(C85,_xlfn.AGGREGATE(16,6,FIND({0,1,2,3,4,5,6,7,8,9},C85,ROW(INDIRECT("1:"&amp;LEN(C85)))),1))," ",REPT(" ",LEN(C85))),LEN(C85)))</f>
        <v>7</v>
      </c>
      <c r="J86" s="101"/>
      <c r="K86" s="40" t="s">
        <v>246</v>
      </c>
      <c r="L86" s="40"/>
      <c r="M86" s="54"/>
    </row>
    <row r="87" spans="1:13" s="53" customFormat="1" ht="15.75" customHeight="1" x14ac:dyDescent="0.25">
      <c r="A87" s="102" t="s">
        <v>247</v>
      </c>
      <c r="B87" s="103"/>
      <c r="C87" s="104" t="str">
        <f>K85</f>
        <v xml:space="preserve">Work not yet Started.      </v>
      </c>
      <c r="D87" s="104"/>
      <c r="E87" s="104"/>
      <c r="F87" s="104"/>
      <c r="G87" s="104"/>
      <c r="H87" s="104"/>
      <c r="I87" s="104"/>
      <c r="J87" s="105"/>
      <c r="K87" s="40" t="s">
        <v>248</v>
      </c>
      <c r="L87" s="40"/>
      <c r="M87" s="54"/>
    </row>
    <row r="88" spans="1:13" s="53" customFormat="1" x14ac:dyDescent="0.25">
      <c r="A88" s="89" t="s">
        <v>71</v>
      </c>
      <c r="B88" s="90"/>
      <c r="C88" s="46" t="s">
        <v>249</v>
      </c>
      <c r="D88" s="90" t="s">
        <v>250</v>
      </c>
      <c r="E88" s="90"/>
      <c r="F88" s="90" t="s">
        <v>251</v>
      </c>
      <c r="G88" s="90"/>
      <c r="H88" s="90" t="s">
        <v>252</v>
      </c>
      <c r="I88" s="90"/>
      <c r="J88" s="91"/>
      <c r="K88" s="41" t="s">
        <v>253</v>
      </c>
      <c r="L88" s="55"/>
      <c r="M88" s="56">
        <f ca="1">I86*25%</f>
        <v>1.75</v>
      </c>
    </row>
    <row r="89" spans="1:13" s="53" customFormat="1" x14ac:dyDescent="0.25">
      <c r="A89" s="89" t="s">
        <v>254</v>
      </c>
      <c r="B89" s="90"/>
      <c r="C89" s="57">
        <v>0</v>
      </c>
      <c r="D89" s="92">
        <f ca="1">((100/I86)*C89)/100</f>
        <v>0</v>
      </c>
      <c r="E89" s="92"/>
      <c r="F89" s="92">
        <f ca="1">(IF(C87=K86,"100%",IF(C87=K87,"100%",(((C90/I86*10)+(40/(D86+F86+I86)*C91)+(7.5/(I86)*C92)+(7.5/(I86)*C93)+(10/I86*C94)+(10/I86*C95)+(5/I86*C96)+(5/I86*C97)+(5/I86*C98))/100))))</f>
        <v>0</v>
      </c>
      <c r="G89" s="92"/>
      <c r="H89" s="92">
        <f ca="1">((((C89/I86)*20)+((C90/I86)*25)+(30/(I86+F86+D86)*C91)+(5/I86*C92)+(5/I86*C93)+(5/I86*C94)+(5/I86*C95)+(0/I86*C96)+(0/I86*C97)+(5/I86*C98))/100)</f>
        <v>0</v>
      </c>
      <c r="I89" s="92"/>
      <c r="J89" s="93"/>
      <c r="K89" s="41" t="s">
        <v>146</v>
      </c>
      <c r="L89" s="58"/>
      <c r="M89" s="59">
        <f ca="1">I86*50%</f>
        <v>3.5</v>
      </c>
    </row>
    <row r="90" spans="1:13" s="53" customFormat="1" x14ac:dyDescent="0.25">
      <c r="A90" s="89" t="s">
        <v>72</v>
      </c>
      <c r="B90" s="90"/>
      <c r="C90" s="60">
        <v>0</v>
      </c>
      <c r="D90" s="92">
        <f ca="1">((100/I86)*C90)/100</f>
        <v>0</v>
      </c>
      <c r="E90" s="92"/>
      <c r="F90" s="92"/>
      <c r="G90" s="92"/>
      <c r="H90" s="92"/>
      <c r="I90" s="92"/>
      <c r="J90" s="93"/>
      <c r="K90" s="41" t="s">
        <v>147</v>
      </c>
      <c r="L90" s="58"/>
      <c r="M90" s="59">
        <f ca="1">I86</f>
        <v>7</v>
      </c>
    </row>
    <row r="91" spans="1:13" s="53" customFormat="1" x14ac:dyDescent="0.25">
      <c r="A91" s="95" t="s">
        <v>255</v>
      </c>
      <c r="B91" s="96"/>
      <c r="C91" s="60">
        <v>0</v>
      </c>
      <c r="D91" s="92">
        <f ca="1">((100/(D86+F86+I86))*C91)/100</f>
        <v>0</v>
      </c>
      <c r="E91" s="92"/>
      <c r="F91" s="92"/>
      <c r="G91" s="92"/>
      <c r="H91" s="92"/>
      <c r="I91" s="92"/>
      <c r="J91" s="93"/>
      <c r="K91" s="41" t="s">
        <v>148</v>
      </c>
      <c r="L91" s="58"/>
      <c r="M91" s="61">
        <f ca="1">(IF(B86=0,I86/4,(I86/(B86+4))))</f>
        <v>1.75</v>
      </c>
    </row>
    <row r="92" spans="1:13" s="53" customFormat="1" x14ac:dyDescent="0.25">
      <c r="A92" s="89" t="s">
        <v>256</v>
      </c>
      <c r="B92" s="90" t="s">
        <v>257</v>
      </c>
      <c r="C92" s="57">
        <v>0</v>
      </c>
      <c r="D92" s="92">
        <f ca="1">((100/I86)*C92)/100</f>
        <v>0</v>
      </c>
      <c r="E92" s="92"/>
      <c r="F92" s="92"/>
      <c r="G92" s="92"/>
      <c r="H92" s="92"/>
      <c r="I92" s="92"/>
      <c r="J92" s="93"/>
      <c r="K92" s="41" t="s">
        <v>149</v>
      </c>
      <c r="L92" s="58"/>
      <c r="M92" s="61">
        <f ca="1">(IF(B86=0,I86/4+M91,(I86/(B86+4)+M91)))</f>
        <v>3.5</v>
      </c>
    </row>
    <row r="93" spans="1:13" s="53" customFormat="1" x14ac:dyDescent="0.25">
      <c r="A93" s="89" t="s">
        <v>258</v>
      </c>
      <c r="B93" s="90" t="s">
        <v>257</v>
      </c>
      <c r="C93" s="57">
        <v>0</v>
      </c>
      <c r="D93" s="92">
        <f ca="1">((100/I86)*C93)/100</f>
        <v>0</v>
      </c>
      <c r="E93" s="92"/>
      <c r="F93" s="92"/>
      <c r="G93" s="92"/>
      <c r="H93" s="92"/>
      <c r="I93" s="92"/>
      <c r="J93" s="93"/>
      <c r="K93" s="41" t="s">
        <v>259</v>
      </c>
      <c r="L93" s="62"/>
      <c r="M93" s="61">
        <f>(IF(B86=0,0,(I86/(B86+4)+M92)))</f>
        <v>0</v>
      </c>
    </row>
    <row r="94" spans="1:13" s="53" customFormat="1" x14ac:dyDescent="0.25">
      <c r="A94" s="89" t="s">
        <v>260</v>
      </c>
      <c r="B94" s="90" t="s">
        <v>261</v>
      </c>
      <c r="C94" s="57">
        <v>0</v>
      </c>
      <c r="D94" s="92">
        <f ca="1">((100/(I86))*C94)/100</f>
        <v>0</v>
      </c>
      <c r="E94" s="92"/>
      <c r="F94" s="92"/>
      <c r="G94" s="92"/>
      <c r="H94" s="92"/>
      <c r="I94" s="92"/>
      <c r="J94" s="93"/>
      <c r="K94" s="41" t="s">
        <v>262</v>
      </c>
      <c r="L94" s="62"/>
      <c r="M94" s="61">
        <f>(IF(B86&gt;1,(I86/(B86+4)+M93),0))</f>
        <v>0</v>
      </c>
    </row>
    <row r="95" spans="1:13" s="53" customFormat="1" x14ac:dyDescent="0.25">
      <c r="A95" s="89" t="s">
        <v>263</v>
      </c>
      <c r="B95" s="90" t="s">
        <v>263</v>
      </c>
      <c r="C95" s="57">
        <v>0</v>
      </c>
      <c r="D95" s="92">
        <f ca="1">((100/I86)*C95)/100</f>
        <v>0</v>
      </c>
      <c r="E95" s="92"/>
      <c r="F95" s="92"/>
      <c r="G95" s="92"/>
      <c r="H95" s="92"/>
      <c r="I95" s="92"/>
      <c r="J95" s="93"/>
      <c r="K95" s="41" t="s">
        <v>264</v>
      </c>
      <c r="L95" s="63"/>
      <c r="M95" s="64">
        <f>(IF(B86&gt;2,(I86/(B86+4)+M94),0))</f>
        <v>0</v>
      </c>
    </row>
    <row r="96" spans="1:13" s="53" customFormat="1" x14ac:dyDescent="0.25">
      <c r="A96" s="89" t="s">
        <v>265</v>
      </c>
      <c r="B96" s="90"/>
      <c r="C96" s="57">
        <v>0</v>
      </c>
      <c r="D96" s="92">
        <f ca="1">((100/I86)*C96)/100</f>
        <v>0</v>
      </c>
      <c r="E96" s="92"/>
      <c r="F96" s="92"/>
      <c r="G96" s="92"/>
      <c r="H96" s="92"/>
      <c r="I96" s="92"/>
      <c r="J96" s="93"/>
      <c r="K96" s="41" t="s">
        <v>266</v>
      </c>
      <c r="L96" s="65"/>
      <c r="M96" s="66">
        <f>(IF(B86&gt;3,(I86/(B86+4)+M95),0))</f>
        <v>0</v>
      </c>
    </row>
    <row r="97" spans="1:13" s="53" customFormat="1" x14ac:dyDescent="0.25">
      <c r="A97" s="89" t="s">
        <v>267</v>
      </c>
      <c r="B97" s="90" t="s">
        <v>267</v>
      </c>
      <c r="C97" s="57">
        <v>0</v>
      </c>
      <c r="D97" s="92">
        <f ca="1">((100/(I86))*C97)/100</f>
        <v>0</v>
      </c>
      <c r="E97" s="92"/>
      <c r="F97" s="92"/>
      <c r="G97" s="92"/>
      <c r="H97" s="92"/>
      <c r="I97" s="92"/>
      <c r="J97" s="93"/>
      <c r="K97" s="41" t="s">
        <v>150</v>
      </c>
      <c r="L97" s="58"/>
      <c r="M97" s="61">
        <f ca="1">(IF(B86=0,I86/4+M92,(I86/(B86+4)+M92+MAX(0,M93-M92)+MAX(0,M94-M93)+MAX(0,M95-M94)+MAX(0,M96-M95))))</f>
        <v>5.25</v>
      </c>
    </row>
    <row r="98" spans="1:13" s="53" customFormat="1" ht="16.5" thickBot="1" x14ac:dyDescent="0.3">
      <c r="A98" s="86" t="s">
        <v>268</v>
      </c>
      <c r="B98" s="87"/>
      <c r="C98" s="67">
        <v>0</v>
      </c>
      <c r="D98" s="88">
        <f ca="1">((100/(I86))*C98)/100</f>
        <v>0</v>
      </c>
      <c r="E98" s="88"/>
      <c r="F98" s="88"/>
      <c r="G98" s="88"/>
      <c r="H98" s="88"/>
      <c r="I98" s="88"/>
      <c r="J98" s="94"/>
      <c r="K98" s="42" t="s">
        <v>151</v>
      </c>
      <c r="L98" s="68"/>
      <c r="M98" s="69">
        <f ca="1">(IF(B86=0,I86/4+M97,(I86/(B86+4)+M97)))</f>
        <v>7</v>
      </c>
    </row>
    <row r="99" spans="1:13" x14ac:dyDescent="0.25">
      <c r="A99" s="116" t="s">
        <v>214</v>
      </c>
      <c r="B99" s="117"/>
      <c r="C99" s="117"/>
      <c r="D99" s="117"/>
      <c r="E99" s="117"/>
      <c r="F99" s="117"/>
      <c r="G99" s="117"/>
      <c r="H99" s="117"/>
      <c r="I99" s="117"/>
      <c r="J99" s="118"/>
    </row>
    <row r="100" spans="1:13" x14ac:dyDescent="0.25">
      <c r="A100" s="116" t="s">
        <v>77</v>
      </c>
      <c r="B100" s="117"/>
      <c r="C100" s="117"/>
      <c r="D100" s="117"/>
      <c r="E100" s="117"/>
      <c r="F100" s="117"/>
      <c r="G100" s="117"/>
      <c r="H100" s="117"/>
      <c r="I100" s="117"/>
      <c r="J100" s="118"/>
    </row>
    <row r="101" spans="1:13" x14ac:dyDescent="0.25">
      <c r="A101" s="119" t="s">
        <v>224</v>
      </c>
      <c r="B101" s="120"/>
      <c r="C101" s="121" t="s">
        <v>145</v>
      </c>
      <c r="D101" s="122"/>
      <c r="E101" s="122"/>
      <c r="F101" s="122"/>
      <c r="G101" s="122"/>
      <c r="H101" s="122"/>
      <c r="I101" s="122"/>
      <c r="J101" s="123"/>
    </row>
    <row r="102" spans="1:13" x14ac:dyDescent="0.25">
      <c r="A102" s="119" t="s">
        <v>78</v>
      </c>
      <c r="B102" s="124"/>
      <c r="C102" s="124"/>
      <c r="D102" s="124"/>
      <c r="E102" s="124"/>
      <c r="F102" s="124"/>
      <c r="G102" s="124"/>
      <c r="H102" s="124"/>
      <c r="I102" s="124"/>
      <c r="J102" s="120"/>
    </row>
    <row r="103" spans="1:13" x14ac:dyDescent="0.25">
      <c r="A103" s="116" t="s">
        <v>153</v>
      </c>
      <c r="B103" s="117"/>
      <c r="C103" s="117"/>
      <c r="D103" s="117"/>
      <c r="E103" s="117"/>
      <c r="F103" s="118"/>
      <c r="G103" s="119">
        <f>1600000/400</f>
        <v>4000</v>
      </c>
      <c r="H103" s="124"/>
      <c r="I103" s="124"/>
      <c r="J103" s="120"/>
    </row>
    <row r="104" spans="1:13" s="70" customFormat="1" x14ac:dyDescent="0.25">
      <c r="A104" s="116" t="s">
        <v>154</v>
      </c>
      <c r="B104" s="117"/>
      <c r="C104" s="117"/>
      <c r="D104" s="117"/>
      <c r="E104" s="117"/>
      <c r="F104" s="118"/>
      <c r="G104" s="116">
        <v>6500</v>
      </c>
      <c r="H104" s="117"/>
      <c r="I104" s="117"/>
      <c r="J104" s="118"/>
    </row>
    <row r="105" spans="1:13" x14ac:dyDescent="0.25">
      <c r="A105" s="113" t="s">
        <v>227</v>
      </c>
      <c r="B105" s="114"/>
      <c r="C105" s="114"/>
      <c r="D105" s="114"/>
      <c r="E105" s="114"/>
      <c r="F105" s="115"/>
      <c r="G105" s="113" t="s">
        <v>164</v>
      </c>
      <c r="H105" s="114"/>
      <c r="I105" s="114"/>
      <c r="J105" s="115"/>
    </row>
    <row r="106" spans="1:13" x14ac:dyDescent="0.25">
      <c r="A106" s="116" t="s">
        <v>79</v>
      </c>
      <c r="B106" s="117"/>
      <c r="C106" s="117"/>
      <c r="D106" s="117"/>
      <c r="E106" s="117"/>
      <c r="F106" s="118"/>
      <c r="G106" s="113" t="s">
        <v>225</v>
      </c>
      <c r="H106" s="114"/>
      <c r="I106" s="114"/>
      <c r="J106" s="115"/>
    </row>
    <row r="107" spans="1:13" x14ac:dyDescent="0.25">
      <c r="A107" s="116" t="s">
        <v>80</v>
      </c>
      <c r="B107" s="117"/>
      <c r="C107" s="117"/>
      <c r="D107" s="117"/>
      <c r="E107" s="117"/>
      <c r="F107" s="118"/>
      <c r="G107" s="113" t="s">
        <v>226</v>
      </c>
      <c r="H107" s="114"/>
      <c r="I107" s="114"/>
      <c r="J107" s="115"/>
    </row>
    <row r="108" spans="1:13" x14ac:dyDescent="0.25">
      <c r="A108" s="116" t="s">
        <v>228</v>
      </c>
      <c r="B108" s="117"/>
      <c r="C108" s="117"/>
      <c r="D108" s="117"/>
      <c r="E108" s="117"/>
      <c r="F108" s="118"/>
      <c r="G108" s="113" t="s">
        <v>273</v>
      </c>
      <c r="H108" s="114"/>
      <c r="I108" s="114"/>
      <c r="J108" s="115"/>
    </row>
    <row r="109" spans="1:13" s="71" customFormat="1" ht="14.45" customHeight="1" x14ac:dyDescent="0.25">
      <c r="A109" s="119" t="s">
        <v>81</v>
      </c>
      <c r="B109" s="124"/>
      <c r="C109" s="124"/>
      <c r="D109" s="124"/>
      <c r="E109" s="124"/>
      <c r="F109" s="120"/>
      <c r="G109" s="116">
        <f>G103*0.8</f>
        <v>3200</v>
      </c>
      <c r="H109" s="117"/>
      <c r="I109" s="117"/>
      <c r="J109" s="118"/>
    </row>
    <row r="110" spans="1:13" s="72" customFormat="1" ht="15.75" customHeight="1" x14ac:dyDescent="0.25">
      <c r="A110" s="125" t="s">
        <v>155</v>
      </c>
      <c r="B110" s="125"/>
      <c r="C110" s="125"/>
      <c r="D110" s="125"/>
      <c r="E110" s="125"/>
      <c r="F110" s="125"/>
      <c r="G110" s="125"/>
      <c r="H110" s="125"/>
      <c r="I110" s="125"/>
      <c r="J110" s="125"/>
    </row>
    <row r="111" spans="1:13" s="72" customFormat="1" ht="15.75" customHeight="1" x14ac:dyDescent="0.25">
      <c r="A111" s="126" t="s">
        <v>82</v>
      </c>
      <c r="B111" s="126"/>
      <c r="C111" s="73" t="s">
        <v>208</v>
      </c>
      <c r="D111" s="127" t="s">
        <v>83</v>
      </c>
      <c r="E111" s="127"/>
      <c r="F111" s="127"/>
      <c r="G111" s="126" t="s">
        <v>84</v>
      </c>
      <c r="H111" s="126"/>
      <c r="I111" s="126"/>
      <c r="J111" s="126"/>
    </row>
    <row r="112" spans="1:13" s="72" customFormat="1" ht="15.75" customHeight="1" x14ac:dyDescent="0.25">
      <c r="A112" s="198" t="s">
        <v>221</v>
      </c>
      <c r="B112" s="198"/>
      <c r="C112" s="74">
        <f>COUNT(D172:E177)</f>
        <v>6</v>
      </c>
      <c r="D112" s="199">
        <f>SUM(D172:E177)</f>
        <v>1913.6831220000001</v>
      </c>
      <c r="E112" s="199"/>
      <c r="F112" s="199"/>
      <c r="G112" s="199">
        <f>SUM(G172:G177)</f>
        <v>2870.5246830000001</v>
      </c>
      <c r="H112" s="199"/>
      <c r="I112" s="199"/>
      <c r="J112" s="199"/>
    </row>
    <row r="113" spans="1:10" s="72" customFormat="1" x14ac:dyDescent="0.25">
      <c r="A113" s="125" t="s">
        <v>139</v>
      </c>
      <c r="B113" s="125"/>
      <c r="C113" s="125"/>
      <c r="D113" s="125"/>
      <c r="E113" s="125"/>
      <c r="F113" s="125"/>
      <c r="G113" s="125"/>
      <c r="H113" s="125"/>
      <c r="I113" s="125"/>
      <c r="J113" s="125"/>
    </row>
    <row r="114" spans="1:10" s="72" customFormat="1" x14ac:dyDescent="0.25">
      <c r="A114" s="126" t="s">
        <v>82</v>
      </c>
      <c r="B114" s="126"/>
      <c r="C114" s="73" t="s">
        <v>209</v>
      </c>
      <c r="D114" s="127" t="s">
        <v>83</v>
      </c>
      <c r="E114" s="127"/>
      <c r="F114" s="127"/>
      <c r="G114" s="126" t="s">
        <v>84</v>
      </c>
      <c r="H114" s="126"/>
      <c r="I114" s="126"/>
      <c r="J114" s="126"/>
    </row>
    <row r="115" spans="1:10" s="72" customFormat="1" x14ac:dyDescent="0.25">
      <c r="A115" s="198" t="s">
        <v>223</v>
      </c>
      <c r="B115" s="198"/>
      <c r="C115" s="74">
        <f>COUNT(D124:E125)+COUNT(D127:E135)+COUNT(D137:E145)*6</f>
        <v>65</v>
      </c>
      <c r="D115" s="199">
        <f>SUM(D124:E125)+SUM(D127:E135)+SUM(D137:E145)*6</f>
        <v>23965.949123999999</v>
      </c>
      <c r="E115" s="199"/>
      <c r="F115" s="199"/>
      <c r="G115" s="199">
        <f>SUM(G124:G125)+SUM(G127:G135)+SUM(G137:G145)*6</f>
        <v>32435</v>
      </c>
      <c r="H115" s="199"/>
      <c r="I115" s="199"/>
      <c r="J115" s="199"/>
    </row>
    <row r="116" spans="1:10" s="72" customFormat="1" x14ac:dyDescent="0.25">
      <c r="A116" s="198" t="s">
        <v>222</v>
      </c>
      <c r="B116" s="198"/>
      <c r="C116" s="74">
        <f>COUNT(D148:E149)+COUNT(D151:E159)+COUNT(D161:E169)*6</f>
        <v>65</v>
      </c>
      <c r="D116" s="199">
        <f>SUM(D148:E149)+SUM(D151:E159)+SUM(D161:E169)*6</f>
        <v>23710.067315999997</v>
      </c>
      <c r="E116" s="199"/>
      <c r="F116" s="199"/>
      <c r="G116" s="199">
        <f>SUM(G148:G149)+SUM(G151:G159)+SUM(G161:G169)*6</f>
        <v>32435</v>
      </c>
      <c r="H116" s="199"/>
      <c r="I116" s="199"/>
      <c r="J116" s="199"/>
    </row>
    <row r="117" spans="1:10" s="72" customFormat="1" x14ac:dyDescent="0.25">
      <c r="A117" s="198" t="s">
        <v>221</v>
      </c>
      <c r="B117" s="198"/>
      <c r="C117" s="74">
        <f>COUNT(D179:E186)*5+COUNT(D188:E195)*2</f>
        <v>56</v>
      </c>
      <c r="D117" s="199">
        <f>SUM(D179:E186)*5+SUM(D188:E195)*2</f>
        <v>15478.588943999997</v>
      </c>
      <c r="E117" s="199"/>
      <c r="F117" s="199"/>
      <c r="G117" s="199">
        <f>SUM(G179:G186)*5+SUM(G188:G195)*2</f>
        <v>22443.9539688</v>
      </c>
      <c r="H117" s="199"/>
      <c r="I117" s="199"/>
      <c r="J117" s="199"/>
    </row>
    <row r="118" spans="1:10" s="72" customFormat="1" x14ac:dyDescent="0.25">
      <c r="A118" s="125" t="s">
        <v>86</v>
      </c>
      <c r="B118" s="125"/>
      <c r="C118" s="73">
        <f>SUM(C115:C117)</f>
        <v>186</v>
      </c>
      <c r="D118" s="126">
        <f>SUM(D115:F117)</f>
        <v>63154.605383999988</v>
      </c>
      <c r="E118" s="126"/>
      <c r="F118" s="126"/>
      <c r="G118" s="126">
        <f>SUM(G115:J117)</f>
        <v>87313.953968799993</v>
      </c>
      <c r="H118" s="126"/>
      <c r="I118" s="126"/>
      <c r="J118" s="126"/>
    </row>
    <row r="119" spans="1:10" s="71" customFormat="1" x14ac:dyDescent="0.25">
      <c r="A119" s="202" t="s">
        <v>87</v>
      </c>
      <c r="B119" s="202"/>
      <c r="C119" s="202"/>
      <c r="D119" s="202"/>
      <c r="E119" s="202"/>
      <c r="F119" s="202"/>
      <c r="G119" s="202"/>
      <c r="H119" s="202"/>
      <c r="I119" s="202"/>
      <c r="J119" s="202"/>
    </row>
    <row r="120" spans="1:10" x14ac:dyDescent="0.25">
      <c r="A120" s="203" t="s">
        <v>88</v>
      </c>
      <c r="B120" s="204"/>
      <c r="C120" s="204"/>
      <c r="D120" s="204"/>
      <c r="E120" s="204"/>
      <c r="F120" s="204"/>
      <c r="G120" s="204"/>
      <c r="H120" s="204"/>
      <c r="I120" s="204"/>
      <c r="J120" s="205"/>
    </row>
    <row r="121" spans="1:10" ht="47.25" x14ac:dyDescent="0.25">
      <c r="A121" s="206" t="s">
        <v>156</v>
      </c>
      <c r="B121" s="207"/>
      <c r="C121" s="43" t="s">
        <v>89</v>
      </c>
      <c r="D121" s="206" t="s">
        <v>90</v>
      </c>
      <c r="E121" s="207"/>
      <c r="F121" s="44" t="s">
        <v>91</v>
      </c>
      <c r="G121" s="43" t="s">
        <v>217</v>
      </c>
      <c r="H121" s="43" t="s">
        <v>92</v>
      </c>
      <c r="I121" s="206" t="s">
        <v>93</v>
      </c>
      <c r="J121" s="207"/>
    </row>
    <row r="122" spans="1:10" s="75" customFormat="1" x14ac:dyDescent="0.25">
      <c r="A122" s="208" t="s">
        <v>223</v>
      </c>
      <c r="B122" s="209"/>
      <c r="C122" s="209"/>
      <c r="D122" s="209"/>
      <c r="E122" s="209"/>
      <c r="F122" s="209"/>
      <c r="G122" s="209"/>
      <c r="H122" s="209"/>
      <c r="I122" s="209"/>
      <c r="J122" s="210"/>
    </row>
    <row r="123" spans="1:10" s="75" customFormat="1" x14ac:dyDescent="0.25">
      <c r="A123" s="208" t="s">
        <v>215</v>
      </c>
      <c r="B123" s="209"/>
      <c r="C123" s="209"/>
      <c r="D123" s="209"/>
      <c r="E123" s="209"/>
      <c r="F123" s="209"/>
      <c r="G123" s="209"/>
      <c r="H123" s="209"/>
      <c r="I123" s="209"/>
      <c r="J123" s="210"/>
    </row>
    <row r="124" spans="1:10" s="75" customFormat="1" x14ac:dyDescent="0.25">
      <c r="A124" s="200">
        <v>1</v>
      </c>
      <c r="B124" s="201"/>
      <c r="C124" s="45" t="s">
        <v>199</v>
      </c>
      <c r="D124" s="200">
        <f>(29.63+1.9*1.2)*10.764</f>
        <v>343.47924</v>
      </c>
      <c r="E124" s="201"/>
      <c r="F124" s="45">
        <v>0</v>
      </c>
      <c r="G124" s="45">
        <v>600</v>
      </c>
      <c r="H124" s="45" t="s">
        <v>94</v>
      </c>
      <c r="I124" s="107" t="s">
        <v>200</v>
      </c>
      <c r="J124" s="108"/>
    </row>
    <row r="125" spans="1:10" s="75" customFormat="1" ht="31.5" x14ac:dyDescent="0.25">
      <c r="A125" s="200">
        <v>2</v>
      </c>
      <c r="B125" s="201"/>
      <c r="C125" s="45" t="s">
        <v>203</v>
      </c>
      <c r="D125" s="200">
        <f>(21.41*10.764)</f>
        <v>230.45723999999998</v>
      </c>
      <c r="E125" s="201"/>
      <c r="F125" s="45">
        <v>0</v>
      </c>
      <c r="G125" s="45">
        <v>405</v>
      </c>
      <c r="H125" s="45" t="s">
        <v>94</v>
      </c>
      <c r="I125" s="111"/>
      <c r="J125" s="112"/>
    </row>
    <row r="126" spans="1:10" s="75" customFormat="1" x14ac:dyDescent="0.25">
      <c r="A126" s="208" t="s">
        <v>201</v>
      </c>
      <c r="B126" s="209"/>
      <c r="C126" s="209"/>
      <c r="D126" s="209"/>
      <c r="E126" s="209"/>
      <c r="F126" s="209"/>
      <c r="G126" s="209"/>
      <c r="H126" s="209"/>
      <c r="I126" s="209"/>
      <c r="J126" s="210"/>
    </row>
    <row r="127" spans="1:10" s="75" customFormat="1" x14ac:dyDescent="0.25">
      <c r="A127" s="200">
        <v>1</v>
      </c>
      <c r="B127" s="201"/>
      <c r="C127" s="45" t="s">
        <v>199</v>
      </c>
      <c r="D127" s="200">
        <f>(29.63+3.1*1.2+2.7*1.2+1.9*1.2+2.5*0.7+2.2*0.7)*10.764</f>
        <v>453.81024000000002</v>
      </c>
      <c r="E127" s="201"/>
      <c r="F127" s="45">
        <v>0</v>
      </c>
      <c r="G127" s="45">
        <v>600</v>
      </c>
      <c r="H127" s="45" t="s">
        <v>94</v>
      </c>
      <c r="I127" s="107" t="str">
        <f>A126</f>
        <v>1st Floor</v>
      </c>
      <c r="J127" s="108"/>
    </row>
    <row r="128" spans="1:10" s="75" customFormat="1" ht="31.5" x14ac:dyDescent="0.25">
      <c r="A128" s="200">
        <v>2</v>
      </c>
      <c r="B128" s="201"/>
      <c r="C128" s="45" t="s">
        <v>203</v>
      </c>
      <c r="D128" s="200">
        <f>(21.4+3*1.2+2.15*1.2)*10.764</f>
        <v>296.87111999999996</v>
      </c>
      <c r="E128" s="201"/>
      <c r="F128" s="45">
        <v>0</v>
      </c>
      <c r="G128" s="45">
        <v>405</v>
      </c>
      <c r="H128" s="45" t="s">
        <v>94</v>
      </c>
      <c r="I128" s="109"/>
      <c r="J128" s="110"/>
    </row>
    <row r="129" spans="1:10" s="75" customFormat="1" x14ac:dyDescent="0.25">
      <c r="A129" s="200">
        <v>3</v>
      </c>
      <c r="B129" s="201"/>
      <c r="C129" s="45" t="s">
        <v>202</v>
      </c>
      <c r="D129" s="200">
        <f>(29.87+3*1.2+2.2*1.2+2.7*1.2+2.4*0.6)*10.764</f>
        <v>439.06355999999994</v>
      </c>
      <c r="E129" s="201"/>
      <c r="F129" s="45">
        <v>0</v>
      </c>
      <c r="G129" s="45">
        <v>565</v>
      </c>
      <c r="H129" s="45" t="s">
        <v>94</v>
      </c>
      <c r="I129" s="111"/>
      <c r="J129" s="112"/>
    </row>
    <row r="130" spans="1:10" s="75" customFormat="1" x14ac:dyDescent="0.25">
      <c r="A130" s="200">
        <v>4</v>
      </c>
      <c r="B130" s="201"/>
      <c r="C130" s="45" t="s">
        <v>199</v>
      </c>
      <c r="D130" s="200">
        <f>(19.98+2.6*1.2+3*1.2)*10.764</f>
        <v>287.39879999999999</v>
      </c>
      <c r="E130" s="201"/>
      <c r="F130" s="45">
        <v>0</v>
      </c>
      <c r="G130" s="45">
        <v>400</v>
      </c>
      <c r="H130" s="45" t="s">
        <v>94</v>
      </c>
      <c r="I130" s="107" t="str">
        <f>I127</f>
        <v>1st Floor</v>
      </c>
      <c r="J130" s="108"/>
    </row>
    <row r="131" spans="1:10" s="75" customFormat="1" x14ac:dyDescent="0.25">
      <c r="A131" s="200">
        <v>5</v>
      </c>
      <c r="B131" s="201"/>
      <c r="C131" s="45" t="s">
        <v>199</v>
      </c>
      <c r="D131" s="200">
        <f>(21.05+2.75*1.22+3.05*1.13+2.75*0.6)*10.764</f>
        <v>317.554146</v>
      </c>
      <c r="E131" s="201"/>
      <c r="F131" s="45">
        <v>0</v>
      </c>
      <c r="G131" s="45">
        <v>420</v>
      </c>
      <c r="H131" s="45" t="s">
        <v>94</v>
      </c>
      <c r="I131" s="109"/>
      <c r="J131" s="110"/>
    </row>
    <row r="132" spans="1:10" s="75" customFormat="1" x14ac:dyDescent="0.25">
      <c r="A132" s="200">
        <v>6</v>
      </c>
      <c r="B132" s="201"/>
      <c r="C132" s="45" t="s">
        <v>202</v>
      </c>
      <c r="D132" s="200">
        <f>(29.05+2.69*1.2+2.37*1.2+2.55*1.13+3.83*1.2+2.69*0.6)*10.764</f>
        <v>475.91411399999998</v>
      </c>
      <c r="E132" s="201"/>
      <c r="F132" s="45">
        <v>0</v>
      </c>
      <c r="G132" s="45">
        <v>610</v>
      </c>
      <c r="H132" s="45" t="s">
        <v>94</v>
      </c>
      <c r="I132" s="109"/>
      <c r="J132" s="110"/>
    </row>
    <row r="133" spans="1:10" s="75" customFormat="1" ht="31.5" x14ac:dyDescent="0.25">
      <c r="A133" s="200">
        <v>7</v>
      </c>
      <c r="B133" s="201"/>
      <c r="C133" s="45" t="s">
        <v>203</v>
      </c>
      <c r="D133" s="200">
        <f>(17.94+2.6*1+2.23*1.2+1.92*0.6)*10.764</f>
        <v>262.29715199999998</v>
      </c>
      <c r="E133" s="201"/>
      <c r="F133" s="45">
        <v>0</v>
      </c>
      <c r="G133" s="45">
        <v>355</v>
      </c>
      <c r="H133" s="45" t="s">
        <v>94</v>
      </c>
      <c r="I133" s="109"/>
      <c r="J133" s="110"/>
    </row>
    <row r="134" spans="1:10" s="75" customFormat="1" x14ac:dyDescent="0.25">
      <c r="A134" s="200">
        <v>8</v>
      </c>
      <c r="B134" s="201"/>
      <c r="C134" s="45" t="s">
        <v>202</v>
      </c>
      <c r="D134" s="200">
        <f>(27.64+3*1.2+2.2*1.2+3*1.05)*10.764</f>
        <v>398.59091999999998</v>
      </c>
      <c r="E134" s="201"/>
      <c r="F134" s="45">
        <v>0</v>
      </c>
      <c r="G134" s="45">
        <v>560</v>
      </c>
      <c r="H134" s="45" t="s">
        <v>94</v>
      </c>
      <c r="I134" s="109"/>
      <c r="J134" s="110"/>
    </row>
    <row r="135" spans="1:10" s="75" customFormat="1" x14ac:dyDescent="0.25">
      <c r="A135" s="200">
        <v>9</v>
      </c>
      <c r="B135" s="201"/>
      <c r="C135" s="45" t="s">
        <v>202</v>
      </c>
      <c r="D135" s="200">
        <f>(27.64+3*1.2+2.2*1.2+3*1.05+1.8*0.6)*10.764</f>
        <v>410.21603999999996</v>
      </c>
      <c r="E135" s="201"/>
      <c r="F135" s="45">
        <v>0</v>
      </c>
      <c r="G135" s="45">
        <v>575</v>
      </c>
      <c r="H135" s="45" t="s">
        <v>94</v>
      </c>
      <c r="I135" s="111"/>
      <c r="J135" s="112"/>
    </row>
    <row r="136" spans="1:10" s="75" customFormat="1" x14ac:dyDescent="0.25">
      <c r="A136" s="208" t="s">
        <v>204</v>
      </c>
      <c r="B136" s="209"/>
      <c r="C136" s="209"/>
      <c r="D136" s="209"/>
      <c r="E136" s="209"/>
      <c r="F136" s="209"/>
      <c r="G136" s="209"/>
      <c r="H136" s="209"/>
      <c r="I136" s="209"/>
      <c r="J136" s="210"/>
    </row>
    <row r="137" spans="1:10" s="75" customFormat="1" x14ac:dyDescent="0.25">
      <c r="A137" s="200">
        <v>1</v>
      </c>
      <c r="B137" s="201"/>
      <c r="C137" s="45" t="s">
        <v>199</v>
      </c>
      <c r="D137" s="200">
        <f>(29.63+3.1*1.2+2.7*1.2+1.9*1.2+2.5*0.7+2.2*0.7)*10.764</f>
        <v>453.81024000000002</v>
      </c>
      <c r="E137" s="201"/>
      <c r="F137" s="45">
        <v>0</v>
      </c>
      <c r="G137" s="45">
        <v>600</v>
      </c>
      <c r="H137" s="45" t="s">
        <v>94</v>
      </c>
      <c r="I137" s="107" t="str">
        <f>A136</f>
        <v xml:space="preserve">2nd to 7th Floor </v>
      </c>
      <c r="J137" s="108"/>
    </row>
    <row r="138" spans="1:10" s="75" customFormat="1" ht="31.5" x14ac:dyDescent="0.25">
      <c r="A138" s="200">
        <v>2</v>
      </c>
      <c r="B138" s="201"/>
      <c r="C138" s="45" t="s">
        <v>203</v>
      </c>
      <c r="D138" s="200">
        <f>(21.4+3*1.2+2.15*1.2)*10.764</f>
        <v>296.87111999999996</v>
      </c>
      <c r="E138" s="201"/>
      <c r="F138" s="45">
        <v>0</v>
      </c>
      <c r="G138" s="45">
        <v>405</v>
      </c>
      <c r="H138" s="45" t="s">
        <v>94</v>
      </c>
      <c r="I138" s="109"/>
      <c r="J138" s="110"/>
    </row>
    <row r="139" spans="1:10" s="75" customFormat="1" x14ac:dyDescent="0.25">
      <c r="A139" s="200">
        <v>3</v>
      </c>
      <c r="B139" s="201"/>
      <c r="C139" s="45" t="s">
        <v>202</v>
      </c>
      <c r="D139" s="200">
        <f>(29.87+3*1.2+2.2*1.2+2.7*1.2+2.4*0.6)*10.764</f>
        <v>439.06355999999994</v>
      </c>
      <c r="E139" s="201"/>
      <c r="F139" s="45">
        <v>0</v>
      </c>
      <c r="G139" s="45">
        <v>565</v>
      </c>
      <c r="H139" s="45" t="s">
        <v>94</v>
      </c>
      <c r="I139" s="109"/>
      <c r="J139" s="110"/>
    </row>
    <row r="140" spans="1:10" s="75" customFormat="1" x14ac:dyDescent="0.25">
      <c r="A140" s="200">
        <v>4</v>
      </c>
      <c r="B140" s="201"/>
      <c r="C140" s="45" t="s">
        <v>199</v>
      </c>
      <c r="D140" s="200">
        <f>(19.98+2.6*1.2+3*1.2)*10.764</f>
        <v>287.39879999999999</v>
      </c>
      <c r="E140" s="201"/>
      <c r="F140" s="45">
        <v>0</v>
      </c>
      <c r="G140" s="45">
        <v>400</v>
      </c>
      <c r="H140" s="45" t="s">
        <v>94</v>
      </c>
      <c r="I140" s="109"/>
      <c r="J140" s="110"/>
    </row>
    <row r="141" spans="1:10" s="75" customFormat="1" x14ac:dyDescent="0.25">
      <c r="A141" s="200">
        <v>5</v>
      </c>
      <c r="B141" s="201"/>
      <c r="C141" s="45" t="s">
        <v>199</v>
      </c>
      <c r="D141" s="200">
        <f>(21.05+2.75*1.22+3.05*1.13+2.75*0.6)*10.764</f>
        <v>317.554146</v>
      </c>
      <c r="E141" s="201"/>
      <c r="F141" s="45">
        <v>0</v>
      </c>
      <c r="G141" s="45">
        <v>420</v>
      </c>
      <c r="H141" s="45" t="s">
        <v>94</v>
      </c>
      <c r="I141" s="109"/>
      <c r="J141" s="110"/>
    </row>
    <row r="142" spans="1:10" s="75" customFormat="1" x14ac:dyDescent="0.25">
      <c r="A142" s="200">
        <v>6</v>
      </c>
      <c r="B142" s="201"/>
      <c r="C142" s="45" t="s">
        <v>202</v>
      </c>
      <c r="D142" s="200">
        <f>(29.05+2.69*1.2+2.37*1.2+2.55*1.13+3.83*1.2+2.69*0.6)*10.764</f>
        <v>475.91411399999998</v>
      </c>
      <c r="E142" s="201"/>
      <c r="F142" s="45">
        <v>0</v>
      </c>
      <c r="G142" s="45">
        <v>610</v>
      </c>
      <c r="H142" s="45" t="s">
        <v>94</v>
      </c>
      <c r="I142" s="109"/>
      <c r="J142" s="110"/>
    </row>
    <row r="143" spans="1:10" s="75" customFormat="1" ht="31.5" x14ac:dyDescent="0.25">
      <c r="A143" s="200">
        <v>7</v>
      </c>
      <c r="B143" s="201"/>
      <c r="C143" s="45" t="s">
        <v>203</v>
      </c>
      <c r="D143" s="200">
        <f>(17.94+2.6*1+2.23*1.2+1.92*0.6)*10.764</f>
        <v>262.29715199999998</v>
      </c>
      <c r="E143" s="201"/>
      <c r="F143" s="45">
        <v>0</v>
      </c>
      <c r="G143" s="45">
        <v>355</v>
      </c>
      <c r="H143" s="45" t="s">
        <v>94</v>
      </c>
      <c r="I143" s="109"/>
      <c r="J143" s="110"/>
    </row>
    <row r="144" spans="1:10" s="75" customFormat="1" x14ac:dyDescent="0.25">
      <c r="A144" s="200">
        <v>8</v>
      </c>
      <c r="B144" s="201"/>
      <c r="C144" s="45" t="s">
        <v>202</v>
      </c>
      <c r="D144" s="200">
        <f>(27.64+3*1.2+2.2*1.2+3*1.05)*10.764</f>
        <v>398.59091999999998</v>
      </c>
      <c r="E144" s="201"/>
      <c r="F144" s="45">
        <v>0</v>
      </c>
      <c r="G144" s="45">
        <v>560</v>
      </c>
      <c r="H144" s="45" t="s">
        <v>94</v>
      </c>
      <c r="I144" s="109"/>
      <c r="J144" s="110"/>
    </row>
    <row r="145" spans="1:10" s="75" customFormat="1" x14ac:dyDescent="0.25">
      <c r="A145" s="200">
        <v>9</v>
      </c>
      <c r="B145" s="201"/>
      <c r="C145" s="45" t="s">
        <v>202</v>
      </c>
      <c r="D145" s="200">
        <f>(27.64+3*1.2+2.2*1.2+3*1.05+1.8*0.6)*10.764</f>
        <v>410.21603999999996</v>
      </c>
      <c r="E145" s="201"/>
      <c r="F145" s="45">
        <v>0</v>
      </c>
      <c r="G145" s="45">
        <v>575</v>
      </c>
      <c r="H145" s="45" t="s">
        <v>94</v>
      </c>
      <c r="I145" s="111"/>
      <c r="J145" s="112"/>
    </row>
    <row r="146" spans="1:10" s="75" customFormat="1" x14ac:dyDescent="0.25">
      <c r="A146" s="212" t="s">
        <v>222</v>
      </c>
      <c r="B146" s="212"/>
      <c r="C146" s="212"/>
      <c r="D146" s="212"/>
      <c r="E146" s="212"/>
      <c r="F146" s="212"/>
      <c r="G146" s="212"/>
      <c r="H146" s="212"/>
      <c r="I146" s="212"/>
      <c r="J146" s="212"/>
    </row>
    <row r="147" spans="1:10" s="75" customFormat="1" x14ac:dyDescent="0.25">
      <c r="A147" s="212" t="s">
        <v>198</v>
      </c>
      <c r="B147" s="212"/>
      <c r="C147" s="212"/>
      <c r="D147" s="212"/>
      <c r="E147" s="212"/>
      <c r="F147" s="212"/>
      <c r="G147" s="212"/>
      <c r="H147" s="212"/>
      <c r="I147" s="212"/>
      <c r="J147" s="212"/>
    </row>
    <row r="148" spans="1:10" s="75" customFormat="1" x14ac:dyDescent="0.25">
      <c r="A148" s="211">
        <v>1</v>
      </c>
      <c r="B148" s="211"/>
      <c r="C148" s="45" t="s">
        <v>202</v>
      </c>
      <c r="D148" s="211">
        <f>(29.63+3*1.2+2.4*0.6)*10.764</f>
        <v>373.18787999999989</v>
      </c>
      <c r="E148" s="211"/>
      <c r="F148" s="45">
        <v>0</v>
      </c>
      <c r="G148" s="45">
        <v>600</v>
      </c>
      <c r="H148" s="45" t="s">
        <v>94</v>
      </c>
      <c r="I148" s="211" t="s">
        <v>200</v>
      </c>
      <c r="J148" s="211"/>
    </row>
    <row r="149" spans="1:10" s="75" customFormat="1" ht="31.5" x14ac:dyDescent="0.25">
      <c r="A149" s="211">
        <v>2</v>
      </c>
      <c r="B149" s="211"/>
      <c r="C149" s="45" t="s">
        <v>203</v>
      </c>
      <c r="D149" s="211">
        <f>27.4*10.764</f>
        <v>294.93359999999996</v>
      </c>
      <c r="E149" s="211"/>
      <c r="F149" s="45">
        <v>0</v>
      </c>
      <c r="G149" s="45">
        <v>405</v>
      </c>
      <c r="H149" s="45" t="s">
        <v>94</v>
      </c>
      <c r="I149" s="211"/>
      <c r="J149" s="211"/>
    </row>
    <row r="150" spans="1:10" s="75" customFormat="1" x14ac:dyDescent="0.25">
      <c r="A150" s="212" t="s">
        <v>201</v>
      </c>
      <c r="B150" s="212"/>
      <c r="C150" s="212"/>
      <c r="D150" s="212"/>
      <c r="E150" s="212"/>
      <c r="F150" s="212"/>
      <c r="G150" s="212"/>
      <c r="H150" s="212"/>
      <c r="I150" s="212"/>
      <c r="J150" s="212"/>
    </row>
    <row r="151" spans="1:10" s="75" customFormat="1" x14ac:dyDescent="0.25">
      <c r="A151" s="211">
        <v>1</v>
      </c>
      <c r="B151" s="211"/>
      <c r="C151" s="45" t="s">
        <v>199</v>
      </c>
      <c r="D151" s="211">
        <f>(29.63+3.1*1.2+0.6*2.4+1.9*1.2)*10.764</f>
        <v>399.02148</v>
      </c>
      <c r="E151" s="211"/>
      <c r="F151" s="45">
        <v>0</v>
      </c>
      <c r="G151" s="45">
        <v>600</v>
      </c>
      <c r="H151" s="45" t="s">
        <v>94</v>
      </c>
      <c r="I151" s="211" t="str">
        <f>A150</f>
        <v>1st Floor</v>
      </c>
      <c r="J151" s="211"/>
    </row>
    <row r="152" spans="1:10" s="75" customFormat="1" ht="31.5" x14ac:dyDescent="0.25">
      <c r="A152" s="211">
        <v>2</v>
      </c>
      <c r="B152" s="211"/>
      <c r="C152" s="45" t="s">
        <v>203</v>
      </c>
      <c r="D152" s="211">
        <f>(21.4+2.9*1.2+2.15*1.2)*10.764</f>
        <v>295.57943999999998</v>
      </c>
      <c r="E152" s="211"/>
      <c r="F152" s="45">
        <v>0</v>
      </c>
      <c r="G152" s="45">
        <v>405</v>
      </c>
      <c r="H152" s="45" t="s">
        <v>94</v>
      </c>
      <c r="I152" s="211"/>
      <c r="J152" s="211"/>
    </row>
    <row r="153" spans="1:10" s="75" customFormat="1" x14ac:dyDescent="0.25">
      <c r="A153" s="211">
        <v>3</v>
      </c>
      <c r="B153" s="211"/>
      <c r="C153" s="45" t="s">
        <v>202</v>
      </c>
      <c r="D153" s="211">
        <f>(29.87+3*1.2+2.2*1.2+2.7*1.2+0.6*2.4)*10.764</f>
        <v>439.06355999999994</v>
      </c>
      <c r="E153" s="211"/>
      <c r="F153" s="45">
        <v>0</v>
      </c>
      <c r="G153" s="45">
        <v>565</v>
      </c>
      <c r="H153" s="45" t="s">
        <v>94</v>
      </c>
      <c r="I153" s="211"/>
      <c r="J153" s="211"/>
    </row>
    <row r="154" spans="1:10" s="75" customFormat="1" ht="31.5" x14ac:dyDescent="0.25">
      <c r="A154" s="211">
        <v>4</v>
      </c>
      <c r="B154" s="211"/>
      <c r="C154" s="45" t="s">
        <v>203</v>
      </c>
      <c r="D154" s="211">
        <f>(19.98+2.5*1.2+3*1.2)*10.764</f>
        <v>286.10711999999995</v>
      </c>
      <c r="E154" s="211"/>
      <c r="F154" s="45">
        <v>0</v>
      </c>
      <c r="G154" s="45">
        <v>400</v>
      </c>
      <c r="H154" s="45" t="s">
        <v>94</v>
      </c>
      <c r="I154" s="211"/>
      <c r="J154" s="211"/>
    </row>
    <row r="155" spans="1:10" s="75" customFormat="1" x14ac:dyDescent="0.25">
      <c r="A155" s="211">
        <v>5</v>
      </c>
      <c r="B155" s="211"/>
      <c r="C155" s="45" t="s">
        <v>199</v>
      </c>
      <c r="D155" s="211">
        <f>(21.05+2.75*1.22+3.05*1.13+2.55*0.6)*10.764</f>
        <v>316.26246600000002</v>
      </c>
      <c r="E155" s="211"/>
      <c r="F155" s="45">
        <v>0</v>
      </c>
      <c r="G155" s="45">
        <v>420</v>
      </c>
      <c r="H155" s="45" t="s">
        <v>94</v>
      </c>
      <c r="I155" s="211"/>
      <c r="J155" s="211"/>
    </row>
    <row r="156" spans="1:10" s="75" customFormat="1" x14ac:dyDescent="0.25">
      <c r="A156" s="211">
        <v>6</v>
      </c>
      <c r="B156" s="211"/>
      <c r="C156" s="45" t="s">
        <v>202</v>
      </c>
      <c r="D156" s="211">
        <f>(29.06+2.89*1.2+2.37*1.2+3.83+1.2+2.55*1.13+2.89*0.6)*10.764</f>
        <v>484.56837000000002</v>
      </c>
      <c r="E156" s="211"/>
      <c r="F156" s="45">
        <v>0</v>
      </c>
      <c r="G156" s="45">
        <v>610</v>
      </c>
      <c r="H156" s="45" t="s">
        <v>94</v>
      </c>
      <c r="I156" s="211"/>
      <c r="J156" s="211"/>
    </row>
    <row r="157" spans="1:10" s="75" customFormat="1" ht="31.5" x14ac:dyDescent="0.25">
      <c r="A157" s="211">
        <v>7</v>
      </c>
      <c r="B157" s="211"/>
      <c r="C157" s="45" t="s">
        <v>203</v>
      </c>
      <c r="D157" s="211">
        <f>(17.94+2.6*1+2.23*1.2+1.92*0.6)*10.764</f>
        <v>262.29715199999998</v>
      </c>
      <c r="E157" s="211"/>
      <c r="F157" s="45">
        <v>0</v>
      </c>
      <c r="G157" s="45">
        <v>355</v>
      </c>
      <c r="H157" s="45" t="s">
        <v>94</v>
      </c>
      <c r="I157" s="211"/>
      <c r="J157" s="211"/>
    </row>
    <row r="158" spans="1:10" s="75" customFormat="1" x14ac:dyDescent="0.25">
      <c r="A158" s="211">
        <v>8</v>
      </c>
      <c r="B158" s="211"/>
      <c r="C158" s="45" t="s">
        <v>202</v>
      </c>
      <c r="D158" s="211">
        <f>(27.64+3*1.2+2.2*1.2+3*1.05)*10.764</f>
        <v>398.59091999999998</v>
      </c>
      <c r="E158" s="211"/>
      <c r="F158" s="45">
        <v>0</v>
      </c>
      <c r="G158" s="45">
        <v>560</v>
      </c>
      <c r="H158" s="45" t="s">
        <v>94</v>
      </c>
      <c r="I158" s="211"/>
      <c r="J158" s="211"/>
    </row>
    <row r="159" spans="1:10" s="75" customFormat="1" x14ac:dyDescent="0.25">
      <c r="A159" s="211">
        <v>9</v>
      </c>
      <c r="B159" s="211"/>
      <c r="C159" s="45" t="s">
        <v>202</v>
      </c>
      <c r="D159" s="211">
        <f>(27.64+3*1.2+2.2*1.2+3*1.05+1.8*0.6)*10.764</f>
        <v>410.21603999999996</v>
      </c>
      <c r="E159" s="211"/>
      <c r="F159" s="45">
        <v>0</v>
      </c>
      <c r="G159" s="45">
        <v>575</v>
      </c>
      <c r="H159" s="45" t="s">
        <v>94</v>
      </c>
      <c r="I159" s="211"/>
      <c r="J159" s="211"/>
    </row>
    <row r="160" spans="1:10" s="75" customFormat="1" x14ac:dyDescent="0.25">
      <c r="A160" s="208" t="s">
        <v>204</v>
      </c>
      <c r="B160" s="209"/>
      <c r="C160" s="209"/>
      <c r="D160" s="209"/>
      <c r="E160" s="209"/>
      <c r="F160" s="209"/>
      <c r="G160" s="209"/>
      <c r="H160" s="209"/>
      <c r="I160" s="209"/>
      <c r="J160" s="210"/>
    </row>
    <row r="161" spans="1:10" s="75" customFormat="1" ht="15.75" customHeight="1" x14ac:dyDescent="0.25">
      <c r="A161" s="200">
        <v>1</v>
      </c>
      <c r="B161" s="201"/>
      <c r="C161" s="45" t="s">
        <v>199</v>
      </c>
      <c r="D161" s="200">
        <f>(29.63+3.1*1.2+0.6*2.4+1.9*1.2)*10.764</f>
        <v>399.02148</v>
      </c>
      <c r="E161" s="201"/>
      <c r="F161" s="45">
        <v>0</v>
      </c>
      <c r="G161" s="45">
        <v>600</v>
      </c>
      <c r="H161" s="45" t="s">
        <v>94</v>
      </c>
      <c r="I161" s="107" t="str">
        <f>A160</f>
        <v xml:space="preserve">2nd to 7th Floor </v>
      </c>
      <c r="J161" s="108"/>
    </row>
    <row r="162" spans="1:10" s="75" customFormat="1" ht="31.5" x14ac:dyDescent="0.25">
      <c r="A162" s="200">
        <v>2</v>
      </c>
      <c r="B162" s="201"/>
      <c r="C162" s="45" t="s">
        <v>203</v>
      </c>
      <c r="D162" s="200">
        <f>(21.4+2.9*1.2+2.15*1.2)*10.764</f>
        <v>295.57943999999998</v>
      </c>
      <c r="E162" s="201"/>
      <c r="F162" s="45">
        <v>0</v>
      </c>
      <c r="G162" s="45">
        <v>405</v>
      </c>
      <c r="H162" s="45" t="s">
        <v>94</v>
      </c>
      <c r="I162" s="109"/>
      <c r="J162" s="110"/>
    </row>
    <row r="163" spans="1:10" s="75" customFormat="1" x14ac:dyDescent="0.25">
      <c r="A163" s="200">
        <v>3</v>
      </c>
      <c r="B163" s="201"/>
      <c r="C163" s="45" t="s">
        <v>202</v>
      </c>
      <c r="D163" s="200">
        <f>(29.87+3*1.2+2.2*1.2+2.7*1.2+0.6*2.4)*10.764</f>
        <v>439.06355999999994</v>
      </c>
      <c r="E163" s="201"/>
      <c r="F163" s="45">
        <v>0</v>
      </c>
      <c r="G163" s="45">
        <v>565</v>
      </c>
      <c r="H163" s="45" t="s">
        <v>94</v>
      </c>
      <c r="I163" s="109"/>
      <c r="J163" s="110"/>
    </row>
    <row r="164" spans="1:10" s="75" customFormat="1" ht="31.5" x14ac:dyDescent="0.25">
      <c r="A164" s="200">
        <v>4</v>
      </c>
      <c r="B164" s="201"/>
      <c r="C164" s="45" t="s">
        <v>203</v>
      </c>
      <c r="D164" s="200">
        <f>(19.98+2.5*1.2+3*1.2)*10.764</f>
        <v>286.10711999999995</v>
      </c>
      <c r="E164" s="201"/>
      <c r="F164" s="45">
        <v>0</v>
      </c>
      <c r="G164" s="45">
        <v>400</v>
      </c>
      <c r="H164" s="45" t="s">
        <v>94</v>
      </c>
      <c r="I164" s="111"/>
      <c r="J164" s="112"/>
    </row>
    <row r="165" spans="1:10" s="75" customFormat="1" x14ac:dyDescent="0.25">
      <c r="A165" s="200">
        <v>5</v>
      </c>
      <c r="B165" s="201"/>
      <c r="C165" s="45" t="s">
        <v>199</v>
      </c>
      <c r="D165" s="200">
        <f>(21.05+2.75*1.22+3.05*1.13+2.55*0.6)*10.764</f>
        <v>316.26246600000002</v>
      </c>
      <c r="E165" s="201"/>
      <c r="F165" s="45">
        <v>0</v>
      </c>
      <c r="G165" s="45">
        <v>420</v>
      </c>
      <c r="H165" s="45" t="s">
        <v>94</v>
      </c>
      <c r="I165" s="107" t="str">
        <f>I161</f>
        <v xml:space="preserve">2nd to 7th Floor </v>
      </c>
      <c r="J165" s="108"/>
    </row>
    <row r="166" spans="1:10" s="75" customFormat="1" x14ac:dyDescent="0.25">
      <c r="A166" s="200">
        <v>6</v>
      </c>
      <c r="B166" s="201"/>
      <c r="C166" s="45" t="s">
        <v>202</v>
      </c>
      <c r="D166" s="200">
        <f>(29.06+2.89*1.2+2.37*1.2+3.83+1.2+2.55*1.13+2.89*0.6)*10.764</f>
        <v>484.56837000000002</v>
      </c>
      <c r="E166" s="201"/>
      <c r="F166" s="45">
        <v>0</v>
      </c>
      <c r="G166" s="45">
        <v>610</v>
      </c>
      <c r="H166" s="45" t="s">
        <v>94</v>
      </c>
      <c r="I166" s="109"/>
      <c r="J166" s="110"/>
    </row>
    <row r="167" spans="1:10" s="75" customFormat="1" ht="31.5" x14ac:dyDescent="0.25">
      <c r="A167" s="200">
        <v>7</v>
      </c>
      <c r="B167" s="201"/>
      <c r="C167" s="45" t="s">
        <v>203</v>
      </c>
      <c r="D167" s="200">
        <f>(17.94+2.6*1+2.23*1.2+1.92*0.6)*10.764</f>
        <v>262.29715199999998</v>
      </c>
      <c r="E167" s="201"/>
      <c r="F167" s="45">
        <v>0</v>
      </c>
      <c r="G167" s="45">
        <v>355</v>
      </c>
      <c r="H167" s="45" t="s">
        <v>94</v>
      </c>
      <c r="I167" s="109"/>
      <c r="J167" s="110"/>
    </row>
    <row r="168" spans="1:10" s="75" customFormat="1" x14ac:dyDescent="0.25">
      <c r="A168" s="200">
        <v>8</v>
      </c>
      <c r="B168" s="201"/>
      <c r="C168" s="45" t="s">
        <v>202</v>
      </c>
      <c r="D168" s="200">
        <f>(27.64+3*1.2+2.2*1.2+3*1.05)*10.764</f>
        <v>398.59091999999998</v>
      </c>
      <c r="E168" s="201"/>
      <c r="F168" s="45">
        <v>0</v>
      </c>
      <c r="G168" s="45">
        <v>560</v>
      </c>
      <c r="H168" s="45" t="s">
        <v>94</v>
      </c>
      <c r="I168" s="109"/>
      <c r="J168" s="110"/>
    </row>
    <row r="169" spans="1:10" s="75" customFormat="1" x14ac:dyDescent="0.25">
      <c r="A169" s="200">
        <v>9</v>
      </c>
      <c r="B169" s="201"/>
      <c r="C169" s="45" t="s">
        <v>202</v>
      </c>
      <c r="D169" s="200">
        <f>(27.64+3*1.2+2.2*1.2+3*1.05+1.8*0.6)*10.764</f>
        <v>410.21603999999996</v>
      </c>
      <c r="E169" s="201"/>
      <c r="F169" s="45">
        <v>0</v>
      </c>
      <c r="G169" s="45">
        <v>575</v>
      </c>
      <c r="H169" s="45" t="s">
        <v>94</v>
      </c>
      <c r="I169" s="111"/>
      <c r="J169" s="112"/>
    </row>
    <row r="170" spans="1:10" s="75" customFormat="1" x14ac:dyDescent="0.25">
      <c r="A170" s="208" t="s">
        <v>221</v>
      </c>
      <c r="B170" s="209"/>
      <c r="C170" s="209"/>
      <c r="D170" s="209"/>
      <c r="E170" s="209"/>
      <c r="F170" s="209"/>
      <c r="G170" s="209"/>
      <c r="H170" s="209"/>
      <c r="I170" s="209"/>
      <c r="J170" s="210"/>
    </row>
    <row r="171" spans="1:10" s="75" customFormat="1" x14ac:dyDescent="0.25">
      <c r="A171" s="208" t="s">
        <v>216</v>
      </c>
      <c r="B171" s="209"/>
      <c r="C171" s="209"/>
      <c r="D171" s="209"/>
      <c r="E171" s="209"/>
      <c r="F171" s="209"/>
      <c r="G171" s="209"/>
      <c r="H171" s="209"/>
      <c r="I171" s="209"/>
      <c r="J171" s="210"/>
    </row>
    <row r="172" spans="1:10" s="75" customFormat="1" x14ac:dyDescent="0.25">
      <c r="A172" s="200">
        <v>1</v>
      </c>
      <c r="B172" s="201"/>
      <c r="C172" s="45" t="s">
        <v>205</v>
      </c>
      <c r="D172" s="200">
        <f>(3.7*8.05+2.2*1.2)*10.764</f>
        <v>349.02270000000004</v>
      </c>
      <c r="E172" s="201"/>
      <c r="F172" s="45">
        <v>0</v>
      </c>
      <c r="G172" s="45">
        <f>D172*1.5+F172</f>
        <v>523.53405000000009</v>
      </c>
      <c r="H172" s="45" t="s">
        <v>94</v>
      </c>
      <c r="I172" s="107" t="s">
        <v>200</v>
      </c>
      <c r="J172" s="108"/>
    </row>
    <row r="173" spans="1:10" s="75" customFormat="1" x14ac:dyDescent="0.25">
      <c r="A173" s="200">
        <v>2</v>
      </c>
      <c r="B173" s="201"/>
      <c r="C173" s="45" t="s">
        <v>205</v>
      </c>
      <c r="D173" s="200">
        <f>(3.15*2.7)*10.764</f>
        <v>91.547820000000002</v>
      </c>
      <c r="E173" s="201"/>
      <c r="F173" s="45">
        <v>0</v>
      </c>
      <c r="G173" s="45">
        <f t="shared" ref="G173:G177" si="0">D173*1.5+F173</f>
        <v>137.32173</v>
      </c>
      <c r="H173" s="45" t="s">
        <v>94</v>
      </c>
      <c r="I173" s="109"/>
      <c r="J173" s="110"/>
    </row>
    <row r="174" spans="1:10" s="75" customFormat="1" x14ac:dyDescent="0.25">
      <c r="A174" s="200">
        <v>3</v>
      </c>
      <c r="B174" s="201"/>
      <c r="C174" s="45" t="s">
        <v>205</v>
      </c>
      <c r="D174" s="200">
        <f>(4.75*8.05+2.2*1.2+2.5*1.8)*10.764</f>
        <v>488.44341000000003</v>
      </c>
      <c r="E174" s="201"/>
      <c r="F174" s="45">
        <v>0</v>
      </c>
      <c r="G174" s="45">
        <f t="shared" si="0"/>
        <v>732.66511500000001</v>
      </c>
      <c r="H174" s="45" t="s">
        <v>94</v>
      </c>
      <c r="I174" s="109"/>
      <c r="J174" s="110"/>
    </row>
    <row r="175" spans="1:10" s="75" customFormat="1" x14ac:dyDescent="0.25">
      <c r="A175" s="200">
        <v>4</v>
      </c>
      <c r="B175" s="201"/>
      <c r="C175" s="45" t="s">
        <v>205</v>
      </c>
      <c r="D175" s="200">
        <f>(4.76*8.05+2.2*1.2+2.5*1.8)*10.764</f>
        <v>489.30991200000005</v>
      </c>
      <c r="E175" s="201"/>
      <c r="F175" s="45">
        <v>0</v>
      </c>
      <c r="G175" s="45">
        <f t="shared" si="0"/>
        <v>733.96486800000002</v>
      </c>
      <c r="H175" s="45" t="s">
        <v>94</v>
      </c>
      <c r="I175" s="109"/>
      <c r="J175" s="110"/>
    </row>
    <row r="176" spans="1:10" s="75" customFormat="1" x14ac:dyDescent="0.25">
      <c r="A176" s="200">
        <v>5</v>
      </c>
      <c r="B176" s="201"/>
      <c r="C176" s="45" t="s">
        <v>205</v>
      </c>
      <c r="D176" s="200">
        <f>(3.15*3.2)*10.764</f>
        <v>108.50112</v>
      </c>
      <c r="E176" s="201"/>
      <c r="F176" s="45">
        <v>0</v>
      </c>
      <c r="G176" s="45">
        <f t="shared" si="0"/>
        <v>162.75167999999999</v>
      </c>
      <c r="H176" s="45" t="s">
        <v>94</v>
      </c>
      <c r="I176" s="109"/>
      <c r="J176" s="110"/>
    </row>
    <row r="177" spans="1:10" s="75" customFormat="1" x14ac:dyDescent="0.25">
      <c r="A177" s="200">
        <v>6</v>
      </c>
      <c r="B177" s="201"/>
      <c r="C177" s="45" t="s">
        <v>205</v>
      </c>
      <c r="D177" s="200">
        <f>(3.7*9+2.2*1.2)*10.764</f>
        <v>386.85816000000005</v>
      </c>
      <c r="E177" s="201"/>
      <c r="F177" s="45">
        <v>0</v>
      </c>
      <c r="G177" s="45">
        <f t="shared" si="0"/>
        <v>580.28724000000011</v>
      </c>
      <c r="H177" s="45" t="s">
        <v>94</v>
      </c>
      <c r="I177" s="111"/>
      <c r="J177" s="112"/>
    </row>
    <row r="178" spans="1:10" s="75" customFormat="1" x14ac:dyDescent="0.25">
      <c r="A178" s="208" t="s">
        <v>206</v>
      </c>
      <c r="B178" s="209"/>
      <c r="C178" s="209"/>
      <c r="D178" s="209"/>
      <c r="E178" s="209"/>
      <c r="F178" s="209"/>
      <c r="G178" s="209"/>
      <c r="H178" s="209"/>
      <c r="I178" s="209"/>
      <c r="J178" s="210"/>
    </row>
    <row r="179" spans="1:10" s="75" customFormat="1" ht="31.5" x14ac:dyDescent="0.25">
      <c r="A179" s="200">
        <v>1</v>
      </c>
      <c r="B179" s="201"/>
      <c r="C179" s="45" t="s">
        <v>203</v>
      </c>
      <c r="D179" s="200">
        <f>(16.6+2.35*0.6+1.75*1.2+2.6*1.2)*10.764</f>
        <v>250.04772000000003</v>
      </c>
      <c r="E179" s="201"/>
      <c r="F179" s="45">
        <v>0</v>
      </c>
      <c r="G179" s="45">
        <f>D179*1.45+F179</f>
        <v>362.56919400000004</v>
      </c>
      <c r="H179" s="45" t="s">
        <v>94</v>
      </c>
      <c r="I179" s="107" t="str">
        <f>A178</f>
        <v>1st to 5th Floor</v>
      </c>
      <c r="J179" s="108"/>
    </row>
    <row r="180" spans="1:10" s="75" customFormat="1" x14ac:dyDescent="0.25">
      <c r="A180" s="200">
        <v>2</v>
      </c>
      <c r="B180" s="201"/>
      <c r="C180" s="45" t="s">
        <v>199</v>
      </c>
      <c r="D180" s="200">
        <f>(2.1*1.2+23.74+2.26*1.2+2.75*1.2)*10.764</f>
        <v>347.37580799999995</v>
      </c>
      <c r="E180" s="201"/>
      <c r="F180" s="45">
        <v>0</v>
      </c>
      <c r="G180" s="45">
        <f t="shared" ref="G180:G186" si="1">D180*1.45+F180</f>
        <v>503.69492159999993</v>
      </c>
      <c r="H180" s="45" t="s">
        <v>94</v>
      </c>
      <c r="I180" s="109"/>
      <c r="J180" s="110"/>
    </row>
    <row r="181" spans="1:10" s="75" customFormat="1" ht="31.5" x14ac:dyDescent="0.25">
      <c r="A181" s="200">
        <v>3</v>
      </c>
      <c r="B181" s="201"/>
      <c r="C181" s="45" t="s">
        <v>203</v>
      </c>
      <c r="D181" s="200">
        <f>(21.39+3.1*0.6+2.3*0.6)*10.764</f>
        <v>265.11731999999995</v>
      </c>
      <c r="E181" s="201"/>
      <c r="F181" s="45">
        <v>0</v>
      </c>
      <c r="G181" s="45">
        <f t="shared" si="1"/>
        <v>384.4201139999999</v>
      </c>
      <c r="H181" s="45" t="s">
        <v>94</v>
      </c>
      <c r="I181" s="109"/>
      <c r="J181" s="110"/>
    </row>
    <row r="182" spans="1:10" s="75" customFormat="1" ht="31.5" x14ac:dyDescent="0.25">
      <c r="A182" s="200">
        <v>4</v>
      </c>
      <c r="B182" s="201"/>
      <c r="C182" s="45" t="s">
        <v>203</v>
      </c>
      <c r="D182" s="200">
        <f>(21.39+3.1*0.6+2.3*0.6)*10.764</f>
        <v>265.11731999999995</v>
      </c>
      <c r="E182" s="201"/>
      <c r="F182" s="45">
        <v>0</v>
      </c>
      <c r="G182" s="45">
        <f t="shared" si="1"/>
        <v>384.4201139999999</v>
      </c>
      <c r="H182" s="45" t="s">
        <v>94</v>
      </c>
      <c r="I182" s="109"/>
      <c r="J182" s="110"/>
    </row>
    <row r="183" spans="1:10" s="75" customFormat="1" x14ac:dyDescent="0.25">
      <c r="A183" s="200">
        <v>5</v>
      </c>
      <c r="B183" s="201"/>
      <c r="C183" s="45" t="s">
        <v>199</v>
      </c>
      <c r="D183" s="200">
        <f>(2.1*1.2+23.74+2.26*1.2+2.75*1.2)*10.764</f>
        <v>347.37580799999995</v>
      </c>
      <c r="E183" s="201"/>
      <c r="F183" s="45">
        <v>0</v>
      </c>
      <c r="G183" s="45">
        <f t="shared" si="1"/>
        <v>503.69492159999993</v>
      </c>
      <c r="H183" s="45" t="s">
        <v>94</v>
      </c>
      <c r="I183" s="109"/>
      <c r="J183" s="110"/>
    </row>
    <row r="184" spans="1:10" s="75" customFormat="1" ht="31.5" x14ac:dyDescent="0.25">
      <c r="A184" s="200">
        <v>6</v>
      </c>
      <c r="B184" s="201"/>
      <c r="C184" s="45" t="s">
        <v>203</v>
      </c>
      <c r="D184" s="200">
        <f>(16.66+2.6*1.2+1.75*1.2+2.35*0.6)*10.764</f>
        <v>250.69356000000002</v>
      </c>
      <c r="E184" s="201"/>
      <c r="F184" s="45">
        <v>0</v>
      </c>
      <c r="G184" s="45">
        <f t="shared" si="1"/>
        <v>363.50566200000003</v>
      </c>
      <c r="H184" s="45" t="s">
        <v>94</v>
      </c>
      <c r="I184" s="109"/>
      <c r="J184" s="110"/>
    </row>
    <row r="185" spans="1:10" s="75" customFormat="1" ht="31.5" x14ac:dyDescent="0.25">
      <c r="A185" s="200">
        <v>7</v>
      </c>
      <c r="B185" s="201"/>
      <c r="C185" s="45" t="s">
        <v>203</v>
      </c>
      <c r="D185" s="200">
        <f>(17.98+2.4*1.2+2.17*1.2)*10.764</f>
        <v>252.56649599999997</v>
      </c>
      <c r="E185" s="201"/>
      <c r="F185" s="45">
        <v>0</v>
      </c>
      <c r="G185" s="45">
        <f t="shared" si="1"/>
        <v>366.22141919999996</v>
      </c>
      <c r="H185" s="45" t="s">
        <v>94</v>
      </c>
      <c r="I185" s="109"/>
      <c r="J185" s="110"/>
    </row>
    <row r="186" spans="1:10" s="75" customFormat="1" ht="31.5" x14ac:dyDescent="0.25">
      <c r="A186" s="200">
        <v>8</v>
      </c>
      <c r="B186" s="201"/>
      <c r="C186" s="45" t="s">
        <v>203</v>
      </c>
      <c r="D186" s="200">
        <f>(17.98+2.4*1.2+2.17*1.2)*10.764</f>
        <v>252.56649599999997</v>
      </c>
      <c r="E186" s="201"/>
      <c r="F186" s="45">
        <v>0</v>
      </c>
      <c r="G186" s="45">
        <f t="shared" si="1"/>
        <v>366.22141919999996</v>
      </c>
      <c r="H186" s="45" t="s">
        <v>94</v>
      </c>
      <c r="I186" s="111"/>
      <c r="J186" s="112"/>
    </row>
    <row r="187" spans="1:10" s="75" customFormat="1" x14ac:dyDescent="0.25">
      <c r="A187" s="208" t="s">
        <v>207</v>
      </c>
      <c r="B187" s="209"/>
      <c r="C187" s="209"/>
      <c r="D187" s="209"/>
      <c r="E187" s="209"/>
      <c r="F187" s="209"/>
      <c r="G187" s="209"/>
      <c r="H187" s="209"/>
      <c r="I187" s="209"/>
      <c r="J187" s="210"/>
    </row>
    <row r="188" spans="1:10" s="75" customFormat="1" ht="31.5" x14ac:dyDescent="0.25">
      <c r="A188" s="200">
        <v>1</v>
      </c>
      <c r="B188" s="201"/>
      <c r="C188" s="45" t="s">
        <v>203</v>
      </c>
      <c r="D188" s="200">
        <f>(16.66+2.35*1.2)*10.764</f>
        <v>209.68271999999999</v>
      </c>
      <c r="E188" s="201"/>
      <c r="F188" s="45">
        <v>0</v>
      </c>
      <c r="G188" s="45">
        <f>D188*1.45+F188</f>
        <v>304.03994399999999</v>
      </c>
      <c r="H188" s="45" t="s">
        <v>94</v>
      </c>
      <c r="I188" s="107" t="str">
        <f>A187</f>
        <v>6th &amp; 7th Floor</v>
      </c>
      <c r="J188" s="108"/>
    </row>
    <row r="189" spans="1:10" s="75" customFormat="1" x14ac:dyDescent="0.25">
      <c r="A189" s="200">
        <v>2</v>
      </c>
      <c r="B189" s="201"/>
      <c r="C189" s="45" t="s">
        <v>199</v>
      </c>
      <c r="D189" s="200">
        <f>(23.74+2.75*1.2+2.2*1.2)*10.764</f>
        <v>319.47551999999996</v>
      </c>
      <c r="E189" s="201"/>
      <c r="F189" s="45">
        <v>0</v>
      </c>
      <c r="G189" s="45">
        <f t="shared" ref="G189:G195" si="2">D189*1.45+F189</f>
        <v>463.23950399999995</v>
      </c>
      <c r="H189" s="45" t="s">
        <v>94</v>
      </c>
      <c r="I189" s="109"/>
      <c r="J189" s="110"/>
    </row>
    <row r="190" spans="1:10" s="75" customFormat="1" ht="31.5" x14ac:dyDescent="0.25">
      <c r="A190" s="200">
        <v>3</v>
      </c>
      <c r="B190" s="201"/>
      <c r="C190" s="45" t="s">
        <v>203</v>
      </c>
      <c r="D190" s="200">
        <f>(21.39+3*1.2+2.35*1.2)*10.764</f>
        <v>299.34683999999999</v>
      </c>
      <c r="E190" s="201"/>
      <c r="F190" s="45">
        <v>0</v>
      </c>
      <c r="G190" s="45">
        <f t="shared" si="2"/>
        <v>434.05291799999998</v>
      </c>
      <c r="H190" s="45" t="s">
        <v>94</v>
      </c>
      <c r="I190" s="109"/>
      <c r="J190" s="110"/>
    </row>
    <row r="191" spans="1:10" s="75" customFormat="1" ht="31.5" x14ac:dyDescent="0.25">
      <c r="A191" s="200">
        <v>4</v>
      </c>
      <c r="B191" s="201"/>
      <c r="C191" s="45" t="s">
        <v>203</v>
      </c>
      <c r="D191" s="200">
        <f>(21.39+3*1.2+2.35*1.2)*10.764</f>
        <v>299.34683999999999</v>
      </c>
      <c r="E191" s="201"/>
      <c r="F191" s="45">
        <v>0</v>
      </c>
      <c r="G191" s="45">
        <f t="shared" si="2"/>
        <v>434.05291799999998</v>
      </c>
      <c r="H191" s="45" t="s">
        <v>94</v>
      </c>
      <c r="I191" s="109"/>
      <c r="J191" s="110"/>
    </row>
    <row r="192" spans="1:10" s="75" customFormat="1" ht="15.6" customHeight="1" x14ac:dyDescent="0.25">
      <c r="A192" s="200">
        <v>5</v>
      </c>
      <c r="B192" s="201"/>
      <c r="C192" s="45" t="s">
        <v>199</v>
      </c>
      <c r="D192" s="200">
        <f>(23.74+2.75*1.2+2.2*1.2)*10.764</f>
        <v>319.47551999999996</v>
      </c>
      <c r="E192" s="201"/>
      <c r="F192" s="45">
        <v>0</v>
      </c>
      <c r="G192" s="45">
        <f t="shared" si="2"/>
        <v>463.23950399999995</v>
      </c>
      <c r="H192" s="45" t="s">
        <v>94</v>
      </c>
      <c r="I192" s="109"/>
      <c r="J192" s="110"/>
    </row>
    <row r="193" spans="1:10" s="75" customFormat="1" ht="31.5" x14ac:dyDescent="0.25">
      <c r="A193" s="200">
        <v>6</v>
      </c>
      <c r="B193" s="201"/>
      <c r="C193" s="45" t="s">
        <v>203</v>
      </c>
      <c r="D193" s="200">
        <f>(16.66+2.35*1.2)*10.764</f>
        <v>209.68271999999999</v>
      </c>
      <c r="E193" s="201"/>
      <c r="F193" s="45">
        <v>0</v>
      </c>
      <c r="G193" s="45">
        <f t="shared" si="2"/>
        <v>304.03994399999999</v>
      </c>
      <c r="H193" s="45" t="s">
        <v>94</v>
      </c>
      <c r="I193" s="109"/>
      <c r="J193" s="110"/>
    </row>
    <row r="194" spans="1:10" s="75" customFormat="1" ht="31.5" x14ac:dyDescent="0.25">
      <c r="A194" s="200">
        <v>7</v>
      </c>
      <c r="B194" s="201"/>
      <c r="C194" s="45" t="s">
        <v>203</v>
      </c>
      <c r="D194" s="200">
        <f>(17.98+2.4*1.2+2.17*1.2)*10.764</f>
        <v>252.56649599999997</v>
      </c>
      <c r="E194" s="201"/>
      <c r="F194" s="45">
        <v>0</v>
      </c>
      <c r="G194" s="45">
        <f t="shared" si="2"/>
        <v>366.22141919999996</v>
      </c>
      <c r="H194" s="45" t="s">
        <v>94</v>
      </c>
      <c r="I194" s="109"/>
      <c r="J194" s="110"/>
    </row>
    <row r="195" spans="1:10" s="75" customFormat="1" ht="31.5" x14ac:dyDescent="0.25">
      <c r="A195" s="200">
        <v>8</v>
      </c>
      <c r="B195" s="201"/>
      <c r="C195" s="45" t="s">
        <v>203</v>
      </c>
      <c r="D195" s="200">
        <f>(17.98+2.4*1.2+2.17*1.2)*10.764</f>
        <v>252.56649599999997</v>
      </c>
      <c r="E195" s="201"/>
      <c r="F195" s="45">
        <v>0</v>
      </c>
      <c r="G195" s="45">
        <f t="shared" si="2"/>
        <v>366.22141919999996</v>
      </c>
      <c r="H195" s="45" t="s">
        <v>94</v>
      </c>
      <c r="I195" s="111"/>
      <c r="J195" s="112"/>
    </row>
    <row r="196" spans="1:10" s="72" customFormat="1" x14ac:dyDescent="0.25">
      <c r="A196" s="215" t="s">
        <v>104</v>
      </c>
      <c r="B196" s="215"/>
      <c r="C196" s="215"/>
      <c r="D196" s="215"/>
      <c r="E196" s="215"/>
      <c r="F196" s="215"/>
      <c r="G196" s="215"/>
      <c r="H196" s="215"/>
      <c r="I196" s="215"/>
      <c r="J196" s="215"/>
    </row>
    <row r="197" spans="1:10" s="72" customFormat="1" ht="33.6" customHeight="1" x14ac:dyDescent="0.25">
      <c r="A197" s="81" t="s">
        <v>282</v>
      </c>
      <c r="B197" s="82"/>
      <c r="C197" s="83"/>
      <c r="D197" s="81" t="s">
        <v>283</v>
      </c>
      <c r="E197" s="82"/>
      <c r="F197" s="82"/>
      <c r="G197" s="82"/>
      <c r="H197" s="82"/>
      <c r="I197" s="82"/>
      <c r="J197" s="83"/>
    </row>
    <row r="198" spans="1:10" s="72" customFormat="1" x14ac:dyDescent="0.25">
      <c r="A198" s="81" t="s">
        <v>281</v>
      </c>
      <c r="B198" s="82"/>
      <c r="C198" s="83"/>
      <c r="D198" s="81" t="s">
        <v>288</v>
      </c>
      <c r="E198" s="82"/>
      <c r="F198" s="82"/>
      <c r="G198" s="82"/>
      <c r="H198" s="82"/>
      <c r="I198" s="82"/>
      <c r="J198" s="83"/>
    </row>
    <row r="199" spans="1:10" s="72" customFormat="1" ht="15.75" customHeight="1" x14ac:dyDescent="0.25">
      <c r="A199" s="81" t="s">
        <v>284</v>
      </c>
      <c r="B199" s="82"/>
      <c r="C199" s="83"/>
      <c r="D199" s="81" t="s">
        <v>274</v>
      </c>
      <c r="E199" s="82"/>
      <c r="F199" s="82"/>
      <c r="G199" s="82"/>
      <c r="H199" s="82"/>
      <c r="I199" s="82"/>
      <c r="J199" s="83"/>
    </row>
    <row r="200" spans="1:10" s="76" customFormat="1" ht="174" customHeight="1" x14ac:dyDescent="0.25">
      <c r="A200" s="216" t="s">
        <v>286</v>
      </c>
      <c r="B200" s="216"/>
      <c r="C200" s="216"/>
      <c r="D200" s="216"/>
      <c r="E200" s="216"/>
      <c r="F200" s="216"/>
      <c r="G200" s="216"/>
      <c r="H200" s="216"/>
      <c r="I200" s="216"/>
      <c r="J200" s="216"/>
    </row>
    <row r="201" spans="1:10" x14ac:dyDescent="0.25">
      <c r="A201" s="217" t="s">
        <v>95</v>
      </c>
      <c r="B201" s="218"/>
      <c r="C201" s="218"/>
      <c r="D201" s="218"/>
      <c r="E201" s="218"/>
      <c r="F201" s="218"/>
      <c r="G201" s="218"/>
      <c r="H201" s="218"/>
      <c r="I201" s="218"/>
      <c r="J201" s="219"/>
    </row>
    <row r="202" spans="1:10" x14ac:dyDescent="0.25">
      <c r="A202" s="149" t="s">
        <v>96</v>
      </c>
      <c r="B202" s="150"/>
      <c r="C202" s="150"/>
      <c r="D202" s="150"/>
      <c r="E202" s="150"/>
      <c r="F202" s="150"/>
      <c r="G202" s="150"/>
      <c r="H202" s="150"/>
      <c r="I202" s="150"/>
      <c r="J202" s="151"/>
    </row>
    <row r="203" spans="1:10" ht="15.75" customHeight="1" x14ac:dyDescent="0.25">
      <c r="A203" s="217" t="s">
        <v>97</v>
      </c>
      <c r="B203" s="218"/>
      <c r="C203" s="218"/>
      <c r="D203" s="218"/>
      <c r="E203" s="218"/>
      <c r="F203" s="218"/>
      <c r="G203" s="218"/>
      <c r="H203" s="218"/>
      <c r="I203" s="218"/>
      <c r="J203" s="219"/>
    </row>
    <row r="204" spans="1:10" x14ac:dyDescent="0.25">
      <c r="A204" s="149" t="s">
        <v>98</v>
      </c>
      <c r="B204" s="150"/>
      <c r="C204" s="150"/>
      <c r="D204" s="150"/>
      <c r="E204" s="150"/>
      <c r="F204" s="150"/>
      <c r="G204" s="150"/>
      <c r="H204" s="150"/>
      <c r="I204" s="150"/>
      <c r="J204" s="151"/>
    </row>
    <row r="205" spans="1:10" x14ac:dyDescent="0.25">
      <c r="A205" s="149" t="s">
        <v>99</v>
      </c>
      <c r="B205" s="150"/>
      <c r="C205" s="150"/>
      <c r="D205" s="150"/>
      <c r="E205" s="150"/>
      <c r="F205" s="150"/>
      <c r="G205" s="150"/>
      <c r="H205" s="150"/>
      <c r="I205" s="150"/>
      <c r="J205" s="151"/>
    </row>
    <row r="206" spans="1:10" hidden="1" x14ac:dyDescent="0.25">
      <c r="A206" s="149" t="s">
        <v>100</v>
      </c>
      <c r="B206" s="150"/>
      <c r="C206" s="150"/>
      <c r="D206" s="150"/>
      <c r="E206" s="150"/>
      <c r="F206" s="150"/>
      <c r="G206" s="150"/>
      <c r="H206" s="150"/>
      <c r="I206" s="150"/>
      <c r="J206" s="151"/>
    </row>
    <row r="207" spans="1:10" ht="35.25" hidden="1" customHeight="1" x14ac:dyDescent="0.25">
      <c r="A207" s="170" t="s">
        <v>101</v>
      </c>
      <c r="B207" s="171"/>
      <c r="C207" s="171"/>
      <c r="D207" s="171"/>
      <c r="E207" s="171"/>
      <c r="F207" s="171"/>
      <c r="G207" s="171"/>
      <c r="H207" s="171"/>
      <c r="I207" s="171"/>
      <c r="J207" s="172"/>
    </row>
    <row r="208" spans="1:10" x14ac:dyDescent="0.25">
      <c r="A208" s="137" t="s">
        <v>178</v>
      </c>
      <c r="B208" s="137"/>
      <c r="C208" s="138" t="s">
        <v>280</v>
      </c>
      <c r="D208" s="138"/>
      <c r="E208" s="137" t="s">
        <v>179</v>
      </c>
      <c r="F208" s="137"/>
      <c r="G208" s="137"/>
      <c r="H208" s="138" t="s">
        <v>287</v>
      </c>
      <c r="I208" s="138"/>
      <c r="J208" s="138"/>
    </row>
    <row r="209" spans="1:16" x14ac:dyDescent="0.25">
      <c r="A209" s="128" t="s">
        <v>180</v>
      </c>
      <c r="B209" s="129"/>
      <c r="C209" s="129"/>
      <c r="D209" s="129"/>
      <c r="E209" s="129"/>
      <c r="F209" s="129"/>
      <c r="G209" s="129"/>
      <c r="H209" s="129"/>
      <c r="I209" s="129"/>
      <c r="J209" s="130"/>
    </row>
    <row r="210" spans="1:16" x14ac:dyDescent="0.25">
      <c r="A210" s="131"/>
      <c r="B210" s="132"/>
      <c r="C210" s="132"/>
      <c r="D210" s="132"/>
      <c r="E210" s="132"/>
      <c r="F210" s="132"/>
      <c r="G210" s="132"/>
      <c r="H210" s="132"/>
      <c r="I210" s="132"/>
      <c r="J210" s="133"/>
    </row>
    <row r="211" spans="1:16" x14ac:dyDescent="0.25">
      <c r="A211" s="131"/>
      <c r="B211" s="132"/>
      <c r="C211" s="132"/>
      <c r="D211" s="132"/>
      <c r="E211" s="132"/>
      <c r="F211" s="132"/>
      <c r="G211" s="132"/>
      <c r="H211" s="132"/>
      <c r="I211" s="132"/>
      <c r="J211" s="133"/>
    </row>
    <row r="212" spans="1:16" x14ac:dyDescent="0.25">
      <c r="A212" s="134"/>
      <c r="B212" s="135"/>
      <c r="C212" s="135"/>
      <c r="D212" s="135"/>
      <c r="E212" s="135"/>
      <c r="F212" s="135"/>
      <c r="G212" s="135"/>
      <c r="H212" s="135"/>
      <c r="I212" s="135"/>
      <c r="J212" s="136"/>
    </row>
    <row r="213" spans="1:16" x14ac:dyDescent="0.25">
      <c r="A213" s="77" t="s">
        <v>102</v>
      </c>
      <c r="B213" s="78"/>
      <c r="C213" s="78"/>
      <c r="D213" s="77" t="str">
        <f>F8</f>
        <v>Pehla Ghar- Divekar Complex</v>
      </c>
      <c r="G213" s="78"/>
      <c r="H213" s="78"/>
      <c r="I213" s="78"/>
      <c r="J213" s="78"/>
    </row>
    <row r="214" spans="1:16" x14ac:dyDescent="0.25">
      <c r="A214" s="78"/>
      <c r="B214" s="78"/>
      <c r="C214" s="78"/>
      <c r="D214" s="78"/>
      <c r="E214" s="78"/>
      <c r="F214" s="78"/>
      <c r="G214" s="78"/>
      <c r="H214" s="78"/>
      <c r="I214" s="78"/>
      <c r="J214" s="78"/>
    </row>
    <row r="215" spans="1:16" x14ac:dyDescent="0.25">
      <c r="A215" s="78"/>
      <c r="B215" s="78"/>
      <c r="C215" s="78"/>
      <c r="D215" s="78"/>
      <c r="E215" s="78"/>
      <c r="F215" s="78"/>
      <c r="G215" s="78"/>
      <c r="H215" s="78"/>
      <c r="I215" s="78"/>
      <c r="J215" s="78"/>
    </row>
    <row r="216" spans="1:16" ht="15" customHeight="1" x14ac:dyDescent="0.25"/>
    <row r="221" spans="1:16" x14ac:dyDescent="0.25">
      <c r="P221" s="50" t="s">
        <v>241</v>
      </c>
    </row>
    <row r="256" spans="1:1" x14ac:dyDescent="0.25">
      <c r="A256" s="79" t="s">
        <v>103</v>
      </c>
    </row>
  </sheetData>
  <mergeCells count="440">
    <mergeCell ref="A205:J205"/>
    <mergeCell ref="A206:J206"/>
    <mergeCell ref="A207:J207"/>
    <mergeCell ref="A53:B53"/>
    <mergeCell ref="C53:E53"/>
    <mergeCell ref="F53:J53"/>
    <mergeCell ref="A54:C54"/>
    <mergeCell ref="D54:J54"/>
    <mergeCell ref="A196:J196"/>
    <mergeCell ref="A200:J200"/>
    <mergeCell ref="A201:J201"/>
    <mergeCell ref="A202:J202"/>
    <mergeCell ref="A123:J123"/>
    <mergeCell ref="I124:J125"/>
    <mergeCell ref="A195:B195"/>
    <mergeCell ref="D195:E195"/>
    <mergeCell ref="A193:B193"/>
    <mergeCell ref="D193:E193"/>
    <mergeCell ref="A194:B194"/>
    <mergeCell ref="A203:J203"/>
    <mergeCell ref="A204:J204"/>
    <mergeCell ref="A126:J126"/>
    <mergeCell ref="A136:J136"/>
    <mergeCell ref="A146:J146"/>
    <mergeCell ref="A150:J150"/>
    <mergeCell ref="I151:J159"/>
    <mergeCell ref="A160:J160"/>
    <mergeCell ref="A170:J170"/>
    <mergeCell ref="A171:J171"/>
    <mergeCell ref="I172:J177"/>
    <mergeCell ref="A178:J178"/>
    <mergeCell ref="A177:B177"/>
    <mergeCell ref="D177:E177"/>
    <mergeCell ref="A175:B175"/>
    <mergeCell ref="D175:E175"/>
    <mergeCell ref="A176:B176"/>
    <mergeCell ref="D176:E176"/>
    <mergeCell ref="A173:B173"/>
    <mergeCell ref="D173:E173"/>
    <mergeCell ref="A174:B174"/>
    <mergeCell ref="D174:E174"/>
    <mergeCell ref="A172:B172"/>
    <mergeCell ref="D172:E172"/>
    <mergeCell ref="A169:B169"/>
    <mergeCell ref="D169:E169"/>
    <mergeCell ref="A167:B167"/>
    <mergeCell ref="D167:E167"/>
    <mergeCell ref="A168:B168"/>
    <mergeCell ref="A188:B188"/>
    <mergeCell ref="D188:E188"/>
    <mergeCell ref="A184:B184"/>
    <mergeCell ref="D184:E184"/>
    <mergeCell ref="A181:B181"/>
    <mergeCell ref="D181:E181"/>
    <mergeCell ref="A182:B182"/>
    <mergeCell ref="D182:E182"/>
    <mergeCell ref="A179:B179"/>
    <mergeCell ref="D179:E179"/>
    <mergeCell ref="A180:B180"/>
    <mergeCell ref="D180:E180"/>
    <mergeCell ref="A42:E42"/>
    <mergeCell ref="F42:J42"/>
    <mergeCell ref="A43:E43"/>
    <mergeCell ref="F43:J43"/>
    <mergeCell ref="A44:E44"/>
    <mergeCell ref="F44:J44"/>
    <mergeCell ref="A45:J45"/>
    <mergeCell ref="D194:E194"/>
    <mergeCell ref="A191:B191"/>
    <mergeCell ref="D191:E191"/>
    <mergeCell ref="A192:B192"/>
    <mergeCell ref="D192:E192"/>
    <mergeCell ref="A189:B189"/>
    <mergeCell ref="D189:E189"/>
    <mergeCell ref="A190:B190"/>
    <mergeCell ref="D190:E190"/>
    <mergeCell ref="A185:B185"/>
    <mergeCell ref="D185:E185"/>
    <mergeCell ref="A186:B186"/>
    <mergeCell ref="D186:E186"/>
    <mergeCell ref="I179:J186"/>
    <mergeCell ref="A187:J187"/>
    <mergeCell ref="A183:B183"/>
    <mergeCell ref="D183:E183"/>
    <mergeCell ref="D168:E168"/>
    <mergeCell ref="A165:B165"/>
    <mergeCell ref="D165:E165"/>
    <mergeCell ref="A166:B166"/>
    <mergeCell ref="D166:E166"/>
    <mergeCell ref="A163:B163"/>
    <mergeCell ref="D163:E163"/>
    <mergeCell ref="A164:B164"/>
    <mergeCell ref="D164:E164"/>
    <mergeCell ref="A161:B161"/>
    <mergeCell ref="D161:E161"/>
    <mergeCell ref="A162:B162"/>
    <mergeCell ref="D162:E162"/>
    <mergeCell ref="A159:B159"/>
    <mergeCell ref="D159:E159"/>
    <mergeCell ref="A157:B157"/>
    <mergeCell ref="D157:E157"/>
    <mergeCell ref="A158:B158"/>
    <mergeCell ref="D158:E158"/>
    <mergeCell ref="A155:B155"/>
    <mergeCell ref="D155:E155"/>
    <mergeCell ref="A156:B156"/>
    <mergeCell ref="D156:E156"/>
    <mergeCell ref="A153:B153"/>
    <mergeCell ref="D153:E153"/>
    <mergeCell ref="A154:B154"/>
    <mergeCell ref="D154:E154"/>
    <mergeCell ref="A151:B151"/>
    <mergeCell ref="D151:E151"/>
    <mergeCell ref="A152:B152"/>
    <mergeCell ref="D152:E152"/>
    <mergeCell ref="A148:B148"/>
    <mergeCell ref="D148:E148"/>
    <mergeCell ref="A149:B149"/>
    <mergeCell ref="D149:E149"/>
    <mergeCell ref="A145:B145"/>
    <mergeCell ref="D145:E145"/>
    <mergeCell ref="A143:B143"/>
    <mergeCell ref="D143:E143"/>
    <mergeCell ref="A144:B144"/>
    <mergeCell ref="D144:E144"/>
    <mergeCell ref="A147:J147"/>
    <mergeCell ref="I148:J149"/>
    <mergeCell ref="A141:B141"/>
    <mergeCell ref="D141:E141"/>
    <mergeCell ref="A142:B142"/>
    <mergeCell ref="D142:E142"/>
    <mergeCell ref="A139:B139"/>
    <mergeCell ref="D139:E139"/>
    <mergeCell ref="A140:B140"/>
    <mergeCell ref="D140:E140"/>
    <mergeCell ref="A137:B137"/>
    <mergeCell ref="D137:E137"/>
    <mergeCell ref="A138:B138"/>
    <mergeCell ref="D138:E138"/>
    <mergeCell ref="A130:B130"/>
    <mergeCell ref="D130:E130"/>
    <mergeCell ref="A128:B128"/>
    <mergeCell ref="D128:E128"/>
    <mergeCell ref="A127:B127"/>
    <mergeCell ref="D127:E127"/>
    <mergeCell ref="A125:B125"/>
    <mergeCell ref="D125:E125"/>
    <mergeCell ref="A135:B135"/>
    <mergeCell ref="D135:E135"/>
    <mergeCell ref="A133:B133"/>
    <mergeCell ref="D133:E133"/>
    <mergeCell ref="A134:B134"/>
    <mergeCell ref="D134:E134"/>
    <mergeCell ref="A131:B131"/>
    <mergeCell ref="D131:E131"/>
    <mergeCell ref="A132:B132"/>
    <mergeCell ref="D132:E132"/>
    <mergeCell ref="A124:B124"/>
    <mergeCell ref="D124:E124"/>
    <mergeCell ref="A118:B118"/>
    <mergeCell ref="D118:F118"/>
    <mergeCell ref="G118:J118"/>
    <mergeCell ref="A119:J119"/>
    <mergeCell ref="A120:J120"/>
    <mergeCell ref="I127:J129"/>
    <mergeCell ref="A117:B117"/>
    <mergeCell ref="A121:B121"/>
    <mergeCell ref="D121:E121"/>
    <mergeCell ref="I121:J121"/>
    <mergeCell ref="A122:J122"/>
    <mergeCell ref="A129:B129"/>
    <mergeCell ref="D129:E129"/>
    <mergeCell ref="A116:B116"/>
    <mergeCell ref="D116:F116"/>
    <mergeCell ref="G116:J116"/>
    <mergeCell ref="D117:F117"/>
    <mergeCell ref="G117:J117"/>
    <mergeCell ref="G108:J108"/>
    <mergeCell ref="A112:B112"/>
    <mergeCell ref="D112:F112"/>
    <mergeCell ref="G112:J112"/>
    <mergeCell ref="A113:J113"/>
    <mergeCell ref="A115:B115"/>
    <mergeCell ref="A114:B114"/>
    <mergeCell ref="D114:F114"/>
    <mergeCell ref="G114:J114"/>
    <mergeCell ref="D115:F115"/>
    <mergeCell ref="G115:J115"/>
    <mergeCell ref="A51:J51"/>
    <mergeCell ref="A52:C52"/>
    <mergeCell ref="D52:E52"/>
    <mergeCell ref="F52:G52"/>
    <mergeCell ref="H52:J52"/>
    <mergeCell ref="A55:J55"/>
    <mergeCell ref="A56:J56"/>
    <mergeCell ref="A99:J99"/>
    <mergeCell ref="A107:F107"/>
    <mergeCell ref="G107:J107"/>
    <mergeCell ref="D66:E66"/>
    <mergeCell ref="A67:B67"/>
    <mergeCell ref="D67:E67"/>
    <mergeCell ref="A68:B68"/>
    <mergeCell ref="D68:E68"/>
    <mergeCell ref="A69:B69"/>
    <mergeCell ref="D69:E69"/>
    <mergeCell ref="A70:B70"/>
    <mergeCell ref="D70:E70"/>
    <mergeCell ref="A71:B71"/>
    <mergeCell ref="C71:J71"/>
    <mergeCell ref="F72:G72"/>
    <mergeCell ref="I72:J72"/>
    <mergeCell ref="A73:B73"/>
    <mergeCell ref="A35:J35"/>
    <mergeCell ref="A37:E37"/>
    <mergeCell ref="F37:J37"/>
    <mergeCell ref="A38:J38"/>
    <mergeCell ref="H49:J49"/>
    <mergeCell ref="A49:B49"/>
    <mergeCell ref="C49:F49"/>
    <mergeCell ref="A50:C50"/>
    <mergeCell ref="D50:E50"/>
    <mergeCell ref="F50:G50"/>
    <mergeCell ref="H50:J50"/>
    <mergeCell ref="A39:E39"/>
    <mergeCell ref="F39:J39"/>
    <mergeCell ref="H46:J46"/>
    <mergeCell ref="H47:J47"/>
    <mergeCell ref="I48:J48"/>
    <mergeCell ref="A47:B47"/>
    <mergeCell ref="C47:F47"/>
    <mergeCell ref="A48:B48"/>
    <mergeCell ref="C48:F48"/>
    <mergeCell ref="A46:B46"/>
    <mergeCell ref="C46:F46"/>
    <mergeCell ref="A41:E41"/>
    <mergeCell ref="F41:J41"/>
    <mergeCell ref="A30:B30"/>
    <mergeCell ref="C30:D30"/>
    <mergeCell ref="E30:F30"/>
    <mergeCell ref="G30:H30"/>
    <mergeCell ref="I30:J30"/>
    <mergeCell ref="A32:J32"/>
    <mergeCell ref="A33:B33"/>
    <mergeCell ref="C33:D33"/>
    <mergeCell ref="E33:F33"/>
    <mergeCell ref="G33:H33"/>
    <mergeCell ref="I33:J33"/>
    <mergeCell ref="A16:B16"/>
    <mergeCell ref="C16:E16"/>
    <mergeCell ref="F16:G16"/>
    <mergeCell ref="H16:J16"/>
    <mergeCell ref="A25:E25"/>
    <mergeCell ref="A26:E26"/>
    <mergeCell ref="F26:J26"/>
    <mergeCell ref="F25:J25"/>
    <mergeCell ref="A27:E27"/>
    <mergeCell ref="F27:J27"/>
    <mergeCell ref="A24:E24"/>
    <mergeCell ref="F24:J24"/>
    <mergeCell ref="A18:B18"/>
    <mergeCell ref="C18:E18"/>
    <mergeCell ref="F18:G18"/>
    <mergeCell ref="H18:J18"/>
    <mergeCell ref="A19:B19"/>
    <mergeCell ref="C19:E19"/>
    <mergeCell ref="F19:G19"/>
    <mergeCell ref="H19:J19"/>
    <mergeCell ref="A20:E21"/>
    <mergeCell ref="F20:J21"/>
    <mergeCell ref="A22:E23"/>
    <mergeCell ref="F22:J23"/>
    <mergeCell ref="A11:E11"/>
    <mergeCell ref="F11:J11"/>
    <mergeCell ref="A5:E5"/>
    <mergeCell ref="F5:J5"/>
    <mergeCell ref="A6:E6"/>
    <mergeCell ref="F6:J6"/>
    <mergeCell ref="A7:E7"/>
    <mergeCell ref="F7:J7"/>
    <mergeCell ref="A15:B15"/>
    <mergeCell ref="C15:E15"/>
    <mergeCell ref="A12:E12"/>
    <mergeCell ref="F12:J12"/>
    <mergeCell ref="A13:E13"/>
    <mergeCell ref="F13:J13"/>
    <mergeCell ref="A14:B14"/>
    <mergeCell ref="C14:J14"/>
    <mergeCell ref="F15:G15"/>
    <mergeCell ref="H15:J15"/>
    <mergeCell ref="A10:E10"/>
    <mergeCell ref="F10:J10"/>
    <mergeCell ref="A1:J1"/>
    <mergeCell ref="A2:J2"/>
    <mergeCell ref="A3:E3"/>
    <mergeCell ref="F3:J3"/>
    <mergeCell ref="A4:E4"/>
    <mergeCell ref="A8:E8"/>
    <mergeCell ref="F8:J8"/>
    <mergeCell ref="A9:E9"/>
    <mergeCell ref="F9:J9"/>
    <mergeCell ref="F4:J4"/>
    <mergeCell ref="A209:J212"/>
    <mergeCell ref="A208:B208"/>
    <mergeCell ref="E208:G208"/>
    <mergeCell ref="C208:D208"/>
    <mergeCell ref="H208:J208"/>
    <mergeCell ref="A17:B17"/>
    <mergeCell ref="C17:E17"/>
    <mergeCell ref="F17:G17"/>
    <mergeCell ref="H17:J17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40:E40"/>
    <mergeCell ref="F40:J40"/>
    <mergeCell ref="A36:E36"/>
    <mergeCell ref="F36:J36"/>
    <mergeCell ref="A31:J31"/>
    <mergeCell ref="I130:J135"/>
    <mergeCell ref="I161:J164"/>
    <mergeCell ref="I165:J169"/>
    <mergeCell ref="I188:J195"/>
    <mergeCell ref="G105:J105"/>
    <mergeCell ref="A105:F105"/>
    <mergeCell ref="I137:J145"/>
    <mergeCell ref="A100:J100"/>
    <mergeCell ref="A101:B101"/>
    <mergeCell ref="C101:J101"/>
    <mergeCell ref="A104:F104"/>
    <mergeCell ref="G104:J104"/>
    <mergeCell ref="A102:J102"/>
    <mergeCell ref="A103:F103"/>
    <mergeCell ref="G103:J103"/>
    <mergeCell ref="A110:J110"/>
    <mergeCell ref="A108:F108"/>
    <mergeCell ref="A106:F106"/>
    <mergeCell ref="G106:J106"/>
    <mergeCell ref="A109:F109"/>
    <mergeCell ref="G109:J109"/>
    <mergeCell ref="A111:B111"/>
    <mergeCell ref="D111:F111"/>
    <mergeCell ref="G111:J111"/>
    <mergeCell ref="P63:R75"/>
    <mergeCell ref="A57:B57"/>
    <mergeCell ref="C57:J57"/>
    <mergeCell ref="F58:G58"/>
    <mergeCell ref="I58:J58"/>
    <mergeCell ref="A59:B59"/>
    <mergeCell ref="C59:J59"/>
    <mergeCell ref="A60:B60"/>
    <mergeCell ref="D60:E60"/>
    <mergeCell ref="F60:G60"/>
    <mergeCell ref="H60:J60"/>
    <mergeCell ref="A61:B61"/>
    <mergeCell ref="D61:E61"/>
    <mergeCell ref="F61:G70"/>
    <mergeCell ref="H61:J70"/>
    <mergeCell ref="A62:B62"/>
    <mergeCell ref="D62:E62"/>
    <mergeCell ref="A63:B63"/>
    <mergeCell ref="D63:E63"/>
    <mergeCell ref="A64:B64"/>
    <mergeCell ref="D64:E64"/>
    <mergeCell ref="A65:B65"/>
    <mergeCell ref="D65:E65"/>
    <mergeCell ref="A66:B66"/>
    <mergeCell ref="C73:J73"/>
    <mergeCell ref="A74:B74"/>
    <mergeCell ref="D74:E74"/>
    <mergeCell ref="F74:G74"/>
    <mergeCell ref="H74:J74"/>
    <mergeCell ref="A75:B75"/>
    <mergeCell ref="D75:E75"/>
    <mergeCell ref="F75:G84"/>
    <mergeCell ref="H75:J84"/>
    <mergeCell ref="A76:B76"/>
    <mergeCell ref="D76:E76"/>
    <mergeCell ref="A77:B77"/>
    <mergeCell ref="D77:E77"/>
    <mergeCell ref="A78:B78"/>
    <mergeCell ref="D78:E78"/>
    <mergeCell ref="A79:B79"/>
    <mergeCell ref="D79:E79"/>
    <mergeCell ref="A80:B80"/>
    <mergeCell ref="D80:E80"/>
    <mergeCell ref="A81:B81"/>
    <mergeCell ref="D81:E81"/>
    <mergeCell ref="A82:B82"/>
    <mergeCell ref="D82:E82"/>
    <mergeCell ref="A83:B83"/>
    <mergeCell ref="D83:E83"/>
    <mergeCell ref="A84:B84"/>
    <mergeCell ref="D84:E84"/>
    <mergeCell ref="A85:B85"/>
    <mergeCell ref="C85:J85"/>
    <mergeCell ref="F86:G86"/>
    <mergeCell ref="I86:J86"/>
    <mergeCell ref="A87:B87"/>
    <mergeCell ref="C87:J87"/>
    <mergeCell ref="A93:B93"/>
    <mergeCell ref="D93:E93"/>
    <mergeCell ref="A94:B94"/>
    <mergeCell ref="D94:E94"/>
    <mergeCell ref="A95:B95"/>
    <mergeCell ref="D95:E95"/>
    <mergeCell ref="A96:B96"/>
    <mergeCell ref="D96:E96"/>
    <mergeCell ref="A97:B97"/>
    <mergeCell ref="D97:E97"/>
    <mergeCell ref="A198:C198"/>
    <mergeCell ref="D198:J198"/>
    <mergeCell ref="A34:B34"/>
    <mergeCell ref="C34:J34"/>
    <mergeCell ref="D197:J197"/>
    <mergeCell ref="A197:C197"/>
    <mergeCell ref="A199:C199"/>
    <mergeCell ref="D199:J199"/>
    <mergeCell ref="A98:B98"/>
    <mergeCell ref="D98:E98"/>
    <mergeCell ref="A88:B88"/>
    <mergeCell ref="D88:E88"/>
    <mergeCell ref="F88:G88"/>
    <mergeCell ref="H88:J88"/>
    <mergeCell ref="A89:B89"/>
    <mergeCell ref="D89:E89"/>
    <mergeCell ref="F89:G98"/>
    <mergeCell ref="H89:J98"/>
    <mergeCell ref="A90:B90"/>
    <mergeCell ref="D90:E90"/>
    <mergeCell ref="A91:B91"/>
    <mergeCell ref="D91:E91"/>
    <mergeCell ref="A92:B92"/>
    <mergeCell ref="D92:E92"/>
  </mergeCells>
  <hyperlinks>
    <hyperlink ref="C34" r:id="rId1"/>
  </hyperlinks>
  <printOptions horizontalCentered="1"/>
  <pageMargins left="0.43307086614173201" right="0.43307086614173201" top="0.78740157480314998" bottom="0.78740157480314998" header="0.196850393700787" footer="0.196850393700787"/>
  <pageSetup paperSize="9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70" max="16383" man="1"/>
    <brk id="109" max="16383" man="1"/>
    <brk id="145" max="16383" man="1"/>
    <brk id="212" max="16383" man="1"/>
    <brk id="255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workbookViewId="0">
      <selection activeCell="C8" sqref="C8"/>
    </sheetView>
  </sheetViews>
  <sheetFormatPr defaultRowHeight="15" x14ac:dyDescent="0.25"/>
  <cols>
    <col min="1" max="1" width="20.5703125" style="6" customWidth="1"/>
    <col min="2" max="2" width="11.7109375" style="6" customWidth="1"/>
    <col min="3" max="4" width="9.140625" style="6"/>
    <col min="5" max="5" width="10.140625" style="6" customWidth="1"/>
    <col min="6" max="6" width="10.7109375" style="6" customWidth="1"/>
    <col min="7" max="7" width="9.140625" style="6"/>
    <col min="8" max="8" width="10.42578125" style="6" customWidth="1"/>
    <col min="9" max="9" width="15.42578125" style="6" customWidth="1"/>
    <col min="10" max="258" width="9.140625" style="6"/>
    <col min="259" max="259" width="11.7109375" style="6" customWidth="1"/>
    <col min="260" max="260" width="9.140625" style="6"/>
    <col min="261" max="261" width="14.7109375" style="6" customWidth="1"/>
    <col min="262" max="262" width="10.7109375" style="6" customWidth="1"/>
    <col min="263" max="514" width="9.140625" style="6"/>
    <col min="515" max="515" width="11.7109375" style="6" customWidth="1"/>
    <col min="516" max="516" width="9.140625" style="6"/>
    <col min="517" max="517" width="14.7109375" style="6" customWidth="1"/>
    <col min="518" max="518" width="10.7109375" style="6" customWidth="1"/>
    <col min="519" max="770" width="9.140625" style="6"/>
    <col min="771" max="771" width="11.7109375" style="6" customWidth="1"/>
    <col min="772" max="772" width="9.140625" style="6"/>
    <col min="773" max="773" width="14.7109375" style="6" customWidth="1"/>
    <col min="774" max="774" width="10.7109375" style="6" customWidth="1"/>
    <col min="775" max="1026" width="9.140625" style="6"/>
    <col min="1027" max="1027" width="11.7109375" style="6" customWidth="1"/>
    <col min="1028" max="1028" width="9.140625" style="6"/>
    <col min="1029" max="1029" width="14.7109375" style="6" customWidth="1"/>
    <col min="1030" max="1030" width="10.7109375" style="6" customWidth="1"/>
    <col min="1031" max="1282" width="9.140625" style="6"/>
    <col min="1283" max="1283" width="11.7109375" style="6" customWidth="1"/>
    <col min="1284" max="1284" width="9.140625" style="6"/>
    <col min="1285" max="1285" width="14.7109375" style="6" customWidth="1"/>
    <col min="1286" max="1286" width="10.7109375" style="6" customWidth="1"/>
    <col min="1287" max="1538" width="9.140625" style="6"/>
    <col min="1539" max="1539" width="11.7109375" style="6" customWidth="1"/>
    <col min="1540" max="1540" width="9.140625" style="6"/>
    <col min="1541" max="1541" width="14.7109375" style="6" customWidth="1"/>
    <col min="1542" max="1542" width="10.7109375" style="6" customWidth="1"/>
    <col min="1543" max="1794" width="9.140625" style="6"/>
    <col min="1795" max="1795" width="11.7109375" style="6" customWidth="1"/>
    <col min="1796" max="1796" width="9.140625" style="6"/>
    <col min="1797" max="1797" width="14.7109375" style="6" customWidth="1"/>
    <col min="1798" max="1798" width="10.7109375" style="6" customWidth="1"/>
    <col min="1799" max="2050" width="9.140625" style="6"/>
    <col min="2051" max="2051" width="11.7109375" style="6" customWidth="1"/>
    <col min="2052" max="2052" width="9.140625" style="6"/>
    <col min="2053" max="2053" width="14.7109375" style="6" customWidth="1"/>
    <col min="2054" max="2054" width="10.7109375" style="6" customWidth="1"/>
    <col min="2055" max="2306" width="9.140625" style="6"/>
    <col min="2307" max="2307" width="11.7109375" style="6" customWidth="1"/>
    <col min="2308" max="2308" width="9.140625" style="6"/>
    <col min="2309" max="2309" width="14.7109375" style="6" customWidth="1"/>
    <col min="2310" max="2310" width="10.7109375" style="6" customWidth="1"/>
    <col min="2311" max="2562" width="9.140625" style="6"/>
    <col min="2563" max="2563" width="11.7109375" style="6" customWidth="1"/>
    <col min="2564" max="2564" width="9.140625" style="6"/>
    <col min="2565" max="2565" width="14.7109375" style="6" customWidth="1"/>
    <col min="2566" max="2566" width="10.7109375" style="6" customWidth="1"/>
    <col min="2567" max="2818" width="9.140625" style="6"/>
    <col min="2819" max="2819" width="11.7109375" style="6" customWidth="1"/>
    <col min="2820" max="2820" width="9.140625" style="6"/>
    <col min="2821" max="2821" width="14.7109375" style="6" customWidth="1"/>
    <col min="2822" max="2822" width="10.7109375" style="6" customWidth="1"/>
    <col min="2823" max="3074" width="9.140625" style="6"/>
    <col min="3075" max="3075" width="11.7109375" style="6" customWidth="1"/>
    <col min="3076" max="3076" width="9.140625" style="6"/>
    <col min="3077" max="3077" width="14.7109375" style="6" customWidth="1"/>
    <col min="3078" max="3078" width="10.7109375" style="6" customWidth="1"/>
    <col min="3079" max="3330" width="9.140625" style="6"/>
    <col min="3331" max="3331" width="11.7109375" style="6" customWidth="1"/>
    <col min="3332" max="3332" width="9.140625" style="6"/>
    <col min="3333" max="3333" width="14.7109375" style="6" customWidth="1"/>
    <col min="3334" max="3334" width="10.7109375" style="6" customWidth="1"/>
    <col min="3335" max="3586" width="9.140625" style="6"/>
    <col min="3587" max="3587" width="11.7109375" style="6" customWidth="1"/>
    <col min="3588" max="3588" width="9.140625" style="6"/>
    <col min="3589" max="3589" width="14.7109375" style="6" customWidth="1"/>
    <col min="3590" max="3590" width="10.7109375" style="6" customWidth="1"/>
    <col min="3591" max="3842" width="9.140625" style="6"/>
    <col min="3843" max="3843" width="11.7109375" style="6" customWidth="1"/>
    <col min="3844" max="3844" width="9.140625" style="6"/>
    <col min="3845" max="3845" width="14.7109375" style="6" customWidth="1"/>
    <col min="3846" max="3846" width="10.7109375" style="6" customWidth="1"/>
    <col min="3847" max="4098" width="9.140625" style="6"/>
    <col min="4099" max="4099" width="11.7109375" style="6" customWidth="1"/>
    <col min="4100" max="4100" width="9.140625" style="6"/>
    <col min="4101" max="4101" width="14.7109375" style="6" customWidth="1"/>
    <col min="4102" max="4102" width="10.7109375" style="6" customWidth="1"/>
    <col min="4103" max="4354" width="9.140625" style="6"/>
    <col min="4355" max="4355" width="11.7109375" style="6" customWidth="1"/>
    <col min="4356" max="4356" width="9.140625" style="6"/>
    <col min="4357" max="4357" width="14.7109375" style="6" customWidth="1"/>
    <col min="4358" max="4358" width="10.7109375" style="6" customWidth="1"/>
    <col min="4359" max="4610" width="9.140625" style="6"/>
    <col min="4611" max="4611" width="11.7109375" style="6" customWidth="1"/>
    <col min="4612" max="4612" width="9.140625" style="6"/>
    <col min="4613" max="4613" width="14.7109375" style="6" customWidth="1"/>
    <col min="4614" max="4614" width="10.7109375" style="6" customWidth="1"/>
    <col min="4615" max="4866" width="9.140625" style="6"/>
    <col min="4867" max="4867" width="11.7109375" style="6" customWidth="1"/>
    <col min="4868" max="4868" width="9.140625" style="6"/>
    <col min="4869" max="4869" width="14.7109375" style="6" customWidth="1"/>
    <col min="4870" max="4870" width="10.7109375" style="6" customWidth="1"/>
    <col min="4871" max="5122" width="9.140625" style="6"/>
    <col min="5123" max="5123" width="11.7109375" style="6" customWidth="1"/>
    <col min="5124" max="5124" width="9.140625" style="6"/>
    <col min="5125" max="5125" width="14.7109375" style="6" customWidth="1"/>
    <col min="5126" max="5126" width="10.7109375" style="6" customWidth="1"/>
    <col min="5127" max="5378" width="9.140625" style="6"/>
    <col min="5379" max="5379" width="11.7109375" style="6" customWidth="1"/>
    <col min="5380" max="5380" width="9.140625" style="6"/>
    <col min="5381" max="5381" width="14.7109375" style="6" customWidth="1"/>
    <col min="5382" max="5382" width="10.7109375" style="6" customWidth="1"/>
    <col min="5383" max="5634" width="9.140625" style="6"/>
    <col min="5635" max="5635" width="11.7109375" style="6" customWidth="1"/>
    <col min="5636" max="5636" width="9.140625" style="6"/>
    <col min="5637" max="5637" width="14.7109375" style="6" customWidth="1"/>
    <col min="5638" max="5638" width="10.7109375" style="6" customWidth="1"/>
    <col min="5639" max="5890" width="9.140625" style="6"/>
    <col min="5891" max="5891" width="11.7109375" style="6" customWidth="1"/>
    <col min="5892" max="5892" width="9.140625" style="6"/>
    <col min="5893" max="5893" width="14.7109375" style="6" customWidth="1"/>
    <col min="5894" max="5894" width="10.7109375" style="6" customWidth="1"/>
    <col min="5895" max="6146" width="9.140625" style="6"/>
    <col min="6147" max="6147" width="11.7109375" style="6" customWidth="1"/>
    <col min="6148" max="6148" width="9.140625" style="6"/>
    <col min="6149" max="6149" width="14.7109375" style="6" customWidth="1"/>
    <col min="6150" max="6150" width="10.7109375" style="6" customWidth="1"/>
    <col min="6151" max="6402" width="9.140625" style="6"/>
    <col min="6403" max="6403" width="11.7109375" style="6" customWidth="1"/>
    <col min="6404" max="6404" width="9.140625" style="6"/>
    <col min="6405" max="6405" width="14.7109375" style="6" customWidth="1"/>
    <col min="6406" max="6406" width="10.7109375" style="6" customWidth="1"/>
    <col min="6407" max="6658" width="9.140625" style="6"/>
    <col min="6659" max="6659" width="11.7109375" style="6" customWidth="1"/>
    <col min="6660" max="6660" width="9.140625" style="6"/>
    <col min="6661" max="6661" width="14.7109375" style="6" customWidth="1"/>
    <col min="6662" max="6662" width="10.7109375" style="6" customWidth="1"/>
    <col min="6663" max="6914" width="9.140625" style="6"/>
    <col min="6915" max="6915" width="11.7109375" style="6" customWidth="1"/>
    <col min="6916" max="6916" width="9.140625" style="6"/>
    <col min="6917" max="6917" width="14.7109375" style="6" customWidth="1"/>
    <col min="6918" max="6918" width="10.7109375" style="6" customWidth="1"/>
    <col min="6919" max="7170" width="9.140625" style="6"/>
    <col min="7171" max="7171" width="11.7109375" style="6" customWidth="1"/>
    <col min="7172" max="7172" width="9.140625" style="6"/>
    <col min="7173" max="7173" width="14.7109375" style="6" customWidth="1"/>
    <col min="7174" max="7174" width="10.7109375" style="6" customWidth="1"/>
    <col min="7175" max="7426" width="9.140625" style="6"/>
    <col min="7427" max="7427" width="11.7109375" style="6" customWidth="1"/>
    <col min="7428" max="7428" width="9.140625" style="6"/>
    <col min="7429" max="7429" width="14.7109375" style="6" customWidth="1"/>
    <col min="7430" max="7430" width="10.7109375" style="6" customWidth="1"/>
    <col min="7431" max="7682" width="9.140625" style="6"/>
    <col min="7683" max="7683" width="11.7109375" style="6" customWidth="1"/>
    <col min="7684" max="7684" width="9.140625" style="6"/>
    <col min="7685" max="7685" width="14.7109375" style="6" customWidth="1"/>
    <col min="7686" max="7686" width="10.7109375" style="6" customWidth="1"/>
    <col min="7687" max="7938" width="9.140625" style="6"/>
    <col min="7939" max="7939" width="11.7109375" style="6" customWidth="1"/>
    <col min="7940" max="7940" width="9.140625" style="6"/>
    <col min="7941" max="7941" width="14.7109375" style="6" customWidth="1"/>
    <col min="7942" max="7942" width="10.7109375" style="6" customWidth="1"/>
    <col min="7943" max="8194" width="9.140625" style="6"/>
    <col min="8195" max="8195" width="11.7109375" style="6" customWidth="1"/>
    <col min="8196" max="8196" width="9.140625" style="6"/>
    <col min="8197" max="8197" width="14.7109375" style="6" customWidth="1"/>
    <col min="8198" max="8198" width="10.7109375" style="6" customWidth="1"/>
    <col min="8199" max="8450" width="9.140625" style="6"/>
    <col min="8451" max="8451" width="11.7109375" style="6" customWidth="1"/>
    <col min="8452" max="8452" width="9.140625" style="6"/>
    <col min="8453" max="8453" width="14.7109375" style="6" customWidth="1"/>
    <col min="8454" max="8454" width="10.7109375" style="6" customWidth="1"/>
    <col min="8455" max="8706" width="9.140625" style="6"/>
    <col min="8707" max="8707" width="11.7109375" style="6" customWidth="1"/>
    <col min="8708" max="8708" width="9.140625" style="6"/>
    <col min="8709" max="8709" width="14.7109375" style="6" customWidth="1"/>
    <col min="8710" max="8710" width="10.7109375" style="6" customWidth="1"/>
    <col min="8711" max="8962" width="9.140625" style="6"/>
    <col min="8963" max="8963" width="11.7109375" style="6" customWidth="1"/>
    <col min="8964" max="8964" width="9.140625" style="6"/>
    <col min="8965" max="8965" width="14.7109375" style="6" customWidth="1"/>
    <col min="8966" max="8966" width="10.7109375" style="6" customWidth="1"/>
    <col min="8967" max="9218" width="9.140625" style="6"/>
    <col min="9219" max="9219" width="11.7109375" style="6" customWidth="1"/>
    <col min="9220" max="9220" width="9.140625" style="6"/>
    <col min="9221" max="9221" width="14.7109375" style="6" customWidth="1"/>
    <col min="9222" max="9222" width="10.7109375" style="6" customWidth="1"/>
    <col min="9223" max="9474" width="9.140625" style="6"/>
    <col min="9475" max="9475" width="11.7109375" style="6" customWidth="1"/>
    <col min="9476" max="9476" width="9.140625" style="6"/>
    <col min="9477" max="9477" width="14.7109375" style="6" customWidth="1"/>
    <col min="9478" max="9478" width="10.7109375" style="6" customWidth="1"/>
    <col min="9479" max="9730" width="9.140625" style="6"/>
    <col min="9731" max="9731" width="11.7109375" style="6" customWidth="1"/>
    <col min="9732" max="9732" width="9.140625" style="6"/>
    <col min="9733" max="9733" width="14.7109375" style="6" customWidth="1"/>
    <col min="9734" max="9734" width="10.7109375" style="6" customWidth="1"/>
    <col min="9735" max="9986" width="9.140625" style="6"/>
    <col min="9987" max="9987" width="11.7109375" style="6" customWidth="1"/>
    <col min="9988" max="9988" width="9.140625" style="6"/>
    <col min="9989" max="9989" width="14.7109375" style="6" customWidth="1"/>
    <col min="9990" max="9990" width="10.7109375" style="6" customWidth="1"/>
    <col min="9991" max="10242" width="9.140625" style="6"/>
    <col min="10243" max="10243" width="11.7109375" style="6" customWidth="1"/>
    <col min="10244" max="10244" width="9.140625" style="6"/>
    <col min="10245" max="10245" width="14.7109375" style="6" customWidth="1"/>
    <col min="10246" max="10246" width="10.7109375" style="6" customWidth="1"/>
    <col min="10247" max="10498" width="9.140625" style="6"/>
    <col min="10499" max="10499" width="11.7109375" style="6" customWidth="1"/>
    <col min="10500" max="10500" width="9.140625" style="6"/>
    <col min="10501" max="10501" width="14.7109375" style="6" customWidth="1"/>
    <col min="10502" max="10502" width="10.7109375" style="6" customWidth="1"/>
    <col min="10503" max="10754" width="9.140625" style="6"/>
    <col min="10755" max="10755" width="11.7109375" style="6" customWidth="1"/>
    <col min="10756" max="10756" width="9.140625" style="6"/>
    <col min="10757" max="10757" width="14.7109375" style="6" customWidth="1"/>
    <col min="10758" max="10758" width="10.7109375" style="6" customWidth="1"/>
    <col min="10759" max="11010" width="9.140625" style="6"/>
    <col min="11011" max="11011" width="11.7109375" style="6" customWidth="1"/>
    <col min="11012" max="11012" width="9.140625" style="6"/>
    <col min="11013" max="11013" width="14.7109375" style="6" customWidth="1"/>
    <col min="11014" max="11014" width="10.7109375" style="6" customWidth="1"/>
    <col min="11015" max="11266" width="9.140625" style="6"/>
    <col min="11267" max="11267" width="11.7109375" style="6" customWidth="1"/>
    <col min="11268" max="11268" width="9.140625" style="6"/>
    <col min="11269" max="11269" width="14.7109375" style="6" customWidth="1"/>
    <col min="11270" max="11270" width="10.7109375" style="6" customWidth="1"/>
    <col min="11271" max="11522" width="9.140625" style="6"/>
    <col min="11523" max="11523" width="11.7109375" style="6" customWidth="1"/>
    <col min="11524" max="11524" width="9.140625" style="6"/>
    <col min="11525" max="11525" width="14.7109375" style="6" customWidth="1"/>
    <col min="11526" max="11526" width="10.7109375" style="6" customWidth="1"/>
    <col min="11527" max="11778" width="9.140625" style="6"/>
    <col min="11779" max="11779" width="11.7109375" style="6" customWidth="1"/>
    <col min="11780" max="11780" width="9.140625" style="6"/>
    <col min="11781" max="11781" width="14.7109375" style="6" customWidth="1"/>
    <col min="11782" max="11782" width="10.7109375" style="6" customWidth="1"/>
    <col min="11783" max="12034" width="9.140625" style="6"/>
    <col min="12035" max="12035" width="11.7109375" style="6" customWidth="1"/>
    <col min="12036" max="12036" width="9.140625" style="6"/>
    <col min="12037" max="12037" width="14.7109375" style="6" customWidth="1"/>
    <col min="12038" max="12038" width="10.7109375" style="6" customWidth="1"/>
    <col min="12039" max="12290" width="9.140625" style="6"/>
    <col min="12291" max="12291" width="11.7109375" style="6" customWidth="1"/>
    <col min="12292" max="12292" width="9.140625" style="6"/>
    <col min="12293" max="12293" width="14.7109375" style="6" customWidth="1"/>
    <col min="12294" max="12294" width="10.7109375" style="6" customWidth="1"/>
    <col min="12295" max="12546" width="9.140625" style="6"/>
    <col min="12547" max="12547" width="11.7109375" style="6" customWidth="1"/>
    <col min="12548" max="12548" width="9.140625" style="6"/>
    <col min="12549" max="12549" width="14.7109375" style="6" customWidth="1"/>
    <col min="12550" max="12550" width="10.7109375" style="6" customWidth="1"/>
    <col min="12551" max="12802" width="9.140625" style="6"/>
    <col min="12803" max="12803" width="11.7109375" style="6" customWidth="1"/>
    <col min="12804" max="12804" width="9.140625" style="6"/>
    <col min="12805" max="12805" width="14.7109375" style="6" customWidth="1"/>
    <col min="12806" max="12806" width="10.7109375" style="6" customWidth="1"/>
    <col min="12807" max="13058" width="9.140625" style="6"/>
    <col min="13059" max="13059" width="11.7109375" style="6" customWidth="1"/>
    <col min="13060" max="13060" width="9.140625" style="6"/>
    <col min="13061" max="13061" width="14.7109375" style="6" customWidth="1"/>
    <col min="13062" max="13062" width="10.7109375" style="6" customWidth="1"/>
    <col min="13063" max="13314" width="9.140625" style="6"/>
    <col min="13315" max="13315" width="11.7109375" style="6" customWidth="1"/>
    <col min="13316" max="13316" width="9.140625" style="6"/>
    <col min="13317" max="13317" width="14.7109375" style="6" customWidth="1"/>
    <col min="13318" max="13318" width="10.7109375" style="6" customWidth="1"/>
    <col min="13319" max="13570" width="9.140625" style="6"/>
    <col min="13571" max="13571" width="11.7109375" style="6" customWidth="1"/>
    <col min="13572" max="13572" width="9.140625" style="6"/>
    <col min="13573" max="13573" width="14.7109375" style="6" customWidth="1"/>
    <col min="13574" max="13574" width="10.7109375" style="6" customWidth="1"/>
    <col min="13575" max="13826" width="9.140625" style="6"/>
    <col min="13827" max="13827" width="11.7109375" style="6" customWidth="1"/>
    <col min="13828" max="13828" width="9.140625" style="6"/>
    <col min="13829" max="13829" width="14.7109375" style="6" customWidth="1"/>
    <col min="13830" max="13830" width="10.7109375" style="6" customWidth="1"/>
    <col min="13831" max="14082" width="9.140625" style="6"/>
    <col min="14083" max="14083" width="11.7109375" style="6" customWidth="1"/>
    <col min="14084" max="14084" width="9.140625" style="6"/>
    <col min="14085" max="14085" width="14.7109375" style="6" customWidth="1"/>
    <col min="14086" max="14086" width="10.7109375" style="6" customWidth="1"/>
    <col min="14087" max="14338" width="9.140625" style="6"/>
    <col min="14339" max="14339" width="11.7109375" style="6" customWidth="1"/>
    <col min="14340" max="14340" width="9.140625" style="6"/>
    <col min="14341" max="14341" width="14.7109375" style="6" customWidth="1"/>
    <col min="14342" max="14342" width="10.7109375" style="6" customWidth="1"/>
    <col min="14343" max="14594" width="9.140625" style="6"/>
    <col min="14595" max="14595" width="11.7109375" style="6" customWidth="1"/>
    <col min="14596" max="14596" width="9.140625" style="6"/>
    <col min="14597" max="14597" width="14.7109375" style="6" customWidth="1"/>
    <col min="14598" max="14598" width="10.7109375" style="6" customWidth="1"/>
    <col min="14599" max="14850" width="9.140625" style="6"/>
    <col min="14851" max="14851" width="11.7109375" style="6" customWidth="1"/>
    <col min="14852" max="14852" width="9.140625" style="6"/>
    <col min="14853" max="14853" width="14.7109375" style="6" customWidth="1"/>
    <col min="14854" max="14854" width="10.7109375" style="6" customWidth="1"/>
    <col min="14855" max="15106" width="9.140625" style="6"/>
    <col min="15107" max="15107" width="11.7109375" style="6" customWidth="1"/>
    <col min="15108" max="15108" width="9.140625" style="6"/>
    <col min="15109" max="15109" width="14.7109375" style="6" customWidth="1"/>
    <col min="15110" max="15110" width="10.7109375" style="6" customWidth="1"/>
    <col min="15111" max="15362" width="9.140625" style="6"/>
    <col min="15363" max="15363" width="11.7109375" style="6" customWidth="1"/>
    <col min="15364" max="15364" width="9.140625" style="6"/>
    <col min="15365" max="15365" width="14.7109375" style="6" customWidth="1"/>
    <col min="15366" max="15366" width="10.7109375" style="6" customWidth="1"/>
    <col min="15367" max="15618" width="9.140625" style="6"/>
    <col min="15619" max="15619" width="11.7109375" style="6" customWidth="1"/>
    <col min="15620" max="15620" width="9.140625" style="6"/>
    <col min="15621" max="15621" width="14.7109375" style="6" customWidth="1"/>
    <col min="15622" max="15622" width="10.7109375" style="6" customWidth="1"/>
    <col min="15623" max="15874" width="9.140625" style="6"/>
    <col min="15875" max="15875" width="11.7109375" style="6" customWidth="1"/>
    <col min="15876" max="15876" width="9.140625" style="6"/>
    <col min="15877" max="15877" width="14.7109375" style="6" customWidth="1"/>
    <col min="15878" max="15878" width="10.7109375" style="6" customWidth="1"/>
    <col min="15879" max="16130" width="9.140625" style="6"/>
    <col min="16131" max="16131" width="11.7109375" style="6" customWidth="1"/>
    <col min="16132" max="16132" width="9.140625" style="6"/>
    <col min="16133" max="16133" width="14.7109375" style="6" customWidth="1"/>
    <col min="16134" max="16134" width="10.7109375" style="6" customWidth="1"/>
    <col min="16135" max="16384" width="9.140625" style="6"/>
  </cols>
  <sheetData>
    <row r="2" spans="1:13" x14ac:dyDescent="0.25">
      <c r="A2" s="7" t="s">
        <v>140</v>
      </c>
      <c r="B2" s="7" t="s">
        <v>141</v>
      </c>
      <c r="C2" s="7" t="s">
        <v>142</v>
      </c>
      <c r="D2" s="220" t="s">
        <v>143</v>
      </c>
      <c r="E2" s="220"/>
    </row>
    <row r="3" spans="1:13" x14ac:dyDescent="0.25">
      <c r="A3" s="10">
        <v>0</v>
      </c>
      <c r="B3" s="10">
        <v>0</v>
      </c>
      <c r="C3" s="10">
        <v>1</v>
      </c>
      <c r="D3" s="222">
        <v>7</v>
      </c>
      <c r="E3" s="222"/>
    </row>
    <row r="5" spans="1:13" hidden="1" x14ac:dyDescent="0.25">
      <c r="A5" s="6" t="s">
        <v>105</v>
      </c>
      <c r="B5" s="8" t="s">
        <v>158</v>
      </c>
      <c r="C5" s="8">
        <f>D3</f>
        <v>7</v>
      </c>
      <c r="D5" s="9"/>
    </row>
    <row r="6" spans="1:13" x14ac:dyDescent="0.25">
      <c r="A6" s="6" t="s">
        <v>106</v>
      </c>
      <c r="B6" s="11">
        <v>10</v>
      </c>
      <c r="C6" s="12">
        <v>10</v>
      </c>
      <c r="D6" s="13">
        <f>((100/B6)*C6)/100</f>
        <v>1</v>
      </c>
      <c r="E6" s="14"/>
      <c r="J6" s="14"/>
    </row>
    <row r="7" spans="1:13" x14ac:dyDescent="0.25">
      <c r="A7" s="6" t="s">
        <v>107</v>
      </c>
      <c r="B7" s="11">
        <f>A3+B3+C3+D3</f>
        <v>8</v>
      </c>
      <c r="C7" s="12">
        <v>8</v>
      </c>
      <c r="D7" s="13">
        <f t="shared" ref="D7:D12" si="0">((100/B7)*C7)/100</f>
        <v>1</v>
      </c>
      <c r="F7" s="223" t="s">
        <v>159</v>
      </c>
      <c r="G7" s="223"/>
      <c r="H7" s="15" t="s">
        <v>160</v>
      </c>
      <c r="J7" s="22"/>
    </row>
    <row r="8" spans="1:13" x14ac:dyDescent="0.25">
      <c r="A8" s="6" t="s">
        <v>112</v>
      </c>
      <c r="B8" s="11">
        <f>C5</f>
        <v>7</v>
      </c>
      <c r="C8" s="12">
        <v>7</v>
      </c>
      <c r="D8" s="13">
        <f t="shared" si="0"/>
        <v>1</v>
      </c>
      <c r="E8" s="14"/>
      <c r="F8" s="221" t="s">
        <v>161</v>
      </c>
      <c r="G8" s="221"/>
      <c r="H8" s="11" t="s">
        <v>162</v>
      </c>
      <c r="J8" s="14"/>
    </row>
    <row r="9" spans="1:13" x14ac:dyDescent="0.25">
      <c r="A9" s="6" t="s">
        <v>114</v>
      </c>
      <c r="B9" s="11">
        <f>C5</f>
        <v>7</v>
      </c>
      <c r="C9" s="12">
        <v>1</v>
      </c>
      <c r="D9" s="13">
        <f t="shared" si="0"/>
        <v>0.14285714285714288</v>
      </c>
      <c r="E9" s="14"/>
      <c r="F9" s="221" t="s">
        <v>163</v>
      </c>
      <c r="G9" s="221"/>
      <c r="H9" s="11" t="s">
        <v>164</v>
      </c>
      <c r="J9" s="14"/>
    </row>
    <row r="10" spans="1:13" x14ac:dyDescent="0.25">
      <c r="A10" s="6" t="s">
        <v>75</v>
      </c>
      <c r="B10" s="11">
        <f>C5</f>
        <v>7</v>
      </c>
      <c r="C10" s="12">
        <v>0</v>
      </c>
      <c r="D10" s="13">
        <f t="shared" si="0"/>
        <v>0</v>
      </c>
      <c r="E10" s="14"/>
      <c r="F10" s="221" t="s">
        <v>165</v>
      </c>
      <c r="G10" s="221"/>
      <c r="H10" s="11" t="s">
        <v>166</v>
      </c>
      <c r="J10" s="14"/>
    </row>
    <row r="11" spans="1:13" x14ac:dyDescent="0.25">
      <c r="A11" s="16" t="s">
        <v>110</v>
      </c>
      <c r="B11" s="11">
        <f>C5</f>
        <v>7</v>
      </c>
      <c r="C11" s="12">
        <v>0</v>
      </c>
      <c r="D11" s="13">
        <f t="shared" si="0"/>
        <v>0</v>
      </c>
      <c r="E11" s="14"/>
      <c r="F11" s="221" t="s">
        <v>167</v>
      </c>
      <c r="G11" s="221"/>
      <c r="H11" s="11" t="s">
        <v>168</v>
      </c>
    </row>
    <row r="12" spans="1:13" x14ac:dyDescent="0.25">
      <c r="A12" s="6" t="s">
        <v>76</v>
      </c>
      <c r="B12" s="11">
        <f>C5</f>
        <v>7</v>
      </c>
      <c r="C12" s="12">
        <v>0</v>
      </c>
      <c r="D12" s="13">
        <f t="shared" si="0"/>
        <v>0</v>
      </c>
      <c r="E12" s="14"/>
      <c r="F12" s="221" t="s">
        <v>169</v>
      </c>
      <c r="G12" s="221"/>
      <c r="H12" s="11" t="s">
        <v>170</v>
      </c>
    </row>
    <row r="13" spans="1:13" x14ac:dyDescent="0.25">
      <c r="F13" s="221" t="s">
        <v>171</v>
      </c>
      <c r="G13" s="221"/>
      <c r="H13" s="11" t="s">
        <v>172</v>
      </c>
    </row>
    <row r="14" spans="1:13" hidden="1" x14ac:dyDescent="0.25">
      <c r="A14" s="7"/>
      <c r="B14" s="7" t="s">
        <v>111</v>
      </c>
      <c r="C14" s="7" t="s">
        <v>115</v>
      </c>
      <c r="G14" s="7" t="s">
        <v>106</v>
      </c>
      <c r="H14" s="7" t="s">
        <v>108</v>
      </c>
      <c r="I14" s="7" t="s">
        <v>109</v>
      </c>
      <c r="J14" s="7" t="s">
        <v>74</v>
      </c>
      <c r="K14" s="7" t="s">
        <v>75</v>
      </c>
      <c r="L14" s="7" t="s">
        <v>110</v>
      </c>
      <c r="M14" s="7" t="s">
        <v>76</v>
      </c>
    </row>
    <row r="15" spans="1:13" hidden="1" x14ac:dyDescent="0.25">
      <c r="A15" s="7" t="s">
        <v>72</v>
      </c>
      <c r="B15" s="7">
        <f>G15</f>
        <v>10</v>
      </c>
      <c r="C15" s="7">
        <f>G16</f>
        <v>30</v>
      </c>
      <c r="E15" s="220" t="s">
        <v>111</v>
      </c>
      <c r="F15" s="220"/>
      <c r="G15" s="17">
        <f>C6</f>
        <v>10</v>
      </c>
      <c r="H15" s="17">
        <f>40/B7*C7</f>
        <v>40</v>
      </c>
      <c r="I15" s="17">
        <f>15/B8*C8</f>
        <v>15</v>
      </c>
      <c r="J15" s="17">
        <f>10/B9*C9</f>
        <v>1.4285714285714286</v>
      </c>
      <c r="K15" s="17">
        <f>10/B10*C10</f>
        <v>0</v>
      </c>
      <c r="L15" s="17">
        <f>5/B11*C11</f>
        <v>0</v>
      </c>
      <c r="M15" s="17">
        <f>5/B12*C12</f>
        <v>0</v>
      </c>
    </row>
    <row r="16" spans="1:13" hidden="1" x14ac:dyDescent="0.25">
      <c r="A16" s="7" t="s">
        <v>73</v>
      </c>
      <c r="B16" s="7">
        <f>H15</f>
        <v>40</v>
      </c>
      <c r="C16" s="7">
        <f>H16</f>
        <v>30</v>
      </c>
      <c r="E16" s="220" t="s">
        <v>113</v>
      </c>
      <c r="F16" s="220"/>
      <c r="G16" s="7">
        <f>G15+20</f>
        <v>30</v>
      </c>
      <c r="H16" s="7">
        <f>30/B7*C7</f>
        <v>30</v>
      </c>
      <c r="I16" s="7">
        <f>15/B8*C8</f>
        <v>15</v>
      </c>
      <c r="J16" s="7">
        <f>10/B9*C9</f>
        <v>1.4285714285714286</v>
      </c>
      <c r="K16" s="7">
        <f>5/B10*C10</f>
        <v>0</v>
      </c>
      <c r="L16" s="7">
        <f>5/B11*C11</f>
        <v>0</v>
      </c>
      <c r="M16" s="7">
        <f>5/B12*C12</f>
        <v>0</v>
      </c>
    </row>
    <row r="17" spans="1:13" hidden="1" x14ac:dyDescent="0.25">
      <c r="A17" s="7" t="s">
        <v>109</v>
      </c>
      <c r="B17" s="7">
        <f>I15</f>
        <v>15</v>
      </c>
      <c r="C17" s="7">
        <f>I16</f>
        <v>15</v>
      </c>
      <c r="M17" s="14"/>
    </row>
    <row r="18" spans="1:13" hidden="1" x14ac:dyDescent="0.25">
      <c r="A18" s="7" t="s">
        <v>74</v>
      </c>
      <c r="B18" s="7">
        <f>J15</f>
        <v>1.4285714285714286</v>
      </c>
      <c r="C18" s="7">
        <f>J16</f>
        <v>1.4285714285714286</v>
      </c>
      <c r="M18" s="14"/>
    </row>
    <row r="19" spans="1:13" hidden="1" x14ac:dyDescent="0.25">
      <c r="A19" s="7" t="s">
        <v>75</v>
      </c>
      <c r="B19" s="7">
        <f>K15</f>
        <v>0</v>
      </c>
      <c r="C19" s="7">
        <f>K16</f>
        <v>0</v>
      </c>
      <c r="M19" s="14"/>
    </row>
    <row r="20" spans="1:13" hidden="1" x14ac:dyDescent="0.25">
      <c r="A20" s="18" t="s">
        <v>110</v>
      </c>
      <c r="B20" s="7">
        <f>L15</f>
        <v>0</v>
      </c>
      <c r="C20" s="7">
        <f>L16</f>
        <v>0</v>
      </c>
      <c r="M20" s="14"/>
    </row>
    <row r="21" spans="1:13" hidden="1" x14ac:dyDescent="0.25">
      <c r="A21" s="7" t="s">
        <v>76</v>
      </c>
      <c r="B21" s="7">
        <f>M15</f>
        <v>0</v>
      </c>
      <c r="C21" s="7">
        <f>M16</f>
        <v>0</v>
      </c>
      <c r="M21" s="14"/>
    </row>
    <row r="22" spans="1:13" x14ac:dyDescent="0.25">
      <c r="A22" s="7" t="s">
        <v>116</v>
      </c>
      <c r="B22" s="19">
        <f>(B15+B16+B17+B18+B19+B20+B21)/100</f>
        <v>0.66428571428571426</v>
      </c>
      <c r="C22" s="19">
        <f>(C15+C16+C17+C18+C19+C20+C21)/100</f>
        <v>0.76428571428571435</v>
      </c>
      <c r="F22" s="221" t="s">
        <v>173</v>
      </c>
      <c r="G22" s="221"/>
      <c r="H22" s="11" t="s">
        <v>164</v>
      </c>
      <c r="M22" s="14"/>
    </row>
    <row r="23" spans="1:13" x14ac:dyDescent="0.25">
      <c r="F23" s="221" t="s">
        <v>174</v>
      </c>
      <c r="G23" s="221"/>
      <c r="H23" s="11" t="s">
        <v>175</v>
      </c>
    </row>
    <row r="24" spans="1:13" x14ac:dyDescent="0.25">
      <c r="A24" s="20" t="s">
        <v>146</v>
      </c>
      <c r="B24" s="21">
        <v>0.01</v>
      </c>
      <c r="C24" s="21">
        <v>0.02</v>
      </c>
      <c r="F24" s="221" t="s">
        <v>176</v>
      </c>
      <c r="G24" s="221"/>
      <c r="H24" s="11" t="s">
        <v>177</v>
      </c>
    </row>
    <row r="25" spans="1:13" x14ac:dyDescent="0.25">
      <c r="A25" s="20" t="s">
        <v>147</v>
      </c>
      <c r="B25" s="21">
        <v>0.01</v>
      </c>
      <c r="C25" s="21">
        <v>0.03</v>
      </c>
    </row>
    <row r="26" spans="1:13" x14ac:dyDescent="0.25">
      <c r="A26" s="20" t="s">
        <v>148</v>
      </c>
      <c r="B26" s="21">
        <v>0.03</v>
      </c>
      <c r="C26" s="21">
        <v>0.08</v>
      </c>
    </row>
    <row r="27" spans="1:13" x14ac:dyDescent="0.25">
      <c r="A27" s="20" t="s">
        <v>149</v>
      </c>
      <c r="B27" s="21">
        <v>0.05</v>
      </c>
      <c r="C27" s="21">
        <v>0.15</v>
      </c>
    </row>
    <row r="28" spans="1:13" x14ac:dyDescent="0.25">
      <c r="A28" s="20" t="s">
        <v>150</v>
      </c>
      <c r="B28" s="21">
        <v>7.0000000000000007E-2</v>
      </c>
      <c r="C28" s="21">
        <v>0.2</v>
      </c>
    </row>
    <row r="29" spans="1:13" x14ac:dyDescent="0.25">
      <c r="A29" s="20" t="s">
        <v>151</v>
      </c>
      <c r="B29" s="21">
        <v>0.1</v>
      </c>
      <c r="C29" s="21">
        <v>0.3</v>
      </c>
    </row>
  </sheetData>
  <mergeCells count="14">
    <mergeCell ref="D2:E2"/>
    <mergeCell ref="D3:E3"/>
    <mergeCell ref="F12:G12"/>
    <mergeCell ref="F13:G13"/>
    <mergeCell ref="F7:G7"/>
    <mergeCell ref="F8:G8"/>
    <mergeCell ref="F9:G9"/>
    <mergeCell ref="F10:G10"/>
    <mergeCell ref="F11:G11"/>
    <mergeCell ref="E16:F16"/>
    <mergeCell ref="F22:G22"/>
    <mergeCell ref="F23:G23"/>
    <mergeCell ref="F24:G24"/>
    <mergeCell ref="E15:F1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topLeftCell="A10" workbookViewId="0">
      <selection activeCell="C8" sqref="C8:C11"/>
    </sheetView>
  </sheetViews>
  <sheetFormatPr defaultRowHeight="15" x14ac:dyDescent="0.25"/>
  <cols>
    <col min="1" max="1" width="20.5703125" style="6" customWidth="1"/>
    <col min="2" max="2" width="11.7109375" style="6" customWidth="1"/>
    <col min="3" max="4" width="9.140625" style="6"/>
    <col min="5" max="5" width="10.140625" style="6" customWidth="1"/>
    <col min="6" max="6" width="10.7109375" style="6" customWidth="1"/>
    <col min="7" max="7" width="9.140625" style="6"/>
    <col min="8" max="8" width="10.42578125" style="6" customWidth="1"/>
    <col min="9" max="9" width="15.42578125" style="6" customWidth="1"/>
    <col min="10" max="258" width="9.140625" style="6"/>
    <col min="259" max="259" width="11.7109375" style="6" customWidth="1"/>
    <col min="260" max="260" width="9.140625" style="6"/>
    <col min="261" max="261" width="14.7109375" style="6" customWidth="1"/>
    <col min="262" max="262" width="10.7109375" style="6" customWidth="1"/>
    <col min="263" max="514" width="9.140625" style="6"/>
    <col min="515" max="515" width="11.7109375" style="6" customWidth="1"/>
    <col min="516" max="516" width="9.140625" style="6"/>
    <col min="517" max="517" width="14.7109375" style="6" customWidth="1"/>
    <col min="518" max="518" width="10.7109375" style="6" customWidth="1"/>
    <col min="519" max="770" width="9.140625" style="6"/>
    <col min="771" max="771" width="11.7109375" style="6" customWidth="1"/>
    <col min="772" max="772" width="9.140625" style="6"/>
    <col min="773" max="773" width="14.7109375" style="6" customWidth="1"/>
    <col min="774" max="774" width="10.7109375" style="6" customWidth="1"/>
    <col min="775" max="1026" width="9.140625" style="6"/>
    <col min="1027" max="1027" width="11.7109375" style="6" customWidth="1"/>
    <col min="1028" max="1028" width="9.140625" style="6"/>
    <col min="1029" max="1029" width="14.7109375" style="6" customWidth="1"/>
    <col min="1030" max="1030" width="10.7109375" style="6" customWidth="1"/>
    <col min="1031" max="1282" width="9.140625" style="6"/>
    <col min="1283" max="1283" width="11.7109375" style="6" customWidth="1"/>
    <col min="1284" max="1284" width="9.140625" style="6"/>
    <col min="1285" max="1285" width="14.7109375" style="6" customWidth="1"/>
    <col min="1286" max="1286" width="10.7109375" style="6" customWidth="1"/>
    <col min="1287" max="1538" width="9.140625" style="6"/>
    <col min="1539" max="1539" width="11.7109375" style="6" customWidth="1"/>
    <col min="1540" max="1540" width="9.140625" style="6"/>
    <col min="1541" max="1541" width="14.7109375" style="6" customWidth="1"/>
    <col min="1542" max="1542" width="10.7109375" style="6" customWidth="1"/>
    <col min="1543" max="1794" width="9.140625" style="6"/>
    <col min="1795" max="1795" width="11.7109375" style="6" customWidth="1"/>
    <col min="1796" max="1796" width="9.140625" style="6"/>
    <col min="1797" max="1797" width="14.7109375" style="6" customWidth="1"/>
    <col min="1798" max="1798" width="10.7109375" style="6" customWidth="1"/>
    <col min="1799" max="2050" width="9.140625" style="6"/>
    <col min="2051" max="2051" width="11.7109375" style="6" customWidth="1"/>
    <col min="2052" max="2052" width="9.140625" style="6"/>
    <col min="2053" max="2053" width="14.7109375" style="6" customWidth="1"/>
    <col min="2054" max="2054" width="10.7109375" style="6" customWidth="1"/>
    <col min="2055" max="2306" width="9.140625" style="6"/>
    <col min="2307" max="2307" width="11.7109375" style="6" customWidth="1"/>
    <col min="2308" max="2308" width="9.140625" style="6"/>
    <col min="2309" max="2309" width="14.7109375" style="6" customWidth="1"/>
    <col min="2310" max="2310" width="10.7109375" style="6" customWidth="1"/>
    <col min="2311" max="2562" width="9.140625" style="6"/>
    <col min="2563" max="2563" width="11.7109375" style="6" customWidth="1"/>
    <col min="2564" max="2564" width="9.140625" style="6"/>
    <col min="2565" max="2565" width="14.7109375" style="6" customWidth="1"/>
    <col min="2566" max="2566" width="10.7109375" style="6" customWidth="1"/>
    <col min="2567" max="2818" width="9.140625" style="6"/>
    <col min="2819" max="2819" width="11.7109375" style="6" customWidth="1"/>
    <col min="2820" max="2820" width="9.140625" style="6"/>
    <col min="2821" max="2821" width="14.7109375" style="6" customWidth="1"/>
    <col min="2822" max="2822" width="10.7109375" style="6" customWidth="1"/>
    <col min="2823" max="3074" width="9.140625" style="6"/>
    <col min="3075" max="3075" width="11.7109375" style="6" customWidth="1"/>
    <col min="3076" max="3076" width="9.140625" style="6"/>
    <col min="3077" max="3077" width="14.7109375" style="6" customWidth="1"/>
    <col min="3078" max="3078" width="10.7109375" style="6" customWidth="1"/>
    <col min="3079" max="3330" width="9.140625" style="6"/>
    <col min="3331" max="3331" width="11.7109375" style="6" customWidth="1"/>
    <col min="3332" max="3332" width="9.140625" style="6"/>
    <col min="3333" max="3333" width="14.7109375" style="6" customWidth="1"/>
    <col min="3334" max="3334" width="10.7109375" style="6" customWidth="1"/>
    <col min="3335" max="3586" width="9.140625" style="6"/>
    <col min="3587" max="3587" width="11.7109375" style="6" customWidth="1"/>
    <col min="3588" max="3588" width="9.140625" style="6"/>
    <col min="3589" max="3589" width="14.7109375" style="6" customWidth="1"/>
    <col min="3590" max="3590" width="10.7109375" style="6" customWidth="1"/>
    <col min="3591" max="3842" width="9.140625" style="6"/>
    <col min="3843" max="3843" width="11.7109375" style="6" customWidth="1"/>
    <col min="3844" max="3844" width="9.140625" style="6"/>
    <col min="3845" max="3845" width="14.7109375" style="6" customWidth="1"/>
    <col min="3846" max="3846" width="10.7109375" style="6" customWidth="1"/>
    <col min="3847" max="4098" width="9.140625" style="6"/>
    <col min="4099" max="4099" width="11.7109375" style="6" customWidth="1"/>
    <col min="4100" max="4100" width="9.140625" style="6"/>
    <col min="4101" max="4101" width="14.7109375" style="6" customWidth="1"/>
    <col min="4102" max="4102" width="10.7109375" style="6" customWidth="1"/>
    <col min="4103" max="4354" width="9.140625" style="6"/>
    <col min="4355" max="4355" width="11.7109375" style="6" customWidth="1"/>
    <col min="4356" max="4356" width="9.140625" style="6"/>
    <col min="4357" max="4357" width="14.7109375" style="6" customWidth="1"/>
    <col min="4358" max="4358" width="10.7109375" style="6" customWidth="1"/>
    <col min="4359" max="4610" width="9.140625" style="6"/>
    <col min="4611" max="4611" width="11.7109375" style="6" customWidth="1"/>
    <col min="4612" max="4612" width="9.140625" style="6"/>
    <col min="4613" max="4613" width="14.7109375" style="6" customWidth="1"/>
    <col min="4614" max="4614" width="10.7109375" style="6" customWidth="1"/>
    <col min="4615" max="4866" width="9.140625" style="6"/>
    <col min="4867" max="4867" width="11.7109375" style="6" customWidth="1"/>
    <col min="4868" max="4868" width="9.140625" style="6"/>
    <col min="4869" max="4869" width="14.7109375" style="6" customWidth="1"/>
    <col min="4870" max="4870" width="10.7109375" style="6" customWidth="1"/>
    <col min="4871" max="5122" width="9.140625" style="6"/>
    <col min="5123" max="5123" width="11.7109375" style="6" customWidth="1"/>
    <col min="5124" max="5124" width="9.140625" style="6"/>
    <col min="5125" max="5125" width="14.7109375" style="6" customWidth="1"/>
    <col min="5126" max="5126" width="10.7109375" style="6" customWidth="1"/>
    <col min="5127" max="5378" width="9.140625" style="6"/>
    <col min="5379" max="5379" width="11.7109375" style="6" customWidth="1"/>
    <col min="5380" max="5380" width="9.140625" style="6"/>
    <col min="5381" max="5381" width="14.7109375" style="6" customWidth="1"/>
    <col min="5382" max="5382" width="10.7109375" style="6" customWidth="1"/>
    <col min="5383" max="5634" width="9.140625" style="6"/>
    <col min="5635" max="5635" width="11.7109375" style="6" customWidth="1"/>
    <col min="5636" max="5636" width="9.140625" style="6"/>
    <col min="5637" max="5637" width="14.7109375" style="6" customWidth="1"/>
    <col min="5638" max="5638" width="10.7109375" style="6" customWidth="1"/>
    <col min="5639" max="5890" width="9.140625" style="6"/>
    <col min="5891" max="5891" width="11.7109375" style="6" customWidth="1"/>
    <col min="5892" max="5892" width="9.140625" style="6"/>
    <col min="5893" max="5893" width="14.7109375" style="6" customWidth="1"/>
    <col min="5894" max="5894" width="10.7109375" style="6" customWidth="1"/>
    <col min="5895" max="6146" width="9.140625" style="6"/>
    <col min="6147" max="6147" width="11.7109375" style="6" customWidth="1"/>
    <col min="6148" max="6148" width="9.140625" style="6"/>
    <col min="6149" max="6149" width="14.7109375" style="6" customWidth="1"/>
    <col min="6150" max="6150" width="10.7109375" style="6" customWidth="1"/>
    <col min="6151" max="6402" width="9.140625" style="6"/>
    <col min="6403" max="6403" width="11.7109375" style="6" customWidth="1"/>
    <col min="6404" max="6404" width="9.140625" style="6"/>
    <col min="6405" max="6405" width="14.7109375" style="6" customWidth="1"/>
    <col min="6406" max="6406" width="10.7109375" style="6" customWidth="1"/>
    <col min="6407" max="6658" width="9.140625" style="6"/>
    <col min="6659" max="6659" width="11.7109375" style="6" customWidth="1"/>
    <col min="6660" max="6660" width="9.140625" style="6"/>
    <col min="6661" max="6661" width="14.7109375" style="6" customWidth="1"/>
    <col min="6662" max="6662" width="10.7109375" style="6" customWidth="1"/>
    <col min="6663" max="6914" width="9.140625" style="6"/>
    <col min="6915" max="6915" width="11.7109375" style="6" customWidth="1"/>
    <col min="6916" max="6916" width="9.140625" style="6"/>
    <col min="6917" max="6917" width="14.7109375" style="6" customWidth="1"/>
    <col min="6918" max="6918" width="10.7109375" style="6" customWidth="1"/>
    <col min="6919" max="7170" width="9.140625" style="6"/>
    <col min="7171" max="7171" width="11.7109375" style="6" customWidth="1"/>
    <col min="7172" max="7172" width="9.140625" style="6"/>
    <col min="7173" max="7173" width="14.7109375" style="6" customWidth="1"/>
    <col min="7174" max="7174" width="10.7109375" style="6" customWidth="1"/>
    <col min="7175" max="7426" width="9.140625" style="6"/>
    <col min="7427" max="7427" width="11.7109375" style="6" customWidth="1"/>
    <col min="7428" max="7428" width="9.140625" style="6"/>
    <col min="7429" max="7429" width="14.7109375" style="6" customWidth="1"/>
    <col min="7430" max="7430" width="10.7109375" style="6" customWidth="1"/>
    <col min="7431" max="7682" width="9.140625" style="6"/>
    <col min="7683" max="7683" width="11.7109375" style="6" customWidth="1"/>
    <col min="7684" max="7684" width="9.140625" style="6"/>
    <col min="7685" max="7685" width="14.7109375" style="6" customWidth="1"/>
    <col min="7686" max="7686" width="10.7109375" style="6" customWidth="1"/>
    <col min="7687" max="7938" width="9.140625" style="6"/>
    <col min="7939" max="7939" width="11.7109375" style="6" customWidth="1"/>
    <col min="7940" max="7940" width="9.140625" style="6"/>
    <col min="7941" max="7941" width="14.7109375" style="6" customWidth="1"/>
    <col min="7942" max="7942" width="10.7109375" style="6" customWidth="1"/>
    <col min="7943" max="8194" width="9.140625" style="6"/>
    <col min="8195" max="8195" width="11.7109375" style="6" customWidth="1"/>
    <col min="8196" max="8196" width="9.140625" style="6"/>
    <col min="8197" max="8197" width="14.7109375" style="6" customWidth="1"/>
    <col min="8198" max="8198" width="10.7109375" style="6" customWidth="1"/>
    <col min="8199" max="8450" width="9.140625" style="6"/>
    <col min="8451" max="8451" width="11.7109375" style="6" customWidth="1"/>
    <col min="8452" max="8452" width="9.140625" style="6"/>
    <col min="8453" max="8453" width="14.7109375" style="6" customWidth="1"/>
    <col min="8454" max="8454" width="10.7109375" style="6" customWidth="1"/>
    <col min="8455" max="8706" width="9.140625" style="6"/>
    <col min="8707" max="8707" width="11.7109375" style="6" customWidth="1"/>
    <col min="8708" max="8708" width="9.140625" style="6"/>
    <col min="8709" max="8709" width="14.7109375" style="6" customWidth="1"/>
    <col min="8710" max="8710" width="10.7109375" style="6" customWidth="1"/>
    <col min="8711" max="8962" width="9.140625" style="6"/>
    <col min="8963" max="8963" width="11.7109375" style="6" customWidth="1"/>
    <col min="8964" max="8964" width="9.140625" style="6"/>
    <col min="8965" max="8965" width="14.7109375" style="6" customWidth="1"/>
    <col min="8966" max="8966" width="10.7109375" style="6" customWidth="1"/>
    <col min="8967" max="9218" width="9.140625" style="6"/>
    <col min="9219" max="9219" width="11.7109375" style="6" customWidth="1"/>
    <col min="9220" max="9220" width="9.140625" style="6"/>
    <col min="9221" max="9221" width="14.7109375" style="6" customWidth="1"/>
    <col min="9222" max="9222" width="10.7109375" style="6" customWidth="1"/>
    <col min="9223" max="9474" width="9.140625" style="6"/>
    <col min="9475" max="9475" width="11.7109375" style="6" customWidth="1"/>
    <col min="9476" max="9476" width="9.140625" style="6"/>
    <col min="9477" max="9477" width="14.7109375" style="6" customWidth="1"/>
    <col min="9478" max="9478" width="10.7109375" style="6" customWidth="1"/>
    <col min="9479" max="9730" width="9.140625" style="6"/>
    <col min="9731" max="9731" width="11.7109375" style="6" customWidth="1"/>
    <col min="9732" max="9732" width="9.140625" style="6"/>
    <col min="9733" max="9733" width="14.7109375" style="6" customWidth="1"/>
    <col min="9734" max="9734" width="10.7109375" style="6" customWidth="1"/>
    <col min="9735" max="9986" width="9.140625" style="6"/>
    <col min="9987" max="9987" width="11.7109375" style="6" customWidth="1"/>
    <col min="9988" max="9988" width="9.140625" style="6"/>
    <col min="9989" max="9989" width="14.7109375" style="6" customWidth="1"/>
    <col min="9990" max="9990" width="10.7109375" style="6" customWidth="1"/>
    <col min="9991" max="10242" width="9.140625" style="6"/>
    <col min="10243" max="10243" width="11.7109375" style="6" customWidth="1"/>
    <col min="10244" max="10244" width="9.140625" style="6"/>
    <col min="10245" max="10245" width="14.7109375" style="6" customWidth="1"/>
    <col min="10246" max="10246" width="10.7109375" style="6" customWidth="1"/>
    <col min="10247" max="10498" width="9.140625" style="6"/>
    <col min="10499" max="10499" width="11.7109375" style="6" customWidth="1"/>
    <col min="10500" max="10500" width="9.140625" style="6"/>
    <col min="10501" max="10501" width="14.7109375" style="6" customWidth="1"/>
    <col min="10502" max="10502" width="10.7109375" style="6" customWidth="1"/>
    <col min="10503" max="10754" width="9.140625" style="6"/>
    <col min="10755" max="10755" width="11.7109375" style="6" customWidth="1"/>
    <col min="10756" max="10756" width="9.140625" style="6"/>
    <col min="10757" max="10757" width="14.7109375" style="6" customWidth="1"/>
    <col min="10758" max="10758" width="10.7109375" style="6" customWidth="1"/>
    <col min="10759" max="11010" width="9.140625" style="6"/>
    <col min="11011" max="11011" width="11.7109375" style="6" customWidth="1"/>
    <col min="11012" max="11012" width="9.140625" style="6"/>
    <col min="11013" max="11013" width="14.7109375" style="6" customWidth="1"/>
    <col min="11014" max="11014" width="10.7109375" style="6" customWidth="1"/>
    <col min="11015" max="11266" width="9.140625" style="6"/>
    <col min="11267" max="11267" width="11.7109375" style="6" customWidth="1"/>
    <col min="11268" max="11268" width="9.140625" style="6"/>
    <col min="11269" max="11269" width="14.7109375" style="6" customWidth="1"/>
    <col min="11270" max="11270" width="10.7109375" style="6" customWidth="1"/>
    <col min="11271" max="11522" width="9.140625" style="6"/>
    <col min="11523" max="11523" width="11.7109375" style="6" customWidth="1"/>
    <col min="11524" max="11524" width="9.140625" style="6"/>
    <col min="11525" max="11525" width="14.7109375" style="6" customWidth="1"/>
    <col min="11526" max="11526" width="10.7109375" style="6" customWidth="1"/>
    <col min="11527" max="11778" width="9.140625" style="6"/>
    <col min="11779" max="11779" width="11.7109375" style="6" customWidth="1"/>
    <col min="11780" max="11780" width="9.140625" style="6"/>
    <col min="11781" max="11781" width="14.7109375" style="6" customWidth="1"/>
    <col min="11782" max="11782" width="10.7109375" style="6" customWidth="1"/>
    <col min="11783" max="12034" width="9.140625" style="6"/>
    <col min="12035" max="12035" width="11.7109375" style="6" customWidth="1"/>
    <col min="12036" max="12036" width="9.140625" style="6"/>
    <col min="12037" max="12037" width="14.7109375" style="6" customWidth="1"/>
    <col min="12038" max="12038" width="10.7109375" style="6" customWidth="1"/>
    <col min="12039" max="12290" width="9.140625" style="6"/>
    <col min="12291" max="12291" width="11.7109375" style="6" customWidth="1"/>
    <col min="12292" max="12292" width="9.140625" style="6"/>
    <col min="12293" max="12293" width="14.7109375" style="6" customWidth="1"/>
    <col min="12294" max="12294" width="10.7109375" style="6" customWidth="1"/>
    <col min="12295" max="12546" width="9.140625" style="6"/>
    <col min="12547" max="12547" width="11.7109375" style="6" customWidth="1"/>
    <col min="12548" max="12548" width="9.140625" style="6"/>
    <col min="12549" max="12549" width="14.7109375" style="6" customWidth="1"/>
    <col min="12550" max="12550" width="10.7109375" style="6" customWidth="1"/>
    <col min="12551" max="12802" width="9.140625" style="6"/>
    <col min="12803" max="12803" width="11.7109375" style="6" customWidth="1"/>
    <col min="12804" max="12804" width="9.140625" style="6"/>
    <col min="12805" max="12805" width="14.7109375" style="6" customWidth="1"/>
    <col min="12806" max="12806" width="10.7109375" style="6" customWidth="1"/>
    <col min="12807" max="13058" width="9.140625" style="6"/>
    <col min="13059" max="13059" width="11.7109375" style="6" customWidth="1"/>
    <col min="13060" max="13060" width="9.140625" style="6"/>
    <col min="13061" max="13061" width="14.7109375" style="6" customWidth="1"/>
    <col min="13062" max="13062" width="10.7109375" style="6" customWidth="1"/>
    <col min="13063" max="13314" width="9.140625" style="6"/>
    <col min="13315" max="13315" width="11.7109375" style="6" customWidth="1"/>
    <col min="13316" max="13316" width="9.140625" style="6"/>
    <col min="13317" max="13317" width="14.7109375" style="6" customWidth="1"/>
    <col min="13318" max="13318" width="10.7109375" style="6" customWidth="1"/>
    <col min="13319" max="13570" width="9.140625" style="6"/>
    <col min="13571" max="13571" width="11.7109375" style="6" customWidth="1"/>
    <col min="13572" max="13572" width="9.140625" style="6"/>
    <col min="13573" max="13573" width="14.7109375" style="6" customWidth="1"/>
    <col min="13574" max="13574" width="10.7109375" style="6" customWidth="1"/>
    <col min="13575" max="13826" width="9.140625" style="6"/>
    <col min="13827" max="13827" width="11.7109375" style="6" customWidth="1"/>
    <col min="13828" max="13828" width="9.140625" style="6"/>
    <col min="13829" max="13829" width="14.7109375" style="6" customWidth="1"/>
    <col min="13830" max="13830" width="10.7109375" style="6" customWidth="1"/>
    <col min="13831" max="14082" width="9.140625" style="6"/>
    <col min="14083" max="14083" width="11.7109375" style="6" customWidth="1"/>
    <col min="14084" max="14084" width="9.140625" style="6"/>
    <col min="14085" max="14085" width="14.7109375" style="6" customWidth="1"/>
    <col min="14086" max="14086" width="10.7109375" style="6" customWidth="1"/>
    <col min="14087" max="14338" width="9.140625" style="6"/>
    <col min="14339" max="14339" width="11.7109375" style="6" customWidth="1"/>
    <col min="14340" max="14340" width="9.140625" style="6"/>
    <col min="14341" max="14341" width="14.7109375" style="6" customWidth="1"/>
    <col min="14342" max="14342" width="10.7109375" style="6" customWidth="1"/>
    <col min="14343" max="14594" width="9.140625" style="6"/>
    <col min="14595" max="14595" width="11.7109375" style="6" customWidth="1"/>
    <col min="14596" max="14596" width="9.140625" style="6"/>
    <col min="14597" max="14597" width="14.7109375" style="6" customWidth="1"/>
    <col min="14598" max="14598" width="10.7109375" style="6" customWidth="1"/>
    <col min="14599" max="14850" width="9.140625" style="6"/>
    <col min="14851" max="14851" width="11.7109375" style="6" customWidth="1"/>
    <col min="14852" max="14852" width="9.140625" style="6"/>
    <col min="14853" max="14853" width="14.7109375" style="6" customWidth="1"/>
    <col min="14854" max="14854" width="10.7109375" style="6" customWidth="1"/>
    <col min="14855" max="15106" width="9.140625" style="6"/>
    <col min="15107" max="15107" width="11.7109375" style="6" customWidth="1"/>
    <col min="15108" max="15108" width="9.140625" style="6"/>
    <col min="15109" max="15109" width="14.7109375" style="6" customWidth="1"/>
    <col min="15110" max="15110" width="10.7109375" style="6" customWidth="1"/>
    <col min="15111" max="15362" width="9.140625" style="6"/>
    <col min="15363" max="15363" width="11.7109375" style="6" customWidth="1"/>
    <col min="15364" max="15364" width="9.140625" style="6"/>
    <col min="15365" max="15365" width="14.7109375" style="6" customWidth="1"/>
    <col min="15366" max="15366" width="10.7109375" style="6" customWidth="1"/>
    <col min="15367" max="15618" width="9.140625" style="6"/>
    <col min="15619" max="15619" width="11.7109375" style="6" customWidth="1"/>
    <col min="15620" max="15620" width="9.140625" style="6"/>
    <col min="15621" max="15621" width="14.7109375" style="6" customWidth="1"/>
    <col min="15622" max="15622" width="10.7109375" style="6" customWidth="1"/>
    <col min="15623" max="15874" width="9.140625" style="6"/>
    <col min="15875" max="15875" width="11.7109375" style="6" customWidth="1"/>
    <col min="15876" max="15876" width="9.140625" style="6"/>
    <col min="15877" max="15877" width="14.7109375" style="6" customWidth="1"/>
    <col min="15878" max="15878" width="10.7109375" style="6" customWidth="1"/>
    <col min="15879" max="16130" width="9.140625" style="6"/>
    <col min="16131" max="16131" width="11.7109375" style="6" customWidth="1"/>
    <col min="16132" max="16132" width="9.140625" style="6"/>
    <col min="16133" max="16133" width="14.7109375" style="6" customWidth="1"/>
    <col min="16134" max="16134" width="10.7109375" style="6" customWidth="1"/>
    <col min="16135" max="16384" width="9.140625" style="6"/>
  </cols>
  <sheetData>
    <row r="2" spans="1:13" x14ac:dyDescent="0.25">
      <c r="A2" s="7" t="s">
        <v>140</v>
      </c>
      <c r="B2" s="7" t="s">
        <v>141</v>
      </c>
      <c r="C2" s="7" t="s">
        <v>142</v>
      </c>
      <c r="D2" s="220" t="s">
        <v>143</v>
      </c>
      <c r="E2" s="220"/>
    </row>
    <row r="3" spans="1:13" x14ac:dyDescent="0.25">
      <c r="A3" s="10">
        <v>0</v>
      </c>
      <c r="B3" s="10">
        <v>0</v>
      </c>
      <c r="C3" s="10">
        <v>1</v>
      </c>
      <c r="D3" s="222">
        <v>7</v>
      </c>
      <c r="E3" s="222"/>
    </row>
    <row r="5" spans="1:13" hidden="1" x14ac:dyDescent="0.25">
      <c r="A5" s="6" t="s">
        <v>105</v>
      </c>
      <c r="B5" s="8" t="s">
        <v>158</v>
      </c>
      <c r="C5" s="8">
        <f>D3</f>
        <v>7</v>
      </c>
      <c r="D5" s="9"/>
    </row>
    <row r="6" spans="1:13" x14ac:dyDescent="0.25">
      <c r="A6" s="6" t="s">
        <v>106</v>
      </c>
      <c r="B6" s="23">
        <v>10</v>
      </c>
      <c r="C6" s="24">
        <v>10</v>
      </c>
      <c r="D6" s="13">
        <f>((100/B6)*C6)/100</f>
        <v>1</v>
      </c>
      <c r="E6" s="14"/>
      <c r="J6" s="14"/>
    </row>
    <row r="7" spans="1:13" x14ac:dyDescent="0.25">
      <c r="A7" s="6" t="s">
        <v>107</v>
      </c>
      <c r="B7" s="23">
        <f>A3+B3+C3+D3</f>
        <v>8</v>
      </c>
      <c r="C7" s="24">
        <v>8</v>
      </c>
      <c r="D7" s="13">
        <f t="shared" ref="D7:D12" si="0">((100/B7)*C7)/100</f>
        <v>1</v>
      </c>
      <c r="F7" s="223" t="s">
        <v>159</v>
      </c>
      <c r="G7" s="223"/>
      <c r="H7" s="25" t="s">
        <v>160</v>
      </c>
      <c r="J7" s="22"/>
    </row>
    <row r="8" spans="1:13" x14ac:dyDescent="0.25">
      <c r="A8" s="6" t="s">
        <v>112</v>
      </c>
      <c r="B8" s="23">
        <f>C5</f>
        <v>7</v>
      </c>
      <c r="C8" s="24">
        <v>7</v>
      </c>
      <c r="D8" s="13">
        <f t="shared" si="0"/>
        <v>1</v>
      </c>
      <c r="E8" s="14"/>
      <c r="F8" s="221" t="s">
        <v>161</v>
      </c>
      <c r="G8" s="221"/>
      <c r="H8" s="23" t="s">
        <v>162</v>
      </c>
      <c r="J8" s="14"/>
    </row>
    <row r="9" spans="1:13" x14ac:dyDescent="0.25">
      <c r="A9" s="6" t="s">
        <v>114</v>
      </c>
      <c r="B9" s="23">
        <f>C5</f>
        <v>7</v>
      </c>
      <c r="C9" s="24">
        <v>7</v>
      </c>
      <c r="D9" s="13">
        <f t="shared" si="0"/>
        <v>1</v>
      </c>
      <c r="E9" s="14"/>
      <c r="F9" s="221" t="s">
        <v>163</v>
      </c>
      <c r="G9" s="221"/>
      <c r="H9" s="23" t="s">
        <v>164</v>
      </c>
      <c r="J9" s="14"/>
    </row>
    <row r="10" spans="1:13" x14ac:dyDescent="0.25">
      <c r="A10" s="6" t="s">
        <v>75</v>
      </c>
      <c r="B10" s="23">
        <f>C5</f>
        <v>7</v>
      </c>
      <c r="C10" s="24">
        <v>1</v>
      </c>
      <c r="D10" s="13">
        <f t="shared" si="0"/>
        <v>0.14285714285714288</v>
      </c>
      <c r="E10" s="14"/>
      <c r="F10" s="221" t="s">
        <v>165</v>
      </c>
      <c r="G10" s="221"/>
      <c r="H10" s="23" t="s">
        <v>166</v>
      </c>
      <c r="J10" s="14"/>
    </row>
    <row r="11" spans="1:13" x14ac:dyDescent="0.25">
      <c r="A11" s="16" t="s">
        <v>110</v>
      </c>
      <c r="B11" s="23">
        <f>C5</f>
        <v>7</v>
      </c>
      <c r="C11" s="24">
        <v>3</v>
      </c>
      <c r="D11" s="13">
        <f t="shared" si="0"/>
        <v>0.4285714285714286</v>
      </c>
      <c r="E11" s="14"/>
      <c r="F11" s="221" t="s">
        <v>167</v>
      </c>
      <c r="G11" s="221"/>
      <c r="H11" s="23" t="s">
        <v>168</v>
      </c>
    </row>
    <row r="12" spans="1:13" x14ac:dyDescent="0.25">
      <c r="A12" s="6" t="s">
        <v>76</v>
      </c>
      <c r="B12" s="23">
        <f>C5</f>
        <v>7</v>
      </c>
      <c r="C12" s="24">
        <v>0</v>
      </c>
      <c r="D12" s="13">
        <f t="shared" si="0"/>
        <v>0</v>
      </c>
      <c r="E12" s="14"/>
      <c r="F12" s="221" t="s">
        <v>169</v>
      </c>
      <c r="G12" s="221"/>
      <c r="H12" s="23" t="s">
        <v>170</v>
      </c>
    </row>
    <row r="13" spans="1:13" x14ac:dyDescent="0.25">
      <c r="F13" s="221" t="s">
        <v>171</v>
      </c>
      <c r="G13" s="221"/>
      <c r="H13" s="23" t="s">
        <v>172</v>
      </c>
    </row>
    <row r="14" spans="1:13" hidden="1" x14ac:dyDescent="0.25">
      <c r="A14" s="7"/>
      <c r="B14" s="7" t="s">
        <v>111</v>
      </c>
      <c r="C14" s="7" t="s">
        <v>115</v>
      </c>
      <c r="G14" s="7" t="s">
        <v>106</v>
      </c>
      <c r="H14" s="7" t="s">
        <v>108</v>
      </c>
      <c r="I14" s="7" t="s">
        <v>109</v>
      </c>
      <c r="J14" s="7" t="s">
        <v>74</v>
      </c>
      <c r="K14" s="7" t="s">
        <v>75</v>
      </c>
      <c r="L14" s="7" t="s">
        <v>110</v>
      </c>
      <c r="M14" s="7" t="s">
        <v>76</v>
      </c>
    </row>
    <row r="15" spans="1:13" hidden="1" x14ac:dyDescent="0.25">
      <c r="A15" s="7" t="s">
        <v>72</v>
      </c>
      <c r="B15" s="7">
        <f>G15</f>
        <v>10</v>
      </c>
      <c r="C15" s="7">
        <f>G16</f>
        <v>30</v>
      </c>
      <c r="E15" s="220" t="s">
        <v>111</v>
      </c>
      <c r="F15" s="220"/>
      <c r="G15" s="17">
        <f>C6</f>
        <v>10</v>
      </c>
      <c r="H15" s="17">
        <f>40/B7*C7</f>
        <v>40</v>
      </c>
      <c r="I15" s="17">
        <f>15/B8*C8</f>
        <v>15</v>
      </c>
      <c r="J15" s="17">
        <f>10/B9*C9</f>
        <v>10</v>
      </c>
      <c r="K15" s="17">
        <f>10/B10*C10</f>
        <v>1.4285714285714286</v>
      </c>
      <c r="L15" s="17">
        <f>5/B11*C11</f>
        <v>2.1428571428571428</v>
      </c>
      <c r="M15" s="17">
        <f>5/B12*C12</f>
        <v>0</v>
      </c>
    </row>
    <row r="16" spans="1:13" hidden="1" x14ac:dyDescent="0.25">
      <c r="A16" s="7" t="s">
        <v>73</v>
      </c>
      <c r="B16" s="7">
        <f>H15</f>
        <v>40</v>
      </c>
      <c r="C16" s="7">
        <f>H16</f>
        <v>30</v>
      </c>
      <c r="E16" s="220" t="s">
        <v>113</v>
      </c>
      <c r="F16" s="220"/>
      <c r="G16" s="7">
        <f>G15+20</f>
        <v>30</v>
      </c>
      <c r="H16" s="7">
        <f>30/B7*C7</f>
        <v>30</v>
      </c>
      <c r="I16" s="7">
        <f>15/B8*C8</f>
        <v>15</v>
      </c>
      <c r="J16" s="7">
        <f>10/B9*C9</f>
        <v>10</v>
      </c>
      <c r="K16" s="7">
        <f>5/B10*C10</f>
        <v>0.7142857142857143</v>
      </c>
      <c r="L16" s="7">
        <f>5/B11*C11</f>
        <v>2.1428571428571428</v>
      </c>
      <c r="M16" s="7">
        <f>5/B12*C12</f>
        <v>0</v>
      </c>
    </row>
    <row r="17" spans="1:13" hidden="1" x14ac:dyDescent="0.25">
      <c r="A17" s="7" t="s">
        <v>109</v>
      </c>
      <c r="B17" s="7">
        <f>I15</f>
        <v>15</v>
      </c>
      <c r="C17" s="7">
        <f>I16</f>
        <v>15</v>
      </c>
      <c r="M17" s="14"/>
    </row>
    <row r="18" spans="1:13" hidden="1" x14ac:dyDescent="0.25">
      <c r="A18" s="7" t="s">
        <v>74</v>
      </c>
      <c r="B18" s="7">
        <f>J15</f>
        <v>10</v>
      </c>
      <c r="C18" s="7">
        <f>J16</f>
        <v>10</v>
      </c>
      <c r="M18" s="14"/>
    </row>
    <row r="19" spans="1:13" hidden="1" x14ac:dyDescent="0.25">
      <c r="A19" s="7" t="s">
        <v>75</v>
      </c>
      <c r="B19" s="7">
        <f>K15</f>
        <v>1.4285714285714286</v>
      </c>
      <c r="C19" s="7">
        <f>K16</f>
        <v>0.7142857142857143</v>
      </c>
      <c r="M19" s="14"/>
    </row>
    <row r="20" spans="1:13" hidden="1" x14ac:dyDescent="0.25">
      <c r="A20" s="18" t="s">
        <v>110</v>
      </c>
      <c r="B20" s="7">
        <f>L15</f>
        <v>2.1428571428571428</v>
      </c>
      <c r="C20" s="7">
        <f>L16</f>
        <v>2.1428571428571428</v>
      </c>
      <c r="M20" s="14"/>
    </row>
    <row r="21" spans="1:13" hidden="1" x14ac:dyDescent="0.25">
      <c r="A21" s="7" t="s">
        <v>76</v>
      </c>
      <c r="B21" s="7">
        <f>M15</f>
        <v>0</v>
      </c>
      <c r="C21" s="7">
        <f>M16</f>
        <v>0</v>
      </c>
      <c r="M21" s="14"/>
    </row>
    <row r="22" spans="1:13" x14ac:dyDescent="0.25">
      <c r="A22" s="7" t="s">
        <v>116</v>
      </c>
      <c r="B22" s="19">
        <f>(B15+B16+B17+B18+B19+B20+B21)/100</f>
        <v>0.7857142857142857</v>
      </c>
      <c r="C22" s="19">
        <f>(C15+C16+C17+C18+C19+C20+C21)/100</f>
        <v>0.87857142857142845</v>
      </c>
      <c r="F22" s="221" t="s">
        <v>173</v>
      </c>
      <c r="G22" s="221"/>
      <c r="H22" s="23" t="s">
        <v>164</v>
      </c>
      <c r="M22" s="14"/>
    </row>
    <row r="23" spans="1:13" x14ac:dyDescent="0.25">
      <c r="F23" s="221" t="s">
        <v>174</v>
      </c>
      <c r="G23" s="221"/>
      <c r="H23" s="23" t="s">
        <v>175</v>
      </c>
    </row>
    <row r="24" spans="1:13" x14ac:dyDescent="0.25">
      <c r="A24" s="20" t="s">
        <v>146</v>
      </c>
      <c r="B24" s="21">
        <v>0.01</v>
      </c>
      <c r="C24" s="21">
        <v>0.02</v>
      </c>
      <c r="F24" s="221" t="s">
        <v>176</v>
      </c>
      <c r="G24" s="221"/>
      <c r="H24" s="23" t="s">
        <v>177</v>
      </c>
    </row>
    <row r="25" spans="1:13" x14ac:dyDescent="0.25">
      <c r="A25" s="20" t="s">
        <v>147</v>
      </c>
      <c r="B25" s="21">
        <v>0.01</v>
      </c>
      <c r="C25" s="21">
        <v>0.03</v>
      </c>
    </row>
    <row r="26" spans="1:13" x14ac:dyDescent="0.25">
      <c r="A26" s="20" t="s">
        <v>148</v>
      </c>
      <c r="B26" s="21">
        <v>0.03</v>
      </c>
      <c r="C26" s="21">
        <v>0.08</v>
      </c>
    </row>
    <row r="27" spans="1:13" x14ac:dyDescent="0.25">
      <c r="A27" s="20" t="s">
        <v>149</v>
      </c>
      <c r="B27" s="21">
        <v>0.05</v>
      </c>
      <c r="C27" s="21">
        <v>0.15</v>
      </c>
    </row>
    <row r="28" spans="1:13" x14ac:dyDescent="0.25">
      <c r="A28" s="20" t="s">
        <v>150</v>
      </c>
      <c r="B28" s="21">
        <v>7.0000000000000007E-2</v>
      </c>
      <c r="C28" s="21">
        <v>0.2</v>
      </c>
    </row>
    <row r="29" spans="1:13" x14ac:dyDescent="0.25">
      <c r="A29" s="20" t="s">
        <v>151</v>
      </c>
      <c r="B29" s="21">
        <v>0.1</v>
      </c>
      <c r="C29" s="21">
        <v>0.3</v>
      </c>
    </row>
  </sheetData>
  <mergeCells count="14">
    <mergeCell ref="F10:G10"/>
    <mergeCell ref="D2:E2"/>
    <mergeCell ref="D3:E3"/>
    <mergeCell ref="F7:G7"/>
    <mergeCell ref="F8:G8"/>
    <mergeCell ref="F9:G9"/>
    <mergeCell ref="F23:G23"/>
    <mergeCell ref="F24:G24"/>
    <mergeCell ref="F11:G11"/>
    <mergeCell ref="F12:G12"/>
    <mergeCell ref="F13:G13"/>
    <mergeCell ref="E15:F15"/>
    <mergeCell ref="E16:F16"/>
    <mergeCell ref="F22:G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"/>
  <sheetViews>
    <sheetView workbookViewId="0">
      <selection activeCell="F22" sqref="F22"/>
    </sheetView>
  </sheetViews>
  <sheetFormatPr defaultRowHeight="15" x14ac:dyDescent="0.25"/>
  <cols>
    <col min="1" max="1" width="10.28515625" bestFit="1" customWidth="1"/>
  </cols>
  <sheetData>
    <row r="2" spans="1:3" x14ac:dyDescent="0.25">
      <c r="A2" s="26">
        <v>44123</v>
      </c>
      <c r="B2" t="s">
        <v>229</v>
      </c>
    </row>
    <row r="4" spans="1:3" x14ac:dyDescent="0.25">
      <c r="A4" s="26">
        <v>44239</v>
      </c>
      <c r="B4" t="s">
        <v>229</v>
      </c>
      <c r="C4" t="s">
        <v>242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H13" sqref="H13:H14"/>
    </sheetView>
  </sheetViews>
  <sheetFormatPr defaultColWidth="8.7109375" defaultRowHeight="15" x14ac:dyDescent="0.25"/>
  <cols>
    <col min="1" max="1" width="10.28515625" style="28" bestFit="1" customWidth="1"/>
    <col min="2" max="2" width="22.140625" style="28" customWidth="1"/>
    <col min="3" max="3" width="37" style="28" customWidth="1"/>
    <col min="4" max="5" width="11.42578125" style="28" customWidth="1"/>
    <col min="6" max="6" width="14" style="28" customWidth="1"/>
    <col min="7" max="7" width="20" style="28" customWidth="1"/>
    <col min="8" max="8" width="16.42578125" style="28" customWidth="1"/>
    <col min="9" max="256" width="8.7109375" style="28"/>
    <col min="257" max="257" width="10.28515625" style="28" bestFit="1" customWidth="1"/>
    <col min="258" max="258" width="22.140625" style="28" customWidth="1"/>
    <col min="259" max="259" width="37" style="28" customWidth="1"/>
    <col min="260" max="261" width="11.42578125" style="28" customWidth="1"/>
    <col min="262" max="262" width="14" style="28" customWidth="1"/>
    <col min="263" max="263" width="20" style="28" customWidth="1"/>
    <col min="264" max="264" width="16.42578125" style="28" customWidth="1"/>
    <col min="265" max="512" width="8.7109375" style="28"/>
    <col min="513" max="513" width="10.28515625" style="28" bestFit="1" customWidth="1"/>
    <col min="514" max="514" width="22.140625" style="28" customWidth="1"/>
    <col min="515" max="515" width="37" style="28" customWidth="1"/>
    <col min="516" max="517" width="11.42578125" style="28" customWidth="1"/>
    <col min="518" max="518" width="14" style="28" customWidth="1"/>
    <col min="519" max="519" width="20" style="28" customWidth="1"/>
    <col min="520" max="520" width="16.42578125" style="28" customWidth="1"/>
    <col min="521" max="768" width="8.7109375" style="28"/>
    <col min="769" max="769" width="10.28515625" style="28" bestFit="1" customWidth="1"/>
    <col min="770" max="770" width="22.140625" style="28" customWidth="1"/>
    <col min="771" max="771" width="37" style="28" customWidth="1"/>
    <col min="772" max="773" width="11.42578125" style="28" customWidth="1"/>
    <col min="774" max="774" width="14" style="28" customWidth="1"/>
    <col min="775" max="775" width="20" style="28" customWidth="1"/>
    <col min="776" max="776" width="16.42578125" style="28" customWidth="1"/>
    <col min="777" max="1024" width="8.7109375" style="28"/>
    <col min="1025" max="1025" width="10.28515625" style="28" bestFit="1" customWidth="1"/>
    <col min="1026" max="1026" width="22.140625" style="28" customWidth="1"/>
    <col min="1027" max="1027" width="37" style="28" customWidth="1"/>
    <col min="1028" max="1029" width="11.42578125" style="28" customWidth="1"/>
    <col min="1030" max="1030" width="14" style="28" customWidth="1"/>
    <col min="1031" max="1031" width="20" style="28" customWidth="1"/>
    <col min="1032" max="1032" width="16.42578125" style="28" customWidth="1"/>
    <col min="1033" max="1280" width="8.7109375" style="28"/>
    <col min="1281" max="1281" width="10.28515625" style="28" bestFit="1" customWidth="1"/>
    <col min="1282" max="1282" width="22.140625" style="28" customWidth="1"/>
    <col min="1283" max="1283" width="37" style="28" customWidth="1"/>
    <col min="1284" max="1285" width="11.42578125" style="28" customWidth="1"/>
    <col min="1286" max="1286" width="14" style="28" customWidth="1"/>
    <col min="1287" max="1287" width="20" style="28" customWidth="1"/>
    <col min="1288" max="1288" width="16.42578125" style="28" customWidth="1"/>
    <col min="1289" max="1536" width="8.7109375" style="28"/>
    <col min="1537" max="1537" width="10.28515625" style="28" bestFit="1" customWidth="1"/>
    <col min="1538" max="1538" width="22.140625" style="28" customWidth="1"/>
    <col min="1539" max="1539" width="37" style="28" customWidth="1"/>
    <col min="1540" max="1541" width="11.42578125" style="28" customWidth="1"/>
    <col min="1542" max="1542" width="14" style="28" customWidth="1"/>
    <col min="1543" max="1543" width="20" style="28" customWidth="1"/>
    <col min="1544" max="1544" width="16.42578125" style="28" customWidth="1"/>
    <col min="1545" max="1792" width="8.7109375" style="28"/>
    <col min="1793" max="1793" width="10.28515625" style="28" bestFit="1" customWidth="1"/>
    <col min="1794" max="1794" width="22.140625" style="28" customWidth="1"/>
    <col min="1795" max="1795" width="37" style="28" customWidth="1"/>
    <col min="1796" max="1797" width="11.42578125" style="28" customWidth="1"/>
    <col min="1798" max="1798" width="14" style="28" customWidth="1"/>
    <col min="1799" max="1799" width="20" style="28" customWidth="1"/>
    <col min="1800" max="1800" width="16.42578125" style="28" customWidth="1"/>
    <col min="1801" max="2048" width="8.7109375" style="28"/>
    <col min="2049" max="2049" width="10.28515625" style="28" bestFit="1" customWidth="1"/>
    <col min="2050" max="2050" width="22.140625" style="28" customWidth="1"/>
    <col min="2051" max="2051" width="37" style="28" customWidth="1"/>
    <col min="2052" max="2053" width="11.42578125" style="28" customWidth="1"/>
    <col min="2054" max="2054" width="14" style="28" customWidth="1"/>
    <col min="2055" max="2055" width="20" style="28" customWidth="1"/>
    <col min="2056" max="2056" width="16.42578125" style="28" customWidth="1"/>
    <col min="2057" max="2304" width="8.7109375" style="28"/>
    <col min="2305" max="2305" width="10.28515625" style="28" bestFit="1" customWidth="1"/>
    <col min="2306" max="2306" width="22.140625" style="28" customWidth="1"/>
    <col min="2307" max="2307" width="37" style="28" customWidth="1"/>
    <col min="2308" max="2309" width="11.42578125" style="28" customWidth="1"/>
    <col min="2310" max="2310" width="14" style="28" customWidth="1"/>
    <col min="2311" max="2311" width="20" style="28" customWidth="1"/>
    <col min="2312" max="2312" width="16.42578125" style="28" customWidth="1"/>
    <col min="2313" max="2560" width="8.7109375" style="28"/>
    <col min="2561" max="2561" width="10.28515625" style="28" bestFit="1" customWidth="1"/>
    <col min="2562" max="2562" width="22.140625" style="28" customWidth="1"/>
    <col min="2563" max="2563" width="37" style="28" customWidth="1"/>
    <col min="2564" max="2565" width="11.42578125" style="28" customWidth="1"/>
    <col min="2566" max="2566" width="14" style="28" customWidth="1"/>
    <col min="2567" max="2567" width="20" style="28" customWidth="1"/>
    <col min="2568" max="2568" width="16.42578125" style="28" customWidth="1"/>
    <col min="2569" max="2816" width="8.7109375" style="28"/>
    <col min="2817" max="2817" width="10.28515625" style="28" bestFit="1" customWidth="1"/>
    <col min="2818" max="2818" width="22.140625" style="28" customWidth="1"/>
    <col min="2819" max="2819" width="37" style="28" customWidth="1"/>
    <col min="2820" max="2821" width="11.42578125" style="28" customWidth="1"/>
    <col min="2822" max="2822" width="14" style="28" customWidth="1"/>
    <col min="2823" max="2823" width="20" style="28" customWidth="1"/>
    <col min="2824" max="2824" width="16.42578125" style="28" customWidth="1"/>
    <col min="2825" max="3072" width="8.7109375" style="28"/>
    <col min="3073" max="3073" width="10.28515625" style="28" bestFit="1" customWidth="1"/>
    <col min="3074" max="3074" width="22.140625" style="28" customWidth="1"/>
    <col min="3075" max="3075" width="37" style="28" customWidth="1"/>
    <col min="3076" max="3077" width="11.42578125" style="28" customWidth="1"/>
    <col min="3078" max="3078" width="14" style="28" customWidth="1"/>
    <col min="3079" max="3079" width="20" style="28" customWidth="1"/>
    <col min="3080" max="3080" width="16.42578125" style="28" customWidth="1"/>
    <col min="3081" max="3328" width="8.7109375" style="28"/>
    <col min="3329" max="3329" width="10.28515625" style="28" bestFit="1" customWidth="1"/>
    <col min="3330" max="3330" width="22.140625" style="28" customWidth="1"/>
    <col min="3331" max="3331" width="37" style="28" customWidth="1"/>
    <col min="3332" max="3333" width="11.42578125" style="28" customWidth="1"/>
    <col min="3334" max="3334" width="14" style="28" customWidth="1"/>
    <col min="3335" max="3335" width="20" style="28" customWidth="1"/>
    <col min="3336" max="3336" width="16.42578125" style="28" customWidth="1"/>
    <col min="3337" max="3584" width="8.7109375" style="28"/>
    <col min="3585" max="3585" width="10.28515625" style="28" bestFit="1" customWidth="1"/>
    <col min="3586" max="3586" width="22.140625" style="28" customWidth="1"/>
    <col min="3587" max="3587" width="37" style="28" customWidth="1"/>
    <col min="3588" max="3589" width="11.42578125" style="28" customWidth="1"/>
    <col min="3590" max="3590" width="14" style="28" customWidth="1"/>
    <col min="3591" max="3591" width="20" style="28" customWidth="1"/>
    <col min="3592" max="3592" width="16.42578125" style="28" customWidth="1"/>
    <col min="3593" max="3840" width="8.7109375" style="28"/>
    <col min="3841" max="3841" width="10.28515625" style="28" bestFit="1" customWidth="1"/>
    <col min="3842" max="3842" width="22.140625" style="28" customWidth="1"/>
    <col min="3843" max="3843" width="37" style="28" customWidth="1"/>
    <col min="3844" max="3845" width="11.42578125" style="28" customWidth="1"/>
    <col min="3846" max="3846" width="14" style="28" customWidth="1"/>
    <col min="3847" max="3847" width="20" style="28" customWidth="1"/>
    <col min="3848" max="3848" width="16.42578125" style="28" customWidth="1"/>
    <col min="3849" max="4096" width="8.7109375" style="28"/>
    <col min="4097" max="4097" width="10.28515625" style="28" bestFit="1" customWidth="1"/>
    <col min="4098" max="4098" width="22.140625" style="28" customWidth="1"/>
    <col min="4099" max="4099" width="37" style="28" customWidth="1"/>
    <col min="4100" max="4101" width="11.42578125" style="28" customWidth="1"/>
    <col min="4102" max="4102" width="14" style="28" customWidth="1"/>
    <col min="4103" max="4103" width="20" style="28" customWidth="1"/>
    <col min="4104" max="4104" width="16.42578125" style="28" customWidth="1"/>
    <col min="4105" max="4352" width="8.7109375" style="28"/>
    <col min="4353" max="4353" width="10.28515625" style="28" bestFit="1" customWidth="1"/>
    <col min="4354" max="4354" width="22.140625" style="28" customWidth="1"/>
    <col min="4355" max="4355" width="37" style="28" customWidth="1"/>
    <col min="4356" max="4357" width="11.42578125" style="28" customWidth="1"/>
    <col min="4358" max="4358" width="14" style="28" customWidth="1"/>
    <col min="4359" max="4359" width="20" style="28" customWidth="1"/>
    <col min="4360" max="4360" width="16.42578125" style="28" customWidth="1"/>
    <col min="4361" max="4608" width="8.7109375" style="28"/>
    <col min="4609" max="4609" width="10.28515625" style="28" bestFit="1" customWidth="1"/>
    <col min="4610" max="4610" width="22.140625" style="28" customWidth="1"/>
    <col min="4611" max="4611" width="37" style="28" customWidth="1"/>
    <col min="4612" max="4613" width="11.42578125" style="28" customWidth="1"/>
    <col min="4614" max="4614" width="14" style="28" customWidth="1"/>
    <col min="4615" max="4615" width="20" style="28" customWidth="1"/>
    <col min="4616" max="4616" width="16.42578125" style="28" customWidth="1"/>
    <col min="4617" max="4864" width="8.7109375" style="28"/>
    <col min="4865" max="4865" width="10.28515625" style="28" bestFit="1" customWidth="1"/>
    <col min="4866" max="4866" width="22.140625" style="28" customWidth="1"/>
    <col min="4867" max="4867" width="37" style="28" customWidth="1"/>
    <col min="4868" max="4869" width="11.42578125" style="28" customWidth="1"/>
    <col min="4870" max="4870" width="14" style="28" customWidth="1"/>
    <col min="4871" max="4871" width="20" style="28" customWidth="1"/>
    <col min="4872" max="4872" width="16.42578125" style="28" customWidth="1"/>
    <col min="4873" max="5120" width="8.7109375" style="28"/>
    <col min="5121" max="5121" width="10.28515625" style="28" bestFit="1" customWidth="1"/>
    <col min="5122" max="5122" width="22.140625" style="28" customWidth="1"/>
    <col min="5123" max="5123" width="37" style="28" customWidth="1"/>
    <col min="5124" max="5125" width="11.42578125" style="28" customWidth="1"/>
    <col min="5126" max="5126" width="14" style="28" customWidth="1"/>
    <col min="5127" max="5127" width="20" style="28" customWidth="1"/>
    <col min="5128" max="5128" width="16.42578125" style="28" customWidth="1"/>
    <col min="5129" max="5376" width="8.7109375" style="28"/>
    <col min="5377" max="5377" width="10.28515625" style="28" bestFit="1" customWidth="1"/>
    <col min="5378" max="5378" width="22.140625" style="28" customWidth="1"/>
    <col min="5379" max="5379" width="37" style="28" customWidth="1"/>
    <col min="5380" max="5381" width="11.42578125" style="28" customWidth="1"/>
    <col min="5382" max="5382" width="14" style="28" customWidth="1"/>
    <col min="5383" max="5383" width="20" style="28" customWidth="1"/>
    <col min="5384" max="5384" width="16.42578125" style="28" customWidth="1"/>
    <col min="5385" max="5632" width="8.7109375" style="28"/>
    <col min="5633" max="5633" width="10.28515625" style="28" bestFit="1" customWidth="1"/>
    <col min="5634" max="5634" width="22.140625" style="28" customWidth="1"/>
    <col min="5635" max="5635" width="37" style="28" customWidth="1"/>
    <col min="5636" max="5637" width="11.42578125" style="28" customWidth="1"/>
    <col min="5638" max="5638" width="14" style="28" customWidth="1"/>
    <col min="5639" max="5639" width="20" style="28" customWidth="1"/>
    <col min="5640" max="5640" width="16.42578125" style="28" customWidth="1"/>
    <col min="5641" max="5888" width="8.7109375" style="28"/>
    <col min="5889" max="5889" width="10.28515625" style="28" bestFit="1" customWidth="1"/>
    <col min="5890" max="5890" width="22.140625" style="28" customWidth="1"/>
    <col min="5891" max="5891" width="37" style="28" customWidth="1"/>
    <col min="5892" max="5893" width="11.42578125" style="28" customWidth="1"/>
    <col min="5894" max="5894" width="14" style="28" customWidth="1"/>
    <col min="5895" max="5895" width="20" style="28" customWidth="1"/>
    <col min="5896" max="5896" width="16.42578125" style="28" customWidth="1"/>
    <col min="5897" max="6144" width="8.7109375" style="28"/>
    <col min="6145" max="6145" width="10.28515625" style="28" bestFit="1" customWidth="1"/>
    <col min="6146" max="6146" width="22.140625" style="28" customWidth="1"/>
    <col min="6147" max="6147" width="37" style="28" customWidth="1"/>
    <col min="6148" max="6149" width="11.42578125" style="28" customWidth="1"/>
    <col min="6150" max="6150" width="14" style="28" customWidth="1"/>
    <col min="6151" max="6151" width="20" style="28" customWidth="1"/>
    <col min="6152" max="6152" width="16.42578125" style="28" customWidth="1"/>
    <col min="6153" max="6400" width="8.7109375" style="28"/>
    <col min="6401" max="6401" width="10.28515625" style="28" bestFit="1" customWidth="1"/>
    <col min="6402" max="6402" width="22.140625" style="28" customWidth="1"/>
    <col min="6403" max="6403" width="37" style="28" customWidth="1"/>
    <col min="6404" max="6405" width="11.42578125" style="28" customWidth="1"/>
    <col min="6406" max="6406" width="14" style="28" customWidth="1"/>
    <col min="6407" max="6407" width="20" style="28" customWidth="1"/>
    <col min="6408" max="6408" width="16.42578125" style="28" customWidth="1"/>
    <col min="6409" max="6656" width="8.7109375" style="28"/>
    <col min="6657" max="6657" width="10.28515625" style="28" bestFit="1" customWidth="1"/>
    <col min="6658" max="6658" width="22.140625" style="28" customWidth="1"/>
    <col min="6659" max="6659" width="37" style="28" customWidth="1"/>
    <col min="6660" max="6661" width="11.42578125" style="28" customWidth="1"/>
    <col min="6662" max="6662" width="14" style="28" customWidth="1"/>
    <col min="6663" max="6663" width="20" style="28" customWidth="1"/>
    <col min="6664" max="6664" width="16.42578125" style="28" customWidth="1"/>
    <col min="6665" max="6912" width="8.7109375" style="28"/>
    <col min="6913" max="6913" width="10.28515625" style="28" bestFit="1" customWidth="1"/>
    <col min="6914" max="6914" width="22.140625" style="28" customWidth="1"/>
    <col min="6915" max="6915" width="37" style="28" customWidth="1"/>
    <col min="6916" max="6917" width="11.42578125" style="28" customWidth="1"/>
    <col min="6918" max="6918" width="14" style="28" customWidth="1"/>
    <col min="6919" max="6919" width="20" style="28" customWidth="1"/>
    <col min="6920" max="6920" width="16.42578125" style="28" customWidth="1"/>
    <col min="6921" max="7168" width="8.7109375" style="28"/>
    <col min="7169" max="7169" width="10.28515625" style="28" bestFit="1" customWidth="1"/>
    <col min="7170" max="7170" width="22.140625" style="28" customWidth="1"/>
    <col min="7171" max="7171" width="37" style="28" customWidth="1"/>
    <col min="7172" max="7173" width="11.42578125" style="28" customWidth="1"/>
    <col min="7174" max="7174" width="14" style="28" customWidth="1"/>
    <col min="7175" max="7175" width="20" style="28" customWidth="1"/>
    <col min="7176" max="7176" width="16.42578125" style="28" customWidth="1"/>
    <col min="7177" max="7424" width="8.7109375" style="28"/>
    <col min="7425" max="7425" width="10.28515625" style="28" bestFit="1" customWidth="1"/>
    <col min="7426" max="7426" width="22.140625" style="28" customWidth="1"/>
    <col min="7427" max="7427" width="37" style="28" customWidth="1"/>
    <col min="7428" max="7429" width="11.42578125" style="28" customWidth="1"/>
    <col min="7430" max="7430" width="14" style="28" customWidth="1"/>
    <col min="7431" max="7431" width="20" style="28" customWidth="1"/>
    <col min="7432" max="7432" width="16.42578125" style="28" customWidth="1"/>
    <col min="7433" max="7680" width="8.7109375" style="28"/>
    <col min="7681" max="7681" width="10.28515625" style="28" bestFit="1" customWidth="1"/>
    <col min="7682" max="7682" width="22.140625" style="28" customWidth="1"/>
    <col min="7683" max="7683" width="37" style="28" customWidth="1"/>
    <col min="7684" max="7685" width="11.42578125" style="28" customWidth="1"/>
    <col min="7686" max="7686" width="14" style="28" customWidth="1"/>
    <col min="7687" max="7687" width="20" style="28" customWidth="1"/>
    <col min="7688" max="7688" width="16.42578125" style="28" customWidth="1"/>
    <col min="7689" max="7936" width="8.7109375" style="28"/>
    <col min="7937" max="7937" width="10.28515625" style="28" bestFit="1" customWidth="1"/>
    <col min="7938" max="7938" width="22.140625" style="28" customWidth="1"/>
    <col min="7939" max="7939" width="37" style="28" customWidth="1"/>
    <col min="7940" max="7941" width="11.42578125" style="28" customWidth="1"/>
    <col min="7942" max="7942" width="14" style="28" customWidth="1"/>
    <col min="7943" max="7943" width="20" style="28" customWidth="1"/>
    <col min="7944" max="7944" width="16.42578125" style="28" customWidth="1"/>
    <col min="7945" max="8192" width="8.7109375" style="28"/>
    <col min="8193" max="8193" width="10.28515625" style="28" bestFit="1" customWidth="1"/>
    <col min="8194" max="8194" width="22.140625" style="28" customWidth="1"/>
    <col min="8195" max="8195" width="37" style="28" customWidth="1"/>
    <col min="8196" max="8197" width="11.42578125" style="28" customWidth="1"/>
    <col min="8198" max="8198" width="14" style="28" customWidth="1"/>
    <col min="8199" max="8199" width="20" style="28" customWidth="1"/>
    <col min="8200" max="8200" width="16.42578125" style="28" customWidth="1"/>
    <col min="8201" max="8448" width="8.7109375" style="28"/>
    <col min="8449" max="8449" width="10.28515625" style="28" bestFit="1" customWidth="1"/>
    <col min="8450" max="8450" width="22.140625" style="28" customWidth="1"/>
    <col min="8451" max="8451" width="37" style="28" customWidth="1"/>
    <col min="8452" max="8453" width="11.42578125" style="28" customWidth="1"/>
    <col min="8454" max="8454" width="14" style="28" customWidth="1"/>
    <col min="8455" max="8455" width="20" style="28" customWidth="1"/>
    <col min="8456" max="8456" width="16.42578125" style="28" customWidth="1"/>
    <col min="8457" max="8704" width="8.7109375" style="28"/>
    <col min="8705" max="8705" width="10.28515625" style="28" bestFit="1" customWidth="1"/>
    <col min="8706" max="8706" width="22.140625" style="28" customWidth="1"/>
    <col min="8707" max="8707" width="37" style="28" customWidth="1"/>
    <col min="8708" max="8709" width="11.42578125" style="28" customWidth="1"/>
    <col min="8710" max="8710" width="14" style="28" customWidth="1"/>
    <col min="8711" max="8711" width="20" style="28" customWidth="1"/>
    <col min="8712" max="8712" width="16.42578125" style="28" customWidth="1"/>
    <col min="8713" max="8960" width="8.7109375" style="28"/>
    <col min="8961" max="8961" width="10.28515625" style="28" bestFit="1" customWidth="1"/>
    <col min="8962" max="8962" width="22.140625" style="28" customWidth="1"/>
    <col min="8963" max="8963" width="37" style="28" customWidth="1"/>
    <col min="8964" max="8965" width="11.42578125" style="28" customWidth="1"/>
    <col min="8966" max="8966" width="14" style="28" customWidth="1"/>
    <col min="8967" max="8967" width="20" style="28" customWidth="1"/>
    <col min="8968" max="8968" width="16.42578125" style="28" customWidth="1"/>
    <col min="8969" max="9216" width="8.7109375" style="28"/>
    <col min="9217" max="9217" width="10.28515625" style="28" bestFit="1" customWidth="1"/>
    <col min="9218" max="9218" width="22.140625" style="28" customWidth="1"/>
    <col min="9219" max="9219" width="37" style="28" customWidth="1"/>
    <col min="9220" max="9221" width="11.42578125" style="28" customWidth="1"/>
    <col min="9222" max="9222" width="14" style="28" customWidth="1"/>
    <col min="9223" max="9223" width="20" style="28" customWidth="1"/>
    <col min="9224" max="9224" width="16.42578125" style="28" customWidth="1"/>
    <col min="9225" max="9472" width="8.7109375" style="28"/>
    <col min="9473" max="9473" width="10.28515625" style="28" bestFit="1" customWidth="1"/>
    <col min="9474" max="9474" width="22.140625" style="28" customWidth="1"/>
    <col min="9475" max="9475" width="37" style="28" customWidth="1"/>
    <col min="9476" max="9477" width="11.42578125" style="28" customWidth="1"/>
    <col min="9478" max="9478" width="14" style="28" customWidth="1"/>
    <col min="9479" max="9479" width="20" style="28" customWidth="1"/>
    <col min="9480" max="9480" width="16.42578125" style="28" customWidth="1"/>
    <col min="9481" max="9728" width="8.7109375" style="28"/>
    <col min="9729" max="9729" width="10.28515625" style="28" bestFit="1" customWidth="1"/>
    <col min="9730" max="9730" width="22.140625" style="28" customWidth="1"/>
    <col min="9731" max="9731" width="37" style="28" customWidth="1"/>
    <col min="9732" max="9733" width="11.42578125" style="28" customWidth="1"/>
    <col min="9734" max="9734" width="14" style="28" customWidth="1"/>
    <col min="9735" max="9735" width="20" style="28" customWidth="1"/>
    <col min="9736" max="9736" width="16.42578125" style="28" customWidth="1"/>
    <col min="9737" max="9984" width="8.7109375" style="28"/>
    <col min="9985" max="9985" width="10.28515625" style="28" bestFit="1" customWidth="1"/>
    <col min="9986" max="9986" width="22.140625" style="28" customWidth="1"/>
    <col min="9987" max="9987" width="37" style="28" customWidth="1"/>
    <col min="9988" max="9989" width="11.42578125" style="28" customWidth="1"/>
    <col min="9990" max="9990" width="14" style="28" customWidth="1"/>
    <col min="9991" max="9991" width="20" style="28" customWidth="1"/>
    <col min="9992" max="9992" width="16.42578125" style="28" customWidth="1"/>
    <col min="9993" max="10240" width="8.7109375" style="28"/>
    <col min="10241" max="10241" width="10.28515625" style="28" bestFit="1" customWidth="1"/>
    <col min="10242" max="10242" width="22.140625" style="28" customWidth="1"/>
    <col min="10243" max="10243" width="37" style="28" customWidth="1"/>
    <col min="10244" max="10245" width="11.42578125" style="28" customWidth="1"/>
    <col min="10246" max="10246" width="14" style="28" customWidth="1"/>
    <col min="10247" max="10247" width="20" style="28" customWidth="1"/>
    <col min="10248" max="10248" width="16.42578125" style="28" customWidth="1"/>
    <col min="10249" max="10496" width="8.7109375" style="28"/>
    <col min="10497" max="10497" width="10.28515625" style="28" bestFit="1" customWidth="1"/>
    <col min="10498" max="10498" width="22.140625" style="28" customWidth="1"/>
    <col min="10499" max="10499" width="37" style="28" customWidth="1"/>
    <col min="10500" max="10501" width="11.42578125" style="28" customWidth="1"/>
    <col min="10502" max="10502" width="14" style="28" customWidth="1"/>
    <col min="10503" max="10503" width="20" style="28" customWidth="1"/>
    <col min="10504" max="10504" width="16.42578125" style="28" customWidth="1"/>
    <col min="10505" max="10752" width="8.7109375" style="28"/>
    <col min="10753" max="10753" width="10.28515625" style="28" bestFit="1" customWidth="1"/>
    <col min="10754" max="10754" width="22.140625" style="28" customWidth="1"/>
    <col min="10755" max="10755" width="37" style="28" customWidth="1"/>
    <col min="10756" max="10757" width="11.42578125" style="28" customWidth="1"/>
    <col min="10758" max="10758" width="14" style="28" customWidth="1"/>
    <col min="10759" max="10759" width="20" style="28" customWidth="1"/>
    <col min="10760" max="10760" width="16.42578125" style="28" customWidth="1"/>
    <col min="10761" max="11008" width="8.7109375" style="28"/>
    <col min="11009" max="11009" width="10.28515625" style="28" bestFit="1" customWidth="1"/>
    <col min="11010" max="11010" width="22.140625" style="28" customWidth="1"/>
    <col min="11011" max="11011" width="37" style="28" customWidth="1"/>
    <col min="11012" max="11013" width="11.42578125" style="28" customWidth="1"/>
    <col min="11014" max="11014" width="14" style="28" customWidth="1"/>
    <col min="11015" max="11015" width="20" style="28" customWidth="1"/>
    <col min="11016" max="11016" width="16.42578125" style="28" customWidth="1"/>
    <col min="11017" max="11264" width="8.7109375" style="28"/>
    <col min="11265" max="11265" width="10.28515625" style="28" bestFit="1" customWidth="1"/>
    <col min="11266" max="11266" width="22.140625" style="28" customWidth="1"/>
    <col min="11267" max="11267" width="37" style="28" customWidth="1"/>
    <col min="11268" max="11269" width="11.42578125" style="28" customWidth="1"/>
    <col min="11270" max="11270" width="14" style="28" customWidth="1"/>
    <col min="11271" max="11271" width="20" style="28" customWidth="1"/>
    <col min="11272" max="11272" width="16.42578125" style="28" customWidth="1"/>
    <col min="11273" max="11520" width="8.7109375" style="28"/>
    <col min="11521" max="11521" width="10.28515625" style="28" bestFit="1" customWidth="1"/>
    <col min="11522" max="11522" width="22.140625" style="28" customWidth="1"/>
    <col min="11523" max="11523" width="37" style="28" customWidth="1"/>
    <col min="11524" max="11525" width="11.42578125" style="28" customWidth="1"/>
    <col min="11526" max="11526" width="14" style="28" customWidth="1"/>
    <col min="11527" max="11527" width="20" style="28" customWidth="1"/>
    <col min="11528" max="11528" width="16.42578125" style="28" customWidth="1"/>
    <col min="11529" max="11776" width="8.7109375" style="28"/>
    <col min="11777" max="11777" width="10.28515625" style="28" bestFit="1" customWidth="1"/>
    <col min="11778" max="11778" width="22.140625" style="28" customWidth="1"/>
    <col min="11779" max="11779" width="37" style="28" customWidth="1"/>
    <col min="11780" max="11781" width="11.42578125" style="28" customWidth="1"/>
    <col min="11782" max="11782" width="14" style="28" customWidth="1"/>
    <col min="11783" max="11783" width="20" style="28" customWidth="1"/>
    <col min="11784" max="11784" width="16.42578125" style="28" customWidth="1"/>
    <col min="11785" max="12032" width="8.7109375" style="28"/>
    <col min="12033" max="12033" width="10.28515625" style="28" bestFit="1" customWidth="1"/>
    <col min="12034" max="12034" width="22.140625" style="28" customWidth="1"/>
    <col min="12035" max="12035" width="37" style="28" customWidth="1"/>
    <col min="12036" max="12037" width="11.42578125" style="28" customWidth="1"/>
    <col min="12038" max="12038" width="14" style="28" customWidth="1"/>
    <col min="12039" max="12039" width="20" style="28" customWidth="1"/>
    <col min="12040" max="12040" width="16.42578125" style="28" customWidth="1"/>
    <col min="12041" max="12288" width="8.7109375" style="28"/>
    <col min="12289" max="12289" width="10.28515625" style="28" bestFit="1" customWidth="1"/>
    <col min="12290" max="12290" width="22.140625" style="28" customWidth="1"/>
    <col min="12291" max="12291" width="37" style="28" customWidth="1"/>
    <col min="12292" max="12293" width="11.42578125" style="28" customWidth="1"/>
    <col min="12294" max="12294" width="14" style="28" customWidth="1"/>
    <col min="12295" max="12295" width="20" style="28" customWidth="1"/>
    <col min="12296" max="12296" width="16.42578125" style="28" customWidth="1"/>
    <col min="12297" max="12544" width="8.7109375" style="28"/>
    <col min="12545" max="12545" width="10.28515625" style="28" bestFit="1" customWidth="1"/>
    <col min="12546" max="12546" width="22.140625" style="28" customWidth="1"/>
    <col min="12547" max="12547" width="37" style="28" customWidth="1"/>
    <col min="12548" max="12549" width="11.42578125" style="28" customWidth="1"/>
    <col min="12550" max="12550" width="14" style="28" customWidth="1"/>
    <col min="12551" max="12551" width="20" style="28" customWidth="1"/>
    <col min="12552" max="12552" width="16.42578125" style="28" customWidth="1"/>
    <col min="12553" max="12800" width="8.7109375" style="28"/>
    <col min="12801" max="12801" width="10.28515625" style="28" bestFit="1" customWidth="1"/>
    <col min="12802" max="12802" width="22.140625" style="28" customWidth="1"/>
    <col min="12803" max="12803" width="37" style="28" customWidth="1"/>
    <col min="12804" max="12805" width="11.42578125" style="28" customWidth="1"/>
    <col min="12806" max="12806" width="14" style="28" customWidth="1"/>
    <col min="12807" max="12807" width="20" style="28" customWidth="1"/>
    <col min="12808" max="12808" width="16.42578125" style="28" customWidth="1"/>
    <col min="12809" max="13056" width="8.7109375" style="28"/>
    <col min="13057" max="13057" width="10.28515625" style="28" bestFit="1" customWidth="1"/>
    <col min="13058" max="13058" width="22.140625" style="28" customWidth="1"/>
    <col min="13059" max="13059" width="37" style="28" customWidth="1"/>
    <col min="13060" max="13061" width="11.42578125" style="28" customWidth="1"/>
    <col min="13062" max="13062" width="14" style="28" customWidth="1"/>
    <col min="13063" max="13063" width="20" style="28" customWidth="1"/>
    <col min="13064" max="13064" width="16.42578125" style="28" customWidth="1"/>
    <col min="13065" max="13312" width="8.7109375" style="28"/>
    <col min="13313" max="13313" width="10.28515625" style="28" bestFit="1" customWidth="1"/>
    <col min="13314" max="13314" width="22.140625" style="28" customWidth="1"/>
    <col min="13315" max="13315" width="37" style="28" customWidth="1"/>
    <col min="13316" max="13317" width="11.42578125" style="28" customWidth="1"/>
    <col min="13318" max="13318" width="14" style="28" customWidth="1"/>
    <col min="13319" max="13319" width="20" style="28" customWidth="1"/>
    <col min="13320" max="13320" width="16.42578125" style="28" customWidth="1"/>
    <col min="13321" max="13568" width="8.7109375" style="28"/>
    <col min="13569" max="13569" width="10.28515625" style="28" bestFit="1" customWidth="1"/>
    <col min="13570" max="13570" width="22.140625" style="28" customWidth="1"/>
    <col min="13571" max="13571" width="37" style="28" customWidth="1"/>
    <col min="13572" max="13573" width="11.42578125" style="28" customWidth="1"/>
    <col min="13574" max="13574" width="14" style="28" customWidth="1"/>
    <col min="13575" max="13575" width="20" style="28" customWidth="1"/>
    <col min="13576" max="13576" width="16.42578125" style="28" customWidth="1"/>
    <col min="13577" max="13824" width="8.7109375" style="28"/>
    <col min="13825" max="13825" width="10.28515625" style="28" bestFit="1" customWidth="1"/>
    <col min="13826" max="13826" width="22.140625" style="28" customWidth="1"/>
    <col min="13827" max="13827" width="37" style="28" customWidth="1"/>
    <col min="13828" max="13829" width="11.42578125" style="28" customWidth="1"/>
    <col min="13830" max="13830" width="14" style="28" customWidth="1"/>
    <col min="13831" max="13831" width="20" style="28" customWidth="1"/>
    <col min="13832" max="13832" width="16.42578125" style="28" customWidth="1"/>
    <col min="13833" max="14080" width="8.7109375" style="28"/>
    <col min="14081" max="14081" width="10.28515625" style="28" bestFit="1" customWidth="1"/>
    <col min="14082" max="14082" width="22.140625" style="28" customWidth="1"/>
    <col min="14083" max="14083" width="37" style="28" customWidth="1"/>
    <col min="14084" max="14085" width="11.42578125" style="28" customWidth="1"/>
    <col min="14086" max="14086" width="14" style="28" customWidth="1"/>
    <col min="14087" max="14087" width="20" style="28" customWidth="1"/>
    <col min="14088" max="14088" width="16.42578125" style="28" customWidth="1"/>
    <col min="14089" max="14336" width="8.7109375" style="28"/>
    <col min="14337" max="14337" width="10.28515625" style="28" bestFit="1" customWidth="1"/>
    <col min="14338" max="14338" width="22.140625" style="28" customWidth="1"/>
    <col min="14339" max="14339" width="37" style="28" customWidth="1"/>
    <col min="14340" max="14341" width="11.42578125" style="28" customWidth="1"/>
    <col min="14342" max="14342" width="14" style="28" customWidth="1"/>
    <col min="14343" max="14343" width="20" style="28" customWidth="1"/>
    <col min="14344" max="14344" width="16.42578125" style="28" customWidth="1"/>
    <col min="14345" max="14592" width="8.7109375" style="28"/>
    <col min="14593" max="14593" width="10.28515625" style="28" bestFit="1" customWidth="1"/>
    <col min="14594" max="14594" width="22.140625" style="28" customWidth="1"/>
    <col min="14595" max="14595" width="37" style="28" customWidth="1"/>
    <col min="14596" max="14597" width="11.42578125" style="28" customWidth="1"/>
    <col min="14598" max="14598" width="14" style="28" customWidth="1"/>
    <col min="14599" max="14599" width="20" style="28" customWidth="1"/>
    <col min="14600" max="14600" width="16.42578125" style="28" customWidth="1"/>
    <col min="14601" max="14848" width="8.7109375" style="28"/>
    <col min="14849" max="14849" width="10.28515625" style="28" bestFit="1" customWidth="1"/>
    <col min="14850" max="14850" width="22.140625" style="28" customWidth="1"/>
    <col min="14851" max="14851" width="37" style="28" customWidth="1"/>
    <col min="14852" max="14853" width="11.42578125" style="28" customWidth="1"/>
    <col min="14854" max="14854" width="14" style="28" customWidth="1"/>
    <col min="14855" max="14855" width="20" style="28" customWidth="1"/>
    <col min="14856" max="14856" width="16.42578125" style="28" customWidth="1"/>
    <col min="14857" max="15104" width="8.7109375" style="28"/>
    <col min="15105" max="15105" width="10.28515625" style="28" bestFit="1" customWidth="1"/>
    <col min="15106" max="15106" width="22.140625" style="28" customWidth="1"/>
    <col min="15107" max="15107" width="37" style="28" customWidth="1"/>
    <col min="15108" max="15109" width="11.42578125" style="28" customWidth="1"/>
    <col min="15110" max="15110" width="14" style="28" customWidth="1"/>
    <col min="15111" max="15111" width="20" style="28" customWidth="1"/>
    <col min="15112" max="15112" width="16.42578125" style="28" customWidth="1"/>
    <col min="15113" max="15360" width="8.7109375" style="28"/>
    <col min="15361" max="15361" width="10.28515625" style="28" bestFit="1" customWidth="1"/>
    <col min="15362" max="15362" width="22.140625" style="28" customWidth="1"/>
    <col min="15363" max="15363" width="37" style="28" customWidth="1"/>
    <col min="15364" max="15365" width="11.42578125" style="28" customWidth="1"/>
    <col min="15366" max="15366" width="14" style="28" customWidth="1"/>
    <col min="15367" max="15367" width="20" style="28" customWidth="1"/>
    <col min="15368" max="15368" width="16.42578125" style="28" customWidth="1"/>
    <col min="15369" max="15616" width="8.7109375" style="28"/>
    <col min="15617" max="15617" width="10.28515625" style="28" bestFit="1" customWidth="1"/>
    <col min="15618" max="15618" width="22.140625" style="28" customWidth="1"/>
    <col min="15619" max="15619" width="37" style="28" customWidth="1"/>
    <col min="15620" max="15621" width="11.42578125" style="28" customWidth="1"/>
    <col min="15622" max="15622" width="14" style="28" customWidth="1"/>
    <col min="15623" max="15623" width="20" style="28" customWidth="1"/>
    <col min="15624" max="15624" width="16.42578125" style="28" customWidth="1"/>
    <col min="15625" max="15872" width="8.7109375" style="28"/>
    <col min="15873" max="15873" width="10.28515625" style="28" bestFit="1" customWidth="1"/>
    <col min="15874" max="15874" width="22.140625" style="28" customWidth="1"/>
    <col min="15875" max="15875" width="37" style="28" customWidth="1"/>
    <col min="15876" max="15877" width="11.42578125" style="28" customWidth="1"/>
    <col min="15878" max="15878" width="14" style="28" customWidth="1"/>
    <col min="15879" max="15879" width="20" style="28" customWidth="1"/>
    <col min="15880" max="15880" width="16.42578125" style="28" customWidth="1"/>
    <col min="15881" max="16128" width="8.7109375" style="28"/>
    <col min="16129" max="16129" width="10.28515625" style="28" bestFit="1" customWidth="1"/>
    <col min="16130" max="16130" width="22.140625" style="28" customWidth="1"/>
    <col min="16131" max="16131" width="37" style="28" customWidth="1"/>
    <col min="16132" max="16133" width="11.42578125" style="28" customWidth="1"/>
    <col min="16134" max="16134" width="14" style="28" customWidth="1"/>
    <col min="16135" max="16135" width="20" style="28" customWidth="1"/>
    <col min="16136" max="16136" width="16.42578125" style="28" customWidth="1"/>
    <col min="16137" max="16384" width="8.7109375" style="28"/>
  </cols>
  <sheetData>
    <row r="1" spans="1:9" ht="15" customHeight="1" x14ac:dyDescent="0.25">
      <c r="A1" s="27">
        <v>44121</v>
      </c>
      <c r="B1" s="28" t="s">
        <v>229</v>
      </c>
    </row>
    <row r="2" spans="1:9" ht="15" customHeight="1" x14ac:dyDescent="0.25">
      <c r="A2" s="29"/>
      <c r="B2" s="29"/>
      <c r="C2" s="29"/>
      <c r="D2" s="29"/>
      <c r="E2" s="29"/>
      <c r="F2" s="29"/>
      <c r="G2" s="29"/>
      <c r="H2" s="29"/>
    </row>
    <row r="3" spans="1:9" ht="15.75" customHeight="1" x14ac:dyDescent="0.25">
      <c r="A3" s="29"/>
      <c r="B3" s="224" t="s">
        <v>230</v>
      </c>
      <c r="C3" s="224"/>
      <c r="D3" s="224"/>
      <c r="E3" s="224"/>
      <c r="F3" s="224"/>
      <c r="G3" s="224"/>
      <c r="H3" s="224"/>
    </row>
    <row r="4" spans="1:9" x14ac:dyDescent="0.25">
      <c r="A4" s="29"/>
      <c r="B4" s="30" t="s">
        <v>231</v>
      </c>
      <c r="C4" s="30" t="s">
        <v>232</v>
      </c>
      <c r="D4" s="30" t="s">
        <v>118</v>
      </c>
      <c r="E4" s="30" t="s">
        <v>233</v>
      </c>
      <c r="F4" s="30" t="s">
        <v>234</v>
      </c>
      <c r="G4" s="30" t="s">
        <v>235</v>
      </c>
      <c r="H4" s="30" t="s">
        <v>236</v>
      </c>
    </row>
    <row r="5" spans="1:9" ht="15" customHeight="1" x14ac:dyDescent="0.25">
      <c r="A5" s="29"/>
      <c r="B5" s="31" t="s">
        <v>237</v>
      </c>
      <c r="C5" s="32" t="s">
        <v>183</v>
      </c>
      <c r="D5" s="31" t="s">
        <v>240</v>
      </c>
      <c r="E5" s="31">
        <v>310</v>
      </c>
      <c r="F5" s="33">
        <f>E5*1.45</f>
        <v>449.5</v>
      </c>
      <c r="G5" s="33">
        <f>H5/F5</f>
        <v>6229.1434927697437</v>
      </c>
      <c r="H5" s="34">
        <v>2800000</v>
      </c>
    </row>
    <row r="6" spans="1:9" ht="15" customHeight="1" x14ac:dyDescent="0.25">
      <c r="A6" s="29"/>
      <c r="B6" s="35" t="s">
        <v>238</v>
      </c>
      <c r="C6" s="31"/>
      <c r="D6" s="31"/>
      <c r="E6" s="31"/>
      <c r="F6" s="31"/>
      <c r="G6" s="36">
        <f>AVERAGE(G5:G5)</f>
        <v>6229.1434927697437</v>
      </c>
      <c r="H6" s="31"/>
    </row>
    <row r="7" spans="1:9" ht="15" customHeight="1" x14ac:dyDescent="0.25">
      <c r="B7" s="35" t="s">
        <v>239</v>
      </c>
      <c r="C7" s="31"/>
      <c r="D7" s="31"/>
      <c r="E7" s="31"/>
      <c r="F7" s="37"/>
      <c r="G7" s="35">
        <v>6300</v>
      </c>
      <c r="H7" s="35"/>
      <c r="I7" s="38"/>
    </row>
    <row r="8" spans="1:9" ht="15" customHeight="1" x14ac:dyDescent="0.25"/>
    <row r="9" spans="1:9" ht="15" customHeight="1" x14ac:dyDescent="0.25"/>
    <row r="10" spans="1:9" ht="15" customHeight="1" x14ac:dyDescent="0.25"/>
  </sheetData>
  <mergeCells count="1">
    <mergeCell ref="B3:H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00"/>
  <sheetViews>
    <sheetView topLeftCell="A19" workbookViewId="0">
      <selection activeCell="E40" sqref="E40"/>
    </sheetView>
  </sheetViews>
  <sheetFormatPr defaultRowHeight="15" x14ac:dyDescent="0.25"/>
  <cols>
    <col min="2" max="2" width="12.28515625" customWidth="1"/>
  </cols>
  <sheetData>
    <row r="2" spans="1:12" x14ac:dyDescent="0.25">
      <c r="B2" s="1" t="s">
        <v>117</v>
      </c>
      <c r="C2" s="225"/>
      <c r="D2" s="225"/>
    </row>
    <row r="3" spans="1:12" x14ac:dyDescent="0.25">
      <c r="D3" s="2"/>
      <c r="E3" s="2"/>
      <c r="F3" s="2"/>
      <c r="G3" s="2"/>
      <c r="H3" s="2"/>
      <c r="I3" s="2"/>
    </row>
    <row r="4" spans="1:12" x14ac:dyDescent="0.25">
      <c r="A4" s="1" t="s">
        <v>118</v>
      </c>
      <c r="B4" s="3" t="s">
        <v>119</v>
      </c>
      <c r="C4" s="226" t="s">
        <v>120</v>
      </c>
      <c r="D4" s="226"/>
      <c r="E4" s="226"/>
      <c r="F4" s="4"/>
      <c r="G4" s="226" t="s">
        <v>121</v>
      </c>
      <c r="H4" s="226"/>
      <c r="I4" s="226"/>
      <c r="J4" s="226" t="s">
        <v>122</v>
      </c>
      <c r="K4" s="226"/>
      <c r="L4" s="226"/>
    </row>
    <row r="5" spans="1:12" x14ac:dyDescent="0.25">
      <c r="A5" s="1">
        <v>1</v>
      </c>
      <c r="B5" s="3"/>
      <c r="C5" s="3" t="s">
        <v>123</v>
      </c>
      <c r="D5" s="3" t="s">
        <v>124</v>
      </c>
      <c r="E5" s="3" t="s">
        <v>85</v>
      </c>
      <c r="F5" s="3"/>
      <c r="G5" s="3" t="s">
        <v>123</v>
      </c>
      <c r="H5" s="3" t="s">
        <v>124</v>
      </c>
      <c r="I5" s="3" t="s">
        <v>85</v>
      </c>
      <c r="J5" s="3" t="s">
        <v>123</v>
      </c>
      <c r="K5" s="3" t="s">
        <v>124</v>
      </c>
      <c r="L5" s="3" t="s">
        <v>85</v>
      </c>
    </row>
    <row r="6" spans="1:12" x14ac:dyDescent="0.25">
      <c r="B6" s="5" t="s">
        <v>125</v>
      </c>
      <c r="C6" s="5">
        <v>3.55</v>
      </c>
      <c r="D6" s="5">
        <v>2.9</v>
      </c>
      <c r="E6" s="5">
        <f>C6*D6</f>
        <v>10.295</v>
      </c>
      <c r="F6" s="5" t="s">
        <v>126</v>
      </c>
      <c r="G6" s="5">
        <v>0</v>
      </c>
      <c r="H6" s="5">
        <v>0</v>
      </c>
      <c r="I6" s="5">
        <f>G6*H6</f>
        <v>0</v>
      </c>
      <c r="J6" s="5"/>
      <c r="K6" s="5"/>
      <c r="L6" s="5">
        <f>J6*K6</f>
        <v>0</v>
      </c>
    </row>
    <row r="7" spans="1:12" x14ac:dyDescent="0.25">
      <c r="B7" s="5"/>
      <c r="C7" s="5">
        <v>2.35</v>
      </c>
      <c r="D7" s="5">
        <v>1.22</v>
      </c>
      <c r="E7" s="5">
        <f t="shared" ref="E7:E33" si="0">C7*D7</f>
        <v>2.867</v>
      </c>
      <c r="F7" s="5" t="s">
        <v>127</v>
      </c>
      <c r="G7" s="5"/>
      <c r="H7" s="5"/>
      <c r="I7" s="5">
        <f t="shared" ref="I7:I29" si="1">G7*H7</f>
        <v>0</v>
      </c>
      <c r="J7" s="5"/>
      <c r="K7" s="5"/>
      <c r="L7" s="5">
        <f t="shared" ref="L7:L29" si="2">J7*K7</f>
        <v>0</v>
      </c>
    </row>
    <row r="8" spans="1:12" x14ac:dyDescent="0.25">
      <c r="B8" s="5"/>
      <c r="C8" s="5">
        <v>2.25</v>
      </c>
      <c r="D8" s="5">
        <v>2.16</v>
      </c>
      <c r="E8" s="5">
        <f t="shared" si="0"/>
        <v>4.8600000000000003</v>
      </c>
      <c r="F8" s="5"/>
      <c r="G8" s="5"/>
      <c r="H8" s="5"/>
      <c r="I8" s="5">
        <f t="shared" si="1"/>
        <v>0</v>
      </c>
      <c r="J8" s="5"/>
      <c r="K8" s="5"/>
      <c r="L8" s="5">
        <f t="shared" si="2"/>
        <v>0</v>
      </c>
    </row>
    <row r="9" spans="1:12" x14ac:dyDescent="0.25">
      <c r="B9" s="5" t="s">
        <v>128</v>
      </c>
      <c r="C9" s="5">
        <v>2.2000000000000002</v>
      </c>
      <c r="D9" s="5">
        <v>1.43</v>
      </c>
      <c r="E9" s="5">
        <f t="shared" si="0"/>
        <v>3.1459999999999999</v>
      </c>
      <c r="F9" s="5" t="s">
        <v>126</v>
      </c>
      <c r="G9" s="5"/>
      <c r="H9" s="5"/>
      <c r="I9" s="5">
        <f t="shared" si="1"/>
        <v>0</v>
      </c>
      <c r="J9" s="5"/>
      <c r="K9" s="5"/>
      <c r="L9" s="5">
        <f t="shared" si="2"/>
        <v>0</v>
      </c>
    </row>
    <row r="10" spans="1:12" x14ac:dyDescent="0.25">
      <c r="B10" s="5"/>
      <c r="C10" s="5">
        <v>0</v>
      </c>
      <c r="D10" s="5">
        <v>0</v>
      </c>
      <c r="E10" s="5">
        <f t="shared" si="0"/>
        <v>0</v>
      </c>
      <c r="F10" s="5" t="s">
        <v>127</v>
      </c>
      <c r="G10" s="5"/>
      <c r="H10" s="5"/>
      <c r="I10" s="5">
        <f t="shared" si="1"/>
        <v>0</v>
      </c>
      <c r="J10" s="5"/>
      <c r="K10" s="5"/>
      <c r="L10" s="5">
        <f t="shared" si="2"/>
        <v>0</v>
      </c>
    </row>
    <row r="11" spans="1:12" x14ac:dyDescent="0.25">
      <c r="B11" s="5"/>
      <c r="C11" s="5">
        <v>0</v>
      </c>
      <c r="D11" s="5">
        <v>0</v>
      </c>
      <c r="E11" s="5">
        <f t="shared" si="0"/>
        <v>0</v>
      </c>
      <c r="F11" s="5"/>
      <c r="G11" s="5"/>
      <c r="H11" s="5"/>
      <c r="I11" s="5">
        <f t="shared" si="1"/>
        <v>0</v>
      </c>
      <c r="J11" s="5"/>
      <c r="K11" s="5"/>
      <c r="L11" s="5">
        <f t="shared" si="2"/>
        <v>0</v>
      </c>
    </row>
    <row r="12" spans="1:12" x14ac:dyDescent="0.25">
      <c r="B12" s="5"/>
      <c r="C12" s="5">
        <v>0</v>
      </c>
      <c r="D12" s="5">
        <v>0</v>
      </c>
      <c r="E12" s="5">
        <f t="shared" si="0"/>
        <v>0</v>
      </c>
      <c r="F12" s="5"/>
      <c r="G12" s="5"/>
      <c r="H12" s="5"/>
      <c r="I12" s="5">
        <f t="shared" si="1"/>
        <v>0</v>
      </c>
      <c r="J12" s="5"/>
      <c r="K12" s="5"/>
      <c r="L12" s="5">
        <f t="shared" si="2"/>
        <v>0</v>
      </c>
    </row>
    <row r="13" spans="1:12" x14ac:dyDescent="0.25">
      <c r="B13" s="5" t="s">
        <v>129</v>
      </c>
      <c r="C13" s="5">
        <v>0</v>
      </c>
      <c r="D13" s="5">
        <v>0</v>
      </c>
      <c r="E13" s="5">
        <f t="shared" si="0"/>
        <v>0</v>
      </c>
      <c r="F13" s="5" t="s">
        <v>126</v>
      </c>
      <c r="G13" s="5"/>
      <c r="H13" s="5"/>
      <c r="I13" s="5">
        <f t="shared" si="1"/>
        <v>0</v>
      </c>
      <c r="J13" s="5"/>
      <c r="K13" s="5"/>
      <c r="L13" s="5">
        <f t="shared" si="2"/>
        <v>0</v>
      </c>
    </row>
    <row r="14" spans="1:12" x14ac:dyDescent="0.25">
      <c r="B14" s="5"/>
      <c r="C14" s="5"/>
      <c r="D14" s="5"/>
      <c r="E14" s="5">
        <f t="shared" si="0"/>
        <v>0</v>
      </c>
      <c r="F14" s="5" t="s">
        <v>127</v>
      </c>
      <c r="G14" s="5"/>
      <c r="H14" s="5"/>
      <c r="I14" s="5">
        <f t="shared" si="1"/>
        <v>0</v>
      </c>
      <c r="J14" s="5"/>
      <c r="K14" s="5"/>
      <c r="L14" s="5">
        <f t="shared" si="2"/>
        <v>0</v>
      </c>
    </row>
    <row r="15" spans="1:12" x14ac:dyDescent="0.25">
      <c r="B15" s="5"/>
      <c r="C15" s="5"/>
      <c r="D15" s="5"/>
      <c r="E15" s="5">
        <f t="shared" si="0"/>
        <v>0</v>
      </c>
      <c r="F15" s="5"/>
      <c r="G15" s="5"/>
      <c r="H15" s="5"/>
      <c r="I15" s="5">
        <f t="shared" si="1"/>
        <v>0</v>
      </c>
      <c r="J15" s="5"/>
      <c r="K15" s="5"/>
      <c r="L15" s="5">
        <f t="shared" si="2"/>
        <v>0</v>
      </c>
    </row>
    <row r="16" spans="1:12" x14ac:dyDescent="0.25">
      <c r="B16" s="5"/>
      <c r="C16" s="5"/>
      <c r="D16" s="5"/>
      <c r="E16" s="5">
        <f t="shared" si="0"/>
        <v>0</v>
      </c>
      <c r="F16" s="5"/>
      <c r="G16" s="5"/>
      <c r="H16" s="5"/>
      <c r="I16" s="5">
        <f t="shared" si="1"/>
        <v>0</v>
      </c>
      <c r="J16" s="5"/>
      <c r="K16" s="5"/>
      <c r="L16" s="5">
        <f t="shared" si="2"/>
        <v>0</v>
      </c>
    </row>
    <row r="17" spans="2:12" x14ac:dyDescent="0.25">
      <c r="B17" s="5" t="s">
        <v>130</v>
      </c>
      <c r="C17" s="5"/>
      <c r="D17" s="5"/>
      <c r="E17" s="5">
        <f t="shared" si="0"/>
        <v>0</v>
      </c>
      <c r="F17" s="5" t="s">
        <v>126</v>
      </c>
      <c r="G17" s="5"/>
      <c r="H17" s="5"/>
      <c r="I17" s="5">
        <f t="shared" si="1"/>
        <v>0</v>
      </c>
      <c r="J17" s="5"/>
      <c r="K17" s="5"/>
      <c r="L17" s="5">
        <f t="shared" si="2"/>
        <v>0</v>
      </c>
    </row>
    <row r="18" spans="2:12" x14ac:dyDescent="0.25">
      <c r="B18" s="5"/>
      <c r="C18" s="5"/>
      <c r="D18" s="5"/>
      <c r="E18" s="5">
        <f t="shared" si="0"/>
        <v>0</v>
      </c>
      <c r="F18" s="5" t="s">
        <v>127</v>
      </c>
      <c r="G18" s="5"/>
      <c r="H18" s="5"/>
      <c r="I18" s="5">
        <f t="shared" si="1"/>
        <v>0</v>
      </c>
      <c r="J18" s="5"/>
      <c r="K18" s="5"/>
      <c r="L18" s="5">
        <f t="shared" si="2"/>
        <v>0</v>
      </c>
    </row>
    <row r="19" spans="2:12" x14ac:dyDescent="0.25">
      <c r="B19" s="5"/>
      <c r="C19" s="5"/>
      <c r="D19" s="5"/>
      <c r="E19" s="5">
        <f t="shared" si="0"/>
        <v>0</v>
      </c>
      <c r="F19" s="5"/>
      <c r="G19" s="5"/>
      <c r="H19" s="5"/>
      <c r="I19" s="5">
        <f t="shared" si="1"/>
        <v>0</v>
      </c>
      <c r="J19" s="5"/>
      <c r="K19" s="5"/>
      <c r="L19" s="5">
        <f t="shared" si="2"/>
        <v>0</v>
      </c>
    </row>
    <row r="20" spans="2:12" x14ac:dyDescent="0.25">
      <c r="B20" s="5" t="s">
        <v>130</v>
      </c>
      <c r="C20" s="5"/>
      <c r="D20" s="5"/>
      <c r="E20" s="5">
        <f t="shared" si="0"/>
        <v>0</v>
      </c>
      <c r="F20" s="5" t="s">
        <v>126</v>
      </c>
      <c r="G20" s="5"/>
      <c r="H20" s="5"/>
      <c r="I20" s="5">
        <f t="shared" si="1"/>
        <v>0</v>
      </c>
      <c r="J20" s="5"/>
      <c r="K20" s="5"/>
      <c r="L20" s="5">
        <f t="shared" si="2"/>
        <v>0</v>
      </c>
    </row>
    <row r="21" spans="2:12" x14ac:dyDescent="0.25">
      <c r="B21" s="5"/>
      <c r="C21" s="5"/>
      <c r="D21" s="5"/>
      <c r="E21" s="5">
        <f t="shared" si="0"/>
        <v>0</v>
      </c>
      <c r="F21" s="5" t="s">
        <v>127</v>
      </c>
      <c r="G21" s="5"/>
      <c r="H21" s="5"/>
      <c r="I21" s="5">
        <f t="shared" si="1"/>
        <v>0</v>
      </c>
      <c r="J21" s="5"/>
      <c r="K21" s="5"/>
      <c r="L21" s="5">
        <f t="shared" si="2"/>
        <v>0</v>
      </c>
    </row>
    <row r="22" spans="2:12" x14ac:dyDescent="0.25">
      <c r="B22" s="5"/>
      <c r="C22" s="5"/>
      <c r="D22" s="5"/>
      <c r="E22" s="5">
        <f t="shared" si="0"/>
        <v>0</v>
      </c>
      <c r="F22" s="5"/>
      <c r="G22" s="5"/>
      <c r="H22" s="5"/>
      <c r="I22" s="5">
        <f t="shared" si="1"/>
        <v>0</v>
      </c>
      <c r="J22" s="5"/>
      <c r="K22" s="5"/>
      <c r="L22" s="5">
        <f t="shared" si="2"/>
        <v>0</v>
      </c>
    </row>
    <row r="23" spans="2:12" x14ac:dyDescent="0.25">
      <c r="B23" s="5" t="s">
        <v>131</v>
      </c>
      <c r="C23" s="5"/>
      <c r="D23" s="5"/>
      <c r="E23" s="5">
        <f t="shared" si="0"/>
        <v>0</v>
      </c>
      <c r="F23" s="5" t="s">
        <v>132</v>
      </c>
      <c r="G23" s="5"/>
      <c r="H23" s="5"/>
      <c r="I23" s="5">
        <f t="shared" si="1"/>
        <v>0</v>
      </c>
      <c r="J23" s="5"/>
      <c r="K23" s="5"/>
      <c r="L23" s="5">
        <f t="shared" si="2"/>
        <v>0</v>
      </c>
    </row>
    <row r="24" spans="2:12" x14ac:dyDescent="0.25">
      <c r="B24" s="5" t="s">
        <v>133</v>
      </c>
      <c r="C24" s="5"/>
      <c r="D24" s="5"/>
      <c r="E24" s="5">
        <f t="shared" si="0"/>
        <v>0</v>
      </c>
      <c r="F24" s="5" t="s">
        <v>132</v>
      </c>
      <c r="G24" s="5"/>
      <c r="H24" s="5"/>
      <c r="I24" s="5">
        <f t="shared" si="1"/>
        <v>0</v>
      </c>
      <c r="J24" s="5"/>
      <c r="K24" s="5"/>
      <c r="L24" s="5">
        <f t="shared" si="2"/>
        <v>0</v>
      </c>
    </row>
    <row r="25" spans="2:12" x14ac:dyDescent="0.25">
      <c r="B25" s="5" t="s">
        <v>134</v>
      </c>
      <c r="C25" s="5"/>
      <c r="D25" s="5"/>
      <c r="E25" s="5">
        <f t="shared" si="0"/>
        <v>0</v>
      </c>
      <c r="F25" s="5" t="s">
        <v>132</v>
      </c>
      <c r="G25" s="5"/>
      <c r="H25" s="5"/>
      <c r="I25" s="5">
        <f t="shared" si="1"/>
        <v>0</v>
      </c>
      <c r="J25" s="5"/>
      <c r="K25" s="5"/>
      <c r="L25" s="5">
        <f t="shared" si="2"/>
        <v>0</v>
      </c>
    </row>
    <row r="26" spans="2:12" x14ac:dyDescent="0.25">
      <c r="B26" s="5"/>
      <c r="C26" s="5"/>
      <c r="D26" s="5"/>
      <c r="E26" s="5">
        <f t="shared" si="0"/>
        <v>0</v>
      </c>
      <c r="F26" s="5"/>
      <c r="G26" s="5"/>
      <c r="H26" s="5"/>
      <c r="I26" s="5">
        <f t="shared" si="1"/>
        <v>0</v>
      </c>
      <c r="J26" s="5"/>
      <c r="K26" s="5"/>
      <c r="L26" s="5">
        <f t="shared" si="2"/>
        <v>0</v>
      </c>
    </row>
    <row r="27" spans="2:12" x14ac:dyDescent="0.25">
      <c r="B27" s="5" t="s">
        <v>135</v>
      </c>
      <c r="C27" s="5"/>
      <c r="D27" s="5"/>
      <c r="E27" s="5">
        <f t="shared" si="0"/>
        <v>0</v>
      </c>
      <c r="F27" s="5"/>
      <c r="G27" s="5"/>
      <c r="H27" s="5"/>
      <c r="I27" s="5">
        <f t="shared" si="1"/>
        <v>0</v>
      </c>
      <c r="J27" s="5"/>
      <c r="K27" s="5"/>
      <c r="L27" s="5">
        <f t="shared" si="2"/>
        <v>0</v>
      </c>
    </row>
    <row r="28" spans="2:12" x14ac:dyDescent="0.25">
      <c r="B28" s="5" t="s">
        <v>136</v>
      </c>
      <c r="C28" s="5"/>
      <c r="D28" s="5"/>
      <c r="E28" s="5">
        <f t="shared" si="0"/>
        <v>0</v>
      </c>
      <c r="F28" s="5"/>
      <c r="G28" s="5"/>
      <c r="H28" s="5"/>
      <c r="I28" s="5">
        <f t="shared" si="1"/>
        <v>0</v>
      </c>
      <c r="J28" s="5"/>
      <c r="K28" s="5"/>
      <c r="L28" s="5">
        <f t="shared" si="2"/>
        <v>0</v>
      </c>
    </row>
    <row r="29" spans="2:12" x14ac:dyDescent="0.25">
      <c r="B29" s="5" t="s">
        <v>137</v>
      </c>
      <c r="C29" s="5"/>
      <c r="D29" s="5"/>
      <c r="E29" s="5">
        <f t="shared" si="0"/>
        <v>0</v>
      </c>
      <c r="F29" s="5"/>
      <c r="G29" s="5"/>
      <c r="H29" s="5"/>
      <c r="I29" s="5">
        <f t="shared" si="1"/>
        <v>0</v>
      </c>
      <c r="J29" s="5"/>
      <c r="K29" s="5"/>
      <c r="L29" s="5">
        <f t="shared" si="2"/>
        <v>0</v>
      </c>
    </row>
    <row r="30" spans="2:12" x14ac:dyDescent="0.25">
      <c r="B30" s="5" t="s">
        <v>138</v>
      </c>
      <c r="C30" s="5"/>
      <c r="D30" s="5"/>
      <c r="E30" s="5">
        <f t="shared" si="0"/>
        <v>0</v>
      </c>
      <c r="F30" s="5"/>
      <c r="G30" s="5"/>
      <c r="H30" s="5"/>
      <c r="I30" s="5">
        <f>G30*H30</f>
        <v>0</v>
      </c>
      <c r="J30" s="5"/>
      <c r="K30" s="5"/>
      <c r="L30" s="5">
        <f>J30*K30</f>
        <v>0</v>
      </c>
    </row>
    <row r="31" spans="2:12" x14ac:dyDescent="0.25">
      <c r="B31" s="5"/>
      <c r="C31" s="5"/>
      <c r="D31" s="5"/>
      <c r="E31" s="5">
        <f t="shared" si="0"/>
        <v>0</v>
      </c>
      <c r="F31" s="5"/>
      <c r="G31" s="5"/>
      <c r="H31" s="5"/>
      <c r="I31" s="5">
        <f>G31*H31</f>
        <v>0</v>
      </c>
      <c r="J31" s="5"/>
      <c r="K31" s="5"/>
      <c r="L31" s="5">
        <f>J31*K31</f>
        <v>0</v>
      </c>
    </row>
    <row r="32" spans="2:12" x14ac:dyDescent="0.25">
      <c r="B32" s="5"/>
      <c r="C32" s="5"/>
      <c r="D32" s="5"/>
      <c r="E32" s="5">
        <f t="shared" si="0"/>
        <v>0</v>
      </c>
      <c r="F32" s="5"/>
      <c r="G32" s="5"/>
      <c r="H32" s="5"/>
      <c r="I32" s="5">
        <f>G32*H32</f>
        <v>0</v>
      </c>
      <c r="J32" s="5"/>
      <c r="K32" s="5"/>
      <c r="L32" s="5">
        <f>J32*K32</f>
        <v>0</v>
      </c>
    </row>
    <row r="33" spans="2:12" x14ac:dyDescent="0.25">
      <c r="B33" s="5"/>
      <c r="C33" s="5"/>
      <c r="D33" s="5"/>
      <c r="E33" s="5">
        <f t="shared" si="0"/>
        <v>0</v>
      </c>
      <c r="F33" s="5"/>
      <c r="G33" s="5"/>
      <c r="H33" s="5"/>
      <c r="I33" s="5">
        <f>G33*H33</f>
        <v>0</v>
      </c>
      <c r="J33" s="5"/>
      <c r="K33" s="5"/>
      <c r="L33" s="5">
        <f>J33*K33</f>
        <v>0</v>
      </c>
    </row>
    <row r="34" spans="2:12" x14ac:dyDescent="0.25">
      <c r="B34" s="5" t="s">
        <v>86</v>
      </c>
      <c r="C34" s="5"/>
      <c r="D34" s="5">
        <f>E34*10.764</f>
        <v>227.85235199999997</v>
      </c>
      <c r="E34" s="5">
        <f>SUM(E6:E33)</f>
        <v>21.167999999999999</v>
      </c>
      <c r="F34" s="5"/>
      <c r="G34" s="5"/>
      <c r="H34" s="5">
        <f>I34*10.764</f>
        <v>0</v>
      </c>
      <c r="I34" s="5">
        <f>SUM(I6:I33)</f>
        <v>0</v>
      </c>
      <c r="J34" s="5"/>
      <c r="K34" s="5">
        <f>L34*10.764</f>
        <v>0</v>
      </c>
      <c r="L34" s="5">
        <f>SUM(L6:L33)</f>
        <v>0</v>
      </c>
    </row>
    <row r="36" spans="2:12" x14ac:dyDescent="0.25">
      <c r="D36">
        <f>D34+H34</f>
        <v>227.85235199999997</v>
      </c>
      <c r="E36">
        <f>E34+I34</f>
        <v>21.167999999999999</v>
      </c>
    </row>
    <row r="100" spans="4:4" x14ac:dyDescent="0.25">
      <c r="D100">
        <f>'Flat detail'!G60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Report (2)</vt:lpstr>
      <vt:lpstr>C%</vt:lpstr>
      <vt:lpstr>C% (2)</vt:lpstr>
      <vt:lpstr>Note</vt:lpstr>
      <vt:lpstr>Valuation</vt:lpstr>
      <vt:lpstr>Flat detail</vt:lpstr>
      <vt:lpstr>'Report (2)'!Print_Area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2025-08-14T05:40:22Z</cp:lastPrinted>
  <dcterms:created xsi:type="dcterms:W3CDTF">2019-07-16T09:29:46Z</dcterms:created>
  <dcterms:modified xsi:type="dcterms:W3CDTF">2025-08-14T05:41:27Z</dcterms:modified>
</cp:coreProperties>
</file>