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14" i="1"/>
  <c r="D177" i="1" l="1"/>
  <c r="F177" i="1" s="1"/>
  <c r="D176" i="1"/>
  <c r="F176" i="1" s="1"/>
  <c r="D175" i="1"/>
  <c r="F175" i="1" s="1"/>
  <c r="D174" i="1"/>
  <c r="F174" i="1" s="1"/>
  <c r="G173" i="1"/>
  <c r="D173" i="1"/>
  <c r="F173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G165" i="1"/>
  <c r="D165" i="1"/>
  <c r="F165" i="1" s="1"/>
  <c r="D161" i="1"/>
  <c r="F161" i="1" s="1"/>
  <c r="D160" i="1"/>
  <c r="F160" i="1" s="1"/>
  <c r="D159" i="1"/>
  <c r="F159" i="1" s="1"/>
  <c r="D158" i="1"/>
  <c r="F158" i="1" s="1"/>
  <c r="G157" i="1"/>
  <c r="D157" i="1"/>
  <c r="F157" i="1" s="1"/>
  <c r="D151" i="1"/>
  <c r="F151" i="1" s="1"/>
  <c r="D155" i="1"/>
  <c r="F155" i="1" s="1"/>
  <c r="D154" i="1"/>
  <c r="F154" i="1" s="1"/>
  <c r="D153" i="1"/>
  <c r="F153" i="1" s="1"/>
  <c r="D152" i="1"/>
  <c r="F152" i="1" s="1"/>
  <c r="D150" i="1"/>
  <c r="F150" i="1" s="1"/>
  <c r="G149" i="1"/>
  <c r="D149" i="1"/>
  <c r="F149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D141" i="1"/>
  <c r="F141" i="1" s="1"/>
  <c r="F142" i="1"/>
  <c r="G141" i="1"/>
  <c r="D137" i="1"/>
  <c r="F137" i="1" s="1"/>
  <c r="D136" i="1"/>
  <c r="F136" i="1" s="1"/>
  <c r="D135" i="1"/>
  <c r="F135" i="1" s="1"/>
  <c r="D134" i="1"/>
  <c r="F134" i="1" s="1"/>
  <c r="G133" i="1"/>
  <c r="D133" i="1"/>
  <c r="F133" i="1" s="1"/>
  <c r="D131" i="1"/>
  <c r="D130" i="1"/>
  <c r="D129" i="1"/>
  <c r="D128" i="1"/>
  <c r="D127" i="1"/>
  <c r="D126" i="1"/>
  <c r="D125" i="1"/>
  <c r="D123" i="1"/>
  <c r="D122" i="1"/>
  <c r="D121" i="1"/>
  <c r="D120" i="1"/>
  <c r="D119" i="1"/>
  <c r="C60" i="1"/>
  <c r="E7" i="1" l="1"/>
  <c r="F131" i="1" l="1"/>
  <c r="F130" i="1"/>
  <c r="F129" i="1"/>
  <c r="F128" i="1"/>
  <c r="F127" i="1"/>
  <c r="F126" i="1"/>
  <c r="G125" i="1"/>
  <c r="F125" i="1"/>
  <c r="D118" i="1"/>
  <c r="D117" i="1"/>
  <c r="F123" i="1"/>
  <c r="G47" i="1"/>
  <c r="C96" i="1" l="1"/>
  <c r="E96" i="1"/>
  <c r="A182" i="1"/>
  <c r="A183" i="1" s="1"/>
  <c r="A184" i="1" s="1"/>
  <c r="A185" i="1" s="1"/>
  <c r="A186" i="1" s="1"/>
  <c r="A187" i="1" s="1"/>
  <c r="A188" i="1" s="1"/>
  <c r="A189" i="1" s="1"/>
  <c r="A190" i="1" s="1"/>
  <c r="H61" i="1"/>
  <c r="D66" i="1" l="1"/>
  <c r="D73" i="1"/>
  <c r="D69" i="1"/>
  <c r="K65" i="1"/>
  <c r="D72" i="1"/>
  <c r="D68" i="1"/>
  <c r="K64" i="1"/>
  <c r="D71" i="1"/>
  <c r="D67" i="1"/>
  <c r="K63" i="1"/>
  <c r="K66" i="1"/>
  <c r="K67" i="1" s="1"/>
  <c r="D70" i="1"/>
  <c r="D64" i="1" l="1"/>
  <c r="K68" i="1"/>
  <c r="K69" i="1" s="1"/>
  <c r="K70" i="1" s="1"/>
  <c r="K71" i="1" s="1"/>
  <c r="K72" i="1" l="1"/>
  <c r="K73" i="1" l="1"/>
  <c r="G64" i="1" l="1"/>
  <c r="D59" i="1" l="1"/>
  <c r="F74" i="1"/>
  <c r="D65" i="1"/>
  <c r="I60" i="1"/>
  <c r="C62" i="1" s="1"/>
  <c r="E64" i="1" s="1"/>
  <c r="E41" i="1" l="1"/>
  <c r="E42" i="1" s="1"/>
  <c r="F118" i="1" l="1"/>
  <c r="F119" i="1"/>
  <c r="F120" i="1"/>
  <c r="I120" i="1" s="1"/>
  <c r="F121" i="1"/>
  <c r="F122" i="1"/>
  <c r="F117" i="1"/>
  <c r="F102" i="1"/>
  <c r="G102" i="1"/>
  <c r="G103" i="1" s="1"/>
  <c r="G104" i="1" s="1"/>
  <c r="G105" i="1" s="1"/>
  <c r="G106" i="1" s="1"/>
  <c r="G107" i="1" s="1"/>
  <c r="G108" i="1" s="1"/>
  <c r="A103" i="1"/>
  <c r="A104" i="1" s="1"/>
  <c r="A105" i="1" s="1"/>
  <c r="A106" i="1" s="1"/>
  <c r="A107" i="1" s="1"/>
  <c r="A108" i="1" s="1"/>
  <c r="F103" i="1"/>
  <c r="F104" i="1"/>
  <c r="F105" i="1"/>
  <c r="F106" i="1"/>
  <c r="F107" i="1"/>
  <c r="F108" i="1"/>
  <c r="E3" i="1"/>
  <c r="D57" i="1" s="1"/>
  <c r="I117" i="1" l="1"/>
  <c r="G96" i="1"/>
  <c r="G117" i="1"/>
  <c r="E25" i="1"/>
  <c r="E23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D203" i="1" l="1"/>
  <c r="F90" i="1"/>
  <c r="D5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<sst xmlns="http://schemas.openxmlformats.org/spreadsheetml/2006/main" count="359" uniqueCount="249">
  <si>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</si>
  <si>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</si>
  <si>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</si>
  <si>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</si>
  <si>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</si>
  <si>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</si>
  <si>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</si>
  <si>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</si>
  <si>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</si>
  <si>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</si>
  <si>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</si>
  <si>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</si>
  <si>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</si>
  <si>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</si>
  <si>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</si>
  <si>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</si>
  <si>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</si>
  <si>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</si>
  <si>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</si>
  <si>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</si>
  <si>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</si>
  <si>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</si>
  <si>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</si>
  <si>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</si>
  <si>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</si>
  <si>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</si>
  <si>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</si>
  <si>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</si>
  <si>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</si>
  <si>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</si>
  <si>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</si>
  <si>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</si>
  <si>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</si>
  <si>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</si>
  <si>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</si>
  <si>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</si>
  <si>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</si>
  <si>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</si>
  <si>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</si>
  <si>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</si>
  <si>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</si>
  <si>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</si>
  <si>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</si>
  <si>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</si>
  <si>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</si>
  <si>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</si>
  <si>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</si>
  <si>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</si>
  <si>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</si>
  <si>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</si>
  <si>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</si>
  <si>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</si>
  <si>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</si>
  <si>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</si>
  <si>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</si>
  <si>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</si>
  <si>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</si>
  <si>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</si>
  <si>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</si>
  <si>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</si>
  <si>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</si>
  <si>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</si>
  <si>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</si>
  <si>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</si>
  <si>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</si>
  <si>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</si>
  <si>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</si>
  <si>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</si>
  <si>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</si>
  <si>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</si>
  <si>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</si>
  <si>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</si>
  <si>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</si>
  <si>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</si>
  <si>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</si>
  <si>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</si>
  <si>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</si>
  <si>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</si>
  <si>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</si>
  <si>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</si>
  <si>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</si>
  <si>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</si>
  <si>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</si>
  <si>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</si>
  <si>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</si>
  <si>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</si>
  <si>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</si>
  <si>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</si>
  <si>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</si>
  <si>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</si>
  <si>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</si>
  <si>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</si>
  <si>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</si>
  <si>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</si>
  <si>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</si>
  <si>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</si>
  <si>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</si>
  <si>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</si>
  <si>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</si>
  <si>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</si>
  <si>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</si>
  <si>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</si>
  <si>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</si>
  <si>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</si>
  <si>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</si>
  <si>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</si>
  <si>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</si>
  <si>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</si>
  <si>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</si>
  <si>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</si>
  <si>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</si>
  <si>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</si>
  <si>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</si>
  <si>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</si>
  <si>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</si>
  <si>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</si>
  <si>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</si>
  <si>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</si>
  <si>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</si>
  <si>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</si>
  <si>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</si>
  <si>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</si>
  <si>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</si>
  <si>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</si>
  <si>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</si>
  <si>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</si>
  <si>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</si>
  <si>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</si>
  <si>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</si>
  <si>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</si>
  <si>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</si>
  <si>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</si>
  <si>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</si>
  <si>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</si>
  <si>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</si>
  <si>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</si>
  <si>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</si>
  <si>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</si>
  <si>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</si>
  <si>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</si>
  <si>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</si>
  <si>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</si>
  <si>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</si>
  <si>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</si>
  <si>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</si>
  <si>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</si>
  <si>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</si>
  <si>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</si>
  <si>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</si>
  <si>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</si>
  <si>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</si>
  <si>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</si>
  <si>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</si>
  <si>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</si>
  <si>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</si>
  <si>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</si>
  <si>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</si>
  <si>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</si>
  <si>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</si>
  <si>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</si>
  <si>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</si>
  <si>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</si>
  <si>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</si>
  <si>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</si>
  <si>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</si>
  <si>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</si>
  <si>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</si>
  <si>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</si>
  <si>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</si>
  <si>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</si>
  <si>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</si>
  <si>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</si>
  <si>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</si>
  <si>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</si>
  <si>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</si>
  <si>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</si>
  <si>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</si>
  <si>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</si>
  <si>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</si>
  <si>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</si>
  <si>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</si>
  <si>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</si>
  <si>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</si>
  <si>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</si>
  <si>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</si>
  <si>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</si>
  <si>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</si>
  <si>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</si>
  <si>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</si>
  <si>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</si>
  <si>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</si>
  <si>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</si>
  <si>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</si>
  <si>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Basement 4</t>
  </si>
  <si>
    <t>Axis Goregaon</t>
  </si>
  <si>
    <t xml:space="preserve">M/s.Rikki Ronie Developers
</t>
  </si>
  <si>
    <t>Mumbai</t>
  </si>
  <si>
    <t>6A/16</t>
  </si>
  <si>
    <t>Premji Shah - 022-67193333
Rahul -9819658344</t>
  </si>
  <si>
    <t xml:space="preserve">P51800026297
</t>
  </si>
  <si>
    <t>Royal Lagoon E Wing</t>
  </si>
  <si>
    <t>Royal Oasis</t>
  </si>
  <si>
    <t>Jankalyan-Charkop Road</t>
  </si>
  <si>
    <t>Royal Nest</t>
  </si>
  <si>
    <t>Royal Oasis Phase 1</t>
  </si>
  <si>
    <t>4Km from Kandivali Railway Station</t>
  </si>
  <si>
    <t>Kandivali</t>
  </si>
  <si>
    <t>Borivali</t>
  </si>
  <si>
    <t>Wing E</t>
  </si>
  <si>
    <t>Ground Floor for Parking</t>
  </si>
  <si>
    <t>1st to 5th Podium Floor for Parking</t>
  </si>
  <si>
    <t>E Deck/1st Floor Part Amenties &amp; Part Refuge Area</t>
  </si>
  <si>
    <t>2nd Floor for Residential</t>
  </si>
  <si>
    <t>2BHK</t>
  </si>
  <si>
    <t>We considered Gross carpet area = Net carpet + Enclosed Balcony.</t>
  </si>
  <si>
    <t>We considered  Saleable area  as per our calculation.</t>
  </si>
  <si>
    <t>8,00,000/-</t>
  </si>
  <si>
    <t>As per RERA - 31/12/2027</t>
  </si>
  <si>
    <t>Approved Plans, CC, Sale Plans</t>
  </si>
  <si>
    <t>CTS No</t>
  </si>
  <si>
    <t>Malvani</t>
  </si>
  <si>
    <t>Residential</t>
  </si>
  <si>
    <t>CHE/A-0432/ BP(WS)/AP</t>
  </si>
  <si>
    <t>On RERA, only E Wing is registered.</t>
  </si>
  <si>
    <t>E Wing = Gr + P1 to P5 + 1st/E Deck Floor + 2nd to 33rd Floor</t>
  </si>
  <si>
    <t>On Site, we meet Ms. Purva - 9355881133.</t>
  </si>
  <si>
    <t>E Wing = Gr + P1 to P5 + 1st/E Deck Floor + 2nd to 31st Floor</t>
  </si>
  <si>
    <t>3rd to 7th &amp; 9th Floor</t>
  </si>
  <si>
    <t>8th Floor (Part Refuge Area)</t>
  </si>
  <si>
    <t>Refuge Area</t>
  </si>
  <si>
    <t>10th Floor</t>
  </si>
  <si>
    <t>11th to 14th, 16th to 20th Floor</t>
  </si>
  <si>
    <t>15th Floor (Part Refuge Area)</t>
  </si>
  <si>
    <t>21st, 23rd to 28th &amp; 30th &amp; 31st Floor</t>
  </si>
  <si>
    <t>22nd &amp; 29th Floor (Part  Refuge Area)</t>
  </si>
  <si>
    <t>Flats - 202.</t>
  </si>
  <si>
    <t xml:space="preserve">We have updated revised approved floor plan (on 06/01/2023).
</t>
  </si>
  <si>
    <t>Location Link</t>
  </si>
  <si>
    <t>https://goo.gl/maps/QTGy4zbBReV1geFg7</t>
  </si>
  <si>
    <t xml:space="preserve">Site Person - Contact Details ( Name &amp; Contact No.)
</t>
  </si>
  <si>
    <t>Latitude,Longitude</t>
  </si>
  <si>
    <t>19.2039809703,72.821324984</t>
  </si>
  <si>
    <t>Valid Up to: This C.C is now re - endorse  for Wing E &amp; F comprising of stilt for parking + 1st to 5th level podiums for parking + 6th level (E-deck for 40% LOS with swimming pool /1st floor (Amenity area + Entrance lobby + Refuge area) for wing E &amp; F as per approved amended plan dtd. 28.04.2021.</t>
  </si>
  <si>
    <t>CHE/A-0432/BP(WS)/AP/
FCC/6/Amend</t>
  </si>
  <si>
    <t>Office No. 1031, Wing J, Akshar Business Park, Plot No. 03 Sector 25, Near APMC Market, Vashi, Navi Mumbai, Maharashtra 400703 TEL: 022-46090378/79/80
Email : vsjcapf@gmail.com. Web site : www.vsjadon.com</t>
  </si>
  <si>
    <t>Construction work same as last Visit (dtd 05/02/2024).</t>
  </si>
  <si>
    <t>Sanket Salvi</t>
  </si>
  <si>
    <t>Shruti Tathare</t>
  </si>
  <si>
    <t>Validity of the C.C. is expired (on date 19/02/2022). Please provide revised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</si>
</sst>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.5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6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11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9" fontId="16" fillId="0" borderId="0" xfId="0" applyNumberFormat="1" applyFont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1" fillId="2" borderId="1" xfId="1" applyFont="1" applyFill="1" applyBorder="1" applyAlignment="1" applyProtection="1">
      <alignment vertical="top" wrapText="1"/>
      <protection locked="0"/>
    </xf>
    <xf numFmtId="0" fontId="16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6" fillId="0" borderId="13" xfId="0" applyFont="1" applyBorder="1" applyProtection="1">
      <protection hidden="1"/>
    </xf>
    <xf numFmtId="0" fontId="16" fillId="0" borderId="14" xfId="0" applyFont="1" applyBorder="1" applyProtection="1">
      <protection hidden="1"/>
    </xf>
    <xf numFmtId="9" fontId="16" fillId="0" borderId="14" xfId="0" applyNumberFormat="1" applyFont="1" applyBorder="1" applyProtection="1">
      <protection hidden="1"/>
    </xf>
    <xf numFmtId="164" fontId="0" fillId="0" borderId="0" xfId="0" applyNumberFormat="1"/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1" fillId="0" borderId="4" xfId="1" applyFont="1" applyBorder="1" applyAlignment="1" applyProtection="1">
      <alignment horizontal="center" vertical="top"/>
      <protection locked="0"/>
    </xf>
    <xf numFmtId="0" fontId="0" fillId="0" borderId="13" xfId="0" applyBorder="1"/>
    <xf numFmtId="1" fontId="0" fillId="0" borderId="0" xfId="0" applyNumberFormat="1"/>
    <xf numFmtId="0" fontId="11" fillId="2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0" fontId="11" fillId="0" borderId="7" xfId="1" applyFont="1" applyBorder="1" applyAlignment="1" applyProtection="1">
      <alignment horizontal="center" wrapText="1"/>
      <protection locked="0"/>
    </xf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11" fillId="0" borderId="16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/>
      <protection locked="0"/>
    </xf>
    <xf numFmtId="0" fontId="11" fillId="0" borderId="18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167" fontId="11" fillId="0" borderId="1" xfId="1" applyNumberFormat="1" applyFont="1" applyBorder="1" applyAlignment="1" applyProtection="1">
      <alignment horizontal="left" vertical="top"/>
      <protection locked="0"/>
    </xf>
    <xf numFmtId="0" fontId="2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11" fillId="0" borderId="1" xfId="1" applyNumberFormat="1" applyFont="1" applyBorder="1" applyAlignment="1" applyProtection="1">
      <alignment horizontal="left" vertical="top" wrapText="1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1" fillId="0" borderId="27" xfId="1" applyFont="1" applyBorder="1" applyAlignment="1" applyProtection="1">
      <alignment horizontal="left" vertical="top" wrapText="1"/>
      <protection locked="0"/>
    </xf>
    <xf numFmtId="0" fontId="11" fillId="0" borderId="27" xfId="1" applyFont="1" applyBorder="1" applyAlignment="1" applyProtection="1">
      <alignment horizontal="left" vertical="top"/>
      <protection locked="0"/>
    </xf>
    <xf numFmtId="0" fontId="11" fillId="0" borderId="21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center" vertical="top" wrapText="1"/>
      <protection locked="0"/>
    </xf>
    <xf numFmtId="0" fontId="12" fillId="0" borderId="18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9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1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64" fontId="11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23" fillId="0" borderId="9" xfId="9" applyBorder="1" applyAlignment="1" applyProtection="1">
      <alignment horizontal="left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12" fillId="0" borderId="24" xfId="0" applyNumberFormat="1" applyFont="1" applyBorder="1" applyAlignment="1" applyProtection="1">
      <alignment vertical="top" wrapText="1"/>
      <protection locked="0"/>
    </xf>
    <xf numFmtId="1" fontId="12" fillId="0" borderId="10" xfId="0" applyNumberFormat="1" applyFont="1" applyBorder="1" applyAlignment="1" applyProtection="1">
      <alignment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392206</xdr:colOff>
      <xdr:row>265</xdr:row>
      <xdr:rowOff>125416</xdr:rowOff>
    </xdr:from>
    <xdr:to>
      <xdr:col>7</xdr:col>
      <xdr:colOff>507257</xdr:colOff>
      <xdr:row>283</xdr:row>
      <xdr:rowOff>94709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206" y="53723151"/>
          <a:ext cx="623346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416274</xdr:colOff>
      <xdr:row>246</xdr:row>
      <xdr:rowOff>190499</xdr:rowOff>
    </xdr:from>
    <xdr:to>
      <xdr:col>7</xdr:col>
      <xdr:colOff>483190</xdr:colOff>
      <xdr:row>264</xdr:row>
      <xdr:rowOff>159793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6274" y="49955823"/>
          <a:ext cx="618532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468630</xdr:colOff>
      <xdr:row>204</xdr:row>
      <xdr:rowOff>32385</xdr:rowOff>
    </xdr:from>
    <xdr:to>
      <xdr:col>20</xdr:col>
      <xdr:colOff>325755</xdr:colOff>
      <xdr:row>239</xdr:row>
      <xdr:rowOff>44225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7144BAF4-08C9-52AD-0BE5-A18FA15B0127}"/>
            </a:ext>
          </a:extLst>
        </xdr:cNvPr>
        <xdr:cNvGrpSpPr/>
      </xdr:nvGrpSpPr>
      <xdr:grpSpPr>
        <a:xfrm>
          <a:off x="6993255" y="39361110"/>
          <a:ext cx="6305550" cy="7003190"/>
          <a:chOff x="0" y="314640"/>
          <a:chExt cx="6858002" cy="720512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2BB3D3B0-F13E-D50A-C1FF-342FE68FC1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1113" y="3017200"/>
            <a:ext cx="335688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D3414DD6-57A8-FDEF-9E0D-9961EB082F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8294" y="571976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xmlns="" id="{2A5C38FE-6E71-6CED-7823-D3CC14D4B8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1113" y="571976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xmlns="" id="{0D0BE0E0-2F1B-F202-1220-8997422C2C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0" y="3017200"/>
            <a:ext cx="335688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xmlns="" id="{4CF9F871-010E-06A3-C8E6-B89D7347D7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0" y="314640"/>
            <a:ext cx="335688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xmlns="" id="{1A14F744-D945-34A4-0115-9868ABD197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1113" y="314640"/>
            <a:ext cx="3356889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38099</xdr:colOff>
      <xdr:row>204</xdr:row>
      <xdr:rowOff>33337</xdr:rowOff>
    </xdr:from>
    <xdr:to>
      <xdr:col>7</xdr:col>
      <xdr:colOff>795271</xdr:colOff>
      <xdr:row>227</xdr:row>
      <xdr:rowOff>193087</xdr:rowOff>
    </xdr:to>
    <xdr:grpSp>
      <xdr:nvGrpSpPr>
        <xdr:cNvPr id="12" name="Group 11"/>
        <xdr:cNvGrpSpPr/>
      </xdr:nvGrpSpPr>
      <xdr:grpSpPr>
        <a:xfrm>
          <a:off x="38099" y="39362062"/>
          <a:ext cx="6453122" cy="4750800"/>
          <a:chOff x="38099" y="39162037"/>
          <a:chExt cx="6453122" cy="4750800"/>
        </a:xfrm>
      </xdr:grpSpPr>
      <xdr:pic>
        <xdr:nvPicPr>
          <xdr:cNvPr id="24" name="Picture 23" descr="https://vsjcllp.vsjadon.com/upload/insp-24328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00600" y="417480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3282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2875" y="4175283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3282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5174" y="39162037"/>
            <a:ext cx="3186047" cy="24907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3282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099" y="39162037"/>
            <a:ext cx="3186047" cy="24907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3282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05150" y="417480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TGy4zbBReV1geFg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46"/>
  <sheetViews>
    <sheetView tabSelected="1" view="pageBreakPreview" zoomScaleNormal="100" zoomScaleSheetLayoutView="100" zoomScalePageLayoutView="85" workbookViewId="0">
      <selection activeCell="J12" sqref="J12"/>
    </sheetView>
  </sheetViews>
  <sheetFormatPr defaultColWidth="9.140625" defaultRowHeight="15.75" x14ac:dyDescent="0.25"/>
  <cols>
    <col min="1" max="1" width="11.42578125" style="16" customWidth="1"/>
    <col min="2" max="2" width="12" style="16" customWidth="1"/>
    <col min="3" max="3" width="12.7109375" style="16" customWidth="1"/>
    <col min="4" max="4" width="14.140625" style="16" customWidth="1"/>
    <col min="5" max="7" width="11.7109375" style="16" customWidth="1"/>
    <col min="8" max="8" width="12.42578125" style="16" customWidth="1"/>
    <col min="9" max="9" width="15.7109375" style="8" customWidth="1"/>
    <col min="10" max="10" width="11.42578125" style="8" customWidth="1"/>
    <col min="11" max="11" width="10.5703125" style="8" bestFit="1" customWidth="1"/>
    <col min="12" max="12" width="10.5703125" style="8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8" ht="46.5" customHeight="1" x14ac:dyDescent="0.25">
      <c r="A1" s="111" t="s">
        <v>244</v>
      </c>
      <c r="B1" s="111"/>
      <c r="C1" s="111"/>
      <c r="D1" s="111"/>
      <c r="E1" s="111"/>
      <c r="F1" s="111"/>
      <c r="G1" s="111"/>
      <c r="H1" s="111"/>
    </row>
    <row r="2" spans="1:8" ht="16.5" customHeight="1" x14ac:dyDescent="0.25">
      <c r="A2" s="104" t="s">
        <v>0</v>
      </c>
      <c r="B2" s="104"/>
      <c r="C2" s="104"/>
      <c r="D2" s="104"/>
      <c r="E2" s="104"/>
      <c r="F2" s="104"/>
      <c r="G2" s="104"/>
      <c r="H2" s="104"/>
    </row>
    <row r="3" spans="1:8" x14ac:dyDescent="0.25">
      <c r="A3" s="106" t="s">
        <v>1</v>
      </c>
      <c r="B3" s="106"/>
      <c r="C3" s="106"/>
      <c r="D3" s="106"/>
      <c r="E3" s="110" t="str">
        <f ca="1">TEXT(TODAY(),"DD/MM/YYYY")</f>
        <v>14/08/2025</v>
      </c>
      <c r="F3" s="110"/>
      <c r="G3" s="110"/>
      <c r="H3" s="110"/>
    </row>
    <row r="4" spans="1:8" ht="15" customHeight="1" x14ac:dyDescent="0.25">
      <c r="A4" s="106" t="s">
        <v>2</v>
      </c>
      <c r="B4" s="106"/>
      <c r="C4" s="106"/>
      <c r="D4" s="106"/>
      <c r="E4" s="99" t="s">
        <v>194</v>
      </c>
      <c r="F4" s="99"/>
      <c r="G4" s="99"/>
      <c r="H4" s="99"/>
    </row>
    <row r="5" spans="1:8" x14ac:dyDescent="0.25">
      <c r="A5" s="106" t="s">
        <v>3</v>
      </c>
      <c r="B5" s="106"/>
      <c r="C5" s="106"/>
      <c r="D5" s="106"/>
      <c r="E5" s="110">
        <v>45878</v>
      </c>
      <c r="F5" s="110"/>
      <c r="G5" s="110"/>
      <c r="H5" s="110"/>
    </row>
    <row r="6" spans="1:8" ht="16.5" customHeight="1" x14ac:dyDescent="0.25">
      <c r="A6" s="106" t="s">
        <v>4</v>
      </c>
      <c r="B6" s="106"/>
      <c r="C6" s="106"/>
      <c r="D6" s="106"/>
      <c r="E6" s="107" t="s">
        <v>195</v>
      </c>
      <c r="F6" s="107"/>
      <c r="G6" s="107"/>
      <c r="H6" s="107"/>
    </row>
    <row r="7" spans="1:8" ht="15" customHeight="1" x14ac:dyDescent="0.25">
      <c r="A7" s="106" t="s">
        <v>5</v>
      </c>
      <c r="B7" s="106"/>
      <c r="C7" s="106"/>
      <c r="D7" s="106"/>
      <c r="E7" s="107" t="str">
        <f>E6</f>
        <v xml:space="preserve">M/s.Rikki Ronie Developers
</v>
      </c>
      <c r="F7" s="107"/>
      <c r="G7" s="107"/>
      <c r="H7" s="107"/>
    </row>
    <row r="8" spans="1:8" x14ac:dyDescent="0.25">
      <c r="A8" s="106" t="s">
        <v>6</v>
      </c>
      <c r="B8" s="106"/>
      <c r="C8" s="106"/>
      <c r="D8" s="106"/>
      <c r="E8" s="112" t="s">
        <v>200</v>
      </c>
      <c r="F8" s="112"/>
      <c r="G8" s="112"/>
      <c r="H8" s="112"/>
    </row>
    <row r="9" spans="1:8" ht="33.75" customHeight="1" x14ac:dyDescent="0.25">
      <c r="A9" s="106" t="s">
        <v>166</v>
      </c>
      <c r="B9" s="106"/>
      <c r="C9" s="106"/>
      <c r="D9" s="106"/>
      <c r="E9" s="107" t="s">
        <v>198</v>
      </c>
      <c r="F9" s="106"/>
      <c r="G9" s="106"/>
      <c r="H9" s="106"/>
    </row>
    <row r="10" spans="1:8" x14ac:dyDescent="0.25">
      <c r="A10" s="107" t="s">
        <v>239</v>
      </c>
      <c r="B10" s="106"/>
      <c r="C10" s="106"/>
      <c r="D10" s="106"/>
      <c r="E10" s="107">
        <v>7053073333</v>
      </c>
      <c r="F10" s="106"/>
      <c r="G10" s="106"/>
      <c r="H10" s="106"/>
    </row>
    <row r="11" spans="1:8" x14ac:dyDescent="0.25">
      <c r="A11" s="106" t="s">
        <v>7</v>
      </c>
      <c r="B11" s="106"/>
      <c r="C11" s="106"/>
      <c r="D11" s="106"/>
      <c r="E11" s="106" t="s">
        <v>167</v>
      </c>
      <c r="F11" s="106"/>
      <c r="G11" s="106"/>
      <c r="H11" s="106"/>
    </row>
    <row r="12" spans="1:8" x14ac:dyDescent="0.25">
      <c r="A12" s="106" t="s">
        <v>8</v>
      </c>
      <c r="B12" s="106"/>
      <c r="C12" s="106"/>
      <c r="D12" s="106"/>
      <c r="E12" s="107" t="s">
        <v>218</v>
      </c>
      <c r="F12" s="107"/>
      <c r="G12" s="107"/>
      <c r="H12" s="107"/>
    </row>
    <row r="13" spans="1:8" x14ac:dyDescent="0.25">
      <c r="A13" s="106" t="s">
        <v>9</v>
      </c>
      <c r="B13" s="106"/>
      <c r="C13" s="106"/>
      <c r="D13" s="106"/>
      <c r="E13" s="107" t="s">
        <v>199</v>
      </c>
      <c r="F13" s="106"/>
      <c r="G13" s="106"/>
      <c r="H13" s="106"/>
    </row>
    <row r="14" spans="1:8" ht="33" customHeight="1" x14ac:dyDescent="0.25">
      <c r="A14" s="107" t="s">
        <v>10</v>
      </c>
      <c r="B14" s="107"/>
      <c r="C14" s="10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Royal Lagoon E Wing, CTS No.6A/16, near Royal Oasis, Jankalyan-Charkop Road, Malvani, Kandivali, Borivali, Mumbai - 400095.</v>
      </c>
      <c r="D14" s="107"/>
      <c r="E14" s="107"/>
      <c r="F14" s="107"/>
      <c r="G14" s="107"/>
      <c r="H14" s="107"/>
    </row>
    <row r="15" spans="1:8" x14ac:dyDescent="0.25">
      <c r="A15" s="107" t="s">
        <v>219</v>
      </c>
      <c r="B15" s="107"/>
      <c r="C15" s="107" t="s">
        <v>197</v>
      </c>
      <c r="D15" s="107"/>
      <c r="E15" s="107"/>
      <c r="F15" s="107"/>
      <c r="G15" s="107"/>
      <c r="H15" s="107"/>
    </row>
    <row r="16" spans="1:8" ht="15.75" customHeight="1" x14ac:dyDescent="0.25">
      <c r="A16" s="107" t="s">
        <v>11</v>
      </c>
      <c r="B16" s="107"/>
      <c r="C16" s="106" t="s">
        <v>202</v>
      </c>
      <c r="D16" s="106"/>
      <c r="E16" s="107" t="s">
        <v>102</v>
      </c>
      <c r="F16" s="107"/>
      <c r="G16" s="107" t="s">
        <v>220</v>
      </c>
      <c r="H16" s="107"/>
    </row>
    <row r="17" spans="1:8" x14ac:dyDescent="0.25">
      <c r="A17" s="106" t="s">
        <v>13</v>
      </c>
      <c r="B17" s="106"/>
      <c r="C17" s="107" t="s">
        <v>206</v>
      </c>
      <c r="D17" s="107"/>
      <c r="E17" s="107" t="s">
        <v>12</v>
      </c>
      <c r="F17" s="107"/>
      <c r="G17" s="108" t="s">
        <v>196</v>
      </c>
      <c r="H17" s="108"/>
    </row>
    <row r="18" spans="1:8" x14ac:dyDescent="0.25">
      <c r="A18" s="106" t="s">
        <v>103</v>
      </c>
      <c r="B18" s="106"/>
      <c r="C18" s="107" t="s">
        <v>207</v>
      </c>
      <c r="D18" s="107"/>
      <c r="E18" s="107" t="s">
        <v>14</v>
      </c>
      <c r="F18" s="107"/>
      <c r="G18" s="107">
        <v>400095</v>
      </c>
      <c r="H18" s="107"/>
    </row>
    <row r="19" spans="1:8" ht="32.25" customHeight="1" x14ac:dyDescent="0.25">
      <c r="A19" s="106" t="s">
        <v>169</v>
      </c>
      <c r="B19" s="106"/>
      <c r="C19" s="109" t="s">
        <v>201</v>
      </c>
      <c r="D19" s="109"/>
      <c r="E19" s="107" t="s">
        <v>15</v>
      </c>
      <c r="F19" s="107"/>
      <c r="G19" s="107" t="s">
        <v>205</v>
      </c>
      <c r="H19" s="107"/>
    </row>
    <row r="20" spans="1:8" ht="15" customHeight="1" x14ac:dyDescent="0.25">
      <c r="A20" s="107" t="s">
        <v>108</v>
      </c>
      <c r="B20" s="107"/>
      <c r="C20" s="107"/>
      <c r="D20" s="107"/>
      <c r="E20" s="106" t="s">
        <v>16</v>
      </c>
      <c r="F20" s="106"/>
      <c r="G20" s="106"/>
      <c r="H20" s="106"/>
    </row>
    <row r="21" spans="1:8" ht="18.75" customHeight="1" x14ac:dyDescent="0.25">
      <c r="A21" s="107"/>
      <c r="B21" s="107"/>
      <c r="C21" s="107"/>
      <c r="D21" s="107"/>
      <c r="E21" s="106"/>
      <c r="F21" s="106"/>
      <c r="G21" s="106"/>
      <c r="H21" s="106"/>
    </row>
    <row r="22" spans="1:8" ht="15" customHeight="1" x14ac:dyDescent="0.25">
      <c r="A22" s="107" t="s">
        <v>17</v>
      </c>
      <c r="B22" s="107"/>
      <c r="C22" s="107"/>
      <c r="D22" s="107"/>
      <c r="E22" s="107" t="s">
        <v>18</v>
      </c>
      <c r="F22" s="107"/>
      <c r="G22" s="107"/>
      <c r="H22" s="107"/>
    </row>
    <row r="23" spans="1:8" ht="15" customHeight="1" x14ac:dyDescent="0.25">
      <c r="A23" s="106" t="s">
        <v>19</v>
      </c>
      <c r="B23" s="106"/>
      <c r="C23" s="106"/>
      <c r="D23" s="106"/>
      <c r="E23" s="107" t="str">
        <f>IF(AND(G17="Mumbai"),"Upper Class","Middle Class")</f>
        <v>Upper Class</v>
      </c>
      <c r="F23" s="107"/>
      <c r="G23" s="107"/>
      <c r="H23" s="107"/>
    </row>
    <row r="24" spans="1:8" x14ac:dyDescent="0.25">
      <c r="A24" s="106" t="s">
        <v>20</v>
      </c>
      <c r="B24" s="106"/>
      <c r="C24" s="106"/>
      <c r="D24" s="106"/>
      <c r="E24" s="107" t="s">
        <v>21</v>
      </c>
      <c r="F24" s="107"/>
      <c r="G24" s="107"/>
      <c r="H24" s="107"/>
    </row>
    <row r="25" spans="1:8" ht="15.75" customHeight="1" x14ac:dyDescent="0.25">
      <c r="A25" s="106" t="s">
        <v>22</v>
      </c>
      <c r="B25" s="106"/>
      <c r="C25" s="106"/>
      <c r="D25" s="106"/>
      <c r="E25" s="107" t="str">
        <f>IF(AND(G17="Mumbai"),"Developed","Developing")</f>
        <v>Developed</v>
      </c>
      <c r="F25" s="107"/>
      <c r="G25" s="107"/>
      <c r="H25" s="107"/>
    </row>
    <row r="26" spans="1:8" x14ac:dyDescent="0.25">
      <c r="A26" s="106" t="s">
        <v>23</v>
      </c>
      <c r="B26" s="106"/>
      <c r="C26" s="106"/>
      <c r="D26" s="106"/>
      <c r="E26" s="107" t="s">
        <v>24</v>
      </c>
      <c r="F26" s="107"/>
      <c r="G26" s="107"/>
      <c r="H26" s="107"/>
    </row>
    <row r="27" spans="1:8" x14ac:dyDescent="0.25">
      <c r="A27" s="73" t="s">
        <v>115</v>
      </c>
      <c r="B27" s="73"/>
      <c r="C27" s="73"/>
      <c r="D27" s="73"/>
      <c r="E27" s="107" t="s">
        <v>116</v>
      </c>
      <c r="F27" s="107"/>
      <c r="G27" s="107"/>
      <c r="H27" s="107"/>
    </row>
    <row r="28" spans="1:8" ht="15" customHeight="1" x14ac:dyDescent="0.25">
      <c r="A28" s="98" t="s">
        <v>33</v>
      </c>
      <c r="B28" s="98"/>
      <c r="C28" s="98"/>
      <c r="D28" s="98"/>
      <c r="E28" s="99" t="s">
        <v>221</v>
      </c>
      <c r="F28" s="99"/>
      <c r="G28" s="99"/>
      <c r="H28" s="99"/>
    </row>
    <row r="29" spans="1:8" x14ac:dyDescent="0.25">
      <c r="A29" s="98" t="s">
        <v>127</v>
      </c>
      <c r="B29" s="98"/>
      <c r="C29" s="98"/>
      <c r="D29" s="98"/>
      <c r="E29" s="98" t="s">
        <v>34</v>
      </c>
      <c r="F29" s="98"/>
      <c r="G29" s="98"/>
      <c r="H29" s="98"/>
    </row>
    <row r="30" spans="1:8" s="11" customFormat="1" x14ac:dyDescent="0.25">
      <c r="A30" s="105" t="s">
        <v>128</v>
      </c>
      <c r="B30" s="105"/>
      <c r="C30" s="104" t="s">
        <v>29</v>
      </c>
      <c r="D30" s="104"/>
      <c r="E30" s="104"/>
      <c r="F30" s="104" t="s">
        <v>31</v>
      </c>
      <c r="G30" s="104"/>
      <c r="H30" s="104"/>
    </row>
    <row r="31" spans="1:8" s="11" customFormat="1" x14ac:dyDescent="0.25">
      <c r="A31" s="100" t="s">
        <v>25</v>
      </c>
      <c r="B31" s="100" t="s">
        <v>30</v>
      </c>
      <c r="C31" s="103" t="s">
        <v>30</v>
      </c>
      <c r="D31" s="103"/>
      <c r="E31" s="103"/>
      <c r="F31" s="103" t="s">
        <v>202</v>
      </c>
      <c r="G31" s="103"/>
      <c r="H31" s="103"/>
    </row>
    <row r="32" spans="1:8" x14ac:dyDescent="0.25">
      <c r="A32" s="100" t="s">
        <v>26</v>
      </c>
      <c r="B32" s="100" t="s">
        <v>30</v>
      </c>
      <c r="C32" s="103" t="s">
        <v>30</v>
      </c>
      <c r="D32" s="103"/>
      <c r="E32" s="103"/>
      <c r="F32" s="103" t="s">
        <v>201</v>
      </c>
      <c r="G32" s="103"/>
      <c r="H32" s="103"/>
    </row>
    <row r="33" spans="1:8" s="11" customFormat="1" x14ac:dyDescent="0.25">
      <c r="A33" s="100" t="s">
        <v>28</v>
      </c>
      <c r="B33" s="100" t="s">
        <v>30</v>
      </c>
      <c r="C33" s="103" t="s">
        <v>30</v>
      </c>
      <c r="D33" s="103"/>
      <c r="E33" s="103"/>
      <c r="F33" s="103" t="s">
        <v>203</v>
      </c>
      <c r="G33" s="103"/>
      <c r="H33" s="103"/>
    </row>
    <row r="34" spans="1:8" x14ac:dyDescent="0.25">
      <c r="A34" s="100" t="s">
        <v>27</v>
      </c>
      <c r="B34" s="100" t="s">
        <v>30</v>
      </c>
      <c r="C34" s="103" t="s">
        <v>30</v>
      </c>
      <c r="D34" s="103"/>
      <c r="E34" s="103"/>
      <c r="F34" s="103" t="s">
        <v>204</v>
      </c>
      <c r="G34" s="103"/>
      <c r="H34" s="103"/>
    </row>
    <row r="35" spans="1:8" x14ac:dyDescent="0.25">
      <c r="A35" s="73" t="s">
        <v>32</v>
      </c>
      <c r="B35" s="73"/>
      <c r="C35" s="73"/>
      <c r="D35" s="73"/>
      <c r="E35" s="73"/>
      <c r="F35" s="73"/>
      <c r="G35" s="73"/>
      <c r="H35" s="73"/>
    </row>
    <row r="36" spans="1:8" ht="15.75" customHeight="1" x14ac:dyDescent="0.25">
      <c r="A36" s="97" t="s">
        <v>240</v>
      </c>
      <c r="B36" s="97"/>
      <c r="C36" s="159" t="s">
        <v>241</v>
      </c>
      <c r="D36" s="160"/>
      <c r="E36" s="160"/>
      <c r="F36" s="160"/>
      <c r="G36" s="160"/>
      <c r="H36" s="161"/>
    </row>
    <row r="37" spans="1:8" ht="15.75" customHeight="1" x14ac:dyDescent="0.25">
      <c r="A37" s="97" t="s">
        <v>237</v>
      </c>
      <c r="B37" s="97"/>
      <c r="C37" s="162" t="s">
        <v>238</v>
      </c>
      <c r="D37" s="160"/>
      <c r="E37" s="160"/>
      <c r="F37" s="160"/>
      <c r="G37" s="160"/>
      <c r="H37" s="161"/>
    </row>
    <row r="38" spans="1:8" x14ac:dyDescent="0.25">
      <c r="A38" s="101" t="s">
        <v>35</v>
      </c>
      <c r="B38" s="101"/>
      <c r="C38" s="101"/>
      <c r="D38" s="101"/>
      <c r="E38" s="101"/>
      <c r="F38" s="101"/>
      <c r="G38" s="101"/>
      <c r="H38" s="101"/>
    </row>
    <row r="39" spans="1:8" x14ac:dyDescent="0.25">
      <c r="A39" s="73" t="s">
        <v>36</v>
      </c>
      <c r="B39" s="73"/>
      <c r="C39" s="73"/>
      <c r="D39" s="73"/>
      <c r="E39" s="102">
        <v>14925.9</v>
      </c>
      <c r="F39" s="102"/>
      <c r="G39" s="102"/>
      <c r="H39" s="102"/>
    </row>
    <row r="40" spans="1:8" x14ac:dyDescent="0.25">
      <c r="A40" s="73" t="s">
        <v>37</v>
      </c>
      <c r="B40" s="73"/>
      <c r="C40" s="73"/>
      <c r="D40" s="73"/>
      <c r="E40" s="152">
        <v>1</v>
      </c>
      <c r="F40" s="152"/>
      <c r="G40" s="152"/>
      <c r="H40" s="152"/>
    </row>
    <row r="41" spans="1:8" x14ac:dyDescent="0.25">
      <c r="A41" s="73" t="s">
        <v>38</v>
      </c>
      <c r="B41" s="73"/>
      <c r="C41" s="73"/>
      <c r="D41" s="73"/>
      <c r="E41" s="152">
        <f>E43/E39-E40</f>
        <v>0.93492050730609222</v>
      </c>
      <c r="F41" s="152"/>
      <c r="G41" s="152"/>
      <c r="H41" s="152"/>
    </row>
    <row r="42" spans="1:8" x14ac:dyDescent="0.25">
      <c r="A42" s="106" t="s">
        <v>39</v>
      </c>
      <c r="B42" s="106"/>
      <c r="C42" s="106"/>
      <c r="D42" s="106"/>
      <c r="E42" s="153">
        <f>E40+E41</f>
        <v>1.9349205073060922</v>
      </c>
      <c r="F42" s="153"/>
      <c r="G42" s="153"/>
      <c r="H42" s="153"/>
    </row>
    <row r="43" spans="1:8" x14ac:dyDescent="0.25">
      <c r="A43" s="106" t="s">
        <v>126</v>
      </c>
      <c r="B43" s="106"/>
      <c r="C43" s="106"/>
      <c r="D43" s="106"/>
      <c r="E43" s="122">
        <v>28880.43</v>
      </c>
      <c r="F43" s="122"/>
      <c r="G43" s="122"/>
      <c r="H43" s="122"/>
    </row>
    <row r="44" spans="1:8" x14ac:dyDescent="0.25">
      <c r="A44" s="106" t="s">
        <v>40</v>
      </c>
      <c r="B44" s="106"/>
      <c r="C44" s="106"/>
      <c r="D44" s="106"/>
      <c r="E44" s="106" t="s">
        <v>167</v>
      </c>
      <c r="F44" s="106"/>
      <c r="G44" s="106"/>
      <c r="H44" s="106"/>
    </row>
    <row r="45" spans="1:8" x14ac:dyDescent="0.25">
      <c r="A45" s="112" t="s">
        <v>41</v>
      </c>
      <c r="B45" s="112"/>
      <c r="C45" s="112"/>
      <c r="D45" s="112"/>
      <c r="E45" s="112"/>
      <c r="F45" s="112"/>
      <c r="G45" s="112"/>
      <c r="H45" s="112"/>
    </row>
    <row r="46" spans="1:8" x14ac:dyDescent="0.25">
      <c r="A46" s="107" t="s">
        <v>42</v>
      </c>
      <c r="B46" s="107"/>
      <c r="C46" s="109" t="s">
        <v>222</v>
      </c>
      <c r="D46" s="109"/>
      <c r="E46" s="109"/>
      <c r="F46" s="54" t="s">
        <v>43</v>
      </c>
      <c r="G46" s="114">
        <v>44924</v>
      </c>
      <c r="H46" s="114"/>
    </row>
    <row r="47" spans="1:8" x14ac:dyDescent="0.25">
      <c r="A47" s="106" t="s">
        <v>44</v>
      </c>
      <c r="B47" s="106"/>
      <c r="C47" s="109" t="str">
        <f>C46</f>
        <v>CHE/A-0432/ BP(WS)/AP</v>
      </c>
      <c r="D47" s="109"/>
      <c r="E47" s="109"/>
      <c r="F47" s="54" t="s">
        <v>43</v>
      </c>
      <c r="G47" s="114">
        <f>G46</f>
        <v>44924</v>
      </c>
      <c r="H47" s="114"/>
    </row>
    <row r="48" spans="1:8" s="10" customFormat="1" ht="32.25" customHeight="1" x14ac:dyDescent="0.25">
      <c r="A48" s="107" t="s">
        <v>45</v>
      </c>
      <c r="B48" s="107"/>
      <c r="C48" s="109" t="s">
        <v>243</v>
      </c>
      <c r="D48" s="74"/>
      <c r="E48" s="74"/>
      <c r="F48" s="13" t="s">
        <v>43</v>
      </c>
      <c r="G48" s="114">
        <v>44337</v>
      </c>
      <c r="H48" s="114"/>
    </row>
    <row r="49" spans="1:14" s="10" customFormat="1" ht="128.25" customHeight="1" x14ac:dyDescent="0.25">
      <c r="A49" s="107"/>
      <c r="B49" s="107"/>
      <c r="C49" s="109" t="s">
        <v>242</v>
      </c>
      <c r="D49" s="74"/>
      <c r="E49" s="74"/>
      <c r="F49" s="40" t="s">
        <v>168</v>
      </c>
      <c r="G49" s="114">
        <v>44611</v>
      </c>
      <c r="H49" s="114"/>
    </row>
    <row r="50" spans="1:14" x14ac:dyDescent="0.25">
      <c r="A50" s="133" t="s">
        <v>46</v>
      </c>
      <c r="B50" s="133"/>
      <c r="C50" s="149" t="s">
        <v>144</v>
      </c>
      <c r="D50" s="150"/>
      <c r="E50" s="150" t="s">
        <v>47</v>
      </c>
      <c r="F50" s="58" t="s">
        <v>43</v>
      </c>
      <c r="G50" s="151" t="s">
        <v>30</v>
      </c>
      <c r="H50" s="151"/>
    </row>
    <row r="51" spans="1:14" x14ac:dyDescent="0.25">
      <c r="A51" s="146" t="s">
        <v>49</v>
      </c>
      <c r="B51" s="146"/>
      <c r="C51" s="146"/>
      <c r="D51" s="146"/>
      <c r="E51" s="146"/>
      <c r="F51" s="146"/>
      <c r="G51" s="146"/>
      <c r="H51" s="146"/>
    </row>
    <row r="52" spans="1:14" x14ac:dyDescent="0.25">
      <c r="A52" s="107" t="s">
        <v>125</v>
      </c>
      <c r="B52" s="107"/>
      <c r="C52" s="107"/>
      <c r="D52" s="106">
        <f>E43</f>
        <v>28880.43</v>
      </c>
      <c r="E52" s="106"/>
      <c r="F52" s="106"/>
      <c r="G52" s="106"/>
      <c r="H52" s="106"/>
    </row>
    <row r="53" spans="1:14" x14ac:dyDescent="0.25">
      <c r="A53" s="107" t="s">
        <v>50</v>
      </c>
      <c r="B53" s="106"/>
      <c r="C53" s="106"/>
      <c r="D53" s="106" t="s">
        <v>235</v>
      </c>
      <c r="E53" s="106"/>
      <c r="F53" s="106"/>
      <c r="G53" s="106"/>
      <c r="H53" s="106"/>
      <c r="I53" s="43"/>
    </row>
    <row r="54" spans="1:14" x14ac:dyDescent="0.25">
      <c r="A54" s="115" t="s">
        <v>51</v>
      </c>
      <c r="B54" s="116"/>
      <c r="C54" s="121"/>
      <c r="D54" s="119" t="s">
        <v>226</v>
      </c>
      <c r="E54" s="120"/>
      <c r="F54" s="120"/>
      <c r="G54" s="120"/>
      <c r="H54" s="120"/>
    </row>
    <row r="55" spans="1:14" x14ac:dyDescent="0.25">
      <c r="A55" s="115" t="s">
        <v>123</v>
      </c>
      <c r="B55" s="116"/>
      <c r="C55" s="116"/>
      <c r="D55" s="115" t="s">
        <v>224</v>
      </c>
      <c r="E55" s="117"/>
      <c r="F55" s="117"/>
      <c r="G55" s="117"/>
      <c r="H55" s="118"/>
    </row>
    <row r="56" spans="1:14" ht="15.75" customHeight="1" x14ac:dyDescent="0.25">
      <c r="A56" s="73" t="s">
        <v>48</v>
      </c>
      <c r="B56" s="73"/>
      <c r="C56" s="73"/>
      <c r="D56" s="113" t="s">
        <v>217</v>
      </c>
      <c r="E56" s="113"/>
      <c r="F56" s="113"/>
      <c r="G56" s="113"/>
      <c r="H56" s="113"/>
      <c r="J56" s="42"/>
      <c r="K56" s="43"/>
      <c r="N56" s="43"/>
    </row>
    <row r="57" spans="1:14" ht="15.75" customHeight="1" x14ac:dyDescent="0.25">
      <c r="A57" s="73" t="s">
        <v>121</v>
      </c>
      <c r="B57" s="73"/>
      <c r="C57" s="73"/>
      <c r="D57" s="113" t="str">
        <f>(IF(G50="NA","60 Years After Completion",IF(G50&lt;&gt;"NA",""&amp;ROUNDDOWN((E3-G50)/360,0)&amp;" Years"," ")))</f>
        <v>60 Years After Completion</v>
      </c>
      <c r="E57" s="113"/>
      <c r="F57" s="113"/>
      <c r="G57" s="113"/>
      <c r="H57" s="113"/>
      <c r="N57" s="43"/>
    </row>
    <row r="58" spans="1:14" ht="15.75" customHeight="1" x14ac:dyDescent="0.25">
      <c r="A58" s="73" t="s">
        <v>122</v>
      </c>
      <c r="B58" s="73"/>
      <c r="C58" s="73"/>
      <c r="D58" s="98" t="s">
        <v>24</v>
      </c>
      <c r="E58" s="98"/>
      <c r="F58" s="98"/>
      <c r="G58" s="98"/>
      <c r="H58" s="98"/>
      <c r="J58" s="18"/>
      <c r="K58" s="18"/>
    </row>
    <row r="59" spans="1:14" ht="15.75" customHeight="1" thickBot="1" x14ac:dyDescent="0.3">
      <c r="A59" s="123" t="s">
        <v>120</v>
      </c>
      <c r="B59" s="123"/>
      <c r="C59" s="123"/>
      <c r="D59" s="119" t="str">
        <f ca="1">(IF(G64&gt;95%,"Nothing",IF(G64&gt;0%,"Cement, Aggregate, Steel, etc",IF(G64=0%,"Work not yet Started"))))</f>
        <v>Cement, Aggregate, Steel, etc</v>
      </c>
      <c r="E59" s="119"/>
      <c r="F59" s="119"/>
      <c r="G59" s="119"/>
      <c r="H59" s="119"/>
      <c r="J59" s="18"/>
      <c r="K59" s="18"/>
    </row>
    <row r="60" spans="1:14" x14ac:dyDescent="0.25">
      <c r="A60" s="128" t="s">
        <v>187</v>
      </c>
      <c r="B60" s="129"/>
      <c r="C60" s="130" t="str">
        <f>D55</f>
        <v>E Wing = Gr + P1 to P5 + 1st/E Deck Floor + 2nd to 33rd Floor</v>
      </c>
      <c r="D60" s="131"/>
      <c r="E60" s="131"/>
      <c r="F60" s="131"/>
      <c r="G60" s="131"/>
      <c r="H60" s="132"/>
      <c r="I60" s="20" t="str">
        <f ca="1">(IF(C64=0,"Work not yet Started.",IF(D64=25%,"Piling work in process",IF(D64=50%,"Excavation work in process",IF(D64=100%,"Excavation work completed, ","0")))&amp;(IF(C65=0%,"",IF(C65=K66,"Footing work is process",IF(C65=K67,"Footing work Completed",IF(C65=K68,"1st Basement Completed",IF(C65=K69,"1st &amp; 2nd Basement Completed",IF(C65=K70,"1st to 3rd Basement Completed",IF(C65=K71,"1st to 4th Basement Completed",IF(C65=K72,"Plinth work is process",IF(C65=K73,"Plinth work completed","0")))))))))))&amp;(IF(C66&gt;0,", RCC upto "&amp;C66&amp;" Slab completed",""))&amp;(IF(C67&gt;0,", Brickwork upto "&amp;C67&amp;" Floor completed"," "))&amp;(IF(C68&gt;0,", Internal Plaster upto "&amp;C68&amp;" Floor completed"," "))&amp;(IF(C69&gt;0,", External Plaster upto "&amp;C69&amp;" Floor completed"," "))&amp;(IF(C70&gt;0,", Flooring upto "&amp;C70&amp;" Floor completed"," "))&amp;(IF(C71&gt;0,", Painting upto "&amp;C71&amp;" Floor completed"," "))&amp;(IF(C72&gt;0,", Finishing upto "&amp;C72&amp;" Floor completed"," ")))</f>
        <v xml:space="preserve">Excavation work completed, Plinth work completed, RCC upto 6 Slab completed      </v>
      </c>
      <c r="J60" s="20"/>
      <c r="K60" s="21"/>
    </row>
    <row r="61" spans="1:14" x14ac:dyDescent="0.25">
      <c r="A61" s="51" t="s">
        <v>189</v>
      </c>
      <c r="B61" s="55">
        <v>0</v>
      </c>
      <c r="C61" s="55" t="s">
        <v>101</v>
      </c>
      <c r="D61" s="55">
        <v>1</v>
      </c>
      <c r="E61" s="55" t="s">
        <v>100</v>
      </c>
      <c r="F61" s="55">
        <v>5</v>
      </c>
      <c r="G61" s="55" t="s">
        <v>114</v>
      </c>
      <c r="H61" s="56">
        <f ca="1">--TRIM(RIGHT(SUBSTITUTE(LEFT(C60,_xlfn.AGGREGATE(16,6,FIND({0,1,2,3,4,5,6,7,8,9},C60,ROW(INDIRECT("1:"&amp;LEN(C60)))),1))," ",REPT(" ",LEN(C60))),LEN(C60)))</f>
        <v>33</v>
      </c>
      <c r="I61" s="18" t="s">
        <v>158</v>
      </c>
      <c r="J61" s="18"/>
      <c r="K61" s="22"/>
    </row>
    <row r="62" spans="1:14" ht="31.5" customHeight="1" x14ac:dyDescent="0.25">
      <c r="A62" s="127" t="s">
        <v>124</v>
      </c>
      <c r="B62" s="112"/>
      <c r="C62" s="133" t="str">
        <f ca="1">I60</f>
        <v xml:space="preserve">Excavation work completed, Plinth work completed, RCC upto 6 Slab completed      </v>
      </c>
      <c r="D62" s="133"/>
      <c r="E62" s="133"/>
      <c r="F62" s="133"/>
      <c r="G62" s="133"/>
      <c r="H62" s="134"/>
      <c r="I62" s="18" t="s">
        <v>143</v>
      </c>
      <c r="J62" s="18"/>
      <c r="K62" s="22"/>
    </row>
    <row r="63" spans="1:14" x14ac:dyDescent="0.25">
      <c r="A63" s="124" t="s">
        <v>52</v>
      </c>
      <c r="B63" s="125"/>
      <c r="C63" s="59" t="s">
        <v>186</v>
      </c>
      <c r="D63" s="59" t="s">
        <v>117</v>
      </c>
      <c r="E63" s="125" t="s">
        <v>119</v>
      </c>
      <c r="F63" s="125"/>
      <c r="G63" s="125" t="s">
        <v>118</v>
      </c>
      <c r="H63" s="126"/>
      <c r="I63" s="41" t="s">
        <v>188</v>
      </c>
      <c r="K63" s="23">
        <f ca="1">H61*25%</f>
        <v>8.25</v>
      </c>
    </row>
    <row r="64" spans="1:14" x14ac:dyDescent="0.25">
      <c r="A64" s="124" t="s">
        <v>175</v>
      </c>
      <c r="B64" s="125"/>
      <c r="C64" s="62">
        <v>33</v>
      </c>
      <c r="D64" s="61">
        <f ca="1">((100/H61)*C64)/100</f>
        <v>1</v>
      </c>
      <c r="E64" s="135">
        <f ca="1">(IF(C62=I61,"100%",IF(C62=I62,"100%",(((C65/H61*10)+(40/(D61+F61+H61)*C66)+(7.5/(H61)*C67)+(7.5/(H61)*C68)+(10/H61*C69)+(10/H61*C70)+(5/H61*C71)+(5/H61*C72)+(5/H61*C73))/100))))</f>
        <v>0.16153846153846152</v>
      </c>
      <c r="F64" s="135"/>
      <c r="G64" s="135">
        <f ca="1">((((C64/H61)*20)+((C65/H61)*25)+(30/(H61+F61+D61)*C66)+(5/H61*C67)+(5/H61*C68)+(5/H61*C69)+(5/H61*C70)+(0/H61*C71)+(0/H61*C72)+(5/H61*C73))/100)</f>
        <v>0.49615384615384611</v>
      </c>
      <c r="H64" s="137"/>
      <c r="I64" s="41" t="s">
        <v>137</v>
      </c>
      <c r="J64" s="24"/>
      <c r="K64" s="44">
        <f ca="1">H61*50%</f>
        <v>16.5</v>
      </c>
    </row>
    <row r="65" spans="1:11" x14ac:dyDescent="0.25">
      <c r="A65" s="124" t="s">
        <v>53</v>
      </c>
      <c r="B65" s="125"/>
      <c r="C65" s="62">
        <v>33</v>
      </c>
      <c r="D65" s="61">
        <f ca="1">((100/H61)*C65)/100</f>
        <v>1</v>
      </c>
      <c r="E65" s="135"/>
      <c r="F65" s="135"/>
      <c r="G65" s="135"/>
      <c r="H65" s="137"/>
      <c r="I65" s="41" t="s">
        <v>138</v>
      </c>
      <c r="J65" s="24"/>
      <c r="K65" s="44">
        <f ca="1">H61</f>
        <v>33</v>
      </c>
    </row>
    <row r="66" spans="1:11" ht="15.75" customHeight="1" x14ac:dyDescent="0.25">
      <c r="A66" s="124" t="s">
        <v>176</v>
      </c>
      <c r="B66" s="125"/>
      <c r="C66" s="62">
        <v>6</v>
      </c>
      <c r="D66" s="61">
        <f ca="1">((100/(D61+F61+H61))*C66)/100</f>
        <v>0.15384615384615385</v>
      </c>
      <c r="E66" s="135"/>
      <c r="F66" s="135"/>
      <c r="G66" s="135"/>
      <c r="H66" s="137"/>
      <c r="I66" s="41" t="s">
        <v>139</v>
      </c>
      <c r="J66" s="24"/>
      <c r="K66" s="48">
        <f ca="1">(IF(B61=0,H61/4,(H61/(B61+4))))</f>
        <v>8.25</v>
      </c>
    </row>
    <row r="67" spans="1:11" ht="15.75" customHeight="1" x14ac:dyDescent="0.25">
      <c r="A67" s="124" t="s">
        <v>183</v>
      </c>
      <c r="B67" s="125" t="s">
        <v>177</v>
      </c>
      <c r="C67" s="60">
        <v>0</v>
      </c>
      <c r="D67" s="61">
        <f ca="1">((100/H61)*C67)/100</f>
        <v>0</v>
      </c>
      <c r="E67" s="135"/>
      <c r="F67" s="135"/>
      <c r="G67" s="135"/>
      <c r="H67" s="137"/>
      <c r="I67" s="41" t="s">
        <v>140</v>
      </c>
      <c r="J67" s="24"/>
      <c r="K67" s="48">
        <f ca="1">(IF(B61=0,H61/4+K66,(H61/(B61+4)+K66)))</f>
        <v>16.5</v>
      </c>
    </row>
    <row r="68" spans="1:11" ht="15.75" customHeight="1" x14ac:dyDescent="0.25">
      <c r="A68" s="124" t="s">
        <v>184</v>
      </c>
      <c r="B68" s="125" t="s">
        <v>177</v>
      </c>
      <c r="C68" s="60">
        <v>0</v>
      </c>
      <c r="D68" s="61">
        <f ca="1">((100/H61)*C68)/100</f>
        <v>0</v>
      </c>
      <c r="E68" s="135"/>
      <c r="F68" s="135"/>
      <c r="G68" s="135"/>
      <c r="H68" s="137"/>
      <c r="I68" s="41" t="s">
        <v>190</v>
      </c>
      <c r="J68" s="53"/>
      <c r="K68" s="48">
        <f>(IF(B61=0,0,(H61/(B61+4)+K67)))</f>
        <v>0</v>
      </c>
    </row>
    <row r="69" spans="1:11" ht="15" customHeight="1" x14ac:dyDescent="0.25">
      <c r="A69" s="124" t="s">
        <v>182</v>
      </c>
      <c r="B69" s="125" t="s">
        <v>179</v>
      </c>
      <c r="C69" s="60">
        <v>0</v>
      </c>
      <c r="D69" s="61">
        <f ca="1">((100/(H61))*C69)/100</f>
        <v>0</v>
      </c>
      <c r="E69" s="135"/>
      <c r="F69" s="135"/>
      <c r="G69" s="135"/>
      <c r="H69" s="137"/>
      <c r="I69" s="41" t="s">
        <v>191</v>
      </c>
      <c r="J69" s="53"/>
      <c r="K69" s="48">
        <f>(IF(B61&gt;1,(H61/(B61+4)+K68),0))</f>
        <v>0</v>
      </c>
    </row>
    <row r="70" spans="1:11" ht="15.75" customHeight="1" x14ac:dyDescent="0.25">
      <c r="A70" s="124" t="s">
        <v>178</v>
      </c>
      <c r="B70" s="125" t="s">
        <v>178</v>
      </c>
      <c r="C70" s="60">
        <v>0</v>
      </c>
      <c r="D70" s="61">
        <f ca="1">((100/H61)*C70)/100</f>
        <v>0</v>
      </c>
      <c r="E70" s="135"/>
      <c r="F70" s="135"/>
      <c r="G70" s="135"/>
      <c r="H70" s="137"/>
      <c r="I70" s="41" t="s">
        <v>192</v>
      </c>
      <c r="J70" s="47"/>
      <c r="K70" s="49">
        <f>(IF(B61&gt;2,(H61/(B61+4)+K69),0))</f>
        <v>0</v>
      </c>
    </row>
    <row r="71" spans="1:11" ht="15.75" customHeight="1" x14ac:dyDescent="0.25">
      <c r="A71" s="124" t="s">
        <v>185</v>
      </c>
      <c r="B71" s="125"/>
      <c r="C71" s="60">
        <v>0</v>
      </c>
      <c r="D71" s="61">
        <f ca="1">((100/H61)*C71)/100</f>
        <v>0</v>
      </c>
      <c r="E71" s="135"/>
      <c r="F71" s="135"/>
      <c r="G71" s="135"/>
      <c r="H71" s="137"/>
      <c r="I71" s="41" t="s">
        <v>193</v>
      </c>
      <c r="J71"/>
      <c r="K71" s="52">
        <f>(IF(B61&gt;3,(H61/(B61+4)+K70),0))</f>
        <v>0</v>
      </c>
    </row>
    <row r="72" spans="1:11" ht="15.75" customHeight="1" x14ac:dyDescent="0.25">
      <c r="A72" s="124" t="s">
        <v>180</v>
      </c>
      <c r="B72" s="125" t="s">
        <v>180</v>
      </c>
      <c r="C72" s="60">
        <v>0</v>
      </c>
      <c r="D72" s="61">
        <f ca="1">((100/(H61))*C72)/100</f>
        <v>0</v>
      </c>
      <c r="E72" s="135"/>
      <c r="F72" s="135"/>
      <c r="G72" s="135"/>
      <c r="H72" s="137"/>
      <c r="I72" s="41" t="s">
        <v>141</v>
      </c>
      <c r="J72" s="24"/>
      <c r="K72" s="48">
        <f ca="1">(IF(B61=0,H61/4+K67,(H61/(B61+4)+K67+MAX(0,K68-K67)+MAX(0,K69-K68)+MAX(0,K70-K69)+MAX(0,K71-K70))))</f>
        <v>24.75</v>
      </c>
    </row>
    <row r="73" spans="1:11" ht="16.5" thickBot="1" x14ac:dyDescent="0.3">
      <c r="A73" s="139" t="s">
        <v>181</v>
      </c>
      <c r="B73" s="140"/>
      <c r="C73" s="63">
        <v>0</v>
      </c>
      <c r="D73" s="64">
        <f ca="1">((100/(H61))*C73)/100</f>
        <v>0</v>
      </c>
      <c r="E73" s="136"/>
      <c r="F73" s="136"/>
      <c r="G73" s="136"/>
      <c r="H73" s="138"/>
      <c r="I73" s="45" t="s">
        <v>142</v>
      </c>
      <c r="J73" s="46"/>
      <c r="K73" s="50">
        <f ca="1">(IF(B61=0,H61/4+K72,(H61/(B61+4)+K72)))</f>
        <v>33</v>
      </c>
    </row>
    <row r="74" spans="1:11" x14ac:dyDescent="0.25">
      <c r="A74" s="92" t="s">
        <v>159</v>
      </c>
      <c r="B74" s="93"/>
      <c r="C74" s="93"/>
      <c r="D74" s="93"/>
      <c r="E74" s="94"/>
      <c r="F74" s="92" t="str">
        <f ca="1">(IF(G64="100%","Yes",IF(G64&gt;0%,"Under Construction",IF(G64=0%,"Work not yet Started"))))</f>
        <v>Under Construction</v>
      </c>
      <c r="G74" s="93"/>
      <c r="H74" s="94"/>
    </row>
    <row r="75" spans="1:11" x14ac:dyDescent="0.25">
      <c r="A75" s="73" t="s">
        <v>54</v>
      </c>
      <c r="B75" s="73"/>
      <c r="C75" s="73"/>
      <c r="D75" s="73"/>
      <c r="E75" s="73"/>
      <c r="F75" s="73"/>
      <c r="G75" s="73"/>
      <c r="H75" s="73"/>
    </row>
    <row r="76" spans="1:11" ht="15" customHeight="1" x14ac:dyDescent="0.25">
      <c r="A76" s="112" t="s">
        <v>104</v>
      </c>
      <c r="B76" s="112"/>
      <c r="C76" s="133" t="s">
        <v>105</v>
      </c>
      <c r="D76" s="133"/>
      <c r="E76" s="133"/>
      <c r="F76" s="133"/>
      <c r="G76" s="133"/>
      <c r="H76" s="133"/>
    </row>
    <row r="77" spans="1:11" x14ac:dyDescent="0.25">
      <c r="A77" s="101" t="s">
        <v>55</v>
      </c>
      <c r="B77" s="101"/>
      <c r="C77" s="101"/>
      <c r="D77" s="101"/>
      <c r="E77" s="101"/>
      <c r="F77" s="101"/>
      <c r="G77" s="101"/>
      <c r="H77" s="101"/>
    </row>
    <row r="78" spans="1:11" x14ac:dyDescent="0.25">
      <c r="A78" s="73" t="s">
        <v>106</v>
      </c>
      <c r="B78" s="73"/>
      <c r="C78" s="73"/>
      <c r="D78" s="73"/>
      <c r="E78" s="73"/>
      <c r="F78" s="150">
        <v>14700</v>
      </c>
      <c r="G78" s="150"/>
      <c r="H78" s="150"/>
    </row>
    <row r="79" spans="1:11" hidden="1" x14ac:dyDescent="0.25">
      <c r="A79" s="73" t="s">
        <v>112</v>
      </c>
      <c r="B79" s="73"/>
      <c r="C79" s="73"/>
      <c r="D79" s="73"/>
      <c r="E79" s="73"/>
      <c r="F79" s="74"/>
      <c r="G79" s="74"/>
      <c r="H79" s="74"/>
    </row>
    <row r="80" spans="1:11" hidden="1" x14ac:dyDescent="0.25">
      <c r="A80" s="73" t="s">
        <v>113</v>
      </c>
      <c r="B80" s="73"/>
      <c r="C80" s="73"/>
      <c r="D80" s="73"/>
      <c r="E80" s="73"/>
      <c r="F80" s="74"/>
      <c r="G80" s="74"/>
      <c r="H80" s="74"/>
    </row>
    <row r="81" spans="1:8" s="12" customFormat="1" hidden="1" x14ac:dyDescent="0.25">
      <c r="A81" s="73" t="s">
        <v>129</v>
      </c>
      <c r="B81" s="73"/>
      <c r="C81" s="73"/>
      <c r="D81" s="73"/>
      <c r="E81" s="73"/>
      <c r="F81" s="74" t="s">
        <v>30</v>
      </c>
      <c r="G81" s="74"/>
      <c r="H81" s="74"/>
    </row>
    <row r="82" spans="1:8" s="12" customFormat="1" hidden="1" x14ac:dyDescent="0.25">
      <c r="A82" s="73" t="s">
        <v>130</v>
      </c>
      <c r="B82" s="73"/>
      <c r="C82" s="73"/>
      <c r="D82" s="73"/>
      <c r="E82" s="73"/>
      <c r="F82" s="74" t="s">
        <v>30</v>
      </c>
      <c r="G82" s="74"/>
      <c r="H82" s="74"/>
    </row>
    <row r="83" spans="1:8" s="12" customFormat="1" hidden="1" x14ac:dyDescent="0.25">
      <c r="A83" s="73" t="s">
        <v>131</v>
      </c>
      <c r="B83" s="73"/>
      <c r="C83" s="73"/>
      <c r="D83" s="73"/>
      <c r="E83" s="73"/>
      <c r="F83" s="74" t="s">
        <v>30</v>
      </c>
      <c r="G83" s="74"/>
      <c r="H83" s="74"/>
    </row>
    <row r="84" spans="1:8" s="12" customFormat="1" hidden="1" x14ac:dyDescent="0.25">
      <c r="A84" s="73" t="s">
        <v>132</v>
      </c>
      <c r="B84" s="73"/>
      <c r="C84" s="73"/>
      <c r="D84" s="73"/>
      <c r="E84" s="73"/>
      <c r="F84" s="74" t="s">
        <v>30</v>
      </c>
      <c r="G84" s="74"/>
      <c r="H84" s="74"/>
    </row>
    <row r="85" spans="1:8" s="12" customFormat="1" hidden="1" x14ac:dyDescent="0.25">
      <c r="A85" s="73" t="s">
        <v>133</v>
      </c>
      <c r="B85" s="73"/>
      <c r="C85" s="73"/>
      <c r="D85" s="73"/>
      <c r="E85" s="73"/>
      <c r="F85" s="74" t="s">
        <v>30</v>
      </c>
      <c r="G85" s="74"/>
      <c r="H85" s="74"/>
    </row>
    <row r="86" spans="1:8" s="12" customFormat="1" hidden="1" x14ac:dyDescent="0.25">
      <c r="A86" s="73" t="s">
        <v>134</v>
      </c>
      <c r="B86" s="73"/>
      <c r="C86" s="73"/>
      <c r="D86" s="73"/>
      <c r="E86" s="73"/>
      <c r="F86" s="74" t="s">
        <v>30</v>
      </c>
      <c r="G86" s="74"/>
      <c r="H86" s="74"/>
    </row>
    <row r="87" spans="1:8" s="12" customFormat="1" hidden="1" x14ac:dyDescent="0.25">
      <c r="A87" s="73" t="s">
        <v>135</v>
      </c>
      <c r="B87" s="73"/>
      <c r="C87" s="73"/>
      <c r="D87" s="73"/>
      <c r="E87" s="73"/>
      <c r="F87" s="74" t="s">
        <v>30</v>
      </c>
      <c r="G87" s="74"/>
      <c r="H87" s="74"/>
    </row>
    <row r="88" spans="1:8" s="12" customFormat="1" hidden="1" x14ac:dyDescent="0.25">
      <c r="A88" s="73" t="s">
        <v>136</v>
      </c>
      <c r="B88" s="73"/>
      <c r="C88" s="73"/>
      <c r="D88" s="73"/>
      <c r="E88" s="73"/>
      <c r="F88" s="74" t="s">
        <v>30</v>
      </c>
      <c r="G88" s="74"/>
      <c r="H88" s="74"/>
    </row>
    <row r="89" spans="1:8" x14ac:dyDescent="0.25">
      <c r="A89" s="73" t="s">
        <v>56</v>
      </c>
      <c r="B89" s="73"/>
      <c r="C89" s="73"/>
      <c r="D89" s="73"/>
      <c r="E89" s="73"/>
      <c r="F89" s="109" t="s">
        <v>216</v>
      </c>
      <c r="G89" s="109"/>
      <c r="H89" s="109"/>
    </row>
    <row r="90" spans="1:8" s="9" customFormat="1" x14ac:dyDescent="0.25">
      <c r="A90" s="101" t="s">
        <v>57</v>
      </c>
      <c r="B90" s="101"/>
      <c r="C90" s="101"/>
      <c r="D90" s="101"/>
      <c r="E90" s="101"/>
      <c r="F90" s="74">
        <f>F78*0.8</f>
        <v>11760</v>
      </c>
      <c r="G90" s="74"/>
      <c r="H90" s="74"/>
    </row>
    <row r="91" spans="1:8" s="1" customFormat="1" ht="15.75" hidden="1" customHeight="1" x14ac:dyDescent="0.25">
      <c r="A91" s="143" t="s">
        <v>107</v>
      </c>
      <c r="B91" s="143"/>
      <c r="C91" s="143"/>
      <c r="D91" s="143"/>
      <c r="E91" s="143"/>
      <c r="F91" s="143"/>
      <c r="G91" s="143"/>
      <c r="H91" s="143"/>
    </row>
    <row r="92" spans="1:8" s="1" customFormat="1" ht="15.75" hidden="1" customHeight="1" x14ac:dyDescent="0.25">
      <c r="A92" s="88" t="s">
        <v>58</v>
      </c>
      <c r="B92" s="88"/>
      <c r="C92" s="147" t="s">
        <v>110</v>
      </c>
      <c r="D92" s="147"/>
      <c r="E92" s="148" t="s">
        <v>59</v>
      </c>
      <c r="F92" s="148"/>
      <c r="G92" s="88" t="s">
        <v>60</v>
      </c>
      <c r="H92" s="88"/>
    </row>
    <row r="93" spans="1:8" s="1" customFormat="1" hidden="1" x14ac:dyDescent="0.25">
      <c r="A93" s="144"/>
      <c r="B93" s="144"/>
      <c r="C93" s="89"/>
      <c r="D93" s="89"/>
      <c r="E93" s="90"/>
      <c r="F93" s="90"/>
      <c r="G93" s="155"/>
      <c r="H93" s="155"/>
    </row>
    <row r="94" spans="1:8" s="1" customFormat="1" x14ac:dyDescent="0.25">
      <c r="A94" s="143" t="s">
        <v>99</v>
      </c>
      <c r="B94" s="143"/>
      <c r="C94" s="143"/>
      <c r="D94" s="143"/>
      <c r="E94" s="143"/>
      <c r="F94" s="143"/>
      <c r="G94" s="143"/>
      <c r="H94" s="143"/>
    </row>
    <row r="95" spans="1:8" s="1" customFormat="1" ht="15.75" customHeight="1" x14ac:dyDescent="0.25">
      <c r="A95" s="88" t="s">
        <v>58</v>
      </c>
      <c r="B95" s="88"/>
      <c r="C95" s="147" t="s">
        <v>110</v>
      </c>
      <c r="D95" s="147"/>
      <c r="E95" s="148" t="s">
        <v>59</v>
      </c>
      <c r="F95" s="148"/>
      <c r="G95" s="88" t="s">
        <v>60</v>
      </c>
      <c r="H95" s="88"/>
    </row>
    <row r="96" spans="1:8" s="1" customFormat="1" x14ac:dyDescent="0.25">
      <c r="A96" s="144" t="s">
        <v>78</v>
      </c>
      <c r="B96" s="144"/>
      <c r="C96" s="95">
        <f>COUNT(D117:D123)+COUNT(D125:D131)*6+COUNT(D133:D137)+COUNT(D141:D147)+COUNT(D149:D155)*9+COUNT(D157:D161)+COUNT(D165:D171)*9+COUNT(D173:D177)*2</f>
        <v>202</v>
      </c>
      <c r="D96" s="89"/>
      <c r="E96" s="96">
        <f>SUM(D117:D123)+SUM(D125:D131)*6+SUM(D133:D137)+SUM(D141:D147)+SUM(D149:D155)*9+SUM(D157:D161)+SUM(D165:D171)*9+SUM(D173:D177)*2</f>
        <v>135700.6716</v>
      </c>
      <c r="F96" s="90"/>
      <c r="G96" s="96">
        <f>SUM(F117:F123)+SUM(F125:F131)*6+SUM(F133:F137)+SUM(F141:F147)+SUM(F149:F155)*9+SUM(F157:F161)+SUM(F165:F171)*9+SUM(F173:F177)*2</f>
        <v>217121.07455999998</v>
      </c>
      <c r="H96" s="90"/>
    </row>
    <row r="97" spans="1:14" s="9" customFormat="1" x14ac:dyDescent="0.25">
      <c r="A97" s="97" t="s">
        <v>63</v>
      </c>
      <c r="B97" s="97"/>
      <c r="C97" s="97"/>
      <c r="D97" s="97"/>
      <c r="E97" s="97"/>
      <c r="F97" s="97"/>
      <c r="G97" s="97"/>
      <c r="H97" s="97"/>
    </row>
    <row r="98" spans="1:14" x14ac:dyDescent="0.25">
      <c r="A98" s="97" t="s">
        <v>64</v>
      </c>
      <c r="B98" s="97"/>
      <c r="C98" s="97"/>
      <c r="D98" s="97"/>
      <c r="E98" s="97"/>
      <c r="F98" s="97"/>
      <c r="G98" s="97"/>
      <c r="H98" s="97"/>
    </row>
    <row r="99" spans="1:14" ht="47.25" hidden="1" customHeight="1" x14ac:dyDescent="0.25">
      <c r="A99" s="75" t="s">
        <v>163</v>
      </c>
      <c r="B99" s="75" t="s">
        <v>162</v>
      </c>
      <c r="C99" s="75" t="s">
        <v>65</v>
      </c>
      <c r="D99" s="75" t="s">
        <v>66</v>
      </c>
      <c r="E99" s="82" t="s">
        <v>67</v>
      </c>
      <c r="F99" s="37" t="s">
        <v>160</v>
      </c>
      <c r="G99" s="84" t="s">
        <v>68</v>
      </c>
      <c r="H99" s="85"/>
    </row>
    <row r="100" spans="1:14" s="2" customFormat="1" hidden="1" x14ac:dyDescent="0.25">
      <c r="A100" s="76"/>
      <c r="B100" s="76"/>
      <c r="C100" s="76"/>
      <c r="D100" s="76"/>
      <c r="E100" s="83"/>
      <c r="F100" s="38">
        <v>0.6</v>
      </c>
      <c r="G100" s="86"/>
      <c r="H100" s="87"/>
    </row>
    <row r="101" spans="1:14" s="2" customFormat="1" hidden="1" x14ac:dyDescent="0.25">
      <c r="A101" s="79" t="s">
        <v>161</v>
      </c>
      <c r="B101" s="80"/>
      <c r="C101" s="80"/>
      <c r="D101" s="80"/>
      <c r="E101" s="80"/>
      <c r="F101" s="80"/>
      <c r="G101" s="80"/>
      <c r="H101" s="81"/>
    </row>
    <row r="102" spans="1:14" s="2" customFormat="1" hidden="1" x14ac:dyDescent="0.25">
      <c r="A102" s="77">
        <v>1</v>
      </c>
      <c r="B102" s="78"/>
      <c r="C102" s="19"/>
      <c r="D102" s="19"/>
      <c r="E102" s="19">
        <v>0</v>
      </c>
      <c r="F102" s="19">
        <f>D102*(($F$100)+1)+E102</f>
        <v>0</v>
      </c>
      <c r="G102" s="77" t="str">
        <f>A101</f>
        <v>Ground Floor</v>
      </c>
      <c r="H102" s="78"/>
      <c r="I102" s="39"/>
      <c r="L102" s="91"/>
      <c r="M102" s="91"/>
      <c r="N102" s="39"/>
    </row>
    <row r="103" spans="1:14" s="2" customFormat="1" hidden="1" x14ac:dyDescent="0.25">
      <c r="A103" s="77">
        <f>A102+1</f>
        <v>2</v>
      </c>
      <c r="B103" s="78"/>
      <c r="C103" s="19"/>
      <c r="D103" s="19"/>
      <c r="E103" s="19">
        <v>0</v>
      </c>
      <c r="F103" s="19">
        <f t="shared" ref="F103:F104" si="0">D103*(($F$100)+1)+E103</f>
        <v>0</v>
      </c>
      <c r="G103" s="77" t="str">
        <f t="shared" ref="G103:G108" si="1">G102</f>
        <v>Ground Floor</v>
      </c>
      <c r="H103" s="78"/>
      <c r="I103" s="39"/>
      <c r="L103" s="91"/>
      <c r="M103" s="91"/>
      <c r="N103" s="39"/>
    </row>
    <row r="104" spans="1:14" s="2" customFormat="1" hidden="1" x14ac:dyDescent="0.25">
      <c r="A104" s="77">
        <f t="shared" ref="A104:A106" si="2">A103+1</f>
        <v>3</v>
      </c>
      <c r="B104" s="78"/>
      <c r="C104" s="19"/>
      <c r="D104" s="19"/>
      <c r="E104" s="19">
        <v>0</v>
      </c>
      <c r="F104" s="19">
        <f t="shared" si="0"/>
        <v>0</v>
      </c>
      <c r="G104" s="77" t="str">
        <f t="shared" si="1"/>
        <v>Ground Floor</v>
      </c>
      <c r="H104" s="78"/>
      <c r="I104" s="39"/>
      <c r="L104" s="91"/>
      <c r="M104" s="91"/>
      <c r="N104" s="39"/>
    </row>
    <row r="105" spans="1:14" s="2" customFormat="1" hidden="1" x14ac:dyDescent="0.25">
      <c r="A105" s="77">
        <f t="shared" si="2"/>
        <v>4</v>
      </c>
      <c r="B105" s="78"/>
      <c r="C105" s="19"/>
      <c r="D105" s="19"/>
      <c r="E105" s="19">
        <v>0</v>
      </c>
      <c r="F105" s="19">
        <f t="shared" ref="F105:F106" si="3">D105*(($F$100)+1)+E105</f>
        <v>0</v>
      </c>
      <c r="G105" s="77" t="str">
        <f t="shared" si="1"/>
        <v>Ground Floor</v>
      </c>
      <c r="H105" s="78"/>
      <c r="I105" s="39"/>
      <c r="L105" s="91"/>
      <c r="M105" s="91"/>
      <c r="N105" s="39"/>
    </row>
    <row r="106" spans="1:14" s="2" customFormat="1" hidden="1" x14ac:dyDescent="0.25">
      <c r="A106" s="77">
        <f t="shared" si="2"/>
        <v>5</v>
      </c>
      <c r="B106" s="78"/>
      <c r="C106" s="19"/>
      <c r="D106" s="19"/>
      <c r="E106" s="19">
        <v>0</v>
      </c>
      <c r="F106" s="19">
        <f t="shared" si="3"/>
        <v>0</v>
      </c>
      <c r="G106" s="77" t="str">
        <f t="shared" si="1"/>
        <v>Ground Floor</v>
      </c>
      <c r="H106" s="78"/>
      <c r="I106" s="39"/>
      <c r="L106" s="91"/>
      <c r="M106" s="91"/>
      <c r="N106" s="39"/>
    </row>
    <row r="107" spans="1:14" s="2" customFormat="1" hidden="1" x14ac:dyDescent="0.25">
      <c r="A107" s="77">
        <f t="shared" ref="A107:A108" si="4">A106+1</f>
        <v>6</v>
      </c>
      <c r="B107" s="78"/>
      <c r="C107" s="19"/>
      <c r="D107" s="19"/>
      <c r="E107" s="19">
        <v>0</v>
      </c>
      <c r="F107" s="19">
        <f t="shared" ref="F107:F108" si="5">D107*(($F$100)+1)+E107</f>
        <v>0</v>
      </c>
      <c r="G107" s="77" t="str">
        <f t="shared" si="1"/>
        <v>Ground Floor</v>
      </c>
      <c r="H107" s="78"/>
      <c r="I107" s="39"/>
      <c r="L107" s="91"/>
      <c r="M107" s="91"/>
      <c r="N107" s="39"/>
    </row>
    <row r="108" spans="1:14" s="2" customFormat="1" hidden="1" x14ac:dyDescent="0.25">
      <c r="A108" s="77">
        <f t="shared" si="4"/>
        <v>7</v>
      </c>
      <c r="B108" s="78"/>
      <c r="C108" s="19"/>
      <c r="D108" s="19"/>
      <c r="E108" s="19">
        <v>0</v>
      </c>
      <c r="F108" s="19">
        <f t="shared" si="5"/>
        <v>0</v>
      </c>
      <c r="G108" s="77" t="str">
        <f t="shared" si="1"/>
        <v>Ground Floor</v>
      </c>
      <c r="H108" s="78"/>
      <c r="I108" s="39"/>
      <c r="L108" s="91"/>
      <c r="M108" s="91"/>
      <c r="N108" s="39"/>
    </row>
    <row r="109" spans="1:14" s="2" customFormat="1" hidden="1" x14ac:dyDescent="0.25">
      <c r="A109" s="77"/>
      <c r="B109" s="156"/>
      <c r="C109" s="156"/>
      <c r="D109" s="156"/>
      <c r="E109" s="156"/>
      <c r="F109" s="156"/>
      <c r="G109" s="156"/>
      <c r="H109" s="78"/>
      <c r="I109" s="39"/>
      <c r="N109" s="39"/>
    </row>
    <row r="110" spans="1:14" ht="47.25" customHeight="1" x14ac:dyDescent="0.25">
      <c r="A110" s="84" t="s">
        <v>164</v>
      </c>
      <c r="B110" s="84" t="s">
        <v>165</v>
      </c>
      <c r="C110" s="75" t="s">
        <v>65</v>
      </c>
      <c r="D110" s="75" t="s">
        <v>66</v>
      </c>
      <c r="E110" s="82" t="s">
        <v>67</v>
      </c>
      <c r="F110" s="37" t="s">
        <v>160</v>
      </c>
      <c r="G110" s="84" t="s">
        <v>68</v>
      </c>
      <c r="H110" s="85"/>
      <c r="I110" s="39"/>
    </row>
    <row r="111" spans="1:14" s="2" customFormat="1" x14ac:dyDescent="0.25">
      <c r="A111" s="86"/>
      <c r="B111" s="86"/>
      <c r="C111" s="76"/>
      <c r="D111" s="76"/>
      <c r="E111" s="83"/>
      <c r="F111" s="38">
        <v>0.6</v>
      </c>
      <c r="G111" s="86"/>
      <c r="H111" s="87"/>
      <c r="I111" s="39"/>
    </row>
    <row r="112" spans="1:14" s="2" customFormat="1" x14ac:dyDescent="0.25">
      <c r="A112" s="66" t="s">
        <v>208</v>
      </c>
      <c r="B112" s="66"/>
      <c r="C112" s="66"/>
      <c r="D112" s="66"/>
      <c r="E112" s="66"/>
      <c r="F112" s="66"/>
      <c r="G112" s="66"/>
      <c r="H112" s="66"/>
      <c r="I112" s="39"/>
    </row>
    <row r="113" spans="1:14" s="2" customFormat="1" x14ac:dyDescent="0.25">
      <c r="A113" s="66" t="s">
        <v>209</v>
      </c>
      <c r="B113" s="66"/>
      <c r="C113" s="66"/>
      <c r="D113" s="66"/>
      <c r="E113" s="66"/>
      <c r="F113" s="66"/>
      <c r="G113" s="66"/>
      <c r="H113" s="66"/>
      <c r="I113" s="39"/>
    </row>
    <row r="114" spans="1:14" s="2" customFormat="1" x14ac:dyDescent="0.25">
      <c r="A114" s="66" t="s">
        <v>210</v>
      </c>
      <c r="B114" s="66"/>
      <c r="C114" s="66"/>
      <c r="D114" s="66"/>
      <c r="E114" s="66"/>
      <c r="F114" s="66"/>
      <c r="G114" s="66"/>
      <c r="H114" s="66"/>
      <c r="I114" s="39"/>
    </row>
    <row r="115" spans="1:14" s="2" customFormat="1" x14ac:dyDescent="0.25">
      <c r="A115" s="66" t="s">
        <v>211</v>
      </c>
      <c r="B115" s="66"/>
      <c r="C115" s="66"/>
      <c r="D115" s="66"/>
      <c r="E115" s="66"/>
      <c r="F115" s="66"/>
      <c r="G115" s="66"/>
      <c r="H115" s="66"/>
      <c r="I115" s="39"/>
    </row>
    <row r="116" spans="1:14" s="2" customFormat="1" x14ac:dyDescent="0.25">
      <c r="A116" s="66" t="s">
        <v>212</v>
      </c>
      <c r="B116" s="66"/>
      <c r="C116" s="66"/>
      <c r="D116" s="66"/>
      <c r="E116" s="66"/>
      <c r="F116" s="66"/>
      <c r="G116" s="66"/>
      <c r="H116" s="66"/>
      <c r="I116" s="39"/>
      <c r="L116" s="91"/>
      <c r="M116" s="91"/>
    </row>
    <row r="117" spans="1:14" s="2" customFormat="1" ht="15.75" customHeight="1" x14ac:dyDescent="0.25">
      <c r="A117" s="65">
        <v>1</v>
      </c>
      <c r="B117" s="65"/>
      <c r="C117" s="19" t="s">
        <v>213</v>
      </c>
      <c r="D117" s="19">
        <f>(60.44+4.73)*10.764</f>
        <v>701.48987999999997</v>
      </c>
      <c r="E117" s="19">
        <v>0</v>
      </c>
      <c r="F117" s="19">
        <f>D117*(($F$111)+1)+E117</f>
        <v>1122.383808</v>
      </c>
      <c r="G117" s="67" t="str">
        <f>A116</f>
        <v>2nd Floor for Residential</v>
      </c>
      <c r="H117" s="68"/>
      <c r="I117" s="39">
        <f>16400000/F117</f>
        <v>14611.757478240455</v>
      </c>
      <c r="N117" s="39"/>
    </row>
    <row r="118" spans="1:14" s="2" customFormat="1" ht="15.75" customHeight="1" x14ac:dyDescent="0.25">
      <c r="A118" s="65">
        <v>2</v>
      </c>
      <c r="B118" s="65"/>
      <c r="C118" s="19" t="s">
        <v>213</v>
      </c>
      <c r="D118" s="19">
        <f>(60.44+4.73)*10.764</f>
        <v>701.48987999999997</v>
      </c>
      <c r="E118" s="19">
        <v>0</v>
      </c>
      <c r="F118" s="19">
        <f t="shared" ref="F118:F122" si="6">D118*(($F$111)+1)+E118</f>
        <v>1122.383808</v>
      </c>
      <c r="G118" s="69"/>
      <c r="H118" s="70"/>
      <c r="I118" s="39"/>
      <c r="N118" s="39"/>
    </row>
    <row r="119" spans="1:14" s="2" customFormat="1" ht="15.75" customHeight="1" x14ac:dyDescent="0.25">
      <c r="A119" s="65">
        <v>3</v>
      </c>
      <c r="B119" s="65"/>
      <c r="C119" s="19" t="s">
        <v>213</v>
      </c>
      <c r="D119" s="19">
        <f>54.91*10.764</f>
        <v>591.05123999999989</v>
      </c>
      <c r="E119" s="19">
        <v>0</v>
      </c>
      <c r="F119" s="19">
        <f t="shared" si="6"/>
        <v>945.68198399999983</v>
      </c>
      <c r="G119" s="69"/>
      <c r="H119" s="70"/>
      <c r="I119" s="39"/>
      <c r="N119" s="39"/>
    </row>
    <row r="120" spans="1:14" s="2" customFormat="1" ht="15.75" customHeight="1" x14ac:dyDescent="0.25">
      <c r="A120" s="65">
        <v>4</v>
      </c>
      <c r="B120" s="65"/>
      <c r="C120" s="19" t="s">
        <v>213</v>
      </c>
      <c r="D120" s="19">
        <f>59.46*10.764</f>
        <v>640.02743999999996</v>
      </c>
      <c r="E120" s="19">
        <v>0</v>
      </c>
      <c r="F120" s="19">
        <f t="shared" si="6"/>
        <v>1024.0439039999999</v>
      </c>
      <c r="G120" s="69"/>
      <c r="H120" s="70"/>
      <c r="I120" s="39">
        <f>14900000/F120</f>
        <v>14550.157412000963</v>
      </c>
      <c r="N120" s="39"/>
    </row>
    <row r="121" spans="1:14" s="2" customFormat="1" ht="15.75" customHeight="1" x14ac:dyDescent="0.25">
      <c r="A121" s="65">
        <v>5</v>
      </c>
      <c r="B121" s="65"/>
      <c r="C121" s="19" t="s">
        <v>213</v>
      </c>
      <c r="D121" s="19">
        <f>58.9*10.764</f>
        <v>633.99959999999999</v>
      </c>
      <c r="E121" s="19">
        <v>0</v>
      </c>
      <c r="F121" s="19">
        <f t="shared" si="6"/>
        <v>1014.39936</v>
      </c>
      <c r="G121" s="69"/>
      <c r="H121" s="70"/>
      <c r="I121" s="39"/>
      <c r="N121" s="39"/>
    </row>
    <row r="122" spans="1:14" s="2" customFormat="1" ht="15.75" customHeight="1" x14ac:dyDescent="0.25">
      <c r="A122" s="65">
        <v>6</v>
      </c>
      <c r="B122" s="65"/>
      <c r="C122" s="19" t="s">
        <v>213</v>
      </c>
      <c r="D122" s="19">
        <f>57.13*10.764</f>
        <v>614.94731999999999</v>
      </c>
      <c r="E122" s="19">
        <v>0</v>
      </c>
      <c r="F122" s="19">
        <f t="shared" si="6"/>
        <v>983.91571199999998</v>
      </c>
      <c r="G122" s="69"/>
      <c r="H122" s="70"/>
      <c r="I122" s="39"/>
      <c r="N122" s="39"/>
    </row>
    <row r="123" spans="1:14" s="2" customFormat="1" ht="15.75" customHeight="1" x14ac:dyDescent="0.25">
      <c r="A123" s="65">
        <v>7</v>
      </c>
      <c r="B123" s="65"/>
      <c r="C123" s="19" t="s">
        <v>213</v>
      </c>
      <c r="D123" s="19">
        <f>57.13*10.764</f>
        <v>614.94731999999999</v>
      </c>
      <c r="E123" s="19">
        <v>0</v>
      </c>
      <c r="F123" s="19">
        <f t="shared" ref="F123" si="7">D123*(($F$111)+1)+E123</f>
        <v>983.91571199999998</v>
      </c>
      <c r="G123" s="71"/>
      <c r="H123" s="72"/>
      <c r="I123" s="39"/>
      <c r="N123" s="39"/>
    </row>
    <row r="124" spans="1:14" s="2" customFormat="1" x14ac:dyDescent="0.25">
      <c r="A124" s="66" t="s">
        <v>227</v>
      </c>
      <c r="B124" s="66"/>
      <c r="C124" s="66"/>
      <c r="D124" s="66"/>
      <c r="E124" s="66"/>
      <c r="F124" s="66"/>
      <c r="G124" s="66"/>
      <c r="H124" s="66"/>
      <c r="I124" s="39"/>
      <c r="L124" s="91"/>
      <c r="M124" s="91"/>
    </row>
    <row r="125" spans="1:14" s="2" customFormat="1" ht="15.75" customHeight="1" x14ac:dyDescent="0.25">
      <c r="A125" s="65">
        <v>1</v>
      </c>
      <c r="B125" s="65"/>
      <c r="C125" s="19" t="s">
        <v>213</v>
      </c>
      <c r="D125" s="19">
        <f>(60.44+4.73)*10.764</f>
        <v>701.48987999999997</v>
      </c>
      <c r="E125" s="19">
        <v>0</v>
      </c>
      <c r="F125" s="19">
        <f>D125*(($F$111)+1)+E125</f>
        <v>1122.383808</v>
      </c>
      <c r="G125" s="67" t="str">
        <f>A124</f>
        <v>3rd to 7th &amp; 9th Floor</v>
      </c>
      <c r="H125" s="68"/>
      <c r="I125" s="39"/>
      <c r="N125" s="39"/>
    </row>
    <row r="126" spans="1:14" s="2" customFormat="1" ht="15.75" customHeight="1" x14ac:dyDescent="0.25">
      <c r="A126" s="65">
        <v>2</v>
      </c>
      <c r="B126" s="65"/>
      <c r="C126" s="19" t="s">
        <v>213</v>
      </c>
      <c r="D126" s="19">
        <f>(60.44+4.73)*10.764</f>
        <v>701.48987999999997</v>
      </c>
      <c r="E126" s="19">
        <v>0</v>
      </c>
      <c r="F126" s="19">
        <f t="shared" ref="F126:F131" si="8">D126*(($F$111)+1)+E126</f>
        <v>1122.383808</v>
      </c>
      <c r="G126" s="69"/>
      <c r="H126" s="70"/>
      <c r="I126" s="39"/>
      <c r="N126" s="39"/>
    </row>
    <row r="127" spans="1:14" s="2" customFormat="1" ht="15.75" customHeight="1" x14ac:dyDescent="0.25">
      <c r="A127" s="65">
        <v>3</v>
      </c>
      <c r="B127" s="65"/>
      <c r="C127" s="19" t="s">
        <v>213</v>
      </c>
      <c r="D127" s="19">
        <f>54.91*10.764</f>
        <v>591.05123999999989</v>
      </c>
      <c r="E127" s="19">
        <v>0</v>
      </c>
      <c r="F127" s="19">
        <f t="shared" si="8"/>
        <v>945.68198399999983</v>
      </c>
      <c r="G127" s="69"/>
      <c r="H127" s="70"/>
      <c r="I127" s="39"/>
      <c r="N127" s="39"/>
    </row>
    <row r="128" spans="1:14" s="2" customFormat="1" ht="15.75" customHeight="1" x14ac:dyDescent="0.25">
      <c r="A128" s="65">
        <v>4</v>
      </c>
      <c r="B128" s="65"/>
      <c r="C128" s="19" t="s">
        <v>213</v>
      </c>
      <c r="D128" s="19">
        <f>59.46*10.764</f>
        <v>640.02743999999996</v>
      </c>
      <c r="E128" s="19">
        <v>0</v>
      </c>
      <c r="F128" s="19">
        <f t="shared" si="8"/>
        <v>1024.0439039999999</v>
      </c>
      <c r="G128" s="69"/>
      <c r="H128" s="70"/>
      <c r="I128" s="39"/>
      <c r="N128" s="39"/>
    </row>
    <row r="129" spans="1:14" s="2" customFormat="1" ht="15.75" customHeight="1" x14ac:dyDescent="0.25">
      <c r="A129" s="65">
        <v>5</v>
      </c>
      <c r="B129" s="65"/>
      <c r="C129" s="19" t="s">
        <v>213</v>
      </c>
      <c r="D129" s="19">
        <f>58.9*10.764</f>
        <v>633.99959999999999</v>
      </c>
      <c r="E129" s="19">
        <v>0</v>
      </c>
      <c r="F129" s="19">
        <f t="shared" si="8"/>
        <v>1014.39936</v>
      </c>
      <c r="G129" s="69"/>
      <c r="H129" s="70"/>
      <c r="I129" s="39"/>
      <c r="N129" s="39"/>
    </row>
    <row r="130" spans="1:14" s="2" customFormat="1" ht="15.75" customHeight="1" x14ac:dyDescent="0.25">
      <c r="A130" s="65">
        <v>6</v>
      </c>
      <c r="B130" s="65"/>
      <c r="C130" s="19" t="s">
        <v>213</v>
      </c>
      <c r="D130" s="19">
        <f>57.13*10.764</f>
        <v>614.94731999999999</v>
      </c>
      <c r="E130" s="19">
        <v>0</v>
      </c>
      <c r="F130" s="19">
        <f t="shared" si="8"/>
        <v>983.91571199999998</v>
      </c>
      <c r="G130" s="69"/>
      <c r="H130" s="70"/>
      <c r="I130" s="39"/>
      <c r="N130" s="39"/>
    </row>
    <row r="131" spans="1:14" s="2" customFormat="1" ht="15.75" customHeight="1" x14ac:dyDescent="0.25">
      <c r="A131" s="65">
        <v>7</v>
      </c>
      <c r="B131" s="65"/>
      <c r="C131" s="19" t="s">
        <v>213</v>
      </c>
      <c r="D131" s="19">
        <f>57.13*10.764</f>
        <v>614.94731999999999</v>
      </c>
      <c r="E131" s="19">
        <v>0</v>
      </c>
      <c r="F131" s="19">
        <f t="shared" si="8"/>
        <v>983.91571199999998</v>
      </c>
      <c r="G131" s="71"/>
      <c r="H131" s="72"/>
      <c r="I131" s="39"/>
      <c r="N131" s="39"/>
    </row>
    <row r="132" spans="1:14" s="2" customFormat="1" x14ac:dyDescent="0.25">
      <c r="A132" s="66" t="s">
        <v>228</v>
      </c>
      <c r="B132" s="66"/>
      <c r="C132" s="66"/>
      <c r="D132" s="66"/>
      <c r="E132" s="66"/>
      <c r="F132" s="66"/>
      <c r="G132" s="66"/>
      <c r="H132" s="66"/>
      <c r="I132" s="39"/>
      <c r="L132" s="91"/>
      <c r="M132" s="91"/>
    </row>
    <row r="133" spans="1:14" s="2" customFormat="1" ht="15.75" customHeight="1" x14ac:dyDescent="0.25">
      <c r="A133" s="65">
        <v>1</v>
      </c>
      <c r="B133" s="65"/>
      <c r="C133" s="19" t="s">
        <v>213</v>
      </c>
      <c r="D133" s="19">
        <f>(60.44+4.73)*10.764</f>
        <v>701.48987999999997</v>
      </c>
      <c r="E133" s="19">
        <v>0</v>
      </c>
      <c r="F133" s="19">
        <f>D133*(($F$111)+1)+E133</f>
        <v>1122.383808</v>
      </c>
      <c r="G133" s="67" t="str">
        <f>A132</f>
        <v>8th Floor (Part Refuge Area)</v>
      </c>
      <c r="H133" s="68"/>
      <c r="I133" s="39"/>
      <c r="N133" s="39"/>
    </row>
    <row r="134" spans="1:14" s="2" customFormat="1" ht="15.75" customHeight="1" x14ac:dyDescent="0.25">
      <c r="A134" s="65">
        <v>2</v>
      </c>
      <c r="B134" s="65"/>
      <c r="C134" s="19" t="s">
        <v>213</v>
      </c>
      <c r="D134" s="19">
        <f>(60.44+4.73)*10.764</f>
        <v>701.48987999999997</v>
      </c>
      <c r="E134" s="19">
        <v>0</v>
      </c>
      <c r="F134" s="19">
        <f t="shared" ref="F134:F137" si="9">D134*(($F$111)+1)+E134</f>
        <v>1122.383808</v>
      </c>
      <c r="G134" s="69"/>
      <c r="H134" s="70"/>
      <c r="I134" s="39"/>
      <c r="N134" s="39"/>
    </row>
    <row r="135" spans="1:14" s="2" customFormat="1" ht="15.75" customHeight="1" x14ac:dyDescent="0.25">
      <c r="A135" s="65">
        <v>3</v>
      </c>
      <c r="B135" s="65"/>
      <c r="C135" s="19" t="s">
        <v>213</v>
      </c>
      <c r="D135" s="19">
        <f>54.91*10.764</f>
        <v>591.05123999999989</v>
      </c>
      <c r="E135" s="19">
        <v>0</v>
      </c>
      <c r="F135" s="19">
        <f t="shared" si="9"/>
        <v>945.68198399999983</v>
      </c>
      <c r="G135" s="69"/>
      <c r="H135" s="70"/>
      <c r="I135" s="39"/>
      <c r="N135" s="39"/>
    </row>
    <row r="136" spans="1:14" s="2" customFormat="1" ht="15.75" customHeight="1" x14ac:dyDescent="0.25">
      <c r="A136" s="65">
        <v>4</v>
      </c>
      <c r="B136" s="65"/>
      <c r="C136" s="19" t="s">
        <v>213</v>
      </c>
      <c r="D136" s="19">
        <f>59.46*10.764</f>
        <v>640.02743999999996</v>
      </c>
      <c r="E136" s="19">
        <v>0</v>
      </c>
      <c r="F136" s="19">
        <f t="shared" si="9"/>
        <v>1024.0439039999999</v>
      </c>
      <c r="G136" s="69"/>
      <c r="H136" s="70"/>
      <c r="I136" s="39"/>
      <c r="N136" s="39"/>
    </row>
    <row r="137" spans="1:14" s="2" customFormat="1" ht="15.75" customHeight="1" x14ac:dyDescent="0.25">
      <c r="A137" s="65">
        <v>5</v>
      </c>
      <c r="B137" s="65"/>
      <c r="C137" s="19" t="s">
        <v>213</v>
      </c>
      <c r="D137" s="19">
        <f>58.9*10.764</f>
        <v>633.99959999999999</v>
      </c>
      <c r="E137" s="19">
        <v>0</v>
      </c>
      <c r="F137" s="19">
        <f t="shared" si="9"/>
        <v>1014.39936</v>
      </c>
      <c r="G137" s="69"/>
      <c r="H137" s="70"/>
      <c r="I137" s="39"/>
      <c r="N137" s="39"/>
    </row>
    <row r="138" spans="1:14" s="2" customFormat="1" ht="15.75" customHeight="1" x14ac:dyDescent="0.25">
      <c r="A138" s="65">
        <v>6</v>
      </c>
      <c r="B138" s="65"/>
      <c r="C138" s="67" t="s">
        <v>229</v>
      </c>
      <c r="D138" s="157"/>
      <c r="E138" s="157"/>
      <c r="F138" s="68"/>
      <c r="G138" s="69"/>
      <c r="H138" s="70"/>
      <c r="I138" s="39"/>
      <c r="N138" s="39"/>
    </row>
    <row r="139" spans="1:14" s="2" customFormat="1" ht="15.75" customHeight="1" x14ac:dyDescent="0.25">
      <c r="A139" s="65">
        <v>7</v>
      </c>
      <c r="B139" s="65"/>
      <c r="C139" s="71"/>
      <c r="D139" s="158"/>
      <c r="E139" s="158"/>
      <c r="F139" s="72"/>
      <c r="G139" s="71"/>
      <c r="H139" s="72"/>
      <c r="I139" s="39"/>
      <c r="N139" s="39"/>
    </row>
    <row r="140" spans="1:14" s="2" customFormat="1" x14ac:dyDescent="0.25">
      <c r="A140" s="66" t="s">
        <v>230</v>
      </c>
      <c r="B140" s="66"/>
      <c r="C140" s="66"/>
      <c r="D140" s="66"/>
      <c r="E140" s="66"/>
      <c r="F140" s="66"/>
      <c r="G140" s="66"/>
      <c r="H140" s="66"/>
      <c r="I140" s="39"/>
      <c r="L140" s="91"/>
      <c r="M140" s="91"/>
    </row>
    <row r="141" spans="1:14" s="2" customFormat="1" x14ac:dyDescent="0.25">
      <c r="A141" s="65">
        <v>1</v>
      </c>
      <c r="B141" s="65"/>
      <c r="C141" s="19" t="s">
        <v>213</v>
      </c>
      <c r="D141" s="19">
        <f>(60.49+4.73)*10.764</f>
        <v>702.02807999999993</v>
      </c>
      <c r="E141" s="19">
        <v>0</v>
      </c>
      <c r="F141" s="19">
        <f>D141*(($F$111)+1)+E141</f>
        <v>1123.2449279999998</v>
      </c>
      <c r="G141" s="67" t="str">
        <f>A140</f>
        <v>10th Floor</v>
      </c>
      <c r="H141" s="68"/>
      <c r="I141" s="39"/>
      <c r="N141" s="39"/>
    </row>
    <row r="142" spans="1:14" s="2" customFormat="1" x14ac:dyDescent="0.25">
      <c r="A142" s="65">
        <v>2</v>
      </c>
      <c r="B142" s="65"/>
      <c r="C142" s="19" t="s">
        <v>213</v>
      </c>
      <c r="D142" s="19">
        <f>(60.49+4.73)*10.764</f>
        <v>702.02807999999993</v>
      </c>
      <c r="E142" s="19">
        <v>0</v>
      </c>
      <c r="F142" s="19">
        <f t="shared" ref="F142:F147" si="10">D142*(($F$111)+1)+E142</f>
        <v>1123.2449279999998</v>
      </c>
      <c r="G142" s="69"/>
      <c r="H142" s="70"/>
      <c r="I142" s="39"/>
      <c r="N142" s="39"/>
    </row>
    <row r="143" spans="1:14" s="2" customFormat="1" x14ac:dyDescent="0.25">
      <c r="A143" s="65">
        <v>3</v>
      </c>
      <c r="B143" s="65"/>
      <c r="C143" s="19" t="s">
        <v>213</v>
      </c>
      <c r="D143" s="19">
        <f>(55.37+3.81)*10.764</f>
        <v>637.01351999999997</v>
      </c>
      <c r="E143" s="19">
        <v>0</v>
      </c>
      <c r="F143" s="19">
        <f t="shared" si="10"/>
        <v>1019.221632</v>
      </c>
      <c r="G143" s="69"/>
      <c r="H143" s="70"/>
      <c r="I143" s="39"/>
      <c r="N143" s="39"/>
    </row>
    <row r="144" spans="1:14" s="2" customFormat="1" x14ac:dyDescent="0.25">
      <c r="A144" s="65">
        <v>4</v>
      </c>
      <c r="B144" s="65"/>
      <c r="C144" s="19" t="s">
        <v>213</v>
      </c>
      <c r="D144" s="19">
        <f>(60.12+4.73)*10.764</f>
        <v>698.04539999999986</v>
      </c>
      <c r="E144" s="19">
        <v>0</v>
      </c>
      <c r="F144" s="19">
        <f t="shared" si="10"/>
        <v>1116.8726399999998</v>
      </c>
      <c r="G144" s="69"/>
      <c r="H144" s="70"/>
      <c r="I144" s="39"/>
      <c r="N144" s="39"/>
    </row>
    <row r="145" spans="1:14" s="2" customFormat="1" x14ac:dyDescent="0.25">
      <c r="A145" s="65">
        <v>5</v>
      </c>
      <c r="B145" s="65"/>
      <c r="C145" s="19" t="s">
        <v>213</v>
      </c>
      <c r="D145" s="19">
        <f>(59.56+4.73)*10.764</f>
        <v>692.01756</v>
      </c>
      <c r="E145" s="19">
        <v>0</v>
      </c>
      <c r="F145" s="19">
        <f t="shared" si="10"/>
        <v>1107.2280960000001</v>
      </c>
      <c r="G145" s="69"/>
      <c r="H145" s="70"/>
      <c r="I145" s="39"/>
      <c r="N145" s="39"/>
    </row>
    <row r="146" spans="1:14" s="2" customFormat="1" x14ac:dyDescent="0.25">
      <c r="A146" s="65">
        <v>6</v>
      </c>
      <c r="B146" s="65"/>
      <c r="C146" s="19" t="s">
        <v>213</v>
      </c>
      <c r="D146" s="19">
        <f>(57.96+4.19)*10.764</f>
        <v>668.98259999999993</v>
      </c>
      <c r="E146" s="19">
        <v>0</v>
      </c>
      <c r="F146" s="19">
        <f t="shared" si="10"/>
        <v>1070.3721599999999</v>
      </c>
      <c r="G146" s="69"/>
      <c r="H146" s="70"/>
      <c r="I146" s="39"/>
      <c r="N146" s="39"/>
    </row>
    <row r="147" spans="1:14" s="2" customFormat="1" x14ac:dyDescent="0.25">
      <c r="A147" s="65">
        <v>7</v>
      </c>
      <c r="B147" s="65"/>
      <c r="C147" s="19" t="s">
        <v>213</v>
      </c>
      <c r="D147" s="19">
        <f>(57.96+4.19)*10.764</f>
        <v>668.98259999999993</v>
      </c>
      <c r="E147" s="19">
        <v>0</v>
      </c>
      <c r="F147" s="19">
        <f t="shared" si="10"/>
        <v>1070.3721599999999</v>
      </c>
      <c r="G147" s="71"/>
      <c r="H147" s="72"/>
      <c r="I147" s="39"/>
      <c r="N147" s="39"/>
    </row>
    <row r="148" spans="1:14" s="2" customFormat="1" x14ac:dyDescent="0.25">
      <c r="A148" s="66" t="s">
        <v>231</v>
      </c>
      <c r="B148" s="66"/>
      <c r="C148" s="66"/>
      <c r="D148" s="66"/>
      <c r="E148" s="66"/>
      <c r="F148" s="66"/>
      <c r="G148" s="66"/>
      <c r="H148" s="66"/>
      <c r="I148" s="39"/>
      <c r="L148" s="91"/>
      <c r="M148" s="91"/>
    </row>
    <row r="149" spans="1:14" s="2" customFormat="1" x14ac:dyDescent="0.25">
      <c r="A149" s="65">
        <v>1</v>
      </c>
      <c r="B149" s="65"/>
      <c r="C149" s="19" t="s">
        <v>213</v>
      </c>
      <c r="D149" s="19">
        <f>(60.49+4.73)*10.764</f>
        <v>702.02807999999993</v>
      </c>
      <c r="E149" s="19">
        <v>0</v>
      </c>
      <c r="F149" s="19">
        <f>D149*(($F$111)+1)+E149</f>
        <v>1123.2449279999998</v>
      </c>
      <c r="G149" s="67" t="str">
        <f>A148</f>
        <v>11th to 14th, 16th to 20th Floor</v>
      </c>
      <c r="H149" s="68"/>
      <c r="I149" s="39"/>
      <c r="N149" s="39"/>
    </row>
    <row r="150" spans="1:14" s="2" customFormat="1" x14ac:dyDescent="0.25">
      <c r="A150" s="65">
        <v>2</v>
      </c>
      <c r="B150" s="65"/>
      <c r="C150" s="19" t="s">
        <v>213</v>
      </c>
      <c r="D150" s="19">
        <f>(60.49+4.73)*10.764</f>
        <v>702.02807999999993</v>
      </c>
      <c r="E150" s="19">
        <v>0</v>
      </c>
      <c r="F150" s="19">
        <f t="shared" ref="F150:F155" si="11">D150*(($F$111)+1)+E150</f>
        <v>1123.2449279999998</v>
      </c>
      <c r="G150" s="69"/>
      <c r="H150" s="70"/>
      <c r="I150" s="39"/>
      <c r="N150" s="39"/>
    </row>
    <row r="151" spans="1:14" s="2" customFormat="1" x14ac:dyDescent="0.25">
      <c r="A151" s="65">
        <v>3</v>
      </c>
      <c r="B151" s="65"/>
      <c r="C151" s="19" t="s">
        <v>213</v>
      </c>
      <c r="D151" s="19">
        <f>(55.55+3.81)*10.764</f>
        <v>638.95103999999992</v>
      </c>
      <c r="E151" s="19">
        <v>0</v>
      </c>
      <c r="F151" s="19">
        <f t="shared" si="11"/>
        <v>1022.3216639999999</v>
      </c>
      <c r="G151" s="69"/>
      <c r="H151" s="70"/>
      <c r="I151" s="39"/>
      <c r="N151" s="39"/>
    </row>
    <row r="152" spans="1:14" s="2" customFormat="1" x14ac:dyDescent="0.25">
      <c r="A152" s="65">
        <v>4</v>
      </c>
      <c r="B152" s="65"/>
      <c r="C152" s="19" t="s">
        <v>213</v>
      </c>
      <c r="D152" s="19">
        <f>(60.12+4.73)*10.764</f>
        <v>698.04539999999986</v>
      </c>
      <c r="E152" s="19">
        <v>0</v>
      </c>
      <c r="F152" s="19">
        <f t="shared" si="11"/>
        <v>1116.8726399999998</v>
      </c>
      <c r="G152" s="69"/>
      <c r="H152" s="70"/>
      <c r="I152" s="39"/>
      <c r="N152" s="39"/>
    </row>
    <row r="153" spans="1:14" s="2" customFormat="1" x14ac:dyDescent="0.25">
      <c r="A153" s="65">
        <v>5</v>
      </c>
      <c r="B153" s="65"/>
      <c r="C153" s="19" t="s">
        <v>213</v>
      </c>
      <c r="D153" s="19">
        <f>(59.56+4.73)*10.764</f>
        <v>692.01756</v>
      </c>
      <c r="E153" s="19">
        <v>0</v>
      </c>
      <c r="F153" s="19">
        <f t="shared" si="11"/>
        <v>1107.2280960000001</v>
      </c>
      <c r="G153" s="69"/>
      <c r="H153" s="70"/>
      <c r="I153" s="39"/>
      <c r="N153" s="39"/>
    </row>
    <row r="154" spans="1:14" s="2" customFormat="1" x14ac:dyDescent="0.25">
      <c r="A154" s="65">
        <v>6</v>
      </c>
      <c r="B154" s="65"/>
      <c r="C154" s="19" t="s">
        <v>213</v>
      </c>
      <c r="D154" s="19">
        <f>(57.96+4.19)*10.764</f>
        <v>668.98259999999993</v>
      </c>
      <c r="E154" s="19">
        <v>0</v>
      </c>
      <c r="F154" s="19">
        <f t="shared" si="11"/>
        <v>1070.3721599999999</v>
      </c>
      <c r="G154" s="69"/>
      <c r="H154" s="70"/>
      <c r="I154" s="39"/>
      <c r="N154" s="39"/>
    </row>
    <row r="155" spans="1:14" s="2" customFormat="1" x14ac:dyDescent="0.25">
      <c r="A155" s="65">
        <v>7</v>
      </c>
      <c r="B155" s="65"/>
      <c r="C155" s="19" t="s">
        <v>213</v>
      </c>
      <c r="D155" s="19">
        <f>(57.96+4.19)*10.764</f>
        <v>668.98259999999993</v>
      </c>
      <c r="E155" s="19">
        <v>0</v>
      </c>
      <c r="F155" s="19">
        <f t="shared" si="11"/>
        <v>1070.3721599999999</v>
      </c>
      <c r="G155" s="71"/>
      <c r="H155" s="72"/>
      <c r="I155" s="39"/>
      <c r="N155" s="39"/>
    </row>
    <row r="156" spans="1:14" s="2" customFormat="1" x14ac:dyDescent="0.25">
      <c r="A156" s="66" t="s">
        <v>232</v>
      </c>
      <c r="B156" s="66"/>
      <c r="C156" s="66"/>
      <c r="D156" s="66"/>
      <c r="E156" s="66"/>
      <c r="F156" s="66"/>
      <c r="G156" s="66"/>
      <c r="H156" s="66"/>
      <c r="I156" s="39"/>
      <c r="L156" s="91"/>
      <c r="M156" s="91"/>
    </row>
    <row r="157" spans="1:14" s="2" customFormat="1" x14ac:dyDescent="0.25">
      <c r="A157" s="65">
        <v>1</v>
      </c>
      <c r="B157" s="65"/>
      <c r="C157" s="19" t="s">
        <v>213</v>
      </c>
      <c r="D157" s="19">
        <f>(60.49+4.73)*10.764</f>
        <v>702.02807999999993</v>
      </c>
      <c r="E157" s="19">
        <v>0</v>
      </c>
      <c r="F157" s="19">
        <f>D157*(($F$111)+1)+E157</f>
        <v>1123.2449279999998</v>
      </c>
      <c r="G157" s="67" t="str">
        <f>A156</f>
        <v>15th Floor (Part Refuge Area)</v>
      </c>
      <c r="H157" s="68"/>
      <c r="I157" s="39"/>
      <c r="N157" s="39"/>
    </row>
    <row r="158" spans="1:14" s="2" customFormat="1" x14ac:dyDescent="0.25">
      <c r="A158" s="65">
        <v>2</v>
      </c>
      <c r="B158" s="65"/>
      <c r="C158" s="19" t="s">
        <v>213</v>
      </c>
      <c r="D158" s="19">
        <f>(60.49+4.73)*10.764</f>
        <v>702.02807999999993</v>
      </c>
      <c r="E158" s="19">
        <v>0</v>
      </c>
      <c r="F158" s="19">
        <f t="shared" ref="F158:F161" si="12">D158*(($F$111)+1)+E158</f>
        <v>1123.2449279999998</v>
      </c>
      <c r="G158" s="69"/>
      <c r="H158" s="70"/>
      <c r="I158" s="39"/>
      <c r="N158" s="39"/>
    </row>
    <row r="159" spans="1:14" s="2" customFormat="1" x14ac:dyDescent="0.25">
      <c r="A159" s="65">
        <v>3</v>
      </c>
      <c r="B159" s="65"/>
      <c r="C159" s="19" t="s">
        <v>213</v>
      </c>
      <c r="D159" s="19">
        <f>(55.55+3.81)*10.764</f>
        <v>638.95103999999992</v>
      </c>
      <c r="E159" s="19">
        <v>0</v>
      </c>
      <c r="F159" s="19">
        <f t="shared" si="12"/>
        <v>1022.3216639999999</v>
      </c>
      <c r="G159" s="69"/>
      <c r="H159" s="70"/>
      <c r="I159" s="39"/>
      <c r="N159" s="39"/>
    </row>
    <row r="160" spans="1:14" s="2" customFormat="1" x14ac:dyDescent="0.25">
      <c r="A160" s="65">
        <v>4</v>
      </c>
      <c r="B160" s="65"/>
      <c r="C160" s="19" t="s">
        <v>213</v>
      </c>
      <c r="D160" s="19">
        <f>(60.12+4.73)*10.764</f>
        <v>698.04539999999986</v>
      </c>
      <c r="E160" s="19">
        <v>0</v>
      </c>
      <c r="F160" s="19">
        <f t="shared" si="12"/>
        <v>1116.8726399999998</v>
      </c>
      <c r="G160" s="69"/>
      <c r="H160" s="70"/>
      <c r="I160" s="39"/>
      <c r="N160" s="39"/>
    </row>
    <row r="161" spans="1:14" s="2" customFormat="1" x14ac:dyDescent="0.25">
      <c r="A161" s="65">
        <v>5</v>
      </c>
      <c r="B161" s="65"/>
      <c r="C161" s="19" t="s">
        <v>213</v>
      </c>
      <c r="D161" s="19">
        <f>(59.56+4.73)*10.764</f>
        <v>692.01756</v>
      </c>
      <c r="E161" s="19">
        <v>0</v>
      </c>
      <c r="F161" s="19">
        <f t="shared" si="12"/>
        <v>1107.2280960000001</v>
      </c>
      <c r="G161" s="69"/>
      <c r="H161" s="70"/>
      <c r="I161" s="39"/>
      <c r="N161" s="39"/>
    </row>
    <row r="162" spans="1:14" s="2" customFormat="1" x14ac:dyDescent="0.25">
      <c r="A162" s="65">
        <v>6</v>
      </c>
      <c r="B162" s="65"/>
      <c r="C162" s="67" t="s">
        <v>229</v>
      </c>
      <c r="D162" s="157"/>
      <c r="E162" s="157"/>
      <c r="F162" s="68"/>
      <c r="G162" s="69"/>
      <c r="H162" s="70"/>
      <c r="I162" s="39"/>
      <c r="N162" s="39"/>
    </row>
    <row r="163" spans="1:14" s="2" customFormat="1" x14ac:dyDescent="0.25">
      <c r="A163" s="65">
        <v>7</v>
      </c>
      <c r="B163" s="65"/>
      <c r="C163" s="71"/>
      <c r="D163" s="158"/>
      <c r="E163" s="158"/>
      <c r="F163" s="72"/>
      <c r="G163" s="71"/>
      <c r="H163" s="72"/>
      <c r="I163" s="39"/>
      <c r="N163" s="39"/>
    </row>
    <row r="164" spans="1:14" s="2" customFormat="1" x14ac:dyDescent="0.25">
      <c r="A164" s="66" t="s">
        <v>233</v>
      </c>
      <c r="B164" s="66"/>
      <c r="C164" s="66"/>
      <c r="D164" s="66"/>
      <c r="E164" s="66"/>
      <c r="F164" s="66"/>
      <c r="G164" s="66"/>
      <c r="H164" s="66"/>
      <c r="I164" s="39"/>
      <c r="L164" s="91"/>
      <c r="M164" s="91"/>
    </row>
    <row r="165" spans="1:14" s="2" customFormat="1" x14ac:dyDescent="0.25">
      <c r="A165" s="65">
        <v>1</v>
      </c>
      <c r="B165" s="65"/>
      <c r="C165" s="19" t="s">
        <v>213</v>
      </c>
      <c r="D165" s="19">
        <f>(60.49+4.73)*10.764</f>
        <v>702.02807999999993</v>
      </c>
      <c r="E165" s="19">
        <v>0</v>
      </c>
      <c r="F165" s="19">
        <f>D165*(($F$111)+1)+E165</f>
        <v>1123.2449279999998</v>
      </c>
      <c r="G165" s="67" t="str">
        <f>A164</f>
        <v>21st, 23rd to 28th &amp; 30th &amp; 31st Floor</v>
      </c>
      <c r="H165" s="68"/>
      <c r="I165" s="39"/>
      <c r="N165" s="39"/>
    </row>
    <row r="166" spans="1:14" s="2" customFormat="1" x14ac:dyDescent="0.25">
      <c r="A166" s="65">
        <v>2</v>
      </c>
      <c r="B166" s="65"/>
      <c r="C166" s="19" t="s">
        <v>213</v>
      </c>
      <c r="D166" s="19">
        <f>(60.49+4.73)*10.764</f>
        <v>702.02807999999993</v>
      </c>
      <c r="E166" s="19">
        <v>0</v>
      </c>
      <c r="F166" s="19">
        <f t="shared" ref="F166:F171" si="13">D166*(($F$111)+1)+E166</f>
        <v>1123.2449279999998</v>
      </c>
      <c r="G166" s="69"/>
      <c r="H166" s="70"/>
      <c r="I166" s="39"/>
      <c r="N166" s="39"/>
    </row>
    <row r="167" spans="1:14" s="2" customFormat="1" x14ac:dyDescent="0.25">
      <c r="A167" s="65">
        <v>3</v>
      </c>
      <c r="B167" s="65"/>
      <c r="C167" s="19" t="s">
        <v>213</v>
      </c>
      <c r="D167" s="19">
        <f>(55.55+3.81)*10.764</f>
        <v>638.95103999999992</v>
      </c>
      <c r="E167" s="19">
        <v>0</v>
      </c>
      <c r="F167" s="19">
        <f t="shared" si="13"/>
        <v>1022.3216639999999</v>
      </c>
      <c r="G167" s="69"/>
      <c r="H167" s="70"/>
      <c r="I167" s="39"/>
      <c r="N167" s="39"/>
    </row>
    <row r="168" spans="1:14" s="2" customFormat="1" x14ac:dyDescent="0.25">
      <c r="A168" s="65">
        <v>4</v>
      </c>
      <c r="B168" s="65"/>
      <c r="C168" s="19" t="s">
        <v>213</v>
      </c>
      <c r="D168" s="19">
        <f>(60.12+4.73)*10.764</f>
        <v>698.04539999999986</v>
      </c>
      <c r="E168" s="19">
        <v>0</v>
      </c>
      <c r="F168" s="19">
        <f t="shared" si="13"/>
        <v>1116.8726399999998</v>
      </c>
      <c r="G168" s="69"/>
      <c r="H168" s="70"/>
      <c r="I168" s="39"/>
      <c r="N168" s="39"/>
    </row>
    <row r="169" spans="1:14" s="2" customFormat="1" x14ac:dyDescent="0.25">
      <c r="A169" s="65">
        <v>5</v>
      </c>
      <c r="B169" s="65"/>
      <c r="C169" s="19" t="s">
        <v>213</v>
      </c>
      <c r="D169" s="19">
        <f>(59.56+4.73)*10.764</f>
        <v>692.01756</v>
      </c>
      <c r="E169" s="19">
        <v>0</v>
      </c>
      <c r="F169" s="19">
        <f t="shared" si="13"/>
        <v>1107.2280960000001</v>
      </c>
      <c r="G169" s="69"/>
      <c r="H169" s="70"/>
      <c r="I169" s="39"/>
      <c r="N169" s="39"/>
    </row>
    <row r="170" spans="1:14" s="2" customFormat="1" x14ac:dyDescent="0.25">
      <c r="A170" s="65">
        <v>6</v>
      </c>
      <c r="B170" s="65"/>
      <c r="C170" s="19" t="s">
        <v>213</v>
      </c>
      <c r="D170" s="19">
        <f>(57.96+4.19)*10.764</f>
        <v>668.98259999999993</v>
      </c>
      <c r="E170" s="19">
        <v>0</v>
      </c>
      <c r="F170" s="19">
        <f t="shared" si="13"/>
        <v>1070.3721599999999</v>
      </c>
      <c r="G170" s="69"/>
      <c r="H170" s="70"/>
      <c r="I170" s="39"/>
      <c r="N170" s="39"/>
    </row>
    <row r="171" spans="1:14" s="2" customFormat="1" x14ac:dyDescent="0.25">
      <c r="A171" s="65">
        <v>7</v>
      </c>
      <c r="B171" s="65"/>
      <c r="C171" s="19" t="s">
        <v>213</v>
      </c>
      <c r="D171" s="19">
        <f>(57.96+4.19)*10.764</f>
        <v>668.98259999999993</v>
      </c>
      <c r="E171" s="19">
        <v>0</v>
      </c>
      <c r="F171" s="19">
        <f t="shared" si="13"/>
        <v>1070.3721599999999</v>
      </c>
      <c r="G171" s="71"/>
      <c r="H171" s="72"/>
      <c r="I171" s="39"/>
      <c r="N171" s="39"/>
    </row>
    <row r="172" spans="1:14" s="2" customFormat="1" x14ac:dyDescent="0.25">
      <c r="A172" s="66" t="s">
        <v>234</v>
      </c>
      <c r="B172" s="66"/>
      <c r="C172" s="66"/>
      <c r="D172" s="66"/>
      <c r="E172" s="66"/>
      <c r="F172" s="66"/>
      <c r="G172" s="66"/>
      <c r="H172" s="66"/>
      <c r="I172" s="39"/>
      <c r="L172" s="91"/>
      <c r="M172" s="91"/>
    </row>
    <row r="173" spans="1:14" s="2" customFormat="1" x14ac:dyDescent="0.25">
      <c r="A173" s="65">
        <v>1</v>
      </c>
      <c r="B173" s="65"/>
      <c r="C173" s="19" t="s">
        <v>213</v>
      </c>
      <c r="D173" s="19">
        <f>(60.49+4.73)*10.764</f>
        <v>702.02807999999993</v>
      </c>
      <c r="E173" s="19">
        <v>0</v>
      </c>
      <c r="F173" s="19">
        <f>D173*(($F$111)+1)+E173</f>
        <v>1123.2449279999998</v>
      </c>
      <c r="G173" s="67" t="str">
        <f>A172</f>
        <v>22nd &amp; 29th Floor (Part  Refuge Area)</v>
      </c>
      <c r="H173" s="68"/>
      <c r="I173" s="39"/>
      <c r="N173" s="39"/>
    </row>
    <row r="174" spans="1:14" s="2" customFormat="1" x14ac:dyDescent="0.25">
      <c r="A174" s="65">
        <v>2</v>
      </c>
      <c r="B174" s="65"/>
      <c r="C174" s="19" t="s">
        <v>213</v>
      </c>
      <c r="D174" s="19">
        <f>(60.49+4.73)*10.764</f>
        <v>702.02807999999993</v>
      </c>
      <c r="E174" s="19">
        <v>0</v>
      </c>
      <c r="F174" s="19">
        <f t="shared" ref="F174:F177" si="14">D174*(($F$111)+1)+E174</f>
        <v>1123.2449279999998</v>
      </c>
      <c r="G174" s="69"/>
      <c r="H174" s="70"/>
      <c r="I174" s="39"/>
      <c r="N174" s="39"/>
    </row>
    <row r="175" spans="1:14" s="2" customFormat="1" x14ac:dyDescent="0.25">
      <c r="A175" s="65">
        <v>3</v>
      </c>
      <c r="B175" s="65"/>
      <c r="C175" s="19" t="s">
        <v>213</v>
      </c>
      <c r="D175" s="19">
        <f>(55.55+3.81)*10.764</f>
        <v>638.95103999999992</v>
      </c>
      <c r="E175" s="19">
        <v>0</v>
      </c>
      <c r="F175" s="19">
        <f t="shared" si="14"/>
        <v>1022.3216639999999</v>
      </c>
      <c r="G175" s="69"/>
      <c r="H175" s="70"/>
      <c r="I175" s="39"/>
      <c r="N175" s="39"/>
    </row>
    <row r="176" spans="1:14" s="2" customFormat="1" x14ac:dyDescent="0.25">
      <c r="A176" s="65">
        <v>4</v>
      </c>
      <c r="B176" s="65"/>
      <c r="C176" s="19" t="s">
        <v>213</v>
      </c>
      <c r="D176" s="19">
        <f>(60.12+4.73)*10.764</f>
        <v>698.04539999999986</v>
      </c>
      <c r="E176" s="19">
        <v>0</v>
      </c>
      <c r="F176" s="19">
        <f t="shared" si="14"/>
        <v>1116.8726399999998</v>
      </c>
      <c r="G176" s="69"/>
      <c r="H176" s="70"/>
      <c r="I176" s="39"/>
      <c r="N176" s="39"/>
    </row>
    <row r="177" spans="1:14" s="2" customFormat="1" x14ac:dyDescent="0.25">
      <c r="A177" s="65">
        <v>5</v>
      </c>
      <c r="B177" s="65"/>
      <c r="C177" s="19" t="s">
        <v>213</v>
      </c>
      <c r="D177" s="19">
        <f>(59.56+4.73)*10.764</f>
        <v>692.01756</v>
      </c>
      <c r="E177" s="19">
        <v>0</v>
      </c>
      <c r="F177" s="19">
        <f t="shared" si="14"/>
        <v>1107.2280960000001</v>
      </c>
      <c r="G177" s="69"/>
      <c r="H177" s="70"/>
      <c r="I177" s="39"/>
      <c r="N177" s="39"/>
    </row>
    <row r="178" spans="1:14" s="2" customFormat="1" x14ac:dyDescent="0.25">
      <c r="A178" s="65">
        <v>6</v>
      </c>
      <c r="B178" s="65"/>
      <c r="C178" s="67" t="s">
        <v>229</v>
      </c>
      <c r="D178" s="157"/>
      <c r="E178" s="157"/>
      <c r="F178" s="68"/>
      <c r="G178" s="69"/>
      <c r="H178" s="70"/>
      <c r="I178" s="39"/>
      <c r="N178" s="39"/>
    </row>
    <row r="179" spans="1:14" s="2" customFormat="1" x14ac:dyDescent="0.25">
      <c r="A179" s="65">
        <v>7</v>
      </c>
      <c r="B179" s="65"/>
      <c r="C179" s="71"/>
      <c r="D179" s="158"/>
      <c r="E179" s="158"/>
      <c r="F179" s="72"/>
      <c r="G179" s="71"/>
      <c r="H179" s="72"/>
      <c r="I179" s="39"/>
      <c r="N179" s="39"/>
    </row>
    <row r="180" spans="1:14" s="1" customFormat="1" x14ac:dyDescent="0.25">
      <c r="A180" s="145" t="s">
        <v>76</v>
      </c>
      <c r="B180" s="145"/>
      <c r="C180" s="145"/>
      <c r="D180" s="145"/>
      <c r="E180" s="145"/>
      <c r="F180" s="145"/>
      <c r="G180" s="145"/>
      <c r="H180" s="145"/>
    </row>
    <row r="181" spans="1:14" s="1" customFormat="1" x14ac:dyDescent="0.25">
      <c r="A181" s="57">
        <v>1</v>
      </c>
      <c r="B181" s="163" t="s">
        <v>245</v>
      </c>
      <c r="C181" s="164"/>
      <c r="D181" s="164"/>
      <c r="E181" s="164"/>
      <c r="F181" s="164"/>
      <c r="G181" s="164"/>
      <c r="H181" s="165"/>
    </row>
    <row r="182" spans="1:14" s="1" customFormat="1" x14ac:dyDescent="0.25">
      <c r="A182" s="57">
        <f>A181+1</f>
        <v>2</v>
      </c>
      <c r="B182" s="163" t="s">
        <v>215</v>
      </c>
      <c r="C182" s="164"/>
      <c r="D182" s="164"/>
      <c r="E182" s="164"/>
      <c r="F182" s="164"/>
      <c r="G182" s="164"/>
      <c r="H182" s="165"/>
    </row>
    <row r="183" spans="1:14" s="1" customFormat="1" x14ac:dyDescent="0.25">
      <c r="A183" s="57">
        <f t="shared" ref="A183:A190" si="15">A182+1</f>
        <v>3</v>
      </c>
      <c r="B183" s="163" t="s">
        <v>170</v>
      </c>
      <c r="C183" s="164"/>
      <c r="D183" s="164"/>
      <c r="E183" s="164"/>
      <c r="F183" s="164"/>
      <c r="G183" s="164"/>
      <c r="H183" s="165"/>
    </row>
    <row r="184" spans="1:14" s="1" customFormat="1" x14ac:dyDescent="0.25">
      <c r="A184" s="57">
        <f t="shared" si="15"/>
        <v>4</v>
      </c>
      <c r="B184" s="163" t="s">
        <v>214</v>
      </c>
      <c r="C184" s="164"/>
      <c r="D184" s="164"/>
      <c r="E184" s="164"/>
      <c r="F184" s="164"/>
      <c r="G184" s="164"/>
      <c r="H184" s="165"/>
    </row>
    <row r="185" spans="1:14" s="1" customFormat="1" x14ac:dyDescent="0.25">
      <c r="A185" s="57">
        <f t="shared" si="15"/>
        <v>5</v>
      </c>
      <c r="B185" s="163" t="s">
        <v>171</v>
      </c>
      <c r="C185" s="164"/>
      <c r="D185" s="164"/>
      <c r="E185" s="164"/>
      <c r="F185" s="164"/>
      <c r="G185" s="164"/>
      <c r="H185" s="165"/>
    </row>
    <row r="186" spans="1:14" s="1" customFormat="1" x14ac:dyDescent="0.25">
      <c r="A186" s="57">
        <f t="shared" si="15"/>
        <v>6</v>
      </c>
      <c r="B186" s="163" t="s">
        <v>172</v>
      </c>
      <c r="C186" s="164"/>
      <c r="D186" s="164"/>
      <c r="E186" s="164"/>
      <c r="F186" s="164"/>
      <c r="G186" s="164"/>
      <c r="H186" s="165"/>
    </row>
    <row r="187" spans="1:14" s="1" customFormat="1" hidden="1" x14ac:dyDescent="0.25">
      <c r="A187" s="57">
        <f t="shared" si="15"/>
        <v>7</v>
      </c>
      <c r="B187" s="163" t="s">
        <v>225</v>
      </c>
      <c r="C187" s="164"/>
      <c r="D187" s="164"/>
      <c r="E187" s="164"/>
      <c r="F187" s="164"/>
      <c r="G187" s="164"/>
      <c r="H187" s="165"/>
    </row>
    <row r="188" spans="1:14" s="1" customFormat="1" x14ac:dyDescent="0.25">
      <c r="A188" s="57">
        <f t="shared" si="15"/>
        <v>8</v>
      </c>
      <c r="B188" s="163" t="s">
        <v>223</v>
      </c>
      <c r="C188" s="164"/>
      <c r="D188" s="164"/>
      <c r="E188" s="164"/>
      <c r="F188" s="164"/>
      <c r="G188" s="164"/>
      <c r="H188" s="165"/>
    </row>
    <row r="189" spans="1:14" s="1" customFormat="1" x14ac:dyDescent="0.25">
      <c r="A189" s="57">
        <f t="shared" si="15"/>
        <v>9</v>
      </c>
      <c r="B189" s="163" t="s">
        <v>236</v>
      </c>
      <c r="C189" s="164"/>
      <c r="D189" s="164"/>
      <c r="E189" s="164"/>
      <c r="F189" s="164"/>
      <c r="G189" s="164"/>
      <c r="H189" s="165"/>
    </row>
    <row r="190" spans="1:14" s="1" customFormat="1" x14ac:dyDescent="0.25">
      <c r="A190" s="57">
        <f t="shared" si="15"/>
        <v>10</v>
      </c>
      <c r="B190" s="163" t="s">
        <v>248</v>
      </c>
      <c r="C190" s="164"/>
      <c r="D190" s="164"/>
      <c r="E190" s="164"/>
      <c r="F190" s="164"/>
      <c r="G190" s="164"/>
      <c r="H190" s="165"/>
    </row>
    <row r="191" spans="1:14" x14ac:dyDescent="0.25">
      <c r="A191" s="146" t="s">
        <v>69</v>
      </c>
      <c r="B191" s="146"/>
      <c r="C191" s="146"/>
      <c r="D191" s="146"/>
      <c r="E191" s="146"/>
      <c r="F191" s="146"/>
      <c r="G191" s="146"/>
      <c r="H191" s="146"/>
    </row>
    <row r="192" spans="1:14" x14ac:dyDescent="0.25">
      <c r="A192" s="73" t="s">
        <v>70</v>
      </c>
      <c r="B192" s="73"/>
      <c r="C192" s="73"/>
      <c r="D192" s="73"/>
      <c r="E192" s="73"/>
      <c r="F192" s="73"/>
      <c r="G192" s="73"/>
      <c r="H192" s="73"/>
    </row>
    <row r="193" spans="1:8" ht="15.75" customHeight="1" x14ac:dyDescent="0.25">
      <c r="A193" s="154" t="s">
        <v>71</v>
      </c>
      <c r="B193" s="154"/>
      <c r="C193" s="154"/>
      <c r="D193" s="154"/>
      <c r="E193" s="154"/>
      <c r="F193" s="154"/>
      <c r="G193" s="154"/>
      <c r="H193" s="154"/>
    </row>
    <row r="194" spans="1:8" x14ac:dyDescent="0.25">
      <c r="A194" s="73" t="s">
        <v>72</v>
      </c>
      <c r="B194" s="73"/>
      <c r="C194" s="73"/>
      <c r="D194" s="73"/>
      <c r="E194" s="73"/>
      <c r="F194" s="73"/>
      <c r="G194" s="73"/>
      <c r="H194" s="73"/>
    </row>
    <row r="195" spans="1:8" x14ac:dyDescent="0.25">
      <c r="A195" s="73" t="s">
        <v>73</v>
      </c>
      <c r="B195" s="73"/>
      <c r="C195" s="73"/>
      <c r="D195" s="73"/>
      <c r="E195" s="73"/>
      <c r="F195" s="73"/>
      <c r="G195" s="73"/>
      <c r="H195" s="73"/>
    </row>
    <row r="196" spans="1:8" x14ac:dyDescent="0.25">
      <c r="A196" s="73" t="s">
        <v>173</v>
      </c>
      <c r="B196" s="73"/>
      <c r="C196" s="73"/>
      <c r="D196" s="73"/>
      <c r="E196" s="73"/>
      <c r="F196" s="73"/>
      <c r="G196" s="73"/>
      <c r="H196" s="73"/>
    </row>
    <row r="197" spans="1:8" ht="35.25" customHeight="1" x14ac:dyDescent="0.25">
      <c r="A197" s="98" t="s">
        <v>174</v>
      </c>
      <c r="B197" s="98"/>
      <c r="C197" s="98"/>
      <c r="D197" s="98"/>
      <c r="E197" s="98"/>
      <c r="F197" s="98"/>
      <c r="G197" s="98"/>
      <c r="H197" s="98"/>
    </row>
    <row r="198" spans="1:8" x14ac:dyDescent="0.25">
      <c r="A198" s="142" t="s">
        <v>109</v>
      </c>
      <c r="B198" s="142"/>
      <c r="C198" s="142" t="s">
        <v>246</v>
      </c>
      <c r="D198" s="142"/>
      <c r="E198" s="142" t="s">
        <v>145</v>
      </c>
      <c r="F198" s="142"/>
      <c r="G198" s="142" t="s">
        <v>247</v>
      </c>
      <c r="H198" s="142"/>
    </row>
    <row r="199" spans="1:8" x14ac:dyDescent="0.25">
      <c r="A199" s="141" t="s">
        <v>111</v>
      </c>
      <c r="B199" s="141"/>
      <c r="C199" s="141"/>
      <c r="D199" s="141"/>
      <c r="E199" s="141"/>
      <c r="F199" s="141"/>
      <c r="G199" s="141"/>
      <c r="H199" s="141"/>
    </row>
    <row r="200" spans="1:8" x14ac:dyDescent="0.25">
      <c r="A200" s="141"/>
      <c r="B200" s="141"/>
      <c r="C200" s="141"/>
      <c r="D200" s="141"/>
      <c r="E200" s="141"/>
      <c r="F200" s="141"/>
      <c r="G200" s="141"/>
      <c r="H200" s="141"/>
    </row>
    <row r="201" spans="1:8" x14ac:dyDescent="0.25">
      <c r="A201" s="141"/>
      <c r="B201" s="141"/>
      <c r="C201" s="141"/>
      <c r="D201" s="141"/>
      <c r="E201" s="141"/>
      <c r="F201" s="141"/>
      <c r="G201" s="141"/>
      <c r="H201" s="141"/>
    </row>
    <row r="202" spans="1:8" x14ac:dyDescent="0.25">
      <c r="A202" s="141"/>
      <c r="B202" s="141"/>
      <c r="C202" s="141"/>
      <c r="D202" s="141"/>
      <c r="E202" s="141"/>
      <c r="F202" s="141"/>
      <c r="G202" s="141"/>
      <c r="H202" s="141"/>
    </row>
    <row r="203" spans="1:8" x14ac:dyDescent="0.25">
      <c r="A203" s="14" t="s">
        <v>74</v>
      </c>
      <c r="B203" s="15"/>
      <c r="C203" s="15"/>
      <c r="D203" s="14" t="str">
        <f>E8</f>
        <v>Royal Lagoon E Wing</v>
      </c>
      <c r="F203" s="15"/>
      <c r="G203" s="15"/>
      <c r="H203" s="15"/>
    </row>
    <row r="204" spans="1:8" x14ac:dyDescent="0.25">
      <c r="A204" s="15"/>
      <c r="B204" s="15"/>
      <c r="C204" s="15"/>
      <c r="D204" s="15"/>
      <c r="E204" s="15"/>
      <c r="F204" s="15"/>
      <c r="G204" s="15"/>
      <c r="H204" s="15"/>
    </row>
    <row r="205" spans="1:8" x14ac:dyDescent="0.25">
      <c r="A205" s="15"/>
      <c r="B205" s="15"/>
      <c r="C205" s="15"/>
      <c r="D205" s="15"/>
      <c r="E205" s="15"/>
      <c r="F205" s="15"/>
      <c r="G205" s="15"/>
      <c r="H205" s="15"/>
    </row>
    <row r="206" spans="1:8" ht="15" customHeight="1" x14ac:dyDescent="0.25"/>
    <row r="246" spans="1:1" x14ac:dyDescent="0.25">
      <c r="A246" s="17" t="s">
        <v>75</v>
      </c>
    </row>
  </sheetData>
  <mergeCells count="343">
    <mergeCell ref="C36:H36"/>
    <mergeCell ref="A37:B37"/>
    <mergeCell ref="C37:H37"/>
    <mergeCell ref="B190:H190"/>
    <mergeCell ref="B189:H189"/>
    <mergeCell ref="A172:H172"/>
    <mergeCell ref="L172:M172"/>
    <mergeCell ref="A173:B173"/>
    <mergeCell ref="G173:H179"/>
    <mergeCell ref="A174:B174"/>
    <mergeCell ref="A175:B175"/>
    <mergeCell ref="A176:B176"/>
    <mergeCell ref="A177:B177"/>
    <mergeCell ref="A178:B178"/>
    <mergeCell ref="A179:B179"/>
    <mergeCell ref="C178:F179"/>
    <mergeCell ref="B188:H188"/>
    <mergeCell ref="B186:H186"/>
    <mergeCell ref="B187:H187"/>
    <mergeCell ref="B181:H181"/>
    <mergeCell ref="B182:H182"/>
    <mergeCell ref="B183:H183"/>
    <mergeCell ref="B184:H184"/>
    <mergeCell ref="B185:H185"/>
    <mergeCell ref="A164:H164"/>
    <mergeCell ref="L164:M164"/>
    <mergeCell ref="A165:B165"/>
    <mergeCell ref="G165:H171"/>
    <mergeCell ref="A166:B166"/>
    <mergeCell ref="A167:B167"/>
    <mergeCell ref="A168:B168"/>
    <mergeCell ref="A169:B169"/>
    <mergeCell ref="A170:B170"/>
    <mergeCell ref="A171:B171"/>
    <mergeCell ref="A156:H156"/>
    <mergeCell ref="L156:M156"/>
    <mergeCell ref="A157:B157"/>
    <mergeCell ref="G157:H163"/>
    <mergeCell ref="A158:B158"/>
    <mergeCell ref="A159:B159"/>
    <mergeCell ref="A160:B160"/>
    <mergeCell ref="A161:B161"/>
    <mergeCell ref="A162:B162"/>
    <mergeCell ref="A163:B163"/>
    <mergeCell ref="C162:F163"/>
    <mergeCell ref="L132:M132"/>
    <mergeCell ref="A133:B133"/>
    <mergeCell ref="A134:B134"/>
    <mergeCell ref="A135:B135"/>
    <mergeCell ref="A136:B136"/>
    <mergeCell ref="A149:B149"/>
    <mergeCell ref="G149:H155"/>
    <mergeCell ref="A150:B150"/>
    <mergeCell ref="A151:B151"/>
    <mergeCell ref="A152:B152"/>
    <mergeCell ref="A153:B153"/>
    <mergeCell ref="A154:B154"/>
    <mergeCell ref="A155:B155"/>
    <mergeCell ref="A148:H148"/>
    <mergeCell ref="L148:M148"/>
    <mergeCell ref="A141:B141"/>
    <mergeCell ref="A142:B142"/>
    <mergeCell ref="A143:B143"/>
    <mergeCell ref="A144:B144"/>
    <mergeCell ref="A145:B145"/>
    <mergeCell ref="A137:B137"/>
    <mergeCell ref="A138:B138"/>
    <mergeCell ref="A139:B139"/>
    <mergeCell ref="C138:F139"/>
    <mergeCell ref="A140:H140"/>
    <mergeCell ref="L140:M140"/>
    <mergeCell ref="A80:E80"/>
    <mergeCell ref="A77:H77"/>
    <mergeCell ref="G93:H93"/>
    <mergeCell ref="A97:H97"/>
    <mergeCell ref="A146:B146"/>
    <mergeCell ref="A147:B147"/>
    <mergeCell ref="G125:H131"/>
    <mergeCell ref="G133:H139"/>
    <mergeCell ref="G141:H147"/>
    <mergeCell ref="A132:H132"/>
    <mergeCell ref="E92:F92"/>
    <mergeCell ref="L108:M108"/>
    <mergeCell ref="L107:M107"/>
    <mergeCell ref="G104:H104"/>
    <mergeCell ref="G102:H102"/>
    <mergeCell ref="G108:H108"/>
    <mergeCell ref="G107:H107"/>
    <mergeCell ref="G103:H103"/>
    <mergeCell ref="G106:H106"/>
    <mergeCell ref="G105:H105"/>
    <mergeCell ref="L116:M116"/>
    <mergeCell ref="A109:H109"/>
    <mergeCell ref="A41:D41"/>
    <mergeCell ref="E41:H41"/>
    <mergeCell ref="E42:H42"/>
    <mergeCell ref="E44:H44"/>
    <mergeCell ref="A92:B92"/>
    <mergeCell ref="E40:H40"/>
    <mergeCell ref="A40:D40"/>
    <mergeCell ref="A196:H196"/>
    <mergeCell ref="A122:B122"/>
    <mergeCell ref="A193:H193"/>
    <mergeCell ref="A117:B117"/>
    <mergeCell ref="A95:B95"/>
    <mergeCell ref="D110:D111"/>
    <mergeCell ref="E110:E111"/>
    <mergeCell ref="G110:H111"/>
    <mergeCell ref="A69:B69"/>
    <mergeCell ref="F78:H78"/>
    <mergeCell ref="A75:H75"/>
    <mergeCell ref="A76:B76"/>
    <mergeCell ref="C76:H76"/>
    <mergeCell ref="F79:H79"/>
    <mergeCell ref="A79:E79"/>
    <mergeCell ref="F80:H80"/>
    <mergeCell ref="A88:E88"/>
    <mergeCell ref="D57:H57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E49"/>
    <mergeCell ref="G49:H49"/>
    <mergeCell ref="A56:C56"/>
    <mergeCell ref="A57:C57"/>
    <mergeCell ref="A199:H202"/>
    <mergeCell ref="A198:B198"/>
    <mergeCell ref="E198:F198"/>
    <mergeCell ref="C198:D198"/>
    <mergeCell ref="G198:H198"/>
    <mergeCell ref="A91:H91"/>
    <mergeCell ref="A89:E89"/>
    <mergeCell ref="F89:H89"/>
    <mergeCell ref="A90:E90"/>
    <mergeCell ref="F90:H90"/>
    <mergeCell ref="A116:H116"/>
    <mergeCell ref="A96:B96"/>
    <mergeCell ref="A93:B93"/>
    <mergeCell ref="A194:H194"/>
    <mergeCell ref="A94:H94"/>
    <mergeCell ref="A197:H197"/>
    <mergeCell ref="A195:H195"/>
    <mergeCell ref="A180:H180"/>
    <mergeCell ref="A191:H191"/>
    <mergeCell ref="A192:H192"/>
    <mergeCell ref="C95:D95"/>
    <mergeCell ref="E95:F95"/>
    <mergeCell ref="G95:H95"/>
    <mergeCell ref="C92:D92"/>
    <mergeCell ref="A59:C59"/>
    <mergeCell ref="D59:H59"/>
    <mergeCell ref="A64:B64"/>
    <mergeCell ref="G63:H63"/>
    <mergeCell ref="A62:B62"/>
    <mergeCell ref="A60:B60"/>
    <mergeCell ref="C60:H60"/>
    <mergeCell ref="A68:B68"/>
    <mergeCell ref="A58:C58"/>
    <mergeCell ref="D58:H58"/>
    <mergeCell ref="C62:H62"/>
    <mergeCell ref="A63:B63"/>
    <mergeCell ref="A66:B66"/>
    <mergeCell ref="A65:B65"/>
    <mergeCell ref="A67:B67"/>
    <mergeCell ref="E63:F63"/>
    <mergeCell ref="E64:F73"/>
    <mergeCell ref="G64:H73"/>
    <mergeCell ref="A72:B72"/>
    <mergeCell ref="A73:B73"/>
    <mergeCell ref="A70:B70"/>
    <mergeCell ref="A71:B71"/>
    <mergeCell ref="A42:D42"/>
    <mergeCell ref="A43:D43"/>
    <mergeCell ref="A44:D44"/>
    <mergeCell ref="A45:H45"/>
    <mergeCell ref="D56:H56"/>
    <mergeCell ref="G48:H48"/>
    <mergeCell ref="D52:H52"/>
    <mergeCell ref="C48:E48"/>
    <mergeCell ref="A55:C55"/>
    <mergeCell ref="D55:H55"/>
    <mergeCell ref="D54:H54"/>
    <mergeCell ref="A54:C54"/>
    <mergeCell ref="G47:H47"/>
    <mergeCell ref="A48:B49"/>
    <mergeCell ref="E43:H43"/>
    <mergeCell ref="A46:B46"/>
    <mergeCell ref="C46:E46"/>
    <mergeCell ref="G46:H46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5:D25"/>
    <mergeCell ref="E25:H25"/>
    <mergeCell ref="E24:H24"/>
    <mergeCell ref="A26:D26"/>
    <mergeCell ref="E26:H26"/>
    <mergeCell ref="A23:D23"/>
    <mergeCell ref="E23:H23"/>
    <mergeCell ref="A27:D27"/>
    <mergeCell ref="E27:H27"/>
    <mergeCell ref="A24:D24"/>
    <mergeCell ref="A28:D28"/>
    <mergeCell ref="E28:H28"/>
    <mergeCell ref="A35:H35"/>
    <mergeCell ref="A34:B34"/>
    <mergeCell ref="A29:D29"/>
    <mergeCell ref="E29:H29"/>
    <mergeCell ref="A38:H38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3:B33"/>
    <mergeCell ref="C33:E33"/>
    <mergeCell ref="C34:E34"/>
    <mergeCell ref="A74:E74"/>
    <mergeCell ref="F74:H74"/>
    <mergeCell ref="B99:B100"/>
    <mergeCell ref="F87:H87"/>
    <mergeCell ref="A83:E83"/>
    <mergeCell ref="F83:H83"/>
    <mergeCell ref="L106:M106"/>
    <mergeCell ref="L105:M105"/>
    <mergeCell ref="L104:M104"/>
    <mergeCell ref="L103:M103"/>
    <mergeCell ref="L102:M102"/>
    <mergeCell ref="A81:E81"/>
    <mergeCell ref="F81:H81"/>
    <mergeCell ref="A82:E82"/>
    <mergeCell ref="F82:H82"/>
    <mergeCell ref="C96:D96"/>
    <mergeCell ref="E96:F96"/>
    <mergeCell ref="G96:H96"/>
    <mergeCell ref="C99:C100"/>
    <mergeCell ref="F88:H88"/>
    <mergeCell ref="F86:H86"/>
    <mergeCell ref="F84:H84"/>
    <mergeCell ref="A78:E78"/>
    <mergeCell ref="A98:H98"/>
    <mergeCell ref="A110:A111"/>
    <mergeCell ref="A121:B121"/>
    <mergeCell ref="A118:B118"/>
    <mergeCell ref="A119:B119"/>
    <mergeCell ref="A120:B120"/>
    <mergeCell ref="C110:C111"/>
    <mergeCell ref="L124:M124"/>
    <mergeCell ref="B110:B111"/>
    <mergeCell ref="A112:H112"/>
    <mergeCell ref="A113:H113"/>
    <mergeCell ref="A114:H114"/>
    <mergeCell ref="A115:H115"/>
    <mergeCell ref="A84:E84"/>
    <mergeCell ref="A86:E86"/>
    <mergeCell ref="A85:E85"/>
    <mergeCell ref="F85:H85"/>
    <mergeCell ref="A99:A100"/>
    <mergeCell ref="A107:B107"/>
    <mergeCell ref="A108:B108"/>
    <mergeCell ref="A102:B102"/>
    <mergeCell ref="A103:B103"/>
    <mergeCell ref="A104:B104"/>
    <mergeCell ref="A105:B105"/>
    <mergeCell ref="A106:B106"/>
    <mergeCell ref="A101:H101"/>
    <mergeCell ref="E99:E100"/>
    <mergeCell ref="G99:H100"/>
    <mergeCell ref="D99:D100"/>
    <mergeCell ref="G92:H92"/>
    <mergeCell ref="A87:E87"/>
    <mergeCell ref="C93:D93"/>
    <mergeCell ref="E93:F93"/>
    <mergeCell ref="A128:B128"/>
    <mergeCell ref="A129:B129"/>
    <mergeCell ref="A130:B130"/>
    <mergeCell ref="A131:B131"/>
    <mergeCell ref="A123:B123"/>
    <mergeCell ref="A124:H124"/>
    <mergeCell ref="A127:B127"/>
    <mergeCell ref="G117:H123"/>
    <mergeCell ref="A125:B125"/>
    <mergeCell ref="A126:B126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orientation="portrait" r:id="rId2"/>
  <headerFooter>
    <oddHeader>&amp;C&amp;G</oddHeader>
    <oddFooter>&amp;L&amp;"Times New Roman,Bold"&amp;12Ref No: &amp;F&amp;C&amp;G&amp;R&amp;"Times New Roman,Bold"&amp;12                             &amp;P</oddFooter>
  </headerFooter>
  <rowBreaks count="2" manualBreakCount="2">
    <brk id="202" max="16383" man="1"/>
    <brk id="24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7" workbookViewId="0">
      <selection activeCell="D27" sqref="D27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77</v>
      </c>
      <c r="C2" s="166"/>
      <c r="D2" s="166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78</v>
      </c>
      <c r="B4" s="5" t="s">
        <v>79</v>
      </c>
      <c r="C4" s="167" t="s">
        <v>80</v>
      </c>
      <c r="D4" s="167"/>
      <c r="E4" s="167"/>
      <c r="F4" s="6"/>
      <c r="G4" s="167" t="s">
        <v>81</v>
      </c>
      <c r="H4" s="167"/>
      <c r="I4" s="167"/>
      <c r="J4" s="167" t="s">
        <v>82</v>
      </c>
      <c r="K4" s="167"/>
      <c r="L4" s="167"/>
    </row>
    <row r="5" spans="1:12" x14ac:dyDescent="0.2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2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109375" defaultRowHeight="15" x14ac:dyDescent="0.25"/>
  <cols>
    <col min="1" max="1" width="8.7109375" style="25"/>
    <col min="2" max="2" width="22.140625" style="25" customWidth="1"/>
    <col min="3" max="3" width="37" style="25" customWidth="1"/>
    <col min="4" max="5" width="11.42578125" style="25" customWidth="1"/>
    <col min="6" max="6" width="14" style="25" customWidth="1"/>
    <col min="7" max="7" width="20" style="25" customWidth="1"/>
    <col min="8" max="8" width="16.42578125" style="25" customWidth="1"/>
    <col min="9" max="16384" width="8.7109375" style="25"/>
  </cols>
  <sheetData>
    <row r="1" spans="1:9" ht="15" customHeight="1" x14ac:dyDescent="0.25"/>
    <row r="2" spans="1:9" ht="15" customHeight="1" x14ac:dyDescent="0.25">
      <c r="A2" s="26"/>
      <c r="B2" s="26"/>
      <c r="C2" s="26"/>
      <c r="D2" s="26"/>
      <c r="E2" s="26"/>
      <c r="F2" s="26"/>
      <c r="G2" s="26"/>
      <c r="H2" s="26"/>
    </row>
    <row r="3" spans="1:9" ht="15.75" customHeight="1" x14ac:dyDescent="0.25">
      <c r="A3" s="26"/>
      <c r="B3" s="168" t="s">
        <v>146</v>
      </c>
      <c r="C3" s="168"/>
      <c r="D3" s="168"/>
      <c r="E3" s="168"/>
      <c r="F3" s="168"/>
      <c r="G3" s="168"/>
      <c r="H3" s="168"/>
    </row>
    <row r="4" spans="1:9" x14ac:dyDescent="0.25">
      <c r="A4" s="26"/>
      <c r="B4" s="27" t="s">
        <v>147</v>
      </c>
      <c r="C4" s="27" t="s">
        <v>148</v>
      </c>
      <c r="D4" s="27" t="s">
        <v>78</v>
      </c>
      <c r="E4" s="27" t="s">
        <v>149</v>
      </c>
      <c r="F4" s="27" t="s">
        <v>156</v>
      </c>
      <c r="G4" s="27" t="s">
        <v>157</v>
      </c>
      <c r="H4" s="27" t="s">
        <v>150</v>
      </c>
    </row>
    <row r="5" spans="1:9" ht="15" customHeight="1" x14ac:dyDescent="0.25">
      <c r="A5" s="26"/>
      <c r="B5" s="29" t="s">
        <v>151</v>
      </c>
      <c r="C5" s="30"/>
      <c r="D5" s="29" t="s">
        <v>152</v>
      </c>
      <c r="E5" s="29">
        <v>1106</v>
      </c>
      <c r="F5" s="31">
        <f>E5*1.6</f>
        <v>1769.6000000000001</v>
      </c>
      <c r="G5" s="31">
        <f>H5/F5</f>
        <v>31532.549728752259</v>
      </c>
      <c r="H5" s="32">
        <v>55800000</v>
      </c>
    </row>
    <row r="6" spans="1:9" x14ac:dyDescent="0.25">
      <c r="A6" s="26"/>
      <c r="B6" s="29" t="s">
        <v>151</v>
      </c>
      <c r="C6" s="33"/>
      <c r="D6" s="29"/>
      <c r="E6" s="29"/>
      <c r="F6" s="31">
        <f t="shared" ref="F6:F11" si="0">E6*1.6</f>
        <v>0</v>
      </c>
      <c r="G6" s="31" t="e">
        <f t="shared" ref="G6:G11" si="1">H6/F6</f>
        <v>#DIV/0!</v>
      </c>
      <c r="H6" s="32"/>
    </row>
    <row r="7" spans="1:9" ht="15" customHeight="1" x14ac:dyDescent="0.25">
      <c r="A7" s="26"/>
      <c r="B7" s="29" t="s">
        <v>151</v>
      </c>
      <c r="C7" s="30"/>
      <c r="D7" s="29"/>
      <c r="E7" s="29"/>
      <c r="F7" s="31">
        <f t="shared" si="0"/>
        <v>0</v>
      </c>
      <c r="G7" s="31" t="e">
        <f t="shared" si="1"/>
        <v>#DIV/0!</v>
      </c>
      <c r="H7" s="32"/>
    </row>
    <row r="8" spans="1:9" x14ac:dyDescent="0.25">
      <c r="A8" s="26"/>
      <c r="B8" s="29" t="s">
        <v>151</v>
      </c>
      <c r="C8" s="33"/>
      <c r="D8" s="29"/>
      <c r="E8" s="29"/>
      <c r="F8" s="31">
        <f t="shared" si="0"/>
        <v>0</v>
      </c>
      <c r="G8" s="31" t="e">
        <f t="shared" si="1"/>
        <v>#DIV/0!</v>
      </c>
      <c r="H8" s="32"/>
    </row>
    <row r="9" spans="1:9" ht="15" customHeight="1" x14ac:dyDescent="0.25">
      <c r="A9" s="26"/>
      <c r="B9" s="29" t="s">
        <v>151</v>
      </c>
      <c r="C9" s="33"/>
      <c r="D9" s="29"/>
      <c r="E9" s="29"/>
      <c r="F9" s="31">
        <f t="shared" si="0"/>
        <v>0</v>
      </c>
      <c r="G9" s="31" t="e">
        <f t="shared" si="1"/>
        <v>#DIV/0!</v>
      </c>
      <c r="H9" s="32"/>
    </row>
    <row r="10" spans="1:9" ht="15" customHeight="1" x14ac:dyDescent="0.25">
      <c r="A10" s="26"/>
      <c r="B10" s="29" t="s">
        <v>153</v>
      </c>
      <c r="C10" s="30"/>
      <c r="D10" s="29"/>
      <c r="E10" s="29"/>
      <c r="F10" s="31">
        <f t="shared" si="0"/>
        <v>0</v>
      </c>
      <c r="G10" s="31" t="e">
        <f t="shared" si="1"/>
        <v>#DIV/0!</v>
      </c>
      <c r="H10" s="32"/>
    </row>
    <row r="11" spans="1:9" ht="15" customHeight="1" x14ac:dyDescent="0.25">
      <c r="A11" s="26"/>
      <c r="B11" s="29" t="s">
        <v>153</v>
      </c>
      <c r="C11" s="30"/>
      <c r="D11" s="29"/>
      <c r="E11" s="29"/>
      <c r="F11" s="31">
        <f t="shared" si="0"/>
        <v>0</v>
      </c>
      <c r="G11" s="31" t="e">
        <f t="shared" si="1"/>
        <v>#DIV/0!</v>
      </c>
      <c r="H11" s="32"/>
    </row>
    <row r="12" spans="1:9" ht="15" customHeight="1" x14ac:dyDescent="0.25">
      <c r="A12" s="26"/>
      <c r="B12" s="34" t="s">
        <v>154</v>
      </c>
      <c r="C12" s="29"/>
      <c r="D12" s="29"/>
      <c r="E12" s="29"/>
      <c r="F12" s="29"/>
      <c r="G12" s="35" t="e">
        <f>AVERAGE(G5:G11)</f>
        <v>#DIV/0!</v>
      </c>
      <c r="H12" s="29"/>
    </row>
    <row r="13" spans="1:9" ht="15" customHeight="1" x14ac:dyDescent="0.25">
      <c r="B13" s="34" t="s">
        <v>155</v>
      </c>
      <c r="C13" s="29"/>
      <c r="D13" s="29"/>
      <c r="E13" s="29"/>
      <c r="F13" s="36"/>
      <c r="G13" s="34"/>
      <c r="H13" s="34"/>
      <c r="I13" s="28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2025-08-14T06:19:43Z</cp:lastPrinted>
  <dcterms:created xsi:type="dcterms:W3CDTF">2019-07-16T09:29:46Z</dcterms:created>
  <dcterms:modified xsi:type="dcterms:W3CDTF">2025-08-14T06:19:45Z</dcterms:modified>
</cp:coreProperties>
</file>