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8" i="1" l="1"/>
  <c r="J275" i="1"/>
  <c r="J282" i="1"/>
  <c r="J289" i="1"/>
  <c r="J296" i="1"/>
  <c r="J303" i="1"/>
  <c r="E284" i="1" l="1"/>
  <c r="E283" i="1"/>
  <c r="E305" i="1"/>
  <c r="E304" i="1"/>
  <c r="D298" i="1"/>
  <c r="D297" i="1"/>
  <c r="E291" i="1"/>
  <c r="E290" i="1"/>
  <c r="D277" i="1"/>
  <c r="D276" i="1"/>
  <c r="E270" i="1"/>
  <c r="E269" i="1"/>
  <c r="I265" i="1"/>
  <c r="I264" i="1"/>
  <c r="D263" i="1"/>
  <c r="D262" i="1"/>
  <c r="I262" i="1"/>
  <c r="E263" i="1" l="1"/>
  <c r="F263" i="1" s="1"/>
  <c r="J263" i="1" s="1"/>
  <c r="E262" i="1"/>
  <c r="D267" i="1"/>
  <c r="F267" i="1" s="1"/>
  <c r="D266" i="1"/>
  <c r="F266" i="1" s="1"/>
  <c r="D265" i="1"/>
  <c r="F265" i="1" s="1"/>
  <c r="J265" i="1" s="1"/>
  <c r="D264" i="1"/>
  <c r="F264" i="1" s="1"/>
  <c r="J264" i="1" s="1"/>
  <c r="D274" i="1"/>
  <c r="F274" i="1" s="1"/>
  <c r="D273" i="1"/>
  <c r="F273" i="1" s="1"/>
  <c r="J273" i="1" s="1"/>
  <c r="D272" i="1"/>
  <c r="F272" i="1" s="1"/>
  <c r="D271" i="1"/>
  <c r="F271" i="1" s="1"/>
  <c r="J271" i="1" s="1"/>
  <c r="D270" i="1"/>
  <c r="D269" i="1"/>
  <c r="F269" i="1" s="1"/>
  <c r="D281" i="1"/>
  <c r="F281" i="1" s="1"/>
  <c r="D280" i="1"/>
  <c r="F280" i="1" s="1"/>
  <c r="J280" i="1" s="1"/>
  <c r="D279" i="1"/>
  <c r="F279" i="1" s="1"/>
  <c r="D278" i="1"/>
  <c r="F278" i="1" s="1"/>
  <c r="J278" i="1" s="1"/>
  <c r="E277" i="1"/>
  <c r="E276" i="1"/>
  <c r="D288" i="1"/>
  <c r="F288" i="1" s="1"/>
  <c r="J288" i="1" s="1"/>
  <c r="D287" i="1"/>
  <c r="F287" i="1" s="1"/>
  <c r="J287" i="1" s="1"/>
  <c r="D286" i="1"/>
  <c r="F286" i="1" s="1"/>
  <c r="J286" i="1" s="1"/>
  <c r="D285" i="1"/>
  <c r="F285" i="1" s="1"/>
  <c r="J285" i="1" s="1"/>
  <c r="D284" i="1"/>
  <c r="D283" i="1"/>
  <c r="D295" i="1"/>
  <c r="F295" i="1" s="1"/>
  <c r="J295" i="1" s="1"/>
  <c r="D294" i="1"/>
  <c r="F294" i="1" s="1"/>
  <c r="J294" i="1" s="1"/>
  <c r="D293" i="1"/>
  <c r="F293" i="1" s="1"/>
  <c r="J293" i="1" s="1"/>
  <c r="D292" i="1"/>
  <c r="F292" i="1" s="1"/>
  <c r="J292" i="1" s="1"/>
  <c r="D291" i="1"/>
  <c r="D290" i="1"/>
  <c r="E298" i="1"/>
  <c r="F298" i="1" s="1"/>
  <c r="J298" i="1" s="1"/>
  <c r="E297" i="1"/>
  <c r="D302" i="1"/>
  <c r="F302" i="1" s="1"/>
  <c r="J302" i="1" s="1"/>
  <c r="D301" i="1"/>
  <c r="F301" i="1" s="1"/>
  <c r="J301" i="1" s="1"/>
  <c r="D300" i="1"/>
  <c r="F300" i="1" s="1"/>
  <c r="J300" i="1" s="1"/>
  <c r="D299" i="1"/>
  <c r="F299" i="1" s="1"/>
  <c r="J299" i="1" s="1"/>
  <c r="D309" i="1"/>
  <c r="F309" i="1" s="1"/>
  <c r="J309" i="1" s="1"/>
  <c r="D308" i="1"/>
  <c r="F308" i="1" s="1"/>
  <c r="J308" i="1" s="1"/>
  <c r="D307" i="1"/>
  <c r="F307" i="1" s="1"/>
  <c r="D306" i="1"/>
  <c r="F306" i="1" s="1"/>
  <c r="J306" i="1" s="1"/>
  <c r="D305" i="1"/>
  <c r="D304" i="1"/>
  <c r="A305" i="1"/>
  <c r="A306" i="1" s="1"/>
  <c r="A307" i="1" s="1"/>
  <c r="A308" i="1" s="1"/>
  <c r="A309" i="1" s="1"/>
  <c r="G304" i="1"/>
  <c r="G305" i="1" s="1"/>
  <c r="G306" i="1" s="1"/>
  <c r="G307" i="1" s="1"/>
  <c r="G308" i="1" s="1"/>
  <c r="G309" i="1" s="1"/>
  <c r="G297" i="1"/>
  <c r="G298" i="1" s="1"/>
  <c r="G299" i="1" s="1"/>
  <c r="G300" i="1" s="1"/>
  <c r="G301" i="1" s="1"/>
  <c r="G302" i="1" s="1"/>
  <c r="J310" i="1"/>
  <c r="G290" i="1"/>
  <c r="G291" i="1" s="1"/>
  <c r="G292" i="1" s="1"/>
  <c r="G293" i="1" s="1"/>
  <c r="G294" i="1" s="1"/>
  <c r="G295" i="1" s="1"/>
  <c r="A291" i="1"/>
  <c r="A292" i="1" s="1"/>
  <c r="A293" i="1" s="1"/>
  <c r="A294" i="1" s="1"/>
  <c r="A295" i="1" s="1"/>
  <c r="A284" i="1"/>
  <c r="A285" i="1" s="1"/>
  <c r="A286" i="1" s="1"/>
  <c r="A287" i="1" s="1"/>
  <c r="A288" i="1" s="1"/>
  <c r="G283" i="1"/>
  <c r="G284" i="1" s="1"/>
  <c r="G285" i="1" s="1"/>
  <c r="G286" i="1" s="1"/>
  <c r="G287" i="1" s="1"/>
  <c r="G288" i="1" s="1"/>
  <c r="G276" i="1"/>
  <c r="G277" i="1" s="1"/>
  <c r="G278" i="1" s="1"/>
  <c r="G279" i="1" s="1"/>
  <c r="G280" i="1" s="1"/>
  <c r="G281" i="1" s="1"/>
  <c r="G269" i="1"/>
  <c r="G270" i="1" s="1"/>
  <c r="G271" i="1" s="1"/>
  <c r="G272" i="1" s="1"/>
  <c r="G273" i="1" s="1"/>
  <c r="G274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D146" i="1"/>
  <c r="F146" i="1" s="1"/>
  <c r="D145" i="1"/>
  <c r="F145" i="1" s="1"/>
  <c r="D144" i="1"/>
  <c r="F144" i="1" s="1"/>
  <c r="D143" i="1"/>
  <c r="F143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6" i="1"/>
  <c r="F126" i="1" s="1"/>
  <c r="D125" i="1"/>
  <c r="D123" i="1"/>
  <c r="F123" i="1" s="1"/>
  <c r="D122" i="1"/>
  <c r="F122" i="1" s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D112" i="1"/>
  <c r="J111" i="1"/>
  <c r="G262" i="1"/>
  <c r="G263" i="1" s="1"/>
  <c r="G264" i="1" s="1"/>
  <c r="G265" i="1" s="1"/>
  <c r="G266" i="1" s="1"/>
  <c r="G267" i="1" s="1"/>
  <c r="D312" i="1"/>
  <c r="D311" i="1"/>
  <c r="A247" i="1"/>
  <c r="A248" i="1" s="1"/>
  <c r="A249" i="1" s="1"/>
  <c r="A250" i="1" s="1"/>
  <c r="A251" i="1" s="1"/>
  <c r="G246" i="1"/>
  <c r="G247" i="1" s="1"/>
  <c r="G248" i="1" s="1"/>
  <c r="G249" i="1" s="1"/>
  <c r="G250" i="1" s="1"/>
  <c r="G251" i="1" s="1"/>
  <c r="A188" i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G187" i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A240" i="1"/>
  <c r="A241" i="1" s="1"/>
  <c r="A242" i="1" s="1"/>
  <c r="A243" i="1" s="1"/>
  <c r="A244" i="1" s="1"/>
  <c r="G239" i="1"/>
  <c r="G240" i="1" s="1"/>
  <c r="G241" i="1" s="1"/>
  <c r="G242" i="1" s="1"/>
  <c r="G243" i="1" s="1"/>
  <c r="G244" i="1" s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G165" i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A233" i="1"/>
  <c r="A234" i="1" s="1"/>
  <c r="A235" i="1" s="1"/>
  <c r="A236" i="1" s="1"/>
  <c r="A237" i="1" s="1"/>
  <c r="G232" i="1"/>
  <c r="G233" i="1" s="1"/>
  <c r="G234" i="1" s="1"/>
  <c r="G235" i="1" s="1"/>
  <c r="G236" i="1" s="1"/>
  <c r="G237" i="1" s="1"/>
  <c r="F147" i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G143" i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225" i="1"/>
  <c r="G226" i="1" s="1"/>
  <c r="G227" i="1" s="1"/>
  <c r="G228" i="1" s="1"/>
  <c r="G229" i="1" s="1"/>
  <c r="G230" i="1" s="1"/>
  <c r="G128" i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A254" i="1"/>
  <c r="A255" i="1" s="1"/>
  <c r="A256" i="1" s="1"/>
  <c r="A218" i="1"/>
  <c r="A219" i="1" s="1"/>
  <c r="A220" i="1" s="1"/>
  <c r="A221" i="1" s="1"/>
  <c r="A222" i="1" s="1"/>
  <c r="A223" i="1" s="1"/>
  <c r="G217" i="1"/>
  <c r="G218" i="1" s="1"/>
  <c r="G219" i="1" s="1"/>
  <c r="G220" i="1" s="1"/>
  <c r="G221" i="1" s="1"/>
  <c r="G222" i="1" s="1"/>
  <c r="G223" i="1" s="1"/>
  <c r="A126" i="1"/>
  <c r="G125" i="1"/>
  <c r="G126" i="1" s="1"/>
  <c r="A211" i="1"/>
  <c r="A212" i="1" s="1"/>
  <c r="A213" i="1" s="1"/>
  <c r="A214" i="1" s="1"/>
  <c r="A215" i="1" s="1"/>
  <c r="G210" i="1"/>
  <c r="G211" i="1" s="1"/>
  <c r="G212" i="1" s="1"/>
  <c r="G213" i="1" s="1"/>
  <c r="G214" i="1" s="1"/>
  <c r="G215" i="1" s="1"/>
  <c r="J123" i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G112" i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E105" i="1" l="1"/>
  <c r="C100" i="1"/>
  <c r="E100" i="1"/>
  <c r="J281" i="1"/>
  <c r="I281" i="1"/>
  <c r="I269" i="1"/>
  <c r="J269" i="1"/>
  <c r="I266" i="1"/>
  <c r="J266" i="1"/>
  <c r="I267" i="1"/>
  <c r="J267" i="1"/>
  <c r="C101" i="1"/>
  <c r="E101" i="1"/>
  <c r="J272" i="1"/>
  <c r="I272" i="1"/>
  <c r="F113" i="1"/>
  <c r="G99" i="1" s="1"/>
  <c r="C99" i="1"/>
  <c r="E99" i="1"/>
  <c r="J307" i="1"/>
  <c r="I307" i="1"/>
  <c r="J274" i="1"/>
  <c r="I274" i="1"/>
  <c r="J279" i="1"/>
  <c r="I279" i="1"/>
  <c r="F262" i="1"/>
  <c r="C105" i="1"/>
  <c r="F125" i="1"/>
  <c r="G100" i="1" s="1"/>
  <c r="F297" i="1"/>
  <c r="J297" i="1" s="1"/>
  <c r="F112" i="1"/>
  <c r="G101" i="1" s="1"/>
  <c r="F305" i="1"/>
  <c r="J305" i="1" s="1"/>
  <c r="F284" i="1"/>
  <c r="J284" i="1" s="1"/>
  <c r="F304" i="1"/>
  <c r="J304" i="1" s="1"/>
  <c r="F290" i="1"/>
  <c r="J290" i="1" s="1"/>
  <c r="F291" i="1"/>
  <c r="J291" i="1" s="1"/>
  <c r="F283" i="1"/>
  <c r="J283" i="1" s="1"/>
  <c r="F276" i="1"/>
  <c r="J276" i="1" s="1"/>
  <c r="F277" i="1"/>
  <c r="J277" i="1" s="1"/>
  <c r="F270" i="1"/>
  <c r="J270" i="1" s="1"/>
  <c r="C14" i="1"/>
  <c r="C102" i="1" l="1"/>
  <c r="K262" i="1"/>
  <c r="J262" i="1"/>
  <c r="G102" i="1"/>
  <c r="E102" i="1"/>
  <c r="L104" i="1" s="1"/>
  <c r="G105" i="1"/>
  <c r="E29" i="1"/>
  <c r="K104" i="1" l="1"/>
  <c r="F312" i="1"/>
  <c r="F313" i="1"/>
  <c r="F314" i="1"/>
  <c r="F311" i="1"/>
  <c r="A312" i="1"/>
  <c r="A313" i="1" s="1"/>
  <c r="A314" i="1" s="1"/>
  <c r="G311" i="1"/>
  <c r="G312" i="1" s="1"/>
  <c r="G313" i="1" s="1"/>
  <c r="G314" i="1" s="1"/>
  <c r="F96" i="1" l="1"/>
  <c r="F254" i="1" l="1"/>
  <c r="F255" i="1"/>
  <c r="F256" i="1"/>
  <c r="F253" i="1"/>
  <c r="B341" i="1" l="1"/>
  <c r="A328" i="1"/>
  <c r="A322" i="1"/>
  <c r="A334" i="1"/>
  <c r="F338" i="1" l="1"/>
  <c r="F337" i="1"/>
  <c r="F336" i="1"/>
  <c r="F335" i="1"/>
  <c r="F334" i="1"/>
  <c r="F332" i="1"/>
  <c r="F331" i="1"/>
  <c r="F330" i="1"/>
  <c r="F329" i="1"/>
  <c r="F328" i="1"/>
  <c r="F326" i="1"/>
  <c r="F325" i="1"/>
  <c r="F324" i="1"/>
  <c r="F323" i="1"/>
  <c r="F322" i="1"/>
  <c r="F320" i="1"/>
  <c r="F319" i="1"/>
  <c r="F317" i="1"/>
  <c r="F316" i="1"/>
  <c r="F318" i="1"/>
  <c r="A323" i="1"/>
  <c r="A335" i="1"/>
  <c r="A329" i="1"/>
  <c r="B342" i="1" l="1"/>
  <c r="A324" i="1"/>
  <c r="A330" i="1"/>
  <c r="A33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65" i="1"/>
  <c r="G334" i="1"/>
  <c r="G335" i="1" s="1"/>
  <c r="G336" i="1" s="1"/>
  <c r="G337" i="1" s="1"/>
  <c r="G338" i="1" s="1"/>
  <c r="G328" i="1"/>
  <c r="G329" i="1" s="1"/>
  <c r="G330" i="1" s="1"/>
  <c r="G331" i="1" s="1"/>
  <c r="G332" i="1" s="1"/>
  <c r="G322" i="1"/>
  <c r="G323" i="1" s="1"/>
  <c r="G324" i="1" s="1"/>
  <c r="G325" i="1" s="1"/>
  <c r="G326" i="1" s="1"/>
  <c r="G316" i="1"/>
  <c r="G317" i="1" s="1"/>
  <c r="G318" i="1" s="1"/>
  <c r="G319" i="1" s="1"/>
  <c r="G320" i="1" s="1"/>
  <c r="A316" i="1"/>
  <c r="A317" i="1" s="1"/>
  <c r="A318" i="1" s="1"/>
  <c r="A319" i="1" s="1"/>
  <c r="A320" i="1" s="1"/>
  <c r="G253" i="1"/>
  <c r="G254" i="1" s="1"/>
  <c r="G255" i="1" s="1"/>
  <c r="G256" i="1" s="1"/>
  <c r="J79" i="1"/>
  <c r="J78" i="1"/>
  <c r="J77" i="1"/>
  <c r="J76" i="1"/>
  <c r="C68" i="1"/>
  <c r="D57" i="1"/>
  <c r="G49" i="1"/>
  <c r="G50" i="1" s="1"/>
  <c r="C49" i="1"/>
  <c r="C50" i="1" s="1"/>
  <c r="E42" i="1"/>
  <c r="E43" i="1" s="1"/>
  <c r="E26" i="1"/>
  <c r="E24" i="1"/>
  <c r="E7" i="1"/>
  <c r="E3" i="1"/>
  <c r="A331" i="1"/>
  <c r="H69" i="1"/>
  <c r="A337" i="1"/>
  <c r="A325" i="1"/>
  <c r="D62" i="1" l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1" i="1" s="1"/>
  <c r="C73" i="1" s="1"/>
  <c r="A326" i="1"/>
  <c r="A332" i="1"/>
  <c r="A338" i="1"/>
  <c r="D74" i="1" l="1"/>
  <c r="J70" i="1"/>
  <c r="E72" i="1"/>
  <c r="D73" i="1"/>
  <c r="G72" i="1"/>
  <c r="D66" i="1" s="1"/>
  <c r="D72" i="1"/>
  <c r="J69" i="1" s="1"/>
  <c r="I69" i="1" l="1"/>
  <c r="F67" i="1"/>
  <c r="D67" i="1"/>
  <c r="I70" i="1" l="1"/>
  <c r="I68" i="1" s="1"/>
  <c r="C70" i="1" s="1"/>
</calcChain>
</file>

<file path=xl/sharedStrings.xml><?xml version="1.0" encoding="utf-8"?>
<sst xmlns="http://schemas.openxmlformats.org/spreadsheetml/2006/main" count="454" uniqueCount="263">
  <si>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</si>
  <si>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</si>
  <si>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</si>
  <si>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</si>
  <si>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</si>
  <si>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</si>
  <si>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</si>
  <si>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</si>
  <si>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</si>
  <si>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</si>
  <si>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</si>
  <si>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</si>
  <si>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</si>
  <si>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</si>
  <si>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</si>
  <si>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</si>
  <si>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</si>
  <si>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</si>
  <si>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</si>
  <si>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</si>
  <si>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</si>
  <si>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</si>
  <si>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</si>
  <si>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</si>
  <si>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</si>
  <si>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</si>
  <si>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</si>
  <si>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</si>
  <si>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</si>
  <si>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</si>
  <si>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</si>
  <si>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</si>
  <si>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</si>
  <si>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</si>
  <si>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</si>
  <si>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</si>
  <si>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</si>
  <si>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</si>
  <si>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</si>
  <si>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</si>
  <si>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</si>
  <si>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</si>
  <si>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</si>
  <si>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</si>
  <si>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</si>
  <si>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</si>
  <si>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</si>
  <si>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</si>
  <si>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</si>
  <si>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</si>
  <si>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</si>
  <si>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</si>
  <si>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</si>
  <si>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</si>
  <si>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</si>
  <si>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</si>
  <si>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</si>
  <si>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</si>
  <si>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</si>
  <si>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</si>
  <si>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</si>
  <si>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</si>
  <si>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</si>
  <si>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</si>
  <si>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</si>
  <si>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</si>
  <si>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</si>
  <si>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</si>
  <si>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</si>
  <si>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</si>
  <si>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</si>
  <si>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</si>
  <si>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</si>
  <si>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</si>
  <si>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</si>
  <si>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</si>
  <si>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</si>
  <si>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</si>
  <si>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</si>
  <si>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</si>
  <si>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</si>
  <si>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</si>
  <si>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</si>
  <si>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</si>
  <si>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</si>
  <si>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</si>
  <si>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</si>
  <si>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</si>
  <si>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</si>
  <si>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</si>
  <si>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</si>
  <si>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</si>
  <si>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</si>
  <si>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</si>
  <si>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</si>
  <si>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</si>
  <si>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</si>
  <si>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</si>
  <si>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</si>
  <si>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</si>
  <si>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</si>
  <si>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</si>
  <si>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</si>
  <si>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</si>
  <si>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</si>
  <si>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</si>
  <si>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</si>
  <si>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</si>
  <si>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</si>
  <si>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</si>
  <si>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</si>
  <si>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</si>
  <si>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</si>
  <si>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</si>
  <si>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</si>
  <si>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</si>
  <si>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</si>
  <si>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</si>
  <si>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</si>
  <si>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</si>
  <si>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</si>
  <si>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</si>
  <si>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</si>
  <si>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</si>
  <si>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</si>
  <si>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</si>
  <si>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</si>
  <si>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</si>
  <si>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</si>
  <si>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</si>
  <si>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</si>
  <si>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</si>
  <si>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</si>
  <si>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</si>
  <si>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</si>
  <si>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</si>
  <si>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</si>
  <si>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</si>
  <si>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</si>
  <si>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</si>
  <si>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</si>
  <si>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</si>
  <si>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</si>
  <si>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</si>
  <si>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</si>
  <si>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</si>
  <si>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</si>
  <si>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</si>
  <si>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</si>
  <si>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</si>
  <si>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</si>
  <si>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</si>
  <si>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</si>
  <si>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</si>
  <si>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</si>
  <si>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</si>
  <si>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</si>
  <si>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</si>
  <si>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</si>
  <si>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</si>
  <si>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</si>
  <si>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</si>
  <si>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</si>
  <si>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</si>
  <si>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</si>
  <si>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</si>
  <si>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</si>
  <si>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</si>
  <si>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</si>
  <si>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</si>
  <si>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</si>
  <si>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</si>
  <si>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</si>
  <si>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</si>
  <si>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</si>
  <si>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</si>
  <si>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</si>
  <si>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Badlapur</t>
  </si>
  <si>
    <t>Space Buildcon</t>
  </si>
  <si>
    <t>Sky Heights</t>
  </si>
  <si>
    <t>Approved Plans, CC</t>
  </si>
  <si>
    <t>1 Building</t>
  </si>
  <si>
    <t>P51700015959</t>
  </si>
  <si>
    <t>Survey No</t>
  </si>
  <si>
    <t>245, H.No.2 (Pt), CTS No.3380(Pt)</t>
  </si>
  <si>
    <t>Bhanunagar</t>
  </si>
  <si>
    <t>Kalyan West</t>
  </si>
  <si>
    <t>Kalyan</t>
  </si>
  <si>
    <t>Valipeer Road</t>
  </si>
  <si>
    <t>Thane</t>
  </si>
  <si>
    <t>Open Plot</t>
  </si>
  <si>
    <t>Deep Sagar CHS</t>
  </si>
  <si>
    <t>Kalyan Railway Station</t>
  </si>
  <si>
    <t>https://goo.gl/maps/Nk4W3WLKBwWpNg4k8</t>
  </si>
  <si>
    <t>KDMC/TPD/BP/KD/2017-18/70/175</t>
  </si>
  <si>
    <t>As per RERA - 30/12/2025</t>
  </si>
  <si>
    <t>0.35 KM from Kalyan Railway Station</t>
  </si>
  <si>
    <t>Surganga Society</t>
  </si>
  <si>
    <t>Shop</t>
  </si>
  <si>
    <t>Wing B</t>
  </si>
  <si>
    <t>1st Floor</t>
  </si>
  <si>
    <t>Office</t>
  </si>
  <si>
    <t>201 &amp; 301</t>
  </si>
  <si>
    <t>202 &amp; 302</t>
  </si>
  <si>
    <t>203 &amp; 303</t>
  </si>
  <si>
    <t>204 &amp; 304</t>
  </si>
  <si>
    <t>2nd &amp; 3rd Floor</t>
  </si>
  <si>
    <t>205 &amp; 305</t>
  </si>
  <si>
    <t>206 &amp; 306</t>
  </si>
  <si>
    <t>207 &amp; 307</t>
  </si>
  <si>
    <t>208 &amp; 308</t>
  </si>
  <si>
    <t>209 &amp; 309</t>
  </si>
  <si>
    <t>210 &amp; 310</t>
  </si>
  <si>
    <t>211 &amp; 311</t>
  </si>
  <si>
    <t>212 &amp; 312</t>
  </si>
  <si>
    <t>213 &amp; 313</t>
  </si>
  <si>
    <t>214 &amp; 314</t>
  </si>
  <si>
    <t>4th Floor</t>
  </si>
  <si>
    <t>5th Floor</t>
  </si>
  <si>
    <t>refuge area inbtwn 4 &amp; 5</t>
  </si>
  <si>
    <t>6th Floor</t>
  </si>
  <si>
    <t>3.04*0.75+3.33*0.75</t>
  </si>
  <si>
    <t>9th &amp; 11th Floor</t>
  </si>
  <si>
    <t>12th, 14th, 16th, 18th, 20th, 22nd, 24th, 26th &amp; 28th Floor</t>
  </si>
  <si>
    <t>13th, 15th, 17th, 19th, 21st, 23rd, 25th &amp; 27th Floor</t>
  </si>
  <si>
    <t>29th Floor</t>
  </si>
  <si>
    <t>30th Floor</t>
  </si>
  <si>
    <t>31st Floor</t>
  </si>
  <si>
    <t>7th Podium Floor For Amenities &amp; Open Terrace</t>
  </si>
  <si>
    <t>8th &amp; 10th Floor For Residential</t>
  </si>
  <si>
    <t>Ground Floor For Commercial</t>
  </si>
  <si>
    <t>Layout Plan :</t>
  </si>
  <si>
    <t>Kalyan-Dombivli Municipal Corporation (KDMC)</t>
  </si>
  <si>
    <t>G/St + 1st to 31st Floor</t>
  </si>
  <si>
    <t>Shop (Duplex with 1st Floor)</t>
  </si>
  <si>
    <t>Store / Godown Room</t>
  </si>
  <si>
    <t>Basement Floor For Tanks</t>
  </si>
  <si>
    <t>Store</t>
  </si>
  <si>
    <t>Recommended rate of the Shop/Store Per Sq. Ft.</t>
  </si>
  <si>
    <t>We considered Gross carpet area = Net carpet + Enclose balcony + Balcony + E.P Area</t>
  </si>
  <si>
    <t>rate sheet</t>
  </si>
  <si>
    <t>builder</t>
  </si>
  <si>
    <t>flat</t>
  </si>
  <si>
    <t>Flats - 144, Shops - 12, Offices - 92, Store - 1</t>
  </si>
  <si>
    <t>The nalla is below the parking lot of the building. Nalla is covered with an RCC slab as shown in layout which is attached below.</t>
  </si>
  <si>
    <t>The car parking tower is provided adjacent to the building.</t>
  </si>
  <si>
    <t>Recommended rate of the Office Per Sq. Ft.(1st &amp; 2nd Floor)</t>
  </si>
  <si>
    <t>Recommended rate of the Office Per Sq. Ft.(3rd to 6th Floor)</t>
  </si>
  <si>
    <t>8000 TO 9000</t>
  </si>
  <si>
    <t>Abhishek</t>
  </si>
  <si>
    <t>Cost sheet</t>
  </si>
  <si>
    <t>25K to 28K by rushi on 17/10/2023</t>
  </si>
  <si>
    <t>On site we met Mr. Amit : 7710938747.</t>
  </si>
  <si>
    <t>Site Person - Contact Details ( Name &amp; Contact No.)</t>
  </si>
  <si>
    <t>Office No. 1031, Wing J, Akshar Business Park, Plot No. 03 Sector 25, Near APMC Market, Vashi, Navi Mumbai, Maharashtra 400703 TEL: 022-46090378/79/80 
Email : vsjcapf@gmail.com. Web site : www.vsjadon.com</t>
  </si>
  <si>
    <t xml:space="preserve">Part O. Certificate No.: 
Approved upto : </t>
  </si>
  <si>
    <t>KDMC/TPD/CC/KD/40</t>
  </si>
  <si>
    <t>Sky Height Building = Gr/St + 1st to 6th Floor
12 shops &amp; 93 Office</t>
  </si>
  <si>
    <t>We have updated part OC (On 27/05/2025).</t>
  </si>
  <si>
    <t>Mr.Vijay Badgujar 9172782128</t>
  </si>
  <si>
    <t>Shruti Tathare</t>
  </si>
  <si>
    <t>Krishna Kambali</t>
  </si>
  <si>
    <t xml:space="preserve">Finishing work is in process. OC received upto 6th floor.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</si>
</sst>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8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7" xfId="1" applyFont="1" applyFill="1" applyBorder="1"/>
    <xf numFmtId="0" fontId="17" fillId="0" borderId="7" xfId="0" applyNumberFormat="1" applyFont="1" applyFill="1" applyBorder="1" applyProtection="1">
      <protection hidden="1"/>
    </xf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1" fontId="0" fillId="0" borderId="9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2" xfId="0" applyFont="1" applyFill="1" applyBorder="1"/>
    <xf numFmtId="0" fontId="25" fillId="0" borderId="23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0" fontId="8" fillId="0" borderId="1" xfId="1" applyFont="1" applyFill="1" applyBorder="1" applyAlignment="1" applyProtection="1">
      <alignment vertical="top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15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Alignment="1" applyProtection="1">
      <alignment vertical="top"/>
      <protection locked="0"/>
    </xf>
    <xf numFmtId="0" fontId="7" fillId="0" borderId="0" xfId="1" applyFont="1" applyFill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14" fontId="8" fillId="0" borderId="5" xfId="1" applyNumberFormat="1" applyFont="1" applyFill="1" applyBorder="1" applyAlignment="1" applyProtection="1">
      <alignment horizontal="left" vertical="top"/>
      <protection locked="0"/>
    </xf>
    <xf numFmtId="0" fontId="8" fillId="0" borderId="6" xfId="1" applyFont="1" applyFill="1" applyBorder="1" applyAlignment="1" applyProtection="1">
      <alignment horizontal="left" vertical="top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8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0" fontId="10" fillId="0" borderId="0" xfId="1" applyFont="1" applyFill="1" applyAlignment="1" applyProtection="1">
      <alignment horizontal="left" vertical="top"/>
      <protection locked="0"/>
    </xf>
    <xf numFmtId="0" fontId="7" fillId="0" borderId="0" xfId="1" applyFont="1" applyFill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5" xfId="1" applyNumberFormat="1" applyFont="1" applyFill="1" applyBorder="1" applyAlignment="1" applyProtection="1">
      <alignment horizontal="left" vertical="top" wrapText="1"/>
      <protection locked="0"/>
    </xf>
    <xf numFmtId="14" fontId="6" fillId="0" borderId="6" xfId="1" applyNumberFormat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8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27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10" xfId="1" applyFont="1" applyFill="1" applyBorder="1" applyAlignment="1" applyProtection="1">
      <alignment horizontal="left" vertical="top" wrapText="1"/>
      <protection locked="0"/>
    </xf>
    <xf numFmtId="0" fontId="8" fillId="0" borderId="11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426</xdr:row>
      <xdr:rowOff>57150</xdr:rowOff>
    </xdr:from>
    <xdr:to>
      <xdr:col>6</xdr:col>
      <xdr:colOff>764650</xdr:colOff>
      <xdr:row>442</xdr:row>
      <xdr:rowOff>96749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73056750"/>
          <a:ext cx="571765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323850</xdr:colOff>
      <xdr:row>409</xdr:row>
      <xdr:rowOff>38100</xdr:rowOff>
    </xdr:from>
    <xdr:to>
      <xdr:col>6</xdr:col>
      <xdr:colOff>764650</xdr:colOff>
      <xdr:row>425</xdr:row>
      <xdr:rowOff>77699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69637275"/>
          <a:ext cx="571765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333375</xdr:colOff>
      <xdr:row>453</xdr:row>
      <xdr:rowOff>152400</xdr:rowOff>
    </xdr:from>
    <xdr:to>
      <xdr:col>7</xdr:col>
      <xdr:colOff>523973</xdr:colOff>
      <xdr:row>472</xdr:row>
      <xdr:rowOff>131925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87706200"/>
          <a:ext cx="6305648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552450</xdr:colOff>
      <xdr:row>460</xdr:row>
      <xdr:rowOff>95250</xdr:rowOff>
    </xdr:from>
    <xdr:to>
      <xdr:col>2</xdr:col>
      <xdr:colOff>781050</xdr:colOff>
      <xdr:row>461</xdr:row>
      <xdr:rowOff>152400</xdr:rowOff>
    </xdr:to>
    <xdr:cxnSp macro="">
      <xdr:nvCxnSpPr>
        <xdr:cNvPr id="3" name="Straight Arrow Connector 2"/>
        <xdr:cNvCxnSpPr/>
      </xdr:nvCxnSpPr>
      <xdr:spPr>
        <a:xfrm flipH="1">
          <a:off x="2228850" y="78867000"/>
          <a:ext cx="228600" cy="25717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790575</xdr:colOff>
      <xdr:row>459</xdr:row>
      <xdr:rowOff>9525</xdr:rowOff>
    </xdr:from>
    <xdr:ext cx="1000017" cy="374141"/>
    <xdr:sp macro="" textlink="">
      <xdr:nvSpPr>
        <xdr:cNvPr id="13" name="TextBox 12"/>
        <xdr:cNvSpPr txBox="1"/>
      </xdr:nvSpPr>
      <xdr:spPr>
        <a:xfrm>
          <a:off x="2466975" y="78581250"/>
          <a:ext cx="100001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ysClr val="windowText" lastClr="000000"/>
              </a:solidFill>
            </a:rPr>
            <a:t>Building</a:t>
          </a:r>
          <a:r>
            <a:rPr lang="en-IN" sz="1200" b="1">
              <a:solidFill>
                <a:sysClr val="windowText" lastClr="000000"/>
              </a:solidFill>
            </a:rPr>
            <a:t> </a:t>
          </a:r>
        </a:p>
      </xdr:txBody>
    </xdr:sp>
    <xdr:clientData/>
  </xdr:oneCellAnchor>
  <xdr:twoCellAnchor>
    <xdr:from>
      <xdr:col>4</xdr:col>
      <xdr:colOff>95251</xdr:colOff>
      <xdr:row>465</xdr:row>
      <xdr:rowOff>161925</xdr:rowOff>
    </xdr:from>
    <xdr:to>
      <xdr:col>4</xdr:col>
      <xdr:colOff>561975</xdr:colOff>
      <xdr:row>467</xdr:row>
      <xdr:rowOff>123825</xdr:rowOff>
    </xdr:to>
    <xdr:cxnSp macro="">
      <xdr:nvCxnSpPr>
        <xdr:cNvPr id="12" name="Straight Arrow Connector 11"/>
        <xdr:cNvCxnSpPr/>
      </xdr:nvCxnSpPr>
      <xdr:spPr>
        <a:xfrm flipH="1">
          <a:off x="3695701" y="80733900"/>
          <a:ext cx="466724" cy="361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561975</xdr:colOff>
      <xdr:row>463</xdr:row>
      <xdr:rowOff>142875</xdr:rowOff>
    </xdr:from>
    <xdr:ext cx="2363532" cy="374141"/>
    <xdr:sp macro="" textlink="">
      <xdr:nvSpPr>
        <xdr:cNvPr id="19" name="TextBox 18"/>
        <xdr:cNvSpPr txBox="1"/>
      </xdr:nvSpPr>
      <xdr:spPr>
        <a:xfrm>
          <a:off x="4162425" y="80314800"/>
          <a:ext cx="236353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ysClr val="windowText" lastClr="000000"/>
              </a:solidFill>
            </a:rPr>
            <a:t>Nalla</a:t>
          </a:r>
          <a:r>
            <a:rPr lang="en-IN" sz="1800" b="1" baseline="0">
              <a:solidFill>
                <a:sysClr val="windowText" lastClr="000000"/>
              </a:solidFill>
            </a:rPr>
            <a:t> covered RCC slab</a:t>
          </a:r>
          <a:endParaRPr lang="en-IN" sz="12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152400</xdr:colOff>
      <xdr:row>466</xdr:row>
      <xdr:rowOff>85724</xdr:rowOff>
    </xdr:from>
    <xdr:to>
      <xdr:col>5</xdr:col>
      <xdr:colOff>438150</xdr:colOff>
      <xdr:row>470</xdr:row>
      <xdr:rowOff>152399</xdr:rowOff>
    </xdr:to>
    <xdr:sp macro="" textlink="">
      <xdr:nvSpPr>
        <xdr:cNvPr id="2" name="Rectangle 1"/>
        <xdr:cNvSpPr/>
      </xdr:nvSpPr>
      <xdr:spPr>
        <a:xfrm>
          <a:off x="1828800" y="80857724"/>
          <a:ext cx="3048000" cy="8667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714375</xdr:colOff>
      <xdr:row>461</xdr:row>
      <xdr:rowOff>47625</xdr:rowOff>
    </xdr:from>
    <xdr:to>
      <xdr:col>3</xdr:col>
      <xdr:colOff>714375</xdr:colOff>
      <xdr:row>466</xdr:row>
      <xdr:rowOff>133350</xdr:rowOff>
    </xdr:to>
    <xdr:sp macro="" textlink="">
      <xdr:nvSpPr>
        <xdr:cNvPr id="14" name="Rectangle 13"/>
        <xdr:cNvSpPr/>
      </xdr:nvSpPr>
      <xdr:spPr>
        <a:xfrm>
          <a:off x="1533525" y="79819500"/>
          <a:ext cx="1771650" cy="108585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479425</xdr:colOff>
      <xdr:row>365</xdr:row>
      <xdr:rowOff>53975</xdr:rowOff>
    </xdr:from>
    <xdr:to>
      <xdr:col>16</xdr:col>
      <xdr:colOff>213232</xdr:colOff>
      <xdr:row>404</xdr:row>
      <xdr:rowOff>197652</xdr:rowOff>
    </xdr:to>
    <xdr:grpSp>
      <xdr:nvGrpSpPr>
        <xdr:cNvPr id="7" name="Group 6"/>
        <xdr:cNvGrpSpPr/>
      </xdr:nvGrpSpPr>
      <xdr:grpSpPr>
        <a:xfrm>
          <a:off x="7004050" y="61356875"/>
          <a:ext cx="6134607" cy="7935127"/>
          <a:chOff x="203200" y="60413900"/>
          <a:chExt cx="6414007" cy="7811302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60413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1345" y="66065202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7344" y="60413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7344" y="6323955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5271" y="6323955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5272" y="60413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98894" y="6606520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6606520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6323955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104776</xdr:colOff>
      <xdr:row>365</xdr:row>
      <xdr:rowOff>85725</xdr:rowOff>
    </xdr:from>
    <xdr:to>
      <xdr:col>7</xdr:col>
      <xdr:colOff>741047</xdr:colOff>
      <xdr:row>405</xdr:row>
      <xdr:rowOff>190500</xdr:rowOff>
    </xdr:to>
    <xdr:grpSp>
      <xdr:nvGrpSpPr>
        <xdr:cNvPr id="6" name="Group 5"/>
        <xdr:cNvGrpSpPr/>
      </xdr:nvGrpSpPr>
      <xdr:grpSpPr>
        <a:xfrm>
          <a:off x="104776" y="61388625"/>
          <a:ext cx="6332221" cy="8096250"/>
          <a:chOff x="104776" y="61760100"/>
          <a:chExt cx="6332221" cy="8096250"/>
        </a:xfrm>
      </xdr:grpSpPr>
      <xdr:pic>
        <xdr:nvPicPr>
          <xdr:cNvPr id="26" name="Picture 25" descr="https://vsjcllp.vsjadon.com/upload/insp-24329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81501" y="68313299"/>
            <a:ext cx="2055496" cy="15430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3296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4225" y="61760100"/>
            <a:ext cx="2754616" cy="3676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296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6" y="68313299"/>
            <a:ext cx="2055496" cy="15430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296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5775" y="61760100"/>
            <a:ext cx="2754616" cy="3676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3296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7901" y="68313299"/>
            <a:ext cx="2055496" cy="15430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3296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7900" y="65512950"/>
            <a:ext cx="2026712" cy="2705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3296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62450" y="65512950"/>
            <a:ext cx="2026712" cy="2705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3296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350" y="65522475"/>
            <a:ext cx="2026712" cy="2705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112729</xdr:rowOff>
    </xdr:from>
    <xdr:to>
      <xdr:col>6</xdr:col>
      <xdr:colOff>4566</xdr:colOff>
      <xdr:row>53</xdr:row>
      <xdr:rowOff>93229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60093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217394</xdr:colOff>
      <xdr:row>34</xdr:row>
      <xdr:rowOff>112729</xdr:rowOff>
    </xdr:from>
    <xdr:to>
      <xdr:col>15</xdr:col>
      <xdr:colOff>109902</xdr:colOff>
      <xdr:row>53</xdr:row>
      <xdr:rowOff>93229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8659" y="660093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217395</xdr:colOff>
      <xdr:row>14</xdr:row>
      <xdr:rowOff>0</xdr:rowOff>
    </xdr:from>
    <xdr:to>
      <xdr:col>15</xdr:col>
      <xdr:colOff>109903</xdr:colOff>
      <xdr:row>32</xdr:row>
      <xdr:rowOff>171000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8660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k4W3WLKBwWpNg4k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52"/>
  <sheetViews>
    <sheetView tabSelected="1" view="pageBreakPreview" zoomScaleNormal="100" zoomScaleSheetLayoutView="100" zoomScalePageLayoutView="70" workbookViewId="0">
      <selection activeCell="I8" sqref="I8"/>
    </sheetView>
  </sheetViews>
  <sheetFormatPr defaultColWidth="9.140625" defaultRowHeight="15.75" x14ac:dyDescent="0.25"/>
  <cols>
    <col min="1" max="1" width="11.42578125" style="42" customWidth="1"/>
    <col min="2" max="2" width="12" style="42" customWidth="1"/>
    <col min="3" max="3" width="12.7109375" style="42" customWidth="1"/>
    <col min="4" max="4" width="14.140625" style="42" customWidth="1"/>
    <col min="5" max="7" width="11.7109375" style="42" customWidth="1"/>
    <col min="8" max="8" width="12.42578125" style="42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44" t="s">
        <v>254</v>
      </c>
      <c r="B1" s="144"/>
      <c r="C1" s="144"/>
      <c r="D1" s="144"/>
      <c r="E1" s="144"/>
      <c r="F1" s="144"/>
      <c r="G1" s="144"/>
      <c r="H1" s="144"/>
    </row>
    <row r="2" spans="1:8" ht="16.5" customHeight="1" x14ac:dyDescent="0.25">
      <c r="A2" s="134" t="s">
        <v>0</v>
      </c>
      <c r="B2" s="134"/>
      <c r="C2" s="134"/>
      <c r="D2" s="134"/>
      <c r="E2" s="134"/>
      <c r="F2" s="134"/>
      <c r="G2" s="134"/>
      <c r="H2" s="134"/>
    </row>
    <row r="3" spans="1:8" x14ac:dyDescent="0.25">
      <c r="A3" s="118" t="s">
        <v>1</v>
      </c>
      <c r="B3" s="118"/>
      <c r="C3" s="118"/>
      <c r="D3" s="118"/>
      <c r="E3" s="118" t="str">
        <f ca="1">TEXT(TODAY(),"DD/MM/YYYY")</f>
        <v>18/08/2025</v>
      </c>
      <c r="F3" s="118"/>
      <c r="G3" s="118"/>
      <c r="H3" s="118"/>
    </row>
    <row r="4" spans="1:8" ht="15" customHeight="1" x14ac:dyDescent="0.25">
      <c r="A4" s="118" t="s">
        <v>2</v>
      </c>
      <c r="B4" s="118"/>
      <c r="C4" s="118"/>
      <c r="D4" s="118"/>
      <c r="E4" s="118" t="s">
        <v>177</v>
      </c>
      <c r="F4" s="118"/>
      <c r="G4" s="118"/>
      <c r="H4" s="118"/>
    </row>
    <row r="5" spans="1:8" x14ac:dyDescent="0.25">
      <c r="A5" s="118" t="s">
        <v>3</v>
      </c>
      <c r="B5" s="118"/>
      <c r="C5" s="118"/>
      <c r="D5" s="118"/>
      <c r="E5" s="147">
        <v>45881</v>
      </c>
      <c r="F5" s="118"/>
      <c r="G5" s="118"/>
      <c r="H5" s="118"/>
    </row>
    <row r="6" spans="1:8" ht="16.5" customHeight="1" x14ac:dyDescent="0.25">
      <c r="A6" s="118" t="s">
        <v>4</v>
      </c>
      <c r="B6" s="118"/>
      <c r="C6" s="118"/>
      <c r="D6" s="118"/>
      <c r="E6" s="118" t="s">
        <v>178</v>
      </c>
      <c r="F6" s="118"/>
      <c r="G6" s="118"/>
      <c r="H6" s="118"/>
    </row>
    <row r="7" spans="1:8" ht="15" customHeight="1" x14ac:dyDescent="0.25">
      <c r="A7" s="118" t="s">
        <v>5</v>
      </c>
      <c r="B7" s="118"/>
      <c r="C7" s="118"/>
      <c r="D7" s="118"/>
      <c r="E7" s="118" t="str">
        <f>E6</f>
        <v>Space Buildcon</v>
      </c>
      <c r="F7" s="118"/>
      <c r="G7" s="118"/>
      <c r="H7" s="118"/>
    </row>
    <row r="8" spans="1:8" x14ac:dyDescent="0.25">
      <c r="A8" s="118" t="s">
        <v>6</v>
      </c>
      <c r="B8" s="118"/>
      <c r="C8" s="118"/>
      <c r="D8" s="118"/>
      <c r="E8" s="145" t="s">
        <v>179</v>
      </c>
      <c r="F8" s="146"/>
      <c r="G8" s="146"/>
      <c r="H8" s="146"/>
    </row>
    <row r="9" spans="1:8" x14ac:dyDescent="0.25">
      <c r="A9" s="118" t="s">
        <v>128</v>
      </c>
      <c r="B9" s="118"/>
      <c r="C9" s="118"/>
      <c r="D9" s="118"/>
      <c r="E9" s="118" t="s">
        <v>259</v>
      </c>
      <c r="F9" s="118"/>
      <c r="G9" s="118"/>
      <c r="H9" s="118"/>
    </row>
    <row r="10" spans="1:8" x14ac:dyDescent="0.25">
      <c r="A10" s="118" t="s">
        <v>253</v>
      </c>
      <c r="B10" s="118"/>
      <c r="C10" s="118"/>
      <c r="D10" s="118"/>
      <c r="E10" s="118" t="s">
        <v>259</v>
      </c>
      <c r="F10" s="118"/>
      <c r="G10" s="118"/>
      <c r="H10" s="118"/>
    </row>
    <row r="11" spans="1:8" x14ac:dyDescent="0.25">
      <c r="A11" s="118" t="s">
        <v>7</v>
      </c>
      <c r="B11" s="118"/>
      <c r="C11" s="118"/>
      <c r="D11" s="118"/>
      <c r="E11" s="118" t="s">
        <v>181</v>
      </c>
      <c r="F11" s="118"/>
      <c r="G11" s="118"/>
      <c r="H11" s="118"/>
    </row>
    <row r="12" spans="1:8" x14ac:dyDescent="0.25">
      <c r="A12" s="89" t="s">
        <v>8</v>
      </c>
      <c r="B12" s="89"/>
      <c r="C12" s="89"/>
      <c r="D12" s="89"/>
      <c r="E12" s="117" t="s">
        <v>180</v>
      </c>
      <c r="F12" s="117"/>
      <c r="G12" s="117"/>
      <c r="H12" s="117"/>
    </row>
    <row r="13" spans="1:8" x14ac:dyDescent="0.25">
      <c r="A13" s="89" t="s">
        <v>9</v>
      </c>
      <c r="B13" s="89"/>
      <c r="C13" s="89"/>
      <c r="D13" s="89"/>
      <c r="E13" s="117" t="s">
        <v>182</v>
      </c>
      <c r="F13" s="118"/>
      <c r="G13" s="118"/>
      <c r="H13" s="118"/>
    </row>
    <row r="14" spans="1:8" ht="33" customHeight="1" x14ac:dyDescent="0.25">
      <c r="A14" s="116" t="s">
        <v>10</v>
      </c>
      <c r="B14" s="116"/>
      <c r="C14" s="11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Sky Heights, Survey No.245, H.No.2 (Pt), CTS No.3380(Pt), near Surganga Society, Valipeer Road, Bhanunagar, Kalyan, Kalyan West, Kalyan, Thane - 421301.</v>
      </c>
      <c r="D14" s="116"/>
      <c r="E14" s="116"/>
      <c r="F14" s="116"/>
      <c r="G14" s="116"/>
      <c r="H14" s="116"/>
    </row>
    <row r="15" spans="1:8" x14ac:dyDescent="0.25">
      <c r="A15" s="117" t="s">
        <v>183</v>
      </c>
      <c r="B15" s="117"/>
      <c r="C15" s="117" t="s">
        <v>184</v>
      </c>
      <c r="D15" s="117"/>
      <c r="E15" s="117"/>
      <c r="F15" s="117"/>
      <c r="G15" s="117"/>
      <c r="H15" s="117"/>
    </row>
    <row r="16" spans="1:8" ht="15.75" customHeight="1" x14ac:dyDescent="0.25">
      <c r="A16" s="179" t="s">
        <v>174</v>
      </c>
      <c r="B16" s="180"/>
      <c r="C16" s="179" t="s">
        <v>185</v>
      </c>
      <c r="D16" s="181"/>
      <c r="E16" s="181"/>
      <c r="F16" s="181"/>
      <c r="G16" s="181"/>
      <c r="H16" s="180"/>
    </row>
    <row r="17" spans="1:8" ht="15.75" customHeight="1" x14ac:dyDescent="0.25">
      <c r="A17" s="116" t="s">
        <v>11</v>
      </c>
      <c r="B17" s="116"/>
      <c r="C17" s="118" t="s">
        <v>188</v>
      </c>
      <c r="D17" s="118"/>
      <c r="E17" s="116" t="s">
        <v>175</v>
      </c>
      <c r="F17" s="116"/>
      <c r="G17" s="117" t="s">
        <v>187</v>
      </c>
      <c r="H17" s="117"/>
    </row>
    <row r="18" spans="1:8" x14ac:dyDescent="0.25">
      <c r="A18" s="89" t="s">
        <v>13</v>
      </c>
      <c r="B18" s="89"/>
      <c r="C18" s="117" t="s">
        <v>186</v>
      </c>
      <c r="D18" s="117"/>
      <c r="E18" s="116" t="s">
        <v>12</v>
      </c>
      <c r="F18" s="116"/>
      <c r="G18" s="148" t="s">
        <v>189</v>
      </c>
      <c r="H18" s="148"/>
    </row>
    <row r="19" spans="1:8" x14ac:dyDescent="0.25">
      <c r="A19" s="89" t="s">
        <v>76</v>
      </c>
      <c r="B19" s="89"/>
      <c r="C19" s="117" t="s">
        <v>187</v>
      </c>
      <c r="D19" s="117"/>
      <c r="E19" s="116" t="s">
        <v>14</v>
      </c>
      <c r="F19" s="116"/>
      <c r="G19" s="117">
        <v>421301</v>
      </c>
      <c r="H19" s="117"/>
    </row>
    <row r="20" spans="1:8" ht="32.25" customHeight="1" x14ac:dyDescent="0.25">
      <c r="A20" s="89" t="s">
        <v>129</v>
      </c>
      <c r="B20" s="89"/>
      <c r="C20" s="117" t="s">
        <v>197</v>
      </c>
      <c r="D20" s="117"/>
      <c r="E20" s="116" t="s">
        <v>15</v>
      </c>
      <c r="F20" s="116"/>
      <c r="G20" s="149" t="s">
        <v>196</v>
      </c>
      <c r="H20" s="149"/>
    </row>
    <row r="21" spans="1:8" ht="15" customHeight="1" x14ac:dyDescent="0.25">
      <c r="A21" s="116" t="s">
        <v>79</v>
      </c>
      <c r="B21" s="116"/>
      <c r="C21" s="116"/>
      <c r="D21" s="116"/>
      <c r="E21" s="118" t="s">
        <v>16</v>
      </c>
      <c r="F21" s="118"/>
      <c r="G21" s="118"/>
      <c r="H21" s="118"/>
    </row>
    <row r="22" spans="1:8" ht="18.75" customHeight="1" x14ac:dyDescent="0.25">
      <c r="A22" s="116"/>
      <c r="B22" s="116"/>
      <c r="C22" s="116"/>
      <c r="D22" s="116"/>
      <c r="E22" s="118"/>
      <c r="F22" s="118"/>
      <c r="G22" s="118"/>
      <c r="H22" s="118"/>
    </row>
    <row r="23" spans="1:8" ht="15" customHeight="1" x14ac:dyDescent="0.25">
      <c r="A23" s="116" t="s">
        <v>17</v>
      </c>
      <c r="B23" s="116"/>
      <c r="C23" s="116"/>
      <c r="D23" s="116"/>
      <c r="E23" s="117" t="s">
        <v>18</v>
      </c>
      <c r="F23" s="117"/>
      <c r="G23" s="117"/>
      <c r="H23" s="117"/>
    </row>
    <row r="24" spans="1:8" ht="15" customHeight="1" x14ac:dyDescent="0.25">
      <c r="A24" s="89" t="s">
        <v>19</v>
      </c>
      <c r="B24" s="89"/>
      <c r="C24" s="89"/>
      <c r="D24" s="89"/>
      <c r="E24" s="117" t="str">
        <f>IF(AND(G18="Mumbai"),"Upper Class","Middle Class")</f>
        <v>Middle Class</v>
      </c>
      <c r="F24" s="117"/>
      <c r="G24" s="117"/>
      <c r="H24" s="117"/>
    </row>
    <row r="25" spans="1:8" x14ac:dyDescent="0.25">
      <c r="A25" s="89" t="s">
        <v>20</v>
      </c>
      <c r="B25" s="89"/>
      <c r="C25" s="89"/>
      <c r="D25" s="89"/>
      <c r="E25" s="117" t="s">
        <v>21</v>
      </c>
      <c r="F25" s="117"/>
      <c r="G25" s="117"/>
      <c r="H25" s="117"/>
    </row>
    <row r="26" spans="1:8" ht="15.75" customHeight="1" x14ac:dyDescent="0.25">
      <c r="A26" s="89" t="s">
        <v>22</v>
      </c>
      <c r="B26" s="89"/>
      <c r="C26" s="89"/>
      <c r="D26" s="89"/>
      <c r="E26" s="117" t="str">
        <f>IF(AND(G18="Mumbai"),"Developed","Developing")</f>
        <v>Developing</v>
      </c>
      <c r="F26" s="117"/>
      <c r="G26" s="117"/>
      <c r="H26" s="117"/>
    </row>
    <row r="27" spans="1:8" x14ac:dyDescent="0.25">
      <c r="A27" s="89" t="s">
        <v>23</v>
      </c>
      <c r="B27" s="89"/>
      <c r="C27" s="89"/>
      <c r="D27" s="89"/>
      <c r="E27" s="117" t="s">
        <v>24</v>
      </c>
      <c r="F27" s="117"/>
      <c r="G27" s="117"/>
      <c r="H27" s="117"/>
    </row>
    <row r="28" spans="1:8" ht="15.75" customHeight="1" x14ac:dyDescent="0.25">
      <c r="A28" s="89" t="s">
        <v>84</v>
      </c>
      <c r="B28" s="89"/>
      <c r="C28" s="89"/>
      <c r="D28" s="89"/>
      <c r="E28" s="117" t="s">
        <v>85</v>
      </c>
      <c r="F28" s="117"/>
      <c r="G28" s="117"/>
      <c r="H28" s="117"/>
    </row>
    <row r="29" spans="1:8" ht="15" customHeight="1" x14ac:dyDescent="0.25">
      <c r="A29" s="89" t="s">
        <v>35</v>
      </c>
      <c r="B29" s="89"/>
      <c r="C29" s="89"/>
      <c r="D29" s="89"/>
      <c r="E29" s="117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29" s="117"/>
      <c r="G29" s="117"/>
      <c r="H29" s="117"/>
    </row>
    <row r="30" spans="1:8" ht="15.75" customHeight="1" x14ac:dyDescent="0.25">
      <c r="A30" s="89" t="s">
        <v>96</v>
      </c>
      <c r="B30" s="89"/>
      <c r="C30" s="89"/>
      <c r="D30" s="89"/>
      <c r="E30" s="117" t="s">
        <v>36</v>
      </c>
      <c r="F30" s="117"/>
      <c r="G30" s="117"/>
      <c r="H30" s="117"/>
    </row>
    <row r="31" spans="1:8" s="23" customFormat="1" x14ac:dyDescent="0.25">
      <c r="A31" s="153" t="s">
        <v>97</v>
      </c>
      <c r="B31" s="153"/>
      <c r="C31" s="152" t="s">
        <v>29</v>
      </c>
      <c r="D31" s="152"/>
      <c r="E31" s="152"/>
      <c r="F31" s="152" t="s">
        <v>31</v>
      </c>
      <c r="G31" s="152"/>
      <c r="H31" s="152"/>
    </row>
    <row r="32" spans="1:8" s="23" customFormat="1" x14ac:dyDescent="0.25">
      <c r="A32" s="150" t="s">
        <v>25</v>
      </c>
      <c r="B32" s="150" t="s">
        <v>30</v>
      </c>
      <c r="C32" s="151" t="s">
        <v>30</v>
      </c>
      <c r="D32" s="151"/>
      <c r="E32" s="151"/>
      <c r="F32" s="151" t="s">
        <v>192</v>
      </c>
      <c r="G32" s="151"/>
      <c r="H32" s="151"/>
    </row>
    <row r="33" spans="1:8" x14ac:dyDescent="0.25">
      <c r="A33" s="150" t="s">
        <v>26</v>
      </c>
      <c r="B33" s="150" t="s">
        <v>30</v>
      </c>
      <c r="C33" s="151" t="s">
        <v>30</v>
      </c>
      <c r="D33" s="151"/>
      <c r="E33" s="151"/>
      <c r="F33" s="151" t="s">
        <v>191</v>
      </c>
      <c r="G33" s="151"/>
      <c r="H33" s="151"/>
    </row>
    <row r="34" spans="1:8" s="23" customFormat="1" x14ac:dyDescent="0.25">
      <c r="A34" s="150" t="s">
        <v>28</v>
      </c>
      <c r="B34" s="150" t="s">
        <v>30</v>
      </c>
      <c r="C34" s="151" t="s">
        <v>30</v>
      </c>
      <c r="D34" s="151"/>
      <c r="E34" s="151"/>
      <c r="F34" s="151" t="s">
        <v>188</v>
      </c>
      <c r="G34" s="151"/>
      <c r="H34" s="151"/>
    </row>
    <row r="35" spans="1:8" x14ac:dyDescent="0.25">
      <c r="A35" s="150" t="s">
        <v>27</v>
      </c>
      <c r="B35" s="150" t="s">
        <v>30</v>
      </c>
      <c r="C35" s="151" t="s">
        <v>30</v>
      </c>
      <c r="D35" s="151"/>
      <c r="E35" s="151"/>
      <c r="F35" s="151" t="s">
        <v>190</v>
      </c>
      <c r="G35" s="151"/>
      <c r="H35" s="151"/>
    </row>
    <row r="36" spans="1:8" x14ac:dyDescent="0.25">
      <c r="A36" s="89" t="s">
        <v>32</v>
      </c>
      <c r="B36" s="89"/>
      <c r="C36" s="89"/>
      <c r="D36" s="89"/>
      <c r="E36" s="89"/>
      <c r="F36" s="89"/>
      <c r="G36" s="89"/>
      <c r="H36" s="89"/>
    </row>
    <row r="37" spans="1:8" ht="15.75" customHeight="1" x14ac:dyDescent="0.25">
      <c r="A37" s="134" t="s">
        <v>33</v>
      </c>
      <c r="B37" s="134"/>
      <c r="C37" s="155">
        <v>19.235807999999999</v>
      </c>
      <c r="D37" s="155"/>
      <c r="E37" s="134" t="s">
        <v>34</v>
      </c>
      <c r="F37" s="134"/>
      <c r="G37" s="156">
        <v>73.128030999999993</v>
      </c>
      <c r="H37" s="156"/>
    </row>
    <row r="38" spans="1:8" x14ac:dyDescent="0.25">
      <c r="A38" s="134" t="s">
        <v>173</v>
      </c>
      <c r="B38" s="134"/>
      <c r="C38" s="182" t="s">
        <v>193</v>
      </c>
      <c r="D38" s="117"/>
      <c r="E38" s="117"/>
      <c r="F38" s="117"/>
      <c r="G38" s="117"/>
      <c r="H38" s="117"/>
    </row>
    <row r="39" spans="1:8" x14ac:dyDescent="0.25">
      <c r="A39" s="139" t="s">
        <v>37</v>
      </c>
      <c r="B39" s="139"/>
      <c r="C39" s="139"/>
      <c r="D39" s="139"/>
      <c r="E39" s="139"/>
      <c r="F39" s="139"/>
      <c r="G39" s="139"/>
      <c r="H39" s="139"/>
    </row>
    <row r="40" spans="1:8" x14ac:dyDescent="0.25">
      <c r="A40" s="89" t="s">
        <v>38</v>
      </c>
      <c r="B40" s="89"/>
      <c r="C40" s="89"/>
      <c r="D40" s="89"/>
      <c r="E40" s="154">
        <v>3514.6</v>
      </c>
      <c r="F40" s="154"/>
      <c r="G40" s="154"/>
      <c r="H40" s="154"/>
    </row>
    <row r="41" spans="1:8" x14ac:dyDescent="0.25">
      <c r="A41" s="89" t="s">
        <v>39</v>
      </c>
      <c r="B41" s="89"/>
      <c r="C41" s="89"/>
      <c r="D41" s="89"/>
      <c r="E41" s="88">
        <v>1.1000000000000001</v>
      </c>
      <c r="F41" s="88"/>
      <c r="G41" s="88"/>
      <c r="H41" s="88"/>
    </row>
    <row r="42" spans="1:8" x14ac:dyDescent="0.25">
      <c r="A42" s="89" t="s">
        <v>40</v>
      </c>
      <c r="B42" s="89"/>
      <c r="C42" s="89"/>
      <c r="D42" s="89"/>
      <c r="E42" s="88">
        <f>E44/E40-E41</f>
        <v>3.2415438456723389</v>
      </c>
      <c r="F42" s="88"/>
      <c r="G42" s="88"/>
      <c r="H42" s="88"/>
    </row>
    <row r="43" spans="1:8" x14ac:dyDescent="0.25">
      <c r="A43" s="89" t="s">
        <v>41</v>
      </c>
      <c r="B43" s="89"/>
      <c r="C43" s="89"/>
      <c r="D43" s="89"/>
      <c r="E43" s="88">
        <f>E41+E42</f>
        <v>4.341543845672339</v>
      </c>
      <c r="F43" s="88"/>
      <c r="G43" s="88"/>
      <c r="H43" s="88"/>
    </row>
    <row r="44" spans="1:8" x14ac:dyDescent="0.25">
      <c r="A44" s="89" t="s">
        <v>95</v>
      </c>
      <c r="B44" s="89"/>
      <c r="C44" s="89"/>
      <c r="D44" s="89"/>
      <c r="E44" s="165">
        <v>15258.79</v>
      </c>
      <c r="F44" s="165"/>
      <c r="G44" s="165"/>
      <c r="H44" s="165"/>
    </row>
    <row r="45" spans="1:8" x14ac:dyDescent="0.25">
      <c r="A45" s="118" t="s">
        <v>42</v>
      </c>
      <c r="B45" s="118"/>
      <c r="C45" s="118"/>
      <c r="D45" s="118"/>
      <c r="E45" s="166" t="s">
        <v>181</v>
      </c>
      <c r="F45" s="166"/>
      <c r="G45" s="166"/>
      <c r="H45" s="166"/>
    </row>
    <row r="46" spans="1:8" x14ac:dyDescent="0.25">
      <c r="A46" s="139" t="s">
        <v>43</v>
      </c>
      <c r="B46" s="139"/>
      <c r="C46" s="139"/>
      <c r="D46" s="139"/>
      <c r="E46" s="139"/>
      <c r="F46" s="139"/>
      <c r="G46" s="139"/>
      <c r="H46" s="139"/>
    </row>
    <row r="47" spans="1:8" ht="33.75" customHeight="1" x14ac:dyDescent="0.25">
      <c r="A47" s="107" t="s">
        <v>162</v>
      </c>
      <c r="B47" s="108"/>
      <c r="C47" s="183" t="s">
        <v>232</v>
      </c>
      <c r="D47" s="184"/>
      <c r="E47" s="184"/>
      <c r="F47" s="184"/>
      <c r="G47" s="184"/>
      <c r="H47" s="185"/>
    </row>
    <row r="48" spans="1:8" ht="15.75" customHeight="1" x14ac:dyDescent="0.25">
      <c r="A48" s="107" t="s">
        <v>44</v>
      </c>
      <c r="B48" s="108"/>
      <c r="C48" s="107" t="s">
        <v>194</v>
      </c>
      <c r="D48" s="109"/>
      <c r="E48" s="108"/>
      <c r="F48" s="20" t="s">
        <v>45</v>
      </c>
      <c r="G48" s="110">
        <v>44399</v>
      </c>
      <c r="H48" s="108"/>
    </row>
    <row r="49" spans="1:14" x14ac:dyDescent="0.25">
      <c r="A49" s="107" t="s">
        <v>46</v>
      </c>
      <c r="B49" s="108"/>
      <c r="C49" s="107" t="str">
        <f>C48</f>
        <v>KDMC/TPD/BP/KD/2017-18/70/175</v>
      </c>
      <c r="D49" s="109"/>
      <c r="E49" s="108"/>
      <c r="F49" s="20" t="s">
        <v>45</v>
      </c>
      <c r="G49" s="110">
        <f>G48</f>
        <v>44399</v>
      </c>
      <c r="H49" s="111"/>
    </row>
    <row r="50" spans="1:14" s="24" customFormat="1" ht="15.75" customHeight="1" x14ac:dyDescent="0.25">
      <c r="A50" s="160" t="s">
        <v>166</v>
      </c>
      <c r="B50" s="161"/>
      <c r="C50" s="107" t="str">
        <f>C49</f>
        <v>KDMC/TPD/BP/KD/2017-18/70/175</v>
      </c>
      <c r="D50" s="109"/>
      <c r="E50" s="108"/>
      <c r="F50" s="20" t="s">
        <v>45</v>
      </c>
      <c r="G50" s="110">
        <f>G49</f>
        <v>44399</v>
      </c>
      <c r="H50" s="111"/>
    </row>
    <row r="51" spans="1:14" s="24" customFormat="1" x14ac:dyDescent="0.25">
      <c r="A51" s="162"/>
      <c r="B51" s="163"/>
      <c r="C51" s="107" t="s">
        <v>233</v>
      </c>
      <c r="D51" s="109"/>
      <c r="E51" s="109"/>
      <c r="F51" s="109"/>
      <c r="G51" s="109"/>
      <c r="H51" s="108"/>
    </row>
    <row r="52" spans="1:14" x14ac:dyDescent="0.25">
      <c r="A52" s="74" t="s">
        <v>255</v>
      </c>
      <c r="B52" s="75"/>
      <c r="C52" s="78" t="s">
        <v>256</v>
      </c>
      <c r="D52" s="79"/>
      <c r="E52" s="80"/>
      <c r="F52" s="72" t="s">
        <v>45</v>
      </c>
      <c r="G52" s="81">
        <v>45449</v>
      </c>
      <c r="H52" s="82"/>
    </row>
    <row r="53" spans="1:14" ht="32.450000000000003" customHeight="1" x14ac:dyDescent="0.25">
      <c r="A53" s="76"/>
      <c r="B53" s="77"/>
      <c r="C53" s="78" t="s">
        <v>257</v>
      </c>
      <c r="D53" s="79"/>
      <c r="E53" s="79"/>
      <c r="F53" s="79"/>
      <c r="G53" s="79"/>
      <c r="H53" s="80"/>
    </row>
    <row r="54" spans="1:14" hidden="1" x14ac:dyDescent="0.25">
      <c r="A54" s="74" t="s">
        <v>176</v>
      </c>
      <c r="B54" s="75"/>
      <c r="C54" s="78" t="s">
        <v>30</v>
      </c>
      <c r="D54" s="79"/>
      <c r="E54" s="80"/>
      <c r="F54" s="55" t="s">
        <v>45</v>
      </c>
      <c r="G54" s="81" t="s">
        <v>30</v>
      </c>
      <c r="H54" s="82"/>
    </row>
    <row r="55" spans="1:14" hidden="1" x14ac:dyDescent="0.25">
      <c r="A55" s="76"/>
      <c r="B55" s="77"/>
      <c r="C55" s="78" t="s">
        <v>30</v>
      </c>
      <c r="D55" s="79"/>
      <c r="E55" s="79"/>
      <c r="F55" s="79"/>
      <c r="G55" s="79"/>
      <c r="H55" s="80"/>
    </row>
    <row r="56" spans="1:14" x14ac:dyDescent="0.25">
      <c r="A56" s="115" t="s">
        <v>48</v>
      </c>
      <c r="B56" s="115"/>
      <c r="C56" s="115"/>
      <c r="D56" s="115"/>
      <c r="E56" s="115"/>
      <c r="F56" s="115"/>
      <c r="G56" s="115"/>
      <c r="H56" s="115"/>
    </row>
    <row r="57" spans="1:14" x14ac:dyDescent="0.25">
      <c r="A57" s="116" t="s">
        <v>94</v>
      </c>
      <c r="B57" s="116"/>
      <c r="C57" s="116"/>
      <c r="D57" s="89">
        <f>E44</f>
        <v>15258.79</v>
      </c>
      <c r="E57" s="89"/>
      <c r="F57" s="89"/>
      <c r="G57" s="89"/>
      <c r="H57" s="89"/>
    </row>
    <row r="58" spans="1:14" x14ac:dyDescent="0.25">
      <c r="A58" s="117" t="s">
        <v>49</v>
      </c>
      <c r="B58" s="118"/>
      <c r="C58" s="118"/>
      <c r="D58" s="118" t="s">
        <v>243</v>
      </c>
      <c r="E58" s="118"/>
      <c r="F58" s="118"/>
      <c r="G58" s="118"/>
      <c r="H58" s="118"/>
      <c r="I58" s="25"/>
    </row>
    <row r="59" spans="1:14" ht="14.25" customHeight="1" x14ac:dyDescent="0.25">
      <c r="A59" s="112" t="s">
        <v>50</v>
      </c>
      <c r="B59" s="113"/>
      <c r="C59" s="159"/>
      <c r="D59" s="157" t="s">
        <v>233</v>
      </c>
      <c r="E59" s="158"/>
      <c r="F59" s="158"/>
      <c r="G59" s="158"/>
      <c r="H59" s="158"/>
      <c r="I59" s="26"/>
    </row>
    <row r="60" spans="1:14" ht="15.75" customHeight="1" x14ac:dyDescent="0.25">
      <c r="A60" s="112" t="s">
        <v>92</v>
      </c>
      <c r="B60" s="113"/>
      <c r="C60" s="113"/>
      <c r="D60" s="157" t="s">
        <v>233</v>
      </c>
      <c r="E60" s="158"/>
      <c r="F60" s="158"/>
      <c r="G60" s="158"/>
      <c r="H60" s="158"/>
      <c r="I60" s="26"/>
    </row>
    <row r="61" spans="1:14" ht="15.75" customHeight="1" x14ac:dyDescent="0.25">
      <c r="A61" s="89" t="s">
        <v>47</v>
      </c>
      <c r="B61" s="89"/>
      <c r="C61" s="89"/>
      <c r="D61" s="117" t="s">
        <v>195</v>
      </c>
      <c r="E61" s="117"/>
      <c r="F61" s="117"/>
      <c r="G61" s="117"/>
      <c r="H61" s="117"/>
      <c r="J61" s="27"/>
      <c r="K61" s="25"/>
      <c r="N61" s="25"/>
    </row>
    <row r="62" spans="1:14" ht="15.75" customHeight="1" x14ac:dyDescent="0.25">
      <c r="A62" s="89" t="s">
        <v>90</v>
      </c>
      <c r="B62" s="89"/>
      <c r="C62" s="89"/>
      <c r="D62" s="164" t="str">
        <f>(IF(G54="NA","60 Years After Completion",IF(G54&lt;&gt;"NA",""&amp;60-ROUNDDOWN((E3-G54)/360,0)&amp;" Years"," ")))</f>
        <v>60 Years After Completion</v>
      </c>
      <c r="E62" s="164"/>
      <c r="F62" s="164"/>
      <c r="G62" s="164"/>
      <c r="H62" s="164"/>
      <c r="N62" s="25"/>
    </row>
    <row r="63" spans="1:14" ht="15.75" customHeight="1" x14ac:dyDescent="0.25">
      <c r="A63" s="89" t="s">
        <v>91</v>
      </c>
      <c r="B63" s="89"/>
      <c r="C63" s="89"/>
      <c r="D63" s="116" t="s">
        <v>24</v>
      </c>
      <c r="E63" s="116"/>
      <c r="F63" s="116"/>
      <c r="G63" s="116"/>
      <c r="H63" s="116"/>
      <c r="J63" s="28"/>
      <c r="K63" s="28"/>
    </row>
    <row r="64" spans="1:14" ht="15" hidden="1" customHeight="1" x14ac:dyDescent="0.25">
      <c r="A64" s="89" t="s">
        <v>77</v>
      </c>
      <c r="B64" s="89"/>
      <c r="C64" s="89"/>
      <c r="D64" s="117" t="s">
        <v>157</v>
      </c>
      <c r="E64" s="116"/>
      <c r="F64" s="116"/>
      <c r="G64" s="116"/>
      <c r="H64" s="116"/>
    </row>
    <row r="65" spans="1:14" x14ac:dyDescent="0.25">
      <c r="A65" s="116" t="s">
        <v>158</v>
      </c>
      <c r="B65" s="116"/>
      <c r="C65" s="116"/>
      <c r="D65" s="116" t="s">
        <v>30</v>
      </c>
      <c r="E65" s="116"/>
      <c r="F65" s="116"/>
      <c r="G65" s="116"/>
      <c r="H65" s="116"/>
      <c r="I65" s="29"/>
      <c r="J65" s="29"/>
      <c r="K65" s="29"/>
      <c r="L65" s="29"/>
      <c r="M65" s="29"/>
      <c r="N65" s="29"/>
    </row>
    <row r="66" spans="1:14" ht="15.75" customHeight="1" x14ac:dyDescent="0.25">
      <c r="A66" s="120" t="s">
        <v>89</v>
      </c>
      <c r="B66" s="120"/>
      <c r="C66" s="120"/>
      <c r="D66" s="121" t="str">
        <f ca="1">(IF(G72&gt;95%,"Nothing",IF(G72&gt;0%,"Cement, Aggregate, Steel, etc",IF(G72=0%,"Work not yet Started"))))</f>
        <v>Cement, Aggregate, Steel, etc</v>
      </c>
      <c r="E66" s="121"/>
      <c r="F66" s="121"/>
      <c r="G66" s="121"/>
      <c r="H66" s="121"/>
      <c r="J66" s="28"/>
    </row>
    <row r="67" spans="1:14" ht="33.75" customHeight="1" thickBot="1" x14ac:dyDescent="0.3">
      <c r="A67" s="132" t="s">
        <v>121</v>
      </c>
      <c r="B67" s="132"/>
      <c r="C67" s="132"/>
      <c r="D67" s="121" t="str">
        <f ca="1">(IF(D66="Nothing","Yes",IF(D66="Cement, Aggregate, Steel, etc","Under Construction",IF(D66="Work not yet Started","Work not yet Started"))))</f>
        <v>Under Construction</v>
      </c>
      <c r="E67" s="121"/>
      <c r="F67" s="121" t="str">
        <f ca="1">(IF(D66="Nothing","Yes",IF(D66="Cement, Aggregate, Steel, etc","Under Construction",IF(D66="Work not yet Started","Work not yet Started"))))</f>
        <v>Under Construction</v>
      </c>
      <c r="G67" s="121"/>
      <c r="H67" s="121"/>
    </row>
    <row r="68" spans="1:14" ht="15.75" customHeight="1" x14ac:dyDescent="0.25">
      <c r="A68" s="169" t="s">
        <v>147</v>
      </c>
      <c r="B68" s="170"/>
      <c r="C68" s="171" t="str">
        <f>D60</f>
        <v>G/St + 1st to 31st Floor</v>
      </c>
      <c r="D68" s="172"/>
      <c r="E68" s="172"/>
      <c r="F68" s="172"/>
      <c r="G68" s="172"/>
      <c r="H68" s="173"/>
      <c r="I68" s="51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Plaster, Flooring, Painting Completed, Finishing upto 22 Floor Completed</v>
      </c>
      <c r="J68" s="52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Finishing upto 22 Floor</v>
      </c>
    </row>
    <row r="69" spans="1:14" x14ac:dyDescent="0.25">
      <c r="A69" s="18" t="s">
        <v>149</v>
      </c>
      <c r="B69" s="60">
        <v>0</v>
      </c>
      <c r="C69" s="48" t="s">
        <v>75</v>
      </c>
      <c r="D69" s="48">
        <v>1</v>
      </c>
      <c r="E69" s="48" t="s">
        <v>74</v>
      </c>
      <c r="F69" s="60">
        <v>0</v>
      </c>
      <c r="G69" s="49" t="s">
        <v>83</v>
      </c>
      <c r="H69" s="19">
        <f ca="1">--TRIM(RIGHT(SUBSTITUTE(LEFT(C68,_xlfn.AGGREGATE(16,6,FIND({0,1,2,3,4,5,6,7,8,9},C68,ROW(INDIRECT("1:"&amp;LEN(C68)))),1))," ",REPT(" ",LEN(C68))),LEN(C68)))</f>
        <v>31</v>
      </c>
      <c r="I69" s="53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</v>
      </c>
      <c r="J69" s="54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6.6" customHeight="1" x14ac:dyDescent="0.25">
      <c r="A70" s="168" t="s">
        <v>93</v>
      </c>
      <c r="B70" s="146"/>
      <c r="C70" s="145" t="str">
        <f ca="1">(IF($C$55=C68,"All work Completed. OC Received.",I68))</f>
        <v>Excavation, Plinth, RCC Slab, Brickwork, Internal Plaster, External Plaster, Flooring, Painting Completed, Finishing upto 22 Floor Completed</v>
      </c>
      <c r="D70" s="145"/>
      <c r="E70" s="145"/>
      <c r="F70" s="145"/>
      <c r="G70" s="145"/>
      <c r="H70" s="174"/>
      <c r="I70" s="53" t="str">
        <f ca="1">IF(I69&lt;&gt;""," Completed","")</f>
        <v xml:space="preserve"> Completed</v>
      </c>
      <c r="J70" s="54" t="str">
        <f ca="1">IF(J68&lt;&gt;"","Completed","")</f>
        <v>Completed</v>
      </c>
    </row>
    <row r="71" spans="1:14" ht="15.75" customHeight="1" x14ac:dyDescent="0.25">
      <c r="A71" s="167" t="s">
        <v>51</v>
      </c>
      <c r="B71" s="103"/>
      <c r="C71" s="46" t="s">
        <v>146</v>
      </c>
      <c r="D71" s="46" t="s">
        <v>86</v>
      </c>
      <c r="E71" s="103" t="s">
        <v>88</v>
      </c>
      <c r="F71" s="103"/>
      <c r="G71" s="103" t="s">
        <v>87</v>
      </c>
      <c r="H71" s="122"/>
      <c r="I71" s="16" t="s">
        <v>148</v>
      </c>
      <c r="J71" s="30">
        <f ca="1">H69*25%</f>
        <v>7.75</v>
      </c>
    </row>
    <row r="72" spans="1:14" x14ac:dyDescent="0.25">
      <c r="A72" s="103" t="s">
        <v>135</v>
      </c>
      <c r="B72" s="103"/>
      <c r="C72" s="66">
        <f ca="1">J73</f>
        <v>31</v>
      </c>
      <c r="D72" s="21">
        <f ca="1">((100/H69)*C72)/100</f>
        <v>1</v>
      </c>
      <c r="E72" s="119">
        <f ca="1">(((C73/H69*10)+(40/(D69+F69+H69)*C74)+(7.5/(H69)*C75)+(7.5/(H69)*C76)+(10/H69*C77)+(10/H69*C78)+(5/H69*C79)+(5/H69*C80)+(5/H69*C81))/100)</f>
        <v>0.93548387096774188</v>
      </c>
      <c r="F72" s="119"/>
      <c r="G72" s="119">
        <f ca="1">((((C72/H69)*20)+((C73/H69)*25)+(30/(H69+F69+D69)*C74)+(5/H69*C75)+(5/H69*C76)+(5/H69*C77)+(5/H69*C78)+(0/H69*C79)+(0/H69*C80)+(5/H69*C81))/100)</f>
        <v>0.95</v>
      </c>
      <c r="H72" s="119"/>
      <c r="I72" s="16" t="s">
        <v>104</v>
      </c>
      <c r="J72" s="31">
        <f ca="1">H69*50%</f>
        <v>15.5</v>
      </c>
    </row>
    <row r="73" spans="1:14" x14ac:dyDescent="0.25">
      <c r="A73" s="103" t="s">
        <v>52</v>
      </c>
      <c r="B73" s="103"/>
      <c r="C73" s="66">
        <f ca="1">J81</f>
        <v>31</v>
      </c>
      <c r="D73" s="21">
        <f ca="1">((100/H69)*C73)/100</f>
        <v>1</v>
      </c>
      <c r="E73" s="119"/>
      <c r="F73" s="119"/>
      <c r="G73" s="119"/>
      <c r="H73" s="119"/>
      <c r="I73" s="16" t="s">
        <v>105</v>
      </c>
      <c r="J73" s="31">
        <f ca="1">H69</f>
        <v>31</v>
      </c>
    </row>
    <row r="74" spans="1:14" ht="15.75" customHeight="1" x14ac:dyDescent="0.25">
      <c r="A74" s="103" t="s">
        <v>136</v>
      </c>
      <c r="B74" s="103"/>
      <c r="C74" s="66">
        <v>32</v>
      </c>
      <c r="D74" s="21">
        <f ca="1">((100/(D69+F69+H69))*C74)/100</f>
        <v>1</v>
      </c>
      <c r="E74" s="119"/>
      <c r="F74" s="119"/>
      <c r="G74" s="119"/>
      <c r="H74" s="119"/>
      <c r="I74" s="16" t="s">
        <v>106</v>
      </c>
      <c r="J74" s="32">
        <f ca="1">(IF(B69&gt;1,(H69/(B69+2)),H69/4))</f>
        <v>7.75</v>
      </c>
    </row>
    <row r="75" spans="1:14" ht="15.75" customHeight="1" x14ac:dyDescent="0.25">
      <c r="A75" s="103" t="s">
        <v>143</v>
      </c>
      <c r="B75" s="103" t="s">
        <v>137</v>
      </c>
      <c r="C75" s="66">
        <v>31</v>
      </c>
      <c r="D75" s="21">
        <f ca="1">((100/H69)*C75)/100</f>
        <v>1</v>
      </c>
      <c r="E75" s="119"/>
      <c r="F75" s="119"/>
      <c r="G75" s="119"/>
      <c r="H75" s="119"/>
      <c r="I75" s="16" t="s">
        <v>107</v>
      </c>
      <c r="J75" s="32">
        <f ca="1">(IF(B69&gt;1,(H69/(B69+2)+J74),H69/4+J74))</f>
        <v>15.5</v>
      </c>
    </row>
    <row r="76" spans="1:14" ht="15.75" customHeight="1" x14ac:dyDescent="0.25">
      <c r="A76" s="103" t="s">
        <v>144</v>
      </c>
      <c r="B76" s="103" t="s">
        <v>137</v>
      </c>
      <c r="C76" s="66">
        <v>31</v>
      </c>
      <c r="D76" s="21">
        <f ca="1">((100/H69)*C76)/100</f>
        <v>1</v>
      </c>
      <c r="E76" s="119"/>
      <c r="F76" s="119"/>
      <c r="G76" s="119"/>
      <c r="H76" s="119"/>
      <c r="I76" s="16" t="s">
        <v>155</v>
      </c>
      <c r="J76" s="32">
        <f>(IF(B69&gt;1,(H69/(B69+2)+J75),0))</f>
        <v>0</v>
      </c>
    </row>
    <row r="77" spans="1:14" ht="15" customHeight="1" x14ac:dyDescent="0.25">
      <c r="A77" s="103" t="s">
        <v>142</v>
      </c>
      <c r="B77" s="103" t="s">
        <v>139</v>
      </c>
      <c r="C77" s="71">
        <v>31</v>
      </c>
      <c r="D77" s="21">
        <f ca="1">((100/(H69))*C77)/100</f>
        <v>1</v>
      </c>
      <c r="E77" s="119"/>
      <c r="F77" s="119"/>
      <c r="G77" s="119"/>
      <c r="H77" s="119"/>
      <c r="I77" s="16" t="s">
        <v>150</v>
      </c>
      <c r="J77" s="32">
        <f>(IF(B69&gt;2,(H69/(B69+2)+J76),0))</f>
        <v>0</v>
      </c>
    </row>
    <row r="78" spans="1:14" ht="15.75" customHeight="1" x14ac:dyDescent="0.25">
      <c r="A78" s="103" t="s">
        <v>138</v>
      </c>
      <c r="B78" s="103" t="s">
        <v>138</v>
      </c>
      <c r="C78" s="71">
        <v>31</v>
      </c>
      <c r="D78" s="21">
        <f ca="1">((100/H69)*C78)/100</f>
        <v>1</v>
      </c>
      <c r="E78" s="119"/>
      <c r="F78" s="119"/>
      <c r="G78" s="119"/>
      <c r="H78" s="119"/>
      <c r="I78" s="16" t="s">
        <v>151</v>
      </c>
      <c r="J78" s="33">
        <f>(IF(B69&gt;3,(H69/(B69+2)+J77),0))</f>
        <v>0</v>
      </c>
    </row>
    <row r="79" spans="1:14" ht="15.75" customHeight="1" x14ac:dyDescent="0.25">
      <c r="A79" s="103" t="s">
        <v>145</v>
      </c>
      <c r="B79" s="103"/>
      <c r="C79" s="71">
        <v>31</v>
      </c>
      <c r="D79" s="21">
        <f ca="1">((100/H69)*C79)/100</f>
        <v>1</v>
      </c>
      <c r="E79" s="119"/>
      <c r="F79" s="119"/>
      <c r="G79" s="119"/>
      <c r="H79" s="119"/>
      <c r="I79" s="16" t="s">
        <v>152</v>
      </c>
      <c r="J79" s="32">
        <f>(IF(B69&gt;4,(H69/(B69+2)+J78),0))</f>
        <v>0</v>
      </c>
    </row>
    <row r="80" spans="1:14" ht="15.75" customHeight="1" x14ac:dyDescent="0.25">
      <c r="A80" s="103" t="s">
        <v>140</v>
      </c>
      <c r="B80" s="103" t="s">
        <v>140</v>
      </c>
      <c r="C80" s="71">
        <v>22</v>
      </c>
      <c r="D80" s="21">
        <f ca="1">((100/(H69))*C80)/100</f>
        <v>0.70967741935483875</v>
      </c>
      <c r="E80" s="119"/>
      <c r="F80" s="119"/>
      <c r="G80" s="119"/>
      <c r="H80" s="119"/>
      <c r="I80" s="16" t="s">
        <v>156</v>
      </c>
      <c r="J80" s="32">
        <f ca="1">(IF(B69=1,(H69/(B69+3)+J75),IF(B69=0,(H69/4+J75),IF(B69&gt;1,0))))</f>
        <v>23.25</v>
      </c>
    </row>
    <row r="81" spans="1:12" ht="16.5" thickBot="1" x14ac:dyDescent="0.3">
      <c r="A81" s="103" t="s">
        <v>141</v>
      </c>
      <c r="B81" s="103"/>
      <c r="C81" s="71">
        <v>0</v>
      </c>
      <c r="D81" s="21">
        <f ca="1">((100/(H69))*C81)/100</f>
        <v>0</v>
      </c>
      <c r="E81" s="119"/>
      <c r="F81" s="119"/>
      <c r="G81" s="119"/>
      <c r="H81" s="119"/>
      <c r="I81" s="17" t="s">
        <v>108</v>
      </c>
      <c r="J81" s="34">
        <f ca="1">(IF(B69&gt;1.5,(H69/(B69+2)+J75+MAX(0,J76-J75)+MAX(0,J77-J76)+MAX(0,J78-J77)+MAX(0,J79-J78)+MAX(0,J80-J79)),IF(B69=1,(H69/(B69+3)+J80),IF(B69=0,H69/4+J80))))</f>
        <v>31</v>
      </c>
    </row>
    <row r="82" spans="1:12" x14ac:dyDescent="0.25">
      <c r="A82" s="139" t="s">
        <v>168</v>
      </c>
      <c r="B82" s="139"/>
      <c r="C82" s="139"/>
      <c r="D82" s="139"/>
      <c r="E82" s="139"/>
      <c r="F82" s="134" t="s">
        <v>171</v>
      </c>
      <c r="G82" s="134"/>
      <c r="H82" s="134"/>
    </row>
    <row r="83" spans="1:12" x14ac:dyDescent="0.25">
      <c r="A83" s="89" t="s">
        <v>170</v>
      </c>
      <c r="B83" s="89"/>
      <c r="C83" s="89"/>
      <c r="D83" s="89"/>
      <c r="E83" s="89"/>
      <c r="F83" s="104">
        <v>9000</v>
      </c>
      <c r="G83" s="104"/>
      <c r="H83" s="104"/>
      <c r="I83" s="22" t="s">
        <v>248</v>
      </c>
      <c r="J83" s="22" t="s">
        <v>249</v>
      </c>
      <c r="K83" s="22" t="s">
        <v>250</v>
      </c>
      <c r="L83" s="27">
        <v>44910</v>
      </c>
    </row>
    <row r="84" spans="1:12" x14ac:dyDescent="0.25">
      <c r="A84" s="89" t="s">
        <v>238</v>
      </c>
      <c r="B84" s="89"/>
      <c r="C84" s="89"/>
      <c r="D84" s="89"/>
      <c r="E84" s="89"/>
      <c r="F84" s="104">
        <v>30000</v>
      </c>
      <c r="G84" s="104"/>
      <c r="H84" s="104"/>
    </row>
    <row r="85" spans="1:12" x14ac:dyDescent="0.25">
      <c r="A85" s="89" t="s">
        <v>246</v>
      </c>
      <c r="B85" s="89"/>
      <c r="C85" s="89"/>
      <c r="D85" s="89"/>
      <c r="E85" s="89"/>
      <c r="F85" s="104">
        <v>28000</v>
      </c>
      <c r="G85" s="104"/>
      <c r="H85" s="104"/>
      <c r="I85" s="22" t="s">
        <v>251</v>
      </c>
    </row>
    <row r="86" spans="1:12" x14ac:dyDescent="0.25">
      <c r="A86" s="89" t="s">
        <v>247</v>
      </c>
      <c r="B86" s="89"/>
      <c r="C86" s="89"/>
      <c r="D86" s="89"/>
      <c r="E86" s="89"/>
      <c r="F86" s="104">
        <v>21000</v>
      </c>
      <c r="G86" s="104"/>
      <c r="H86" s="104"/>
    </row>
    <row r="87" spans="1:12" s="35" customFormat="1" hidden="1" x14ac:dyDescent="0.25">
      <c r="A87" s="89" t="s">
        <v>169</v>
      </c>
      <c r="B87" s="89"/>
      <c r="C87" s="89"/>
      <c r="D87" s="89"/>
      <c r="E87" s="89"/>
      <c r="F87" s="104"/>
      <c r="G87" s="104"/>
      <c r="H87" s="104"/>
    </row>
    <row r="88" spans="1:12" s="35" customFormat="1" x14ac:dyDescent="0.25">
      <c r="A88" s="89" t="s">
        <v>98</v>
      </c>
      <c r="B88" s="89"/>
      <c r="C88" s="89"/>
      <c r="D88" s="89"/>
      <c r="E88" s="89"/>
      <c r="F88" s="104">
        <v>615000</v>
      </c>
      <c r="G88" s="104"/>
      <c r="H88" s="104"/>
    </row>
    <row r="89" spans="1:12" s="35" customFormat="1" x14ac:dyDescent="0.25">
      <c r="A89" s="89" t="s">
        <v>99</v>
      </c>
      <c r="B89" s="89"/>
      <c r="C89" s="89"/>
      <c r="D89" s="89"/>
      <c r="E89" s="89"/>
      <c r="F89" s="104">
        <v>200000</v>
      </c>
      <c r="G89" s="104"/>
      <c r="H89" s="104"/>
    </row>
    <row r="90" spans="1:12" s="35" customFormat="1" hidden="1" x14ac:dyDescent="0.25">
      <c r="A90" s="89" t="s">
        <v>172</v>
      </c>
      <c r="B90" s="89"/>
      <c r="C90" s="89"/>
      <c r="D90" s="89"/>
      <c r="E90" s="89"/>
      <c r="F90" s="104">
        <v>15000</v>
      </c>
      <c r="G90" s="104"/>
      <c r="H90" s="104"/>
    </row>
    <row r="91" spans="1:12" s="35" customFormat="1" hidden="1" x14ac:dyDescent="0.25">
      <c r="A91" s="89" t="s">
        <v>100</v>
      </c>
      <c r="B91" s="89"/>
      <c r="C91" s="89"/>
      <c r="D91" s="89"/>
      <c r="E91" s="89"/>
      <c r="F91" s="104"/>
      <c r="G91" s="104"/>
      <c r="H91" s="104"/>
    </row>
    <row r="92" spans="1:12" s="35" customFormat="1" hidden="1" x14ac:dyDescent="0.25">
      <c r="A92" s="89" t="s">
        <v>101</v>
      </c>
      <c r="B92" s="89"/>
      <c r="C92" s="89"/>
      <c r="D92" s="89"/>
      <c r="E92" s="89"/>
      <c r="F92" s="104"/>
      <c r="G92" s="104"/>
      <c r="H92" s="104"/>
    </row>
    <row r="93" spans="1:12" s="35" customFormat="1" hidden="1" x14ac:dyDescent="0.25">
      <c r="A93" s="89" t="s">
        <v>102</v>
      </c>
      <c r="B93" s="89"/>
      <c r="C93" s="89"/>
      <c r="D93" s="89"/>
      <c r="E93" s="89"/>
      <c r="F93" s="104"/>
      <c r="G93" s="104"/>
      <c r="H93" s="104"/>
    </row>
    <row r="94" spans="1:12" s="35" customFormat="1" hidden="1" x14ac:dyDescent="0.25">
      <c r="A94" s="89" t="s">
        <v>103</v>
      </c>
      <c r="B94" s="89"/>
      <c r="C94" s="89"/>
      <c r="D94" s="89"/>
      <c r="E94" s="89"/>
      <c r="F94" s="104"/>
      <c r="G94" s="104"/>
      <c r="H94" s="104"/>
    </row>
    <row r="95" spans="1:12" x14ac:dyDescent="0.25">
      <c r="A95" s="89" t="s">
        <v>53</v>
      </c>
      <c r="B95" s="89"/>
      <c r="C95" s="89"/>
      <c r="D95" s="89"/>
      <c r="E95" s="89"/>
      <c r="F95" s="104">
        <v>250000</v>
      </c>
      <c r="G95" s="104"/>
      <c r="H95" s="104"/>
    </row>
    <row r="96" spans="1:12" s="36" customFormat="1" x14ac:dyDescent="0.25">
      <c r="A96" s="139" t="s">
        <v>54</v>
      </c>
      <c r="B96" s="139"/>
      <c r="C96" s="139"/>
      <c r="D96" s="139"/>
      <c r="E96" s="139"/>
      <c r="F96" s="104">
        <f>F83*0.8</f>
        <v>7200</v>
      </c>
      <c r="G96" s="104"/>
      <c r="H96" s="104"/>
    </row>
    <row r="97" spans="1:14" s="37" customFormat="1" ht="15.75" customHeight="1" x14ac:dyDescent="0.25">
      <c r="A97" s="138" t="s">
        <v>78</v>
      </c>
      <c r="B97" s="138"/>
      <c r="C97" s="138"/>
      <c r="D97" s="138"/>
      <c r="E97" s="138"/>
      <c r="F97" s="138"/>
      <c r="G97" s="138"/>
      <c r="H97" s="138"/>
    </row>
    <row r="98" spans="1:14" s="37" customFormat="1" ht="15.75" customHeight="1" x14ac:dyDescent="0.25">
      <c r="A98" s="94" t="s">
        <v>55</v>
      </c>
      <c r="B98" s="94"/>
      <c r="C98" s="177" t="s">
        <v>81</v>
      </c>
      <c r="D98" s="177"/>
      <c r="E98" s="133" t="s">
        <v>56</v>
      </c>
      <c r="F98" s="133"/>
      <c r="G98" s="94" t="s">
        <v>57</v>
      </c>
      <c r="H98" s="94"/>
      <c r="J98" s="37" t="s">
        <v>240</v>
      </c>
    </row>
    <row r="99" spans="1:14" s="37" customFormat="1" x14ac:dyDescent="0.25">
      <c r="A99" s="141" t="s">
        <v>198</v>
      </c>
      <c r="B99" s="141"/>
      <c r="C99" s="142">
        <f>COUNT(D113:D123)+COUNT(D126)</f>
        <v>12</v>
      </c>
      <c r="D99" s="143"/>
      <c r="E99" s="105">
        <f>SUM(D113:D123)+SUM(D126)</f>
        <v>4830.77556</v>
      </c>
      <c r="F99" s="106"/>
      <c r="G99" s="105">
        <f>SUM(F113:F123)+SUM(F126)</f>
        <v>7729.2408960000002</v>
      </c>
      <c r="H99" s="106"/>
      <c r="J99" s="37" t="s">
        <v>241</v>
      </c>
    </row>
    <row r="100" spans="1:14" s="37" customFormat="1" x14ac:dyDescent="0.25">
      <c r="A100" s="141" t="s">
        <v>201</v>
      </c>
      <c r="B100" s="141"/>
      <c r="C100" s="142">
        <f>COUNT(D125)+COUNT(D128:D141)*2+COUNT(D143:D163)+COUNT(D165:D185)+COUNT(D187:D207)</f>
        <v>92</v>
      </c>
      <c r="D100" s="143"/>
      <c r="E100" s="105">
        <f>SUM(D125)+SUM(D128:D141)*2+SUM(D143:D163)+SUM(D165:D185)+SUM(D187:D207)</f>
        <v>16635.008519999996</v>
      </c>
      <c r="F100" s="106"/>
      <c r="G100" s="105">
        <f>SUM(F125)+SUM(F128:F141)*2+SUM(F143:F163)+SUM(F165:F185)+SUM(F187:F207)</f>
        <v>26616.013632000002</v>
      </c>
      <c r="H100" s="106"/>
      <c r="I100" s="37" t="s">
        <v>242</v>
      </c>
      <c r="J100" s="37">
        <v>9100</v>
      </c>
    </row>
    <row r="101" spans="1:14" s="37" customFormat="1" x14ac:dyDescent="0.25">
      <c r="A101" s="141" t="s">
        <v>237</v>
      </c>
      <c r="B101" s="141"/>
      <c r="C101" s="142">
        <f>COUNT(D112)</f>
        <v>1</v>
      </c>
      <c r="D101" s="143"/>
      <c r="E101" s="142">
        <f>SUM(D112)</f>
        <v>197.1943272</v>
      </c>
      <c r="F101" s="143"/>
      <c r="G101" s="142">
        <f>SUM(F112)</f>
        <v>315.51092352000001</v>
      </c>
      <c r="H101" s="143"/>
    </row>
    <row r="102" spans="1:14" s="37" customFormat="1" x14ac:dyDescent="0.25">
      <c r="A102" s="138" t="s">
        <v>161</v>
      </c>
      <c r="B102" s="138"/>
      <c r="C102" s="176">
        <f>SUM(C100:D101)</f>
        <v>93</v>
      </c>
      <c r="D102" s="177"/>
      <c r="E102" s="176">
        <f t="shared" ref="E102:G102" si="0">SUM(E100:F101)</f>
        <v>16832.202847199995</v>
      </c>
      <c r="F102" s="177"/>
      <c r="G102" s="176">
        <f t="shared" si="0"/>
        <v>26931.524555520002</v>
      </c>
      <c r="H102" s="177"/>
    </row>
    <row r="103" spans="1:14" s="37" customFormat="1" x14ac:dyDescent="0.25">
      <c r="A103" s="138" t="s">
        <v>73</v>
      </c>
      <c r="B103" s="138"/>
      <c r="C103" s="138"/>
      <c r="D103" s="138"/>
      <c r="E103" s="138"/>
      <c r="F103" s="138"/>
      <c r="G103" s="138"/>
      <c r="H103" s="138"/>
    </row>
    <row r="104" spans="1:14" s="37" customFormat="1" ht="15.75" customHeight="1" x14ac:dyDescent="0.25">
      <c r="A104" s="94" t="s">
        <v>55</v>
      </c>
      <c r="B104" s="94"/>
      <c r="C104" s="177" t="s">
        <v>81</v>
      </c>
      <c r="D104" s="177"/>
      <c r="E104" s="133" t="s">
        <v>56</v>
      </c>
      <c r="F104" s="133"/>
      <c r="G104" s="94" t="s">
        <v>57</v>
      </c>
      <c r="H104" s="94"/>
      <c r="K104" s="69">
        <f>G102+G105</f>
        <v>170459.51861952004</v>
      </c>
      <c r="L104" s="69">
        <f>E102+E105</f>
        <v>104469.62310720001</v>
      </c>
    </row>
    <row r="105" spans="1:14" s="37" customFormat="1" x14ac:dyDescent="0.25">
      <c r="A105" s="141" t="s">
        <v>72</v>
      </c>
      <c r="B105" s="141"/>
      <c r="C105" s="143">
        <f>COUNT(D262:D267)*2+COUNT(D269:D274)*2+COUNT(D276:D281)*9+COUNT(D283:D288)*8+COUNT(D290:D295)+COUNT(D297:D302)+COUNT(D304:D309)</f>
        <v>144</v>
      </c>
      <c r="D105" s="143"/>
      <c r="E105" s="105">
        <f>SUM(D262:D267)*2+SUM(D269:D274)*2+SUM(D276:D281)*9+SUM(D283:D288)*8+SUM(D290:D295)+SUM(D297:D302)+SUM(D304:D309)</f>
        <v>87637.420260000014</v>
      </c>
      <c r="F105" s="105"/>
      <c r="G105" s="105">
        <f>SUM(F262:F267)*2+SUM(F269:F274)*2+SUM(F276:F281)*9+SUM(F283:F288)*8+SUM(F290:F295)+SUM(F297:F302)+SUM(F304:F309)</f>
        <v>143527.99406400003</v>
      </c>
      <c r="H105" s="105"/>
    </row>
    <row r="106" spans="1:14" s="36" customFormat="1" x14ac:dyDescent="0.25">
      <c r="A106" s="134" t="s">
        <v>58</v>
      </c>
      <c r="B106" s="134"/>
      <c r="C106" s="134"/>
      <c r="D106" s="134"/>
      <c r="E106" s="134"/>
      <c r="F106" s="134"/>
      <c r="G106" s="134"/>
      <c r="H106" s="134"/>
    </row>
    <row r="107" spans="1:14" x14ac:dyDescent="0.25">
      <c r="A107" s="134" t="s">
        <v>59</v>
      </c>
      <c r="B107" s="134"/>
      <c r="C107" s="134"/>
      <c r="D107" s="134"/>
      <c r="E107" s="134"/>
      <c r="F107" s="134"/>
      <c r="G107" s="134"/>
      <c r="H107" s="134"/>
    </row>
    <row r="108" spans="1:14" ht="47.25" customHeight="1" x14ac:dyDescent="0.25">
      <c r="A108" s="95" t="s">
        <v>125</v>
      </c>
      <c r="B108" s="95" t="s">
        <v>124</v>
      </c>
      <c r="C108" s="95" t="s">
        <v>60</v>
      </c>
      <c r="D108" s="95" t="s">
        <v>61</v>
      </c>
      <c r="E108" s="97" t="s">
        <v>167</v>
      </c>
      <c r="F108" s="45" t="s">
        <v>159</v>
      </c>
      <c r="G108" s="99" t="s">
        <v>63</v>
      </c>
      <c r="H108" s="100"/>
    </row>
    <row r="109" spans="1:14" s="50" customFormat="1" x14ac:dyDescent="0.25">
      <c r="A109" s="96"/>
      <c r="B109" s="96"/>
      <c r="C109" s="96"/>
      <c r="D109" s="96"/>
      <c r="E109" s="98"/>
      <c r="F109" s="15">
        <v>0.6</v>
      </c>
      <c r="G109" s="101"/>
      <c r="H109" s="102"/>
    </row>
    <row r="110" spans="1:14" s="57" customFormat="1" x14ac:dyDescent="0.25">
      <c r="A110" s="126" t="s">
        <v>236</v>
      </c>
      <c r="B110" s="127"/>
      <c r="C110" s="127"/>
      <c r="D110" s="127"/>
      <c r="E110" s="127"/>
      <c r="F110" s="127"/>
      <c r="G110" s="127"/>
      <c r="H110" s="128"/>
      <c r="J110" s="38"/>
    </row>
    <row r="111" spans="1:14" s="59" customFormat="1" x14ac:dyDescent="0.25">
      <c r="A111" s="123" t="s">
        <v>230</v>
      </c>
      <c r="B111" s="124"/>
      <c r="C111" s="124"/>
      <c r="D111" s="124"/>
      <c r="E111" s="124"/>
      <c r="F111" s="124"/>
      <c r="G111" s="124"/>
      <c r="H111" s="125"/>
      <c r="J111" s="62">
        <f>10.764</f>
        <v>10.763999999999999</v>
      </c>
    </row>
    <row r="112" spans="1:14" s="59" customFormat="1" ht="47.25" x14ac:dyDescent="0.25">
      <c r="A112" s="91">
        <v>1</v>
      </c>
      <c r="B112" s="92"/>
      <c r="C112" s="58" t="s">
        <v>235</v>
      </c>
      <c r="D112" s="62">
        <f>(2.65*5.7+1.41*2.28)*(10.764)</f>
        <v>197.1943272</v>
      </c>
      <c r="E112" s="58">
        <v>0</v>
      </c>
      <c r="F112" s="58">
        <f>(D112+E112)*(($F$109)+1)</f>
        <v>315.51092352000001</v>
      </c>
      <c r="G112" s="91" t="str">
        <f>A111</f>
        <v>Ground Floor For Commercial</v>
      </c>
      <c r="H112" s="92"/>
      <c r="I112" s="38"/>
      <c r="L112" s="175"/>
      <c r="M112" s="175"/>
      <c r="N112" s="38"/>
    </row>
    <row r="113" spans="1:14" s="59" customFormat="1" x14ac:dyDescent="0.25">
      <c r="A113" s="91">
        <f t="shared" ref="A113:A123" si="1">A112+1</f>
        <v>2</v>
      </c>
      <c r="B113" s="92"/>
      <c r="C113" s="58" t="s">
        <v>198</v>
      </c>
      <c r="D113" s="62">
        <f>(12.57)*(10.764)</f>
        <v>135.30348000000001</v>
      </c>
      <c r="E113" s="58">
        <v>0</v>
      </c>
      <c r="F113" s="58">
        <f t="shared" ref="F113:F115" si="2">(D113+E113)*(($F$109)+1)</f>
        <v>216.48556800000003</v>
      </c>
      <c r="G113" s="91" t="str">
        <f t="shared" ref="G113:G123" si="3">G112</f>
        <v>Ground Floor For Commercial</v>
      </c>
      <c r="H113" s="92"/>
      <c r="I113" s="38"/>
      <c r="L113" s="175"/>
      <c r="M113" s="175"/>
      <c r="N113" s="38"/>
    </row>
    <row r="114" spans="1:14" s="59" customFormat="1" x14ac:dyDescent="0.25">
      <c r="A114" s="91">
        <f t="shared" si="1"/>
        <v>3</v>
      </c>
      <c r="B114" s="92"/>
      <c r="C114" s="58" t="s">
        <v>198</v>
      </c>
      <c r="D114" s="62">
        <f>(12.64)*(10.764)</f>
        <v>136.05696</v>
      </c>
      <c r="E114" s="58">
        <v>0</v>
      </c>
      <c r="F114" s="58">
        <f t="shared" si="2"/>
        <v>217.69113600000003</v>
      </c>
      <c r="G114" s="91" t="str">
        <f t="shared" si="3"/>
        <v>Ground Floor For Commercial</v>
      </c>
      <c r="H114" s="92"/>
      <c r="I114" s="38"/>
      <c r="L114" s="175"/>
      <c r="M114" s="175"/>
      <c r="N114" s="38"/>
    </row>
    <row r="115" spans="1:14" s="59" customFormat="1" x14ac:dyDescent="0.25">
      <c r="A115" s="91">
        <f t="shared" si="1"/>
        <v>4</v>
      </c>
      <c r="B115" s="92"/>
      <c r="C115" s="58" t="s">
        <v>198</v>
      </c>
      <c r="D115" s="62">
        <f>(12.43)*(10.764)</f>
        <v>133.79651999999999</v>
      </c>
      <c r="E115" s="58">
        <v>0</v>
      </c>
      <c r="F115" s="58">
        <f t="shared" si="2"/>
        <v>214.074432</v>
      </c>
      <c r="G115" s="91" t="str">
        <f t="shared" si="3"/>
        <v>Ground Floor For Commercial</v>
      </c>
      <c r="H115" s="92"/>
      <c r="I115" s="38"/>
      <c r="L115" s="175"/>
      <c r="M115" s="175"/>
      <c r="N115" s="38"/>
    </row>
    <row r="116" spans="1:14" s="59" customFormat="1" x14ac:dyDescent="0.25">
      <c r="A116" s="91">
        <f t="shared" si="1"/>
        <v>5</v>
      </c>
      <c r="B116" s="92"/>
      <c r="C116" s="58" t="s">
        <v>198</v>
      </c>
      <c r="D116" s="62">
        <f>(12.78)*(10.764)</f>
        <v>137.56392</v>
      </c>
      <c r="E116" s="58">
        <v>0</v>
      </c>
      <c r="F116" s="58">
        <f t="shared" ref="F116:F120" si="4">(D116+E116)*(($F$109)+1)</f>
        <v>220.102272</v>
      </c>
      <c r="G116" s="91" t="str">
        <f t="shared" si="3"/>
        <v>Ground Floor For Commercial</v>
      </c>
      <c r="H116" s="92"/>
      <c r="I116" s="38"/>
      <c r="L116" s="175"/>
      <c r="M116" s="175"/>
      <c r="N116" s="38"/>
    </row>
    <row r="117" spans="1:14" s="59" customFormat="1" x14ac:dyDescent="0.25">
      <c r="A117" s="91">
        <f t="shared" si="1"/>
        <v>6</v>
      </c>
      <c r="B117" s="92"/>
      <c r="C117" s="58" t="s">
        <v>198</v>
      </c>
      <c r="D117" s="62">
        <f>(44.25)*(10.764)</f>
        <v>476.30699999999996</v>
      </c>
      <c r="E117" s="58">
        <v>0</v>
      </c>
      <c r="F117" s="58">
        <f t="shared" si="4"/>
        <v>762.09119999999996</v>
      </c>
      <c r="G117" s="91" t="str">
        <f t="shared" si="3"/>
        <v>Ground Floor For Commercial</v>
      </c>
      <c r="H117" s="92"/>
      <c r="I117" s="38"/>
      <c r="L117" s="175"/>
      <c r="M117" s="175"/>
      <c r="N117" s="38"/>
    </row>
    <row r="118" spans="1:14" s="59" customFormat="1" ht="47.25" x14ac:dyDescent="0.25">
      <c r="A118" s="91">
        <f t="shared" si="1"/>
        <v>7</v>
      </c>
      <c r="B118" s="92"/>
      <c r="C118" s="58" t="s">
        <v>234</v>
      </c>
      <c r="D118" s="62">
        <f>(42.87+16.32)*(10.764)</f>
        <v>637.12115999999992</v>
      </c>
      <c r="E118" s="58">
        <v>0</v>
      </c>
      <c r="F118" s="58">
        <f t="shared" si="4"/>
        <v>1019.3938559999999</v>
      </c>
      <c r="G118" s="91" t="str">
        <f t="shared" si="3"/>
        <v>Ground Floor For Commercial</v>
      </c>
      <c r="H118" s="92"/>
      <c r="I118" s="38"/>
      <c r="L118" s="175"/>
      <c r="M118" s="175"/>
      <c r="N118" s="38"/>
    </row>
    <row r="119" spans="1:14" s="59" customFormat="1" ht="47.25" x14ac:dyDescent="0.25">
      <c r="A119" s="93">
        <f t="shared" si="1"/>
        <v>8</v>
      </c>
      <c r="B119" s="93"/>
      <c r="C119" s="70" t="s">
        <v>234</v>
      </c>
      <c r="D119" s="62">
        <f>(37.9+13.99)*(10.764)</f>
        <v>558.54395999999997</v>
      </c>
      <c r="E119" s="70">
        <v>0</v>
      </c>
      <c r="F119" s="70">
        <f t="shared" si="4"/>
        <v>893.67033600000002</v>
      </c>
      <c r="G119" s="93" t="str">
        <f t="shared" si="3"/>
        <v>Ground Floor For Commercial</v>
      </c>
      <c r="H119" s="93"/>
      <c r="I119" s="38"/>
      <c r="L119" s="175"/>
      <c r="M119" s="175"/>
      <c r="N119" s="38"/>
    </row>
    <row r="120" spans="1:14" s="59" customFormat="1" ht="47.25" x14ac:dyDescent="0.25">
      <c r="A120" s="93">
        <f t="shared" si="1"/>
        <v>9</v>
      </c>
      <c r="B120" s="93"/>
      <c r="C120" s="70" t="s">
        <v>234</v>
      </c>
      <c r="D120" s="62">
        <f>(41.62+15.34)*(10.764)</f>
        <v>613.11743999999987</v>
      </c>
      <c r="E120" s="70">
        <v>0</v>
      </c>
      <c r="F120" s="70">
        <f t="shared" si="4"/>
        <v>980.98790399999984</v>
      </c>
      <c r="G120" s="93" t="str">
        <f t="shared" si="3"/>
        <v>Ground Floor For Commercial</v>
      </c>
      <c r="H120" s="93"/>
      <c r="I120" s="38"/>
      <c r="L120" s="175"/>
      <c r="M120" s="175"/>
      <c r="N120" s="38"/>
    </row>
    <row r="121" spans="1:14" s="59" customFormat="1" ht="47.25" x14ac:dyDescent="0.25">
      <c r="A121" s="93">
        <f t="shared" si="1"/>
        <v>10</v>
      </c>
      <c r="B121" s="93"/>
      <c r="C121" s="70" t="s">
        <v>234</v>
      </c>
      <c r="D121" s="62">
        <f>(34.95+13.96)*(10.764)</f>
        <v>526.46724000000006</v>
      </c>
      <c r="E121" s="70">
        <v>0</v>
      </c>
      <c r="F121" s="70">
        <f t="shared" ref="F121:F123" si="5">(D121+E121)*(($F$109)+1)</f>
        <v>842.3475840000001</v>
      </c>
      <c r="G121" s="93" t="str">
        <f t="shared" si="3"/>
        <v>Ground Floor For Commercial</v>
      </c>
      <c r="H121" s="93"/>
      <c r="I121" s="38"/>
      <c r="L121" s="175"/>
      <c r="M121" s="175"/>
      <c r="N121" s="38"/>
    </row>
    <row r="122" spans="1:14" s="59" customFormat="1" ht="47.25" x14ac:dyDescent="0.25">
      <c r="A122" s="93">
        <f t="shared" si="1"/>
        <v>11</v>
      </c>
      <c r="B122" s="93"/>
      <c r="C122" s="70" t="s">
        <v>234</v>
      </c>
      <c r="D122" s="62">
        <f>(29.97+13.96)*(10.764)</f>
        <v>472.86251999999996</v>
      </c>
      <c r="E122" s="70">
        <v>0</v>
      </c>
      <c r="F122" s="70">
        <f t="shared" si="5"/>
        <v>756.58003199999996</v>
      </c>
      <c r="G122" s="93" t="str">
        <f t="shared" si="3"/>
        <v>Ground Floor For Commercial</v>
      </c>
      <c r="H122" s="93"/>
      <c r="I122" s="38"/>
      <c r="L122" s="175"/>
      <c r="M122" s="175"/>
      <c r="N122" s="38"/>
    </row>
    <row r="123" spans="1:14" s="59" customFormat="1" ht="47.25" x14ac:dyDescent="0.25">
      <c r="A123" s="91">
        <f t="shared" si="1"/>
        <v>12</v>
      </c>
      <c r="B123" s="92"/>
      <c r="C123" s="65" t="s">
        <v>234</v>
      </c>
      <c r="D123" s="62">
        <f>(22.56+12.38)*(10.764)</f>
        <v>376.09415999999993</v>
      </c>
      <c r="E123" s="58">
        <v>0</v>
      </c>
      <c r="F123" s="58">
        <f t="shared" si="5"/>
        <v>601.75065599999994</v>
      </c>
      <c r="G123" s="91" t="str">
        <f t="shared" si="3"/>
        <v>Ground Floor For Commercial</v>
      </c>
      <c r="H123" s="92"/>
      <c r="I123" s="38"/>
      <c r="J123" s="59">
        <f>2.6*4.8</f>
        <v>12.48</v>
      </c>
      <c r="L123" s="175"/>
      <c r="M123" s="175"/>
      <c r="N123" s="38"/>
    </row>
    <row r="124" spans="1:14" s="59" customFormat="1" x14ac:dyDescent="0.25">
      <c r="A124" s="123" t="s">
        <v>200</v>
      </c>
      <c r="B124" s="124"/>
      <c r="C124" s="124"/>
      <c r="D124" s="124"/>
      <c r="E124" s="124"/>
      <c r="F124" s="124"/>
      <c r="G124" s="124"/>
      <c r="H124" s="125"/>
      <c r="J124" s="38"/>
    </row>
    <row r="125" spans="1:14" s="59" customFormat="1" x14ac:dyDescent="0.25">
      <c r="A125" s="91">
        <v>101</v>
      </c>
      <c r="B125" s="92"/>
      <c r="C125" s="58" t="s">
        <v>201</v>
      </c>
      <c r="D125" s="62">
        <f>(76.85)*(10.764)</f>
        <v>827.21339999999987</v>
      </c>
      <c r="E125" s="58">
        <v>0</v>
      </c>
      <c r="F125" s="58">
        <f>(D125+E125)*(($F$109)+1)</f>
        <v>1323.54144</v>
      </c>
      <c r="G125" s="91" t="str">
        <f>A124</f>
        <v>1st Floor</v>
      </c>
      <c r="H125" s="92"/>
      <c r="I125" s="38"/>
      <c r="L125" s="175"/>
      <c r="M125" s="175"/>
      <c r="N125" s="38"/>
    </row>
    <row r="126" spans="1:14" s="59" customFormat="1" x14ac:dyDescent="0.25">
      <c r="A126" s="91">
        <f t="shared" ref="A126" si="6">A125+1</f>
        <v>102</v>
      </c>
      <c r="B126" s="92"/>
      <c r="C126" s="58" t="s">
        <v>198</v>
      </c>
      <c r="D126" s="62">
        <f>(58.3)*(10.764)</f>
        <v>627.54119999999989</v>
      </c>
      <c r="E126" s="58">
        <v>0</v>
      </c>
      <c r="F126" s="58">
        <f t="shared" ref="F126" si="7">(D126+E126)*(($F$109)+1)</f>
        <v>1004.0659199999999</v>
      </c>
      <c r="G126" s="91" t="str">
        <f t="shared" ref="G126" si="8">G125</f>
        <v>1st Floor</v>
      </c>
      <c r="H126" s="92"/>
      <c r="I126" s="38"/>
      <c r="L126" s="175"/>
      <c r="M126" s="175"/>
      <c r="N126" s="38"/>
    </row>
    <row r="127" spans="1:14" s="59" customFormat="1" x14ac:dyDescent="0.25">
      <c r="A127" s="126" t="s">
        <v>206</v>
      </c>
      <c r="B127" s="127"/>
      <c r="C127" s="127"/>
      <c r="D127" s="127"/>
      <c r="E127" s="127"/>
      <c r="F127" s="127"/>
      <c r="G127" s="127"/>
      <c r="H127" s="128"/>
      <c r="J127" s="38"/>
    </row>
    <row r="128" spans="1:14" s="59" customFormat="1" x14ac:dyDescent="0.25">
      <c r="A128" s="91" t="s">
        <v>202</v>
      </c>
      <c r="B128" s="92"/>
      <c r="C128" s="58" t="s">
        <v>201</v>
      </c>
      <c r="D128" s="62">
        <f>(52.54)*(10.764)</f>
        <v>565.54055999999991</v>
      </c>
      <c r="E128" s="58">
        <v>0</v>
      </c>
      <c r="F128" s="58">
        <f>(D128+E128)*(($F$109)+1)</f>
        <v>904.86489599999993</v>
      </c>
      <c r="G128" s="91" t="str">
        <f>A127</f>
        <v>2nd &amp; 3rd Floor</v>
      </c>
      <c r="H128" s="92"/>
      <c r="I128" s="38"/>
      <c r="L128" s="175"/>
      <c r="M128" s="175"/>
      <c r="N128" s="38"/>
    </row>
    <row r="129" spans="1:14" s="59" customFormat="1" x14ac:dyDescent="0.25">
      <c r="A129" s="91" t="s">
        <v>203</v>
      </c>
      <c r="B129" s="92"/>
      <c r="C129" s="58" t="s">
        <v>201</v>
      </c>
      <c r="D129" s="62">
        <f>(34.64)*(10.764)</f>
        <v>372.86496</v>
      </c>
      <c r="E129" s="58">
        <v>0</v>
      </c>
      <c r="F129" s="58">
        <f t="shared" ref="F129:F131" si="9">(D129+E129)*(($F$109)+1)</f>
        <v>596.58393599999999</v>
      </c>
      <c r="G129" s="91" t="str">
        <f t="shared" ref="G129:G141" si="10">G128</f>
        <v>2nd &amp; 3rd Floor</v>
      </c>
      <c r="H129" s="92"/>
      <c r="I129" s="38"/>
      <c r="L129" s="175"/>
      <c r="M129" s="175"/>
      <c r="N129" s="38"/>
    </row>
    <row r="130" spans="1:14" s="59" customFormat="1" x14ac:dyDescent="0.25">
      <c r="A130" s="91" t="s">
        <v>204</v>
      </c>
      <c r="B130" s="92"/>
      <c r="C130" s="58" t="s">
        <v>201</v>
      </c>
      <c r="D130" s="62">
        <f>(30.28)*(10.764)</f>
        <v>325.93392</v>
      </c>
      <c r="E130" s="58">
        <v>0</v>
      </c>
      <c r="F130" s="58">
        <f t="shared" si="9"/>
        <v>521.49427200000002</v>
      </c>
      <c r="G130" s="91" t="str">
        <f t="shared" si="10"/>
        <v>2nd &amp; 3rd Floor</v>
      </c>
      <c r="H130" s="92"/>
      <c r="I130" s="38"/>
      <c r="L130" s="175"/>
      <c r="M130" s="175"/>
      <c r="N130" s="38"/>
    </row>
    <row r="131" spans="1:14" s="59" customFormat="1" x14ac:dyDescent="0.25">
      <c r="A131" s="91" t="s">
        <v>205</v>
      </c>
      <c r="B131" s="92"/>
      <c r="C131" s="58" t="s">
        <v>201</v>
      </c>
      <c r="D131" s="62">
        <f>(38.66)*(10.764)</f>
        <v>416.13623999999993</v>
      </c>
      <c r="E131" s="58">
        <v>0</v>
      </c>
      <c r="F131" s="58">
        <f t="shared" si="9"/>
        <v>665.81798399999991</v>
      </c>
      <c r="G131" s="91" t="str">
        <f t="shared" si="10"/>
        <v>2nd &amp; 3rd Floor</v>
      </c>
      <c r="H131" s="92"/>
      <c r="I131" s="38"/>
      <c r="L131" s="175"/>
      <c r="M131" s="175"/>
      <c r="N131" s="38"/>
    </row>
    <row r="132" spans="1:14" s="59" customFormat="1" x14ac:dyDescent="0.25">
      <c r="A132" s="91" t="s">
        <v>207</v>
      </c>
      <c r="B132" s="92"/>
      <c r="C132" s="58" t="s">
        <v>201</v>
      </c>
      <c r="D132" s="62">
        <f>(33.68)*(10.764)</f>
        <v>362.53152</v>
      </c>
      <c r="E132" s="58">
        <v>0</v>
      </c>
      <c r="F132" s="58">
        <f t="shared" ref="F132:F137" si="11">(D132+E132)*(($F$109)+1)</f>
        <v>580.050432</v>
      </c>
      <c r="G132" s="91" t="str">
        <f t="shared" si="10"/>
        <v>2nd &amp; 3rd Floor</v>
      </c>
      <c r="H132" s="92"/>
      <c r="I132" s="38"/>
      <c r="L132" s="175"/>
      <c r="M132" s="175"/>
      <c r="N132" s="38"/>
    </row>
    <row r="133" spans="1:14" s="59" customFormat="1" x14ac:dyDescent="0.25">
      <c r="A133" s="91" t="s">
        <v>208</v>
      </c>
      <c r="B133" s="92"/>
      <c r="C133" s="58" t="s">
        <v>201</v>
      </c>
      <c r="D133" s="62">
        <f>(29.78)*(10.764)</f>
        <v>320.55192</v>
      </c>
      <c r="E133" s="58">
        <v>0</v>
      </c>
      <c r="F133" s="58">
        <f t="shared" si="11"/>
        <v>512.88307199999997</v>
      </c>
      <c r="G133" s="91" t="str">
        <f t="shared" si="10"/>
        <v>2nd &amp; 3rd Floor</v>
      </c>
      <c r="H133" s="92"/>
      <c r="I133" s="38"/>
      <c r="L133" s="175"/>
      <c r="M133" s="175"/>
      <c r="N133" s="38"/>
    </row>
    <row r="134" spans="1:14" s="59" customFormat="1" x14ac:dyDescent="0.25">
      <c r="A134" s="91" t="s">
        <v>209</v>
      </c>
      <c r="B134" s="92"/>
      <c r="C134" s="58" t="s">
        <v>201</v>
      </c>
      <c r="D134" s="62">
        <f>(23.62)*(10.764)</f>
        <v>254.24567999999999</v>
      </c>
      <c r="E134" s="58">
        <v>0</v>
      </c>
      <c r="F134" s="58">
        <f t="shared" si="11"/>
        <v>406.79308800000001</v>
      </c>
      <c r="G134" s="91" t="str">
        <f t="shared" si="10"/>
        <v>2nd &amp; 3rd Floor</v>
      </c>
      <c r="H134" s="92"/>
      <c r="I134" s="38"/>
      <c r="L134" s="175"/>
      <c r="M134" s="175"/>
      <c r="N134" s="38"/>
    </row>
    <row r="135" spans="1:14" s="59" customFormat="1" x14ac:dyDescent="0.25">
      <c r="A135" s="91" t="s">
        <v>210</v>
      </c>
      <c r="B135" s="92"/>
      <c r="C135" s="58" t="s">
        <v>201</v>
      </c>
      <c r="D135" s="62">
        <f>(18.59)*(10.764)</f>
        <v>200.10275999999999</v>
      </c>
      <c r="E135" s="58">
        <v>0</v>
      </c>
      <c r="F135" s="58">
        <f t="shared" si="11"/>
        <v>320.16441600000002</v>
      </c>
      <c r="G135" s="91" t="str">
        <f t="shared" si="10"/>
        <v>2nd &amp; 3rd Floor</v>
      </c>
      <c r="H135" s="92"/>
      <c r="I135" s="38"/>
      <c r="L135" s="175"/>
      <c r="M135" s="175"/>
      <c r="N135" s="38"/>
    </row>
    <row r="136" spans="1:14" s="59" customFormat="1" x14ac:dyDescent="0.25">
      <c r="A136" s="91" t="s">
        <v>211</v>
      </c>
      <c r="B136" s="92"/>
      <c r="C136" s="58" t="s">
        <v>201</v>
      </c>
      <c r="D136" s="62">
        <f>(12.38)*(10.764)</f>
        <v>133.25832</v>
      </c>
      <c r="E136" s="58">
        <v>0</v>
      </c>
      <c r="F136" s="58">
        <f t="shared" si="11"/>
        <v>213.213312</v>
      </c>
      <c r="G136" s="91" t="str">
        <f t="shared" si="10"/>
        <v>2nd &amp; 3rd Floor</v>
      </c>
      <c r="H136" s="92"/>
      <c r="I136" s="38"/>
      <c r="L136" s="175"/>
      <c r="M136" s="175"/>
      <c r="N136" s="38"/>
    </row>
    <row r="137" spans="1:14" s="59" customFormat="1" x14ac:dyDescent="0.25">
      <c r="A137" s="91" t="s">
        <v>212</v>
      </c>
      <c r="B137" s="92"/>
      <c r="C137" s="58" t="s">
        <v>201</v>
      </c>
      <c r="D137" s="62">
        <f>(6.33)*(10.764)</f>
        <v>68.136119999999991</v>
      </c>
      <c r="E137" s="58">
        <v>0</v>
      </c>
      <c r="F137" s="58">
        <f t="shared" si="11"/>
        <v>109.01779199999999</v>
      </c>
      <c r="G137" s="91" t="str">
        <f t="shared" si="10"/>
        <v>2nd &amp; 3rd Floor</v>
      </c>
      <c r="H137" s="92"/>
      <c r="I137" s="38"/>
      <c r="L137" s="175"/>
      <c r="M137" s="175"/>
      <c r="N137" s="38"/>
    </row>
    <row r="138" spans="1:14" s="59" customFormat="1" x14ac:dyDescent="0.25">
      <c r="A138" s="91" t="s">
        <v>213</v>
      </c>
      <c r="B138" s="92"/>
      <c r="C138" s="58" t="s">
        <v>201</v>
      </c>
      <c r="D138" s="62">
        <f>(6.42)*(10.764)</f>
        <v>69.104879999999994</v>
      </c>
      <c r="E138" s="58">
        <v>0</v>
      </c>
      <c r="F138" s="58">
        <f t="shared" ref="F138:F140" si="12">(D138+E138)*(($F$109)+1)</f>
        <v>110.567808</v>
      </c>
      <c r="G138" s="91" t="str">
        <f t="shared" si="10"/>
        <v>2nd &amp; 3rd Floor</v>
      </c>
      <c r="H138" s="92"/>
      <c r="I138" s="38"/>
      <c r="L138" s="175"/>
      <c r="M138" s="175"/>
      <c r="N138" s="38"/>
    </row>
    <row r="139" spans="1:14" s="59" customFormat="1" x14ac:dyDescent="0.25">
      <c r="A139" s="91" t="s">
        <v>214</v>
      </c>
      <c r="B139" s="92"/>
      <c r="C139" s="58" t="s">
        <v>201</v>
      </c>
      <c r="D139" s="62">
        <f>(6.97)*(10.764)</f>
        <v>75.025079999999988</v>
      </c>
      <c r="E139" s="58">
        <v>0</v>
      </c>
      <c r="F139" s="58">
        <f t="shared" si="12"/>
        <v>120.04012799999998</v>
      </c>
      <c r="G139" s="91" t="str">
        <f t="shared" si="10"/>
        <v>2nd &amp; 3rd Floor</v>
      </c>
      <c r="H139" s="92"/>
      <c r="I139" s="38"/>
      <c r="L139" s="175"/>
      <c r="M139" s="175"/>
      <c r="N139" s="38"/>
    </row>
    <row r="140" spans="1:14" s="59" customFormat="1" x14ac:dyDescent="0.25">
      <c r="A140" s="91" t="s">
        <v>215</v>
      </c>
      <c r="B140" s="92"/>
      <c r="C140" s="58" t="s">
        <v>201</v>
      </c>
      <c r="D140" s="62">
        <f>(7)*(10.764)</f>
        <v>75.347999999999999</v>
      </c>
      <c r="E140" s="58">
        <v>0</v>
      </c>
      <c r="F140" s="58">
        <f t="shared" si="12"/>
        <v>120.55680000000001</v>
      </c>
      <c r="G140" s="91" t="str">
        <f t="shared" si="10"/>
        <v>2nd &amp; 3rd Floor</v>
      </c>
      <c r="H140" s="92"/>
      <c r="I140" s="38"/>
      <c r="L140" s="175"/>
      <c r="M140" s="175"/>
      <c r="N140" s="38"/>
    </row>
    <row r="141" spans="1:14" s="59" customFormat="1" x14ac:dyDescent="0.25">
      <c r="A141" s="91" t="s">
        <v>216</v>
      </c>
      <c r="B141" s="92"/>
      <c r="C141" s="58" t="s">
        <v>201</v>
      </c>
      <c r="D141" s="62">
        <f>(6.15)*(10.764)</f>
        <v>66.198599999999999</v>
      </c>
      <c r="E141" s="58">
        <v>0</v>
      </c>
      <c r="F141" s="58">
        <f t="shared" ref="F141" si="13">(D141+E141)*(($F$109)+1)</f>
        <v>105.91776</v>
      </c>
      <c r="G141" s="91" t="str">
        <f t="shared" si="10"/>
        <v>2nd &amp; 3rd Floor</v>
      </c>
      <c r="H141" s="92"/>
      <c r="I141" s="38"/>
      <c r="L141" s="175"/>
      <c r="M141" s="175"/>
      <c r="N141" s="38"/>
    </row>
    <row r="142" spans="1:14" s="59" customFormat="1" x14ac:dyDescent="0.25">
      <c r="A142" s="123" t="s">
        <v>217</v>
      </c>
      <c r="B142" s="124"/>
      <c r="C142" s="124"/>
      <c r="D142" s="124"/>
      <c r="E142" s="124"/>
      <c r="F142" s="124"/>
      <c r="G142" s="124"/>
      <c r="H142" s="125"/>
      <c r="J142" s="38"/>
    </row>
    <row r="143" spans="1:14" s="59" customFormat="1" x14ac:dyDescent="0.25">
      <c r="A143" s="91">
        <v>401</v>
      </c>
      <c r="B143" s="92"/>
      <c r="C143" s="58" t="s">
        <v>201</v>
      </c>
      <c r="D143" s="62">
        <f>(16.2)*(10.764)</f>
        <v>174.37679999999997</v>
      </c>
      <c r="E143" s="58">
        <v>0</v>
      </c>
      <c r="F143" s="58">
        <f>(D143+E143)*(($F$109)+1)</f>
        <v>279.00287999999995</v>
      </c>
      <c r="G143" s="91" t="str">
        <f>A142</f>
        <v>4th Floor</v>
      </c>
      <c r="H143" s="92"/>
      <c r="I143" s="38"/>
      <c r="L143" s="175"/>
      <c r="M143" s="175"/>
      <c r="N143" s="38"/>
    </row>
    <row r="144" spans="1:14" s="59" customFormat="1" x14ac:dyDescent="0.25">
      <c r="A144" s="91">
        <f t="shared" ref="A144:A163" si="14">A143+1</f>
        <v>402</v>
      </c>
      <c r="B144" s="92"/>
      <c r="C144" s="58" t="s">
        <v>201</v>
      </c>
      <c r="D144" s="62">
        <f>(12.13)*(10.764)</f>
        <v>130.56732</v>
      </c>
      <c r="E144" s="58">
        <v>0</v>
      </c>
      <c r="F144" s="58">
        <f t="shared" ref="F144:F146" si="15">(D144+E144)*(($F$109)+1)</f>
        <v>208.907712</v>
      </c>
      <c r="G144" s="91" t="str">
        <f t="shared" ref="G144:G163" si="16">G143</f>
        <v>4th Floor</v>
      </c>
      <c r="H144" s="92"/>
      <c r="I144" s="38"/>
      <c r="L144" s="175"/>
      <c r="M144" s="175"/>
      <c r="N144" s="38"/>
    </row>
    <row r="145" spans="1:14" s="59" customFormat="1" x14ac:dyDescent="0.25">
      <c r="A145" s="91">
        <f t="shared" si="14"/>
        <v>403</v>
      </c>
      <c r="B145" s="92"/>
      <c r="C145" s="58" t="s">
        <v>201</v>
      </c>
      <c r="D145" s="62">
        <f>(14.14)*(10.764)</f>
        <v>152.20295999999999</v>
      </c>
      <c r="E145" s="58">
        <v>0</v>
      </c>
      <c r="F145" s="58">
        <f t="shared" si="15"/>
        <v>243.52473599999999</v>
      </c>
      <c r="G145" s="91" t="str">
        <f t="shared" si="16"/>
        <v>4th Floor</v>
      </c>
      <c r="H145" s="92"/>
      <c r="I145" s="38"/>
      <c r="L145" s="175"/>
      <c r="M145" s="175"/>
      <c r="N145" s="38"/>
    </row>
    <row r="146" spans="1:14" s="59" customFormat="1" x14ac:dyDescent="0.25">
      <c r="A146" s="91">
        <f t="shared" si="14"/>
        <v>404</v>
      </c>
      <c r="B146" s="92"/>
      <c r="C146" s="58" t="s">
        <v>201</v>
      </c>
      <c r="D146" s="62">
        <f>(11.96)*(10.764)</f>
        <v>128.73743999999999</v>
      </c>
      <c r="E146" s="58">
        <v>0</v>
      </c>
      <c r="F146" s="58">
        <f t="shared" si="15"/>
        <v>205.979904</v>
      </c>
      <c r="G146" s="91" t="str">
        <f t="shared" si="16"/>
        <v>4th Floor</v>
      </c>
      <c r="H146" s="92"/>
      <c r="I146" s="38"/>
      <c r="L146" s="175"/>
      <c r="M146" s="175"/>
      <c r="N146" s="38"/>
    </row>
    <row r="147" spans="1:14" s="59" customFormat="1" x14ac:dyDescent="0.25">
      <c r="A147" s="91">
        <f t="shared" si="14"/>
        <v>405</v>
      </c>
      <c r="B147" s="92"/>
      <c r="C147" s="58" t="s">
        <v>201</v>
      </c>
      <c r="D147" s="62">
        <f>(30.12)*(10.764)</f>
        <v>324.21168</v>
      </c>
      <c r="E147" s="58">
        <v>0</v>
      </c>
      <c r="F147" s="58">
        <f t="shared" ref="F147:F152" si="17">(D147+E147)*(($F$109)+1)</f>
        <v>518.73868800000002</v>
      </c>
      <c r="G147" s="91" t="str">
        <f t="shared" si="16"/>
        <v>4th Floor</v>
      </c>
      <c r="H147" s="92"/>
      <c r="I147" s="38"/>
      <c r="L147" s="175"/>
      <c r="M147" s="175"/>
      <c r="N147" s="38"/>
    </row>
    <row r="148" spans="1:14" s="59" customFormat="1" x14ac:dyDescent="0.25">
      <c r="A148" s="91">
        <f t="shared" si="14"/>
        <v>406</v>
      </c>
      <c r="B148" s="92"/>
      <c r="C148" s="58" t="s">
        <v>201</v>
      </c>
      <c r="D148" s="62">
        <f>(23.7)*(10.764)</f>
        <v>255.10679999999996</v>
      </c>
      <c r="E148" s="58">
        <v>0</v>
      </c>
      <c r="F148" s="58">
        <f t="shared" si="17"/>
        <v>408.17087999999995</v>
      </c>
      <c r="G148" s="91" t="str">
        <f t="shared" si="16"/>
        <v>4th Floor</v>
      </c>
      <c r="H148" s="92"/>
      <c r="I148" s="38"/>
      <c r="L148" s="175"/>
      <c r="M148" s="175"/>
      <c r="N148" s="38"/>
    </row>
    <row r="149" spans="1:14" s="59" customFormat="1" x14ac:dyDescent="0.25">
      <c r="A149" s="91">
        <f t="shared" si="14"/>
        <v>407</v>
      </c>
      <c r="B149" s="92"/>
      <c r="C149" s="58" t="s">
        <v>201</v>
      </c>
      <c r="D149" s="62">
        <f>(18.72)*(10.764)</f>
        <v>201.50207999999998</v>
      </c>
      <c r="E149" s="58">
        <v>0</v>
      </c>
      <c r="F149" s="58">
        <f t="shared" si="17"/>
        <v>322.40332799999999</v>
      </c>
      <c r="G149" s="91" t="str">
        <f t="shared" si="16"/>
        <v>4th Floor</v>
      </c>
      <c r="H149" s="92"/>
      <c r="I149" s="38"/>
      <c r="L149" s="175"/>
      <c r="M149" s="175"/>
      <c r="N149" s="38"/>
    </row>
    <row r="150" spans="1:14" s="59" customFormat="1" x14ac:dyDescent="0.25">
      <c r="A150" s="91">
        <f t="shared" si="14"/>
        <v>408</v>
      </c>
      <c r="B150" s="92"/>
      <c r="C150" s="58" t="s">
        <v>201</v>
      </c>
      <c r="D150" s="62">
        <f>(12.38)*(10.764)</f>
        <v>133.25832</v>
      </c>
      <c r="E150" s="58">
        <v>0</v>
      </c>
      <c r="F150" s="58">
        <f t="shared" si="17"/>
        <v>213.213312</v>
      </c>
      <c r="G150" s="91" t="str">
        <f t="shared" si="16"/>
        <v>4th Floor</v>
      </c>
      <c r="H150" s="92"/>
      <c r="I150" s="38"/>
      <c r="L150" s="175"/>
      <c r="M150" s="175"/>
      <c r="N150" s="38"/>
    </row>
    <row r="151" spans="1:14" s="59" customFormat="1" x14ac:dyDescent="0.25">
      <c r="A151" s="91">
        <f t="shared" si="14"/>
        <v>409</v>
      </c>
      <c r="B151" s="92"/>
      <c r="C151" s="58" t="s">
        <v>201</v>
      </c>
      <c r="D151" s="62">
        <f>(6.15)*(10.764)</f>
        <v>66.198599999999999</v>
      </c>
      <c r="E151" s="58">
        <v>0</v>
      </c>
      <c r="F151" s="58">
        <f t="shared" si="17"/>
        <v>105.91776</v>
      </c>
      <c r="G151" s="91" t="str">
        <f t="shared" si="16"/>
        <v>4th Floor</v>
      </c>
      <c r="H151" s="92"/>
      <c r="I151" s="38"/>
      <c r="L151" s="175"/>
      <c r="M151" s="175"/>
      <c r="N151" s="38"/>
    </row>
    <row r="152" spans="1:14" s="59" customFormat="1" x14ac:dyDescent="0.25">
      <c r="A152" s="91">
        <f t="shared" si="14"/>
        <v>410</v>
      </c>
      <c r="B152" s="92"/>
      <c r="C152" s="58" t="s">
        <v>201</v>
      </c>
      <c r="D152" s="62">
        <f>(7.19)*(10.764)</f>
        <v>77.393159999999995</v>
      </c>
      <c r="E152" s="58">
        <v>0</v>
      </c>
      <c r="F152" s="58">
        <f t="shared" si="17"/>
        <v>123.82905599999999</v>
      </c>
      <c r="G152" s="91" t="str">
        <f t="shared" si="16"/>
        <v>4th Floor</v>
      </c>
      <c r="H152" s="92"/>
      <c r="I152" s="38"/>
      <c r="L152" s="175"/>
      <c r="M152" s="175"/>
      <c r="N152" s="38"/>
    </row>
    <row r="153" spans="1:14" s="59" customFormat="1" x14ac:dyDescent="0.25">
      <c r="A153" s="91">
        <f t="shared" si="14"/>
        <v>411</v>
      </c>
      <c r="B153" s="92"/>
      <c r="C153" s="58" t="s">
        <v>201</v>
      </c>
      <c r="D153" s="62">
        <f>(7.19)*(10.764)</f>
        <v>77.393159999999995</v>
      </c>
      <c r="E153" s="58">
        <v>0</v>
      </c>
      <c r="F153" s="58">
        <f t="shared" ref="F153:F159" si="18">(D153+E153)*(($F$109)+1)</f>
        <v>123.82905599999999</v>
      </c>
      <c r="G153" s="91" t="str">
        <f t="shared" si="16"/>
        <v>4th Floor</v>
      </c>
      <c r="H153" s="92"/>
      <c r="I153" s="38"/>
      <c r="L153" s="175"/>
      <c r="M153" s="175"/>
      <c r="N153" s="38"/>
    </row>
    <row r="154" spans="1:14" s="59" customFormat="1" x14ac:dyDescent="0.25">
      <c r="A154" s="91">
        <f t="shared" si="14"/>
        <v>412</v>
      </c>
      <c r="B154" s="92"/>
      <c r="C154" s="58" t="s">
        <v>201</v>
      </c>
      <c r="D154" s="62">
        <f>(7.52)*(10.764)</f>
        <v>80.945279999999997</v>
      </c>
      <c r="E154" s="58">
        <v>0</v>
      </c>
      <c r="F154" s="58">
        <f t="shared" si="18"/>
        <v>129.51244800000001</v>
      </c>
      <c r="G154" s="91" t="str">
        <f t="shared" si="16"/>
        <v>4th Floor</v>
      </c>
      <c r="H154" s="92"/>
      <c r="I154" s="38"/>
      <c r="L154" s="175"/>
      <c r="M154" s="175"/>
      <c r="N154" s="38"/>
    </row>
    <row r="155" spans="1:14" s="59" customFormat="1" x14ac:dyDescent="0.25">
      <c r="A155" s="93">
        <f t="shared" si="14"/>
        <v>413</v>
      </c>
      <c r="B155" s="93"/>
      <c r="C155" s="70" t="s">
        <v>201</v>
      </c>
      <c r="D155" s="62">
        <f>(7.52)*(10.764)</f>
        <v>80.945279999999997</v>
      </c>
      <c r="E155" s="70">
        <v>0</v>
      </c>
      <c r="F155" s="70">
        <f t="shared" si="18"/>
        <v>129.51244800000001</v>
      </c>
      <c r="G155" s="93" t="str">
        <f t="shared" si="16"/>
        <v>4th Floor</v>
      </c>
      <c r="H155" s="93"/>
      <c r="I155" s="38"/>
      <c r="L155" s="175"/>
      <c r="M155" s="175"/>
      <c r="N155" s="38"/>
    </row>
    <row r="156" spans="1:14" s="59" customFormat="1" x14ac:dyDescent="0.25">
      <c r="A156" s="93">
        <f t="shared" si="14"/>
        <v>414</v>
      </c>
      <c r="B156" s="93"/>
      <c r="C156" s="70" t="s">
        <v>201</v>
      </c>
      <c r="D156" s="62">
        <f>(10.49)*(10.764)</f>
        <v>112.91436</v>
      </c>
      <c r="E156" s="70">
        <v>0</v>
      </c>
      <c r="F156" s="70">
        <f t="shared" si="18"/>
        <v>180.66297600000001</v>
      </c>
      <c r="G156" s="93" t="str">
        <f t="shared" si="16"/>
        <v>4th Floor</v>
      </c>
      <c r="H156" s="93"/>
      <c r="I156" s="38"/>
      <c r="L156" s="175"/>
      <c r="M156" s="175"/>
      <c r="N156" s="38"/>
    </row>
    <row r="157" spans="1:14" s="59" customFormat="1" x14ac:dyDescent="0.25">
      <c r="A157" s="93">
        <f t="shared" si="14"/>
        <v>415</v>
      </c>
      <c r="B157" s="93"/>
      <c r="C157" s="70" t="s">
        <v>201</v>
      </c>
      <c r="D157" s="62">
        <f>(8.74)*(10.764)</f>
        <v>94.077359999999999</v>
      </c>
      <c r="E157" s="70">
        <v>0</v>
      </c>
      <c r="F157" s="70">
        <f t="shared" si="18"/>
        <v>150.523776</v>
      </c>
      <c r="G157" s="93" t="str">
        <f t="shared" si="16"/>
        <v>4th Floor</v>
      </c>
      <c r="H157" s="93"/>
      <c r="I157" s="38"/>
      <c r="L157" s="175"/>
      <c r="M157" s="175"/>
      <c r="N157" s="38"/>
    </row>
    <row r="158" spans="1:14" s="59" customFormat="1" x14ac:dyDescent="0.25">
      <c r="A158" s="93">
        <f t="shared" si="14"/>
        <v>416</v>
      </c>
      <c r="B158" s="93"/>
      <c r="C158" s="70" t="s">
        <v>201</v>
      </c>
      <c r="D158" s="62">
        <f>(8.57)*(10.764)</f>
        <v>92.247479999999996</v>
      </c>
      <c r="E158" s="70">
        <v>0</v>
      </c>
      <c r="F158" s="70">
        <f t="shared" si="18"/>
        <v>147.595968</v>
      </c>
      <c r="G158" s="93" t="str">
        <f t="shared" si="16"/>
        <v>4th Floor</v>
      </c>
      <c r="H158" s="93"/>
      <c r="I158" s="38"/>
      <c r="L158" s="175"/>
      <c r="M158" s="175"/>
      <c r="N158" s="38"/>
    </row>
    <row r="159" spans="1:14" s="59" customFormat="1" x14ac:dyDescent="0.25">
      <c r="A159" s="93">
        <f t="shared" si="14"/>
        <v>417</v>
      </c>
      <c r="B159" s="93"/>
      <c r="C159" s="70" t="s">
        <v>201</v>
      </c>
      <c r="D159" s="62">
        <f>(17.53)*(10.764)</f>
        <v>188.69291999999999</v>
      </c>
      <c r="E159" s="70">
        <v>0</v>
      </c>
      <c r="F159" s="70">
        <f t="shared" si="18"/>
        <v>301.90867199999997</v>
      </c>
      <c r="G159" s="93" t="str">
        <f t="shared" si="16"/>
        <v>4th Floor</v>
      </c>
      <c r="H159" s="93"/>
      <c r="I159" s="38"/>
      <c r="L159" s="175"/>
      <c r="M159" s="175"/>
      <c r="N159" s="38"/>
    </row>
    <row r="160" spans="1:14" s="59" customFormat="1" x14ac:dyDescent="0.25">
      <c r="A160" s="93">
        <f t="shared" si="14"/>
        <v>418</v>
      </c>
      <c r="B160" s="93"/>
      <c r="C160" s="70" t="s">
        <v>201</v>
      </c>
      <c r="D160" s="62">
        <f>(18.78)*(10.764)</f>
        <v>202.14792</v>
      </c>
      <c r="E160" s="70">
        <v>0</v>
      </c>
      <c r="F160" s="70">
        <f t="shared" ref="F160:F162" si="19">(D160+E160)*(($F$109)+1)</f>
        <v>323.43667200000004</v>
      </c>
      <c r="G160" s="93" t="str">
        <f t="shared" si="16"/>
        <v>4th Floor</v>
      </c>
      <c r="H160" s="93"/>
      <c r="I160" s="38"/>
      <c r="L160" s="175"/>
      <c r="M160" s="175"/>
      <c r="N160" s="38"/>
    </row>
    <row r="161" spans="1:14" s="59" customFormat="1" x14ac:dyDescent="0.25">
      <c r="A161" s="93">
        <f t="shared" si="14"/>
        <v>419</v>
      </c>
      <c r="B161" s="93"/>
      <c r="C161" s="70" t="s">
        <v>201</v>
      </c>
      <c r="D161" s="62">
        <f>(17.47)*(10.764)</f>
        <v>188.04707999999997</v>
      </c>
      <c r="E161" s="70">
        <v>0</v>
      </c>
      <c r="F161" s="70">
        <f t="shared" si="19"/>
        <v>300.87532799999997</v>
      </c>
      <c r="G161" s="93" t="str">
        <f t="shared" si="16"/>
        <v>4th Floor</v>
      </c>
      <c r="H161" s="93"/>
      <c r="I161" s="38"/>
      <c r="L161" s="175"/>
      <c r="M161" s="175"/>
      <c r="N161" s="38"/>
    </row>
    <row r="162" spans="1:14" s="59" customFormat="1" x14ac:dyDescent="0.25">
      <c r="A162" s="93">
        <f t="shared" si="14"/>
        <v>420</v>
      </c>
      <c r="B162" s="93"/>
      <c r="C162" s="70" t="s">
        <v>201</v>
      </c>
      <c r="D162" s="62">
        <f>(11.2)*(10.764)</f>
        <v>120.55679999999998</v>
      </c>
      <c r="E162" s="70">
        <v>0</v>
      </c>
      <c r="F162" s="70">
        <f t="shared" si="19"/>
        <v>192.89087999999998</v>
      </c>
      <c r="G162" s="93" t="str">
        <f t="shared" si="16"/>
        <v>4th Floor</v>
      </c>
      <c r="H162" s="93"/>
      <c r="I162" s="38"/>
      <c r="L162" s="175"/>
      <c r="M162" s="175"/>
      <c r="N162" s="38"/>
    </row>
    <row r="163" spans="1:14" s="59" customFormat="1" x14ac:dyDescent="0.25">
      <c r="A163" s="93">
        <f t="shared" si="14"/>
        <v>421</v>
      </c>
      <c r="B163" s="93"/>
      <c r="C163" s="70" t="s">
        <v>201</v>
      </c>
      <c r="D163" s="62">
        <f>(15.04)*(10.764)</f>
        <v>161.89055999999999</v>
      </c>
      <c r="E163" s="70">
        <v>0</v>
      </c>
      <c r="F163" s="70">
        <f t="shared" ref="F163" si="20">(D163+E163)*(($F$109)+1)</f>
        <v>259.02489600000001</v>
      </c>
      <c r="G163" s="93" t="str">
        <f t="shared" si="16"/>
        <v>4th Floor</v>
      </c>
      <c r="H163" s="93"/>
      <c r="I163" s="38"/>
      <c r="L163" s="175"/>
      <c r="M163" s="175"/>
      <c r="N163" s="38"/>
    </row>
    <row r="164" spans="1:14" s="59" customFormat="1" x14ac:dyDescent="0.25">
      <c r="A164" s="123" t="s">
        <v>218</v>
      </c>
      <c r="B164" s="124"/>
      <c r="C164" s="124"/>
      <c r="D164" s="124"/>
      <c r="E164" s="124"/>
      <c r="F164" s="124"/>
      <c r="G164" s="124"/>
      <c r="H164" s="125"/>
      <c r="J164" s="38"/>
    </row>
    <row r="165" spans="1:14" s="59" customFormat="1" x14ac:dyDescent="0.25">
      <c r="A165" s="91">
        <v>501</v>
      </c>
      <c r="B165" s="92"/>
      <c r="C165" s="58" t="s">
        <v>201</v>
      </c>
      <c r="D165" s="62">
        <f>(16.19)*(10.764)</f>
        <v>174.26916</v>
      </c>
      <c r="E165" s="58">
        <v>0</v>
      </c>
      <c r="F165" s="58">
        <f>(D165+E165)*(($F$109)+1)</f>
        <v>278.83065600000003</v>
      </c>
      <c r="G165" s="91" t="str">
        <f>A164</f>
        <v>5th Floor</v>
      </c>
      <c r="H165" s="92"/>
      <c r="I165" s="38"/>
      <c r="L165" s="175"/>
      <c r="M165" s="175"/>
      <c r="N165" s="38"/>
    </row>
    <row r="166" spans="1:14" s="59" customFormat="1" x14ac:dyDescent="0.25">
      <c r="A166" s="91">
        <f t="shared" ref="A166:A185" si="21">A165+1</f>
        <v>502</v>
      </c>
      <c r="B166" s="92"/>
      <c r="C166" s="58" t="s">
        <v>201</v>
      </c>
      <c r="D166" s="62">
        <f>(12.28)*(10.764)</f>
        <v>132.18191999999999</v>
      </c>
      <c r="E166" s="58">
        <v>0</v>
      </c>
      <c r="F166" s="58">
        <f t="shared" ref="F166:F185" si="22">(D166+E166)*(($F$109)+1)</f>
        <v>211.491072</v>
      </c>
      <c r="G166" s="91" t="str">
        <f t="shared" ref="G166:G185" si="23">G165</f>
        <v>5th Floor</v>
      </c>
      <c r="H166" s="92"/>
      <c r="I166" s="38"/>
      <c r="L166" s="175"/>
      <c r="M166" s="175"/>
      <c r="N166" s="38"/>
    </row>
    <row r="167" spans="1:14" s="59" customFormat="1" x14ac:dyDescent="0.25">
      <c r="A167" s="91">
        <f t="shared" si="21"/>
        <v>503</v>
      </c>
      <c r="B167" s="92"/>
      <c r="C167" s="58" t="s">
        <v>201</v>
      </c>
      <c r="D167" s="62">
        <f>(14.29)*(10.764)</f>
        <v>153.81755999999999</v>
      </c>
      <c r="E167" s="58">
        <v>0</v>
      </c>
      <c r="F167" s="58">
        <f t="shared" si="22"/>
        <v>246.10809599999999</v>
      </c>
      <c r="G167" s="91" t="str">
        <f t="shared" si="23"/>
        <v>5th Floor</v>
      </c>
      <c r="H167" s="92"/>
      <c r="I167" s="38"/>
      <c r="L167" s="175"/>
      <c r="M167" s="175"/>
      <c r="N167" s="38"/>
    </row>
    <row r="168" spans="1:14" s="59" customFormat="1" x14ac:dyDescent="0.25">
      <c r="A168" s="91">
        <f t="shared" si="21"/>
        <v>504</v>
      </c>
      <c r="B168" s="92"/>
      <c r="C168" s="58" t="s">
        <v>201</v>
      </c>
      <c r="D168" s="62">
        <f>(12.11)*(10.764)</f>
        <v>130.35203999999999</v>
      </c>
      <c r="E168" s="58">
        <v>0</v>
      </c>
      <c r="F168" s="58">
        <f t="shared" si="22"/>
        <v>208.563264</v>
      </c>
      <c r="G168" s="91" t="str">
        <f t="shared" si="23"/>
        <v>5th Floor</v>
      </c>
      <c r="H168" s="92"/>
      <c r="I168" s="38"/>
      <c r="L168" s="175"/>
      <c r="M168" s="175"/>
      <c r="N168" s="38"/>
    </row>
    <row r="169" spans="1:14" s="59" customFormat="1" x14ac:dyDescent="0.25">
      <c r="A169" s="91">
        <f t="shared" si="21"/>
        <v>505</v>
      </c>
      <c r="B169" s="92"/>
      <c r="C169" s="58" t="s">
        <v>201</v>
      </c>
      <c r="D169" s="62">
        <f>(30.27)*(10.764)</f>
        <v>325.82628</v>
      </c>
      <c r="E169" s="58">
        <v>0</v>
      </c>
      <c r="F169" s="58">
        <f t="shared" si="22"/>
        <v>521.322048</v>
      </c>
      <c r="G169" s="91" t="str">
        <f t="shared" si="23"/>
        <v>5th Floor</v>
      </c>
      <c r="H169" s="92"/>
      <c r="I169" s="38"/>
      <c r="L169" s="175"/>
      <c r="M169" s="175"/>
      <c r="N169" s="38"/>
    </row>
    <row r="170" spans="1:14" s="59" customFormat="1" x14ac:dyDescent="0.25">
      <c r="A170" s="91">
        <f t="shared" si="21"/>
        <v>506</v>
      </c>
      <c r="B170" s="92"/>
      <c r="C170" s="58" t="s">
        <v>201</v>
      </c>
      <c r="D170" s="62">
        <f>(23.85)*(10.764)</f>
        <v>256.72140000000002</v>
      </c>
      <c r="E170" s="58">
        <v>0</v>
      </c>
      <c r="F170" s="58">
        <f t="shared" si="22"/>
        <v>410.75424000000004</v>
      </c>
      <c r="G170" s="91" t="str">
        <f t="shared" si="23"/>
        <v>5th Floor</v>
      </c>
      <c r="H170" s="92"/>
      <c r="I170" s="38"/>
      <c r="L170" s="175"/>
      <c r="M170" s="175"/>
      <c r="N170" s="38"/>
    </row>
    <row r="171" spans="1:14" s="59" customFormat="1" x14ac:dyDescent="0.25">
      <c r="A171" s="91">
        <f t="shared" si="21"/>
        <v>507</v>
      </c>
      <c r="B171" s="92"/>
      <c r="C171" s="58" t="s">
        <v>201</v>
      </c>
      <c r="D171" s="62">
        <f>(18.87)*(10.764)</f>
        <v>203.11668</v>
      </c>
      <c r="E171" s="58">
        <v>0</v>
      </c>
      <c r="F171" s="58">
        <f t="shared" si="22"/>
        <v>324.98668800000002</v>
      </c>
      <c r="G171" s="91" t="str">
        <f t="shared" si="23"/>
        <v>5th Floor</v>
      </c>
      <c r="H171" s="92"/>
      <c r="I171" s="38"/>
      <c r="L171" s="175"/>
      <c r="M171" s="175"/>
      <c r="N171" s="38"/>
    </row>
    <row r="172" spans="1:14" s="59" customFormat="1" x14ac:dyDescent="0.25">
      <c r="A172" s="91">
        <f t="shared" si="21"/>
        <v>508</v>
      </c>
      <c r="B172" s="92"/>
      <c r="C172" s="58" t="s">
        <v>201</v>
      </c>
      <c r="D172" s="62">
        <f>(12.63)*(10.764)</f>
        <v>135.94932</v>
      </c>
      <c r="E172" s="58">
        <v>0</v>
      </c>
      <c r="F172" s="58">
        <f t="shared" si="22"/>
        <v>217.518912</v>
      </c>
      <c r="G172" s="91" t="str">
        <f t="shared" si="23"/>
        <v>5th Floor</v>
      </c>
      <c r="H172" s="92"/>
      <c r="I172" s="38"/>
      <c r="L172" s="175"/>
      <c r="M172" s="175"/>
      <c r="N172" s="38"/>
    </row>
    <row r="173" spans="1:14" s="59" customFormat="1" x14ac:dyDescent="0.25">
      <c r="A173" s="91">
        <f t="shared" si="21"/>
        <v>509</v>
      </c>
      <c r="B173" s="92"/>
      <c r="C173" s="58" t="s">
        <v>201</v>
      </c>
      <c r="D173" s="62">
        <f>(6.57)*(10.764)</f>
        <v>70.719480000000004</v>
      </c>
      <c r="E173" s="58">
        <v>0</v>
      </c>
      <c r="F173" s="58">
        <f t="shared" si="22"/>
        <v>113.15116800000001</v>
      </c>
      <c r="G173" s="91" t="str">
        <f t="shared" si="23"/>
        <v>5th Floor</v>
      </c>
      <c r="H173" s="92"/>
      <c r="I173" s="38"/>
      <c r="L173" s="175"/>
      <c r="M173" s="175"/>
      <c r="N173" s="38"/>
    </row>
    <row r="174" spans="1:14" s="59" customFormat="1" x14ac:dyDescent="0.25">
      <c r="A174" s="91">
        <f t="shared" si="21"/>
        <v>510</v>
      </c>
      <c r="B174" s="92"/>
      <c r="C174" s="58" t="s">
        <v>201</v>
      </c>
      <c r="D174" s="62">
        <f>(7.34)*(10.764)</f>
        <v>79.00775999999999</v>
      </c>
      <c r="E174" s="58">
        <v>0</v>
      </c>
      <c r="F174" s="58">
        <f t="shared" si="22"/>
        <v>126.41241599999999</v>
      </c>
      <c r="G174" s="91" t="str">
        <f t="shared" si="23"/>
        <v>5th Floor</v>
      </c>
      <c r="H174" s="92"/>
      <c r="I174" s="38"/>
      <c r="L174" s="175"/>
      <c r="M174" s="175"/>
      <c r="N174" s="38"/>
    </row>
    <row r="175" spans="1:14" s="59" customFormat="1" x14ac:dyDescent="0.25">
      <c r="A175" s="91">
        <f t="shared" si="21"/>
        <v>511</v>
      </c>
      <c r="B175" s="92"/>
      <c r="C175" s="58" t="s">
        <v>201</v>
      </c>
      <c r="D175" s="62">
        <f>(7.34)*(10.764)</f>
        <v>79.00775999999999</v>
      </c>
      <c r="E175" s="58">
        <v>0</v>
      </c>
      <c r="F175" s="58">
        <f t="shared" si="22"/>
        <v>126.41241599999999</v>
      </c>
      <c r="G175" s="91" t="str">
        <f t="shared" si="23"/>
        <v>5th Floor</v>
      </c>
      <c r="H175" s="92"/>
      <c r="I175" s="38"/>
      <c r="L175" s="175"/>
      <c r="M175" s="175"/>
      <c r="N175" s="38"/>
    </row>
    <row r="176" spans="1:14" s="59" customFormat="1" x14ac:dyDescent="0.25">
      <c r="A176" s="91">
        <f t="shared" si="21"/>
        <v>512</v>
      </c>
      <c r="B176" s="92"/>
      <c r="C176" s="58" t="s">
        <v>201</v>
      </c>
      <c r="D176" s="62">
        <f>(7.67)*(10.764)</f>
        <v>82.559879999999993</v>
      </c>
      <c r="E176" s="58">
        <v>0</v>
      </c>
      <c r="F176" s="58">
        <f t="shared" si="22"/>
        <v>132.09580800000001</v>
      </c>
      <c r="G176" s="91" t="str">
        <f t="shared" si="23"/>
        <v>5th Floor</v>
      </c>
      <c r="H176" s="92"/>
      <c r="I176" s="38"/>
      <c r="L176" s="175"/>
      <c r="M176" s="175"/>
      <c r="N176" s="38"/>
    </row>
    <row r="177" spans="1:14" s="59" customFormat="1" x14ac:dyDescent="0.25">
      <c r="A177" s="91">
        <f t="shared" si="21"/>
        <v>513</v>
      </c>
      <c r="B177" s="92"/>
      <c r="C177" s="58" t="s">
        <v>201</v>
      </c>
      <c r="D177" s="62">
        <f>(7.67)*(10.764)</f>
        <v>82.559879999999993</v>
      </c>
      <c r="E177" s="58">
        <v>0</v>
      </c>
      <c r="F177" s="58">
        <f t="shared" si="22"/>
        <v>132.09580800000001</v>
      </c>
      <c r="G177" s="91" t="str">
        <f t="shared" si="23"/>
        <v>5th Floor</v>
      </c>
      <c r="H177" s="92"/>
      <c r="I177" s="38"/>
      <c r="L177" s="175"/>
      <c r="M177" s="175"/>
      <c r="N177" s="38"/>
    </row>
    <row r="178" spans="1:14" s="59" customFormat="1" x14ac:dyDescent="0.25">
      <c r="A178" s="91">
        <f t="shared" si="21"/>
        <v>514</v>
      </c>
      <c r="B178" s="92"/>
      <c r="C178" s="58" t="s">
        <v>201</v>
      </c>
      <c r="D178" s="62">
        <f>(10.64)*(10.764)</f>
        <v>114.52896</v>
      </c>
      <c r="E178" s="58">
        <v>0</v>
      </c>
      <c r="F178" s="58">
        <f t="shared" si="22"/>
        <v>183.24633600000001</v>
      </c>
      <c r="G178" s="91" t="str">
        <f t="shared" si="23"/>
        <v>5th Floor</v>
      </c>
      <c r="H178" s="92"/>
      <c r="I178" s="38"/>
      <c r="L178" s="175"/>
      <c r="M178" s="175"/>
      <c r="N178" s="38"/>
    </row>
    <row r="179" spans="1:14" s="59" customFormat="1" x14ac:dyDescent="0.25">
      <c r="A179" s="91">
        <f t="shared" si="21"/>
        <v>515</v>
      </c>
      <c r="B179" s="92"/>
      <c r="C179" s="58" t="s">
        <v>201</v>
      </c>
      <c r="D179" s="62">
        <f>(8.89)*(10.764)</f>
        <v>95.691959999999995</v>
      </c>
      <c r="E179" s="58">
        <v>0</v>
      </c>
      <c r="F179" s="58">
        <f t="shared" si="22"/>
        <v>153.107136</v>
      </c>
      <c r="G179" s="91" t="str">
        <f t="shared" si="23"/>
        <v>5th Floor</v>
      </c>
      <c r="H179" s="92"/>
      <c r="I179" s="38"/>
      <c r="L179" s="175"/>
      <c r="M179" s="175"/>
      <c r="N179" s="38"/>
    </row>
    <row r="180" spans="1:14" s="59" customFormat="1" x14ac:dyDescent="0.25">
      <c r="A180" s="91">
        <f t="shared" si="21"/>
        <v>516</v>
      </c>
      <c r="B180" s="92"/>
      <c r="C180" s="58" t="s">
        <v>201</v>
      </c>
      <c r="D180" s="62">
        <f>(8.69)*(10.764)</f>
        <v>93.539159999999995</v>
      </c>
      <c r="E180" s="58">
        <v>0</v>
      </c>
      <c r="F180" s="58">
        <f t="shared" si="22"/>
        <v>149.662656</v>
      </c>
      <c r="G180" s="91" t="str">
        <f t="shared" si="23"/>
        <v>5th Floor</v>
      </c>
      <c r="H180" s="92"/>
      <c r="I180" s="38"/>
      <c r="L180" s="175"/>
      <c r="M180" s="175"/>
      <c r="N180" s="38"/>
    </row>
    <row r="181" spans="1:14" s="59" customFormat="1" x14ac:dyDescent="0.25">
      <c r="A181" s="91">
        <f t="shared" si="21"/>
        <v>517</v>
      </c>
      <c r="B181" s="92"/>
      <c r="C181" s="58" t="s">
        <v>201</v>
      </c>
      <c r="D181" s="62">
        <f>(17.68)*(10.764)</f>
        <v>190.30751999999998</v>
      </c>
      <c r="E181" s="58">
        <v>0</v>
      </c>
      <c r="F181" s="58">
        <f t="shared" si="22"/>
        <v>304.49203199999999</v>
      </c>
      <c r="G181" s="91" t="str">
        <f t="shared" si="23"/>
        <v>5th Floor</v>
      </c>
      <c r="H181" s="92"/>
      <c r="I181" s="38"/>
      <c r="L181" s="175"/>
      <c r="M181" s="175"/>
      <c r="N181" s="38"/>
    </row>
    <row r="182" spans="1:14" s="59" customFormat="1" x14ac:dyDescent="0.25">
      <c r="A182" s="91">
        <f t="shared" si="21"/>
        <v>518</v>
      </c>
      <c r="B182" s="92"/>
      <c r="C182" s="58" t="s">
        <v>201</v>
      </c>
      <c r="D182" s="62">
        <f>(18.78)*(10.764)</f>
        <v>202.14792</v>
      </c>
      <c r="E182" s="58">
        <v>0</v>
      </c>
      <c r="F182" s="58">
        <f t="shared" si="22"/>
        <v>323.43667200000004</v>
      </c>
      <c r="G182" s="91" t="str">
        <f t="shared" si="23"/>
        <v>5th Floor</v>
      </c>
      <c r="H182" s="92"/>
      <c r="I182" s="38"/>
      <c r="L182" s="175"/>
      <c r="M182" s="175"/>
      <c r="N182" s="38"/>
    </row>
    <row r="183" spans="1:14" s="59" customFormat="1" x14ac:dyDescent="0.25">
      <c r="A183" s="91">
        <f t="shared" si="21"/>
        <v>519</v>
      </c>
      <c r="B183" s="92"/>
      <c r="C183" s="58" t="s">
        <v>201</v>
      </c>
      <c r="D183" s="62">
        <f>(17.66)*(10.764)</f>
        <v>190.09224</v>
      </c>
      <c r="E183" s="58">
        <v>0</v>
      </c>
      <c r="F183" s="58">
        <f t="shared" si="22"/>
        <v>304.14758399999999</v>
      </c>
      <c r="G183" s="91" t="str">
        <f t="shared" si="23"/>
        <v>5th Floor</v>
      </c>
      <c r="H183" s="92"/>
      <c r="I183" s="38"/>
      <c r="L183" s="175"/>
      <c r="M183" s="175"/>
      <c r="N183" s="38"/>
    </row>
    <row r="184" spans="1:14" s="59" customFormat="1" x14ac:dyDescent="0.25">
      <c r="A184" s="91">
        <f t="shared" si="21"/>
        <v>520</v>
      </c>
      <c r="B184" s="92"/>
      <c r="C184" s="58" t="s">
        <v>201</v>
      </c>
      <c r="D184" s="62">
        <f>(11.31)*(10.764)</f>
        <v>121.74083999999999</v>
      </c>
      <c r="E184" s="58">
        <v>0</v>
      </c>
      <c r="F184" s="58">
        <f t="shared" si="22"/>
        <v>194.78534400000001</v>
      </c>
      <c r="G184" s="91" t="str">
        <f t="shared" si="23"/>
        <v>5th Floor</v>
      </c>
      <c r="H184" s="92"/>
      <c r="I184" s="38"/>
      <c r="L184" s="175"/>
      <c r="M184" s="175"/>
      <c r="N184" s="38"/>
    </row>
    <row r="185" spans="1:14" s="59" customFormat="1" x14ac:dyDescent="0.25">
      <c r="A185" s="91">
        <f t="shared" si="21"/>
        <v>521</v>
      </c>
      <c r="B185" s="92"/>
      <c r="C185" s="58" t="s">
        <v>201</v>
      </c>
      <c r="D185" s="62">
        <f>(15.15)*(10.764)</f>
        <v>163.0746</v>
      </c>
      <c r="E185" s="58">
        <v>0</v>
      </c>
      <c r="F185" s="58">
        <f t="shared" si="22"/>
        <v>260.91936000000004</v>
      </c>
      <c r="G185" s="91" t="str">
        <f t="shared" si="23"/>
        <v>5th Floor</v>
      </c>
      <c r="H185" s="92"/>
      <c r="I185" s="38"/>
      <c r="L185" s="175"/>
      <c r="M185" s="175"/>
      <c r="N185" s="38"/>
    </row>
    <row r="186" spans="1:14" s="59" customFormat="1" x14ac:dyDescent="0.25">
      <c r="A186" s="123" t="s">
        <v>220</v>
      </c>
      <c r="B186" s="124"/>
      <c r="C186" s="124"/>
      <c r="D186" s="124"/>
      <c r="E186" s="124"/>
      <c r="F186" s="124"/>
      <c r="G186" s="124"/>
      <c r="H186" s="125"/>
      <c r="J186" s="38"/>
    </row>
    <row r="187" spans="1:14" s="59" customFormat="1" x14ac:dyDescent="0.25">
      <c r="A187" s="91">
        <v>601</v>
      </c>
      <c r="B187" s="92"/>
      <c r="C187" s="58" t="s">
        <v>201</v>
      </c>
      <c r="D187" s="62">
        <f>(16.19)*(10.764)</f>
        <v>174.26916</v>
      </c>
      <c r="E187" s="58">
        <v>0</v>
      </c>
      <c r="F187" s="58">
        <f>(D187+E187)*(($F$109)+1)</f>
        <v>278.83065600000003</v>
      </c>
      <c r="G187" s="91" t="str">
        <f>A186</f>
        <v>6th Floor</v>
      </c>
      <c r="H187" s="92"/>
      <c r="I187" s="38"/>
      <c r="L187" s="175"/>
      <c r="M187" s="175"/>
      <c r="N187" s="38"/>
    </row>
    <row r="188" spans="1:14" s="59" customFormat="1" x14ac:dyDescent="0.25">
      <c r="A188" s="91">
        <f t="shared" ref="A188:A207" si="24">A187+1</f>
        <v>602</v>
      </c>
      <c r="B188" s="92"/>
      <c r="C188" s="58" t="s">
        <v>201</v>
      </c>
      <c r="D188" s="62">
        <f>(12.28)*(10.764)</f>
        <v>132.18191999999999</v>
      </c>
      <c r="E188" s="58">
        <v>0</v>
      </c>
      <c r="F188" s="58">
        <f t="shared" ref="F188:F207" si="25">(D188+E188)*(($F$109)+1)</f>
        <v>211.491072</v>
      </c>
      <c r="G188" s="91" t="str">
        <f t="shared" ref="G188:G207" si="26">G187</f>
        <v>6th Floor</v>
      </c>
      <c r="H188" s="92"/>
      <c r="I188" s="38"/>
      <c r="L188" s="175"/>
      <c r="M188" s="175"/>
      <c r="N188" s="38"/>
    </row>
    <row r="189" spans="1:14" s="59" customFormat="1" x14ac:dyDescent="0.25">
      <c r="A189" s="91">
        <f t="shared" si="24"/>
        <v>603</v>
      </c>
      <c r="B189" s="92"/>
      <c r="C189" s="58" t="s">
        <v>201</v>
      </c>
      <c r="D189" s="62">
        <f>(14.29)*(10.764)</f>
        <v>153.81755999999999</v>
      </c>
      <c r="E189" s="58">
        <v>0</v>
      </c>
      <c r="F189" s="58">
        <f t="shared" si="25"/>
        <v>246.10809599999999</v>
      </c>
      <c r="G189" s="91" t="str">
        <f t="shared" si="26"/>
        <v>6th Floor</v>
      </c>
      <c r="H189" s="92"/>
      <c r="I189" s="38"/>
      <c r="L189" s="175"/>
      <c r="M189" s="175"/>
      <c r="N189" s="38"/>
    </row>
    <row r="190" spans="1:14" s="59" customFormat="1" x14ac:dyDescent="0.25">
      <c r="A190" s="91">
        <f t="shared" si="24"/>
        <v>604</v>
      </c>
      <c r="B190" s="92"/>
      <c r="C190" s="58" t="s">
        <v>201</v>
      </c>
      <c r="D190" s="62">
        <f>(12.11)*(10.764)</f>
        <v>130.35203999999999</v>
      </c>
      <c r="E190" s="58">
        <v>0</v>
      </c>
      <c r="F190" s="58">
        <f t="shared" si="25"/>
        <v>208.563264</v>
      </c>
      <c r="G190" s="91" t="str">
        <f t="shared" si="26"/>
        <v>6th Floor</v>
      </c>
      <c r="H190" s="92"/>
      <c r="I190" s="38"/>
      <c r="L190" s="175"/>
      <c r="M190" s="175"/>
      <c r="N190" s="38"/>
    </row>
    <row r="191" spans="1:14" s="59" customFormat="1" x14ac:dyDescent="0.25">
      <c r="A191" s="91">
        <f t="shared" si="24"/>
        <v>605</v>
      </c>
      <c r="B191" s="92"/>
      <c r="C191" s="58" t="s">
        <v>201</v>
      </c>
      <c r="D191" s="62">
        <f>(30.27)*(10.764)</f>
        <v>325.82628</v>
      </c>
      <c r="E191" s="58">
        <v>0</v>
      </c>
      <c r="F191" s="58">
        <f t="shared" si="25"/>
        <v>521.322048</v>
      </c>
      <c r="G191" s="91" t="str">
        <f t="shared" si="26"/>
        <v>6th Floor</v>
      </c>
      <c r="H191" s="92"/>
      <c r="I191" s="38"/>
      <c r="L191" s="175"/>
      <c r="M191" s="175"/>
      <c r="N191" s="38"/>
    </row>
    <row r="192" spans="1:14" s="59" customFormat="1" x14ac:dyDescent="0.25">
      <c r="A192" s="91">
        <f t="shared" si="24"/>
        <v>606</v>
      </c>
      <c r="B192" s="92"/>
      <c r="C192" s="58" t="s">
        <v>201</v>
      </c>
      <c r="D192" s="62">
        <f>(23.85)*(10.764)</f>
        <v>256.72140000000002</v>
      </c>
      <c r="E192" s="58">
        <v>0</v>
      </c>
      <c r="F192" s="58">
        <f t="shared" si="25"/>
        <v>410.75424000000004</v>
      </c>
      <c r="G192" s="91" t="str">
        <f t="shared" si="26"/>
        <v>6th Floor</v>
      </c>
      <c r="H192" s="92"/>
      <c r="I192" s="38"/>
      <c r="L192" s="175"/>
      <c r="M192" s="175"/>
      <c r="N192" s="38"/>
    </row>
    <row r="193" spans="1:14" s="59" customFormat="1" x14ac:dyDescent="0.25">
      <c r="A193" s="91">
        <f t="shared" si="24"/>
        <v>607</v>
      </c>
      <c r="B193" s="92"/>
      <c r="C193" s="58" t="s">
        <v>201</v>
      </c>
      <c r="D193" s="62">
        <f>(18.87)*(10.764)</f>
        <v>203.11668</v>
      </c>
      <c r="E193" s="58">
        <v>0</v>
      </c>
      <c r="F193" s="58">
        <f t="shared" si="25"/>
        <v>324.98668800000002</v>
      </c>
      <c r="G193" s="91" t="str">
        <f t="shared" si="26"/>
        <v>6th Floor</v>
      </c>
      <c r="H193" s="92"/>
      <c r="I193" s="38"/>
      <c r="L193" s="175"/>
      <c r="M193" s="175"/>
      <c r="N193" s="38"/>
    </row>
    <row r="194" spans="1:14" s="59" customFormat="1" x14ac:dyDescent="0.25">
      <c r="A194" s="91">
        <f t="shared" si="24"/>
        <v>608</v>
      </c>
      <c r="B194" s="92"/>
      <c r="C194" s="58" t="s">
        <v>201</v>
      </c>
      <c r="D194" s="62">
        <f>(12.63)*(10.764)</f>
        <v>135.94932</v>
      </c>
      <c r="E194" s="58">
        <v>0</v>
      </c>
      <c r="F194" s="58">
        <f t="shared" si="25"/>
        <v>217.518912</v>
      </c>
      <c r="G194" s="91" t="str">
        <f t="shared" si="26"/>
        <v>6th Floor</v>
      </c>
      <c r="H194" s="92"/>
      <c r="I194" s="38"/>
      <c r="L194" s="175"/>
      <c r="M194" s="175"/>
      <c r="N194" s="38"/>
    </row>
    <row r="195" spans="1:14" s="59" customFormat="1" x14ac:dyDescent="0.25">
      <c r="A195" s="91">
        <f t="shared" si="24"/>
        <v>609</v>
      </c>
      <c r="B195" s="92"/>
      <c r="C195" s="58" t="s">
        <v>201</v>
      </c>
      <c r="D195" s="62">
        <f>(6.57)*(10.764)</f>
        <v>70.719480000000004</v>
      </c>
      <c r="E195" s="58">
        <v>0</v>
      </c>
      <c r="F195" s="58">
        <f t="shared" si="25"/>
        <v>113.15116800000001</v>
      </c>
      <c r="G195" s="91" t="str">
        <f t="shared" si="26"/>
        <v>6th Floor</v>
      </c>
      <c r="H195" s="92"/>
      <c r="I195" s="38"/>
      <c r="L195" s="175"/>
      <c r="M195" s="175"/>
      <c r="N195" s="38"/>
    </row>
    <row r="196" spans="1:14" s="59" customFormat="1" x14ac:dyDescent="0.25">
      <c r="A196" s="91">
        <f t="shared" si="24"/>
        <v>610</v>
      </c>
      <c r="B196" s="92"/>
      <c r="C196" s="58" t="s">
        <v>201</v>
      </c>
      <c r="D196" s="62">
        <f>(7.34)*(10.764)</f>
        <v>79.00775999999999</v>
      </c>
      <c r="E196" s="58">
        <v>0</v>
      </c>
      <c r="F196" s="58">
        <f t="shared" si="25"/>
        <v>126.41241599999999</v>
      </c>
      <c r="G196" s="91" t="str">
        <f t="shared" si="26"/>
        <v>6th Floor</v>
      </c>
      <c r="H196" s="92"/>
      <c r="I196" s="38"/>
      <c r="L196" s="175"/>
      <c r="M196" s="175"/>
      <c r="N196" s="38"/>
    </row>
    <row r="197" spans="1:14" s="59" customFormat="1" x14ac:dyDescent="0.25">
      <c r="A197" s="91">
        <f t="shared" si="24"/>
        <v>611</v>
      </c>
      <c r="B197" s="92"/>
      <c r="C197" s="58" t="s">
        <v>201</v>
      </c>
      <c r="D197" s="62">
        <f>(7.34)*(10.764)</f>
        <v>79.00775999999999</v>
      </c>
      <c r="E197" s="58">
        <v>0</v>
      </c>
      <c r="F197" s="58">
        <f t="shared" si="25"/>
        <v>126.41241599999999</v>
      </c>
      <c r="G197" s="91" t="str">
        <f t="shared" si="26"/>
        <v>6th Floor</v>
      </c>
      <c r="H197" s="92"/>
      <c r="I197" s="38"/>
      <c r="L197" s="175"/>
      <c r="M197" s="175"/>
      <c r="N197" s="38"/>
    </row>
    <row r="198" spans="1:14" s="59" customFormat="1" x14ac:dyDescent="0.25">
      <c r="A198" s="93">
        <f t="shared" si="24"/>
        <v>612</v>
      </c>
      <c r="B198" s="93"/>
      <c r="C198" s="70" t="s">
        <v>201</v>
      </c>
      <c r="D198" s="62">
        <f>(7.67)*(10.764)</f>
        <v>82.559879999999993</v>
      </c>
      <c r="E198" s="70">
        <v>0</v>
      </c>
      <c r="F198" s="70">
        <f t="shared" si="25"/>
        <v>132.09580800000001</v>
      </c>
      <c r="G198" s="93" t="str">
        <f t="shared" si="26"/>
        <v>6th Floor</v>
      </c>
      <c r="H198" s="93"/>
      <c r="I198" s="38"/>
      <c r="L198" s="175"/>
      <c r="M198" s="175"/>
      <c r="N198" s="38"/>
    </row>
    <row r="199" spans="1:14" s="59" customFormat="1" x14ac:dyDescent="0.25">
      <c r="A199" s="93">
        <f t="shared" si="24"/>
        <v>613</v>
      </c>
      <c r="B199" s="93"/>
      <c r="C199" s="70" t="s">
        <v>201</v>
      </c>
      <c r="D199" s="62">
        <f>(7.67)*(10.764)</f>
        <v>82.559879999999993</v>
      </c>
      <c r="E199" s="70">
        <v>0</v>
      </c>
      <c r="F199" s="70">
        <f t="shared" si="25"/>
        <v>132.09580800000001</v>
      </c>
      <c r="G199" s="93" t="str">
        <f t="shared" si="26"/>
        <v>6th Floor</v>
      </c>
      <c r="H199" s="93"/>
      <c r="I199" s="38"/>
      <c r="L199" s="175"/>
      <c r="M199" s="175"/>
      <c r="N199" s="38"/>
    </row>
    <row r="200" spans="1:14" s="59" customFormat="1" x14ac:dyDescent="0.25">
      <c r="A200" s="93">
        <f t="shared" si="24"/>
        <v>614</v>
      </c>
      <c r="B200" s="93"/>
      <c r="C200" s="70" t="s">
        <v>201</v>
      </c>
      <c r="D200" s="62">
        <f>(10.64)*(10.764)</f>
        <v>114.52896</v>
      </c>
      <c r="E200" s="70">
        <v>0</v>
      </c>
      <c r="F200" s="70">
        <f t="shared" si="25"/>
        <v>183.24633600000001</v>
      </c>
      <c r="G200" s="93" t="str">
        <f t="shared" si="26"/>
        <v>6th Floor</v>
      </c>
      <c r="H200" s="93"/>
      <c r="I200" s="38"/>
      <c r="L200" s="175"/>
      <c r="M200" s="175"/>
      <c r="N200" s="38"/>
    </row>
    <row r="201" spans="1:14" s="59" customFormat="1" x14ac:dyDescent="0.25">
      <c r="A201" s="93">
        <f t="shared" si="24"/>
        <v>615</v>
      </c>
      <c r="B201" s="93"/>
      <c r="C201" s="70" t="s">
        <v>201</v>
      </c>
      <c r="D201" s="62">
        <f>(8.89)*(10.764)</f>
        <v>95.691959999999995</v>
      </c>
      <c r="E201" s="70">
        <v>0</v>
      </c>
      <c r="F201" s="70">
        <f t="shared" si="25"/>
        <v>153.107136</v>
      </c>
      <c r="G201" s="93" t="str">
        <f t="shared" si="26"/>
        <v>6th Floor</v>
      </c>
      <c r="H201" s="93"/>
      <c r="I201" s="38"/>
      <c r="L201" s="175"/>
      <c r="M201" s="175"/>
      <c r="N201" s="38"/>
    </row>
    <row r="202" spans="1:14" s="59" customFormat="1" x14ac:dyDescent="0.25">
      <c r="A202" s="93">
        <f t="shared" si="24"/>
        <v>616</v>
      </c>
      <c r="B202" s="93"/>
      <c r="C202" s="70" t="s">
        <v>201</v>
      </c>
      <c r="D202" s="62">
        <f>(8.69)*(10.764)</f>
        <v>93.539159999999995</v>
      </c>
      <c r="E202" s="70">
        <v>0</v>
      </c>
      <c r="F202" s="70">
        <f t="shared" si="25"/>
        <v>149.662656</v>
      </c>
      <c r="G202" s="93" t="str">
        <f t="shared" si="26"/>
        <v>6th Floor</v>
      </c>
      <c r="H202" s="93"/>
      <c r="I202" s="38"/>
      <c r="L202" s="175"/>
      <c r="M202" s="175"/>
      <c r="N202" s="38"/>
    </row>
    <row r="203" spans="1:14" s="59" customFormat="1" x14ac:dyDescent="0.25">
      <c r="A203" s="93">
        <f t="shared" si="24"/>
        <v>617</v>
      </c>
      <c r="B203" s="93"/>
      <c r="C203" s="70" t="s">
        <v>201</v>
      </c>
      <c r="D203" s="62">
        <f>(17.68)*(10.764)</f>
        <v>190.30751999999998</v>
      </c>
      <c r="E203" s="70">
        <v>0</v>
      </c>
      <c r="F203" s="70">
        <f t="shared" si="25"/>
        <v>304.49203199999999</v>
      </c>
      <c r="G203" s="93" t="str">
        <f t="shared" si="26"/>
        <v>6th Floor</v>
      </c>
      <c r="H203" s="93"/>
      <c r="I203" s="38"/>
      <c r="L203" s="175"/>
      <c r="M203" s="175"/>
      <c r="N203" s="38"/>
    </row>
    <row r="204" spans="1:14" s="59" customFormat="1" x14ac:dyDescent="0.25">
      <c r="A204" s="93">
        <f t="shared" si="24"/>
        <v>618</v>
      </c>
      <c r="B204" s="93"/>
      <c r="C204" s="70" t="s">
        <v>201</v>
      </c>
      <c r="D204" s="62">
        <f>(18.78)*(10.764)</f>
        <v>202.14792</v>
      </c>
      <c r="E204" s="70">
        <v>0</v>
      </c>
      <c r="F204" s="70">
        <f t="shared" si="25"/>
        <v>323.43667200000004</v>
      </c>
      <c r="G204" s="93" t="str">
        <f t="shared" si="26"/>
        <v>6th Floor</v>
      </c>
      <c r="H204" s="93"/>
      <c r="I204" s="38"/>
      <c r="L204" s="175"/>
      <c r="M204" s="175"/>
      <c r="N204" s="38"/>
    </row>
    <row r="205" spans="1:14" s="59" customFormat="1" x14ac:dyDescent="0.25">
      <c r="A205" s="93">
        <f t="shared" si="24"/>
        <v>619</v>
      </c>
      <c r="B205" s="93"/>
      <c r="C205" s="70" t="s">
        <v>201</v>
      </c>
      <c r="D205" s="62">
        <f>(17.66)*(10.764)</f>
        <v>190.09224</v>
      </c>
      <c r="E205" s="70">
        <v>0</v>
      </c>
      <c r="F205" s="70">
        <f t="shared" si="25"/>
        <v>304.14758399999999</v>
      </c>
      <c r="G205" s="93" t="str">
        <f t="shared" si="26"/>
        <v>6th Floor</v>
      </c>
      <c r="H205" s="93"/>
      <c r="I205" s="38"/>
      <c r="L205" s="175"/>
      <c r="M205" s="175"/>
      <c r="N205" s="38"/>
    </row>
    <row r="206" spans="1:14" s="59" customFormat="1" x14ac:dyDescent="0.25">
      <c r="A206" s="93">
        <f t="shared" si="24"/>
        <v>620</v>
      </c>
      <c r="B206" s="93"/>
      <c r="C206" s="70" t="s">
        <v>201</v>
      </c>
      <c r="D206" s="62">
        <f>(11.31)*(10.764)</f>
        <v>121.74083999999999</v>
      </c>
      <c r="E206" s="70">
        <v>0</v>
      </c>
      <c r="F206" s="70">
        <f t="shared" si="25"/>
        <v>194.78534400000001</v>
      </c>
      <c r="G206" s="93" t="str">
        <f t="shared" si="26"/>
        <v>6th Floor</v>
      </c>
      <c r="H206" s="93"/>
      <c r="I206" s="38"/>
      <c r="L206" s="175"/>
      <c r="M206" s="175"/>
      <c r="N206" s="38"/>
    </row>
    <row r="207" spans="1:14" s="59" customFormat="1" x14ac:dyDescent="0.25">
      <c r="A207" s="91">
        <f t="shared" si="24"/>
        <v>621</v>
      </c>
      <c r="B207" s="92"/>
      <c r="C207" s="58" t="s">
        <v>201</v>
      </c>
      <c r="D207" s="62">
        <f>(15.15)*(10.764)</f>
        <v>163.0746</v>
      </c>
      <c r="E207" s="58">
        <v>0</v>
      </c>
      <c r="F207" s="58">
        <f t="shared" si="25"/>
        <v>260.91936000000004</v>
      </c>
      <c r="G207" s="91" t="str">
        <f t="shared" si="26"/>
        <v>6th Floor</v>
      </c>
      <c r="H207" s="92"/>
      <c r="I207" s="38"/>
      <c r="L207" s="175"/>
      <c r="M207" s="175"/>
      <c r="N207" s="38"/>
    </row>
    <row r="208" spans="1:14" s="59" customFormat="1" hidden="1" x14ac:dyDescent="0.25">
      <c r="A208" s="123" t="s">
        <v>199</v>
      </c>
      <c r="B208" s="124"/>
      <c r="C208" s="124"/>
      <c r="D208" s="124"/>
      <c r="E208" s="124"/>
      <c r="F208" s="124"/>
      <c r="G208" s="124"/>
      <c r="H208" s="125"/>
      <c r="J208" s="38"/>
    </row>
    <row r="209" spans="1:14" s="59" customFormat="1" hidden="1" x14ac:dyDescent="0.25">
      <c r="A209" s="123" t="s">
        <v>122</v>
      </c>
      <c r="B209" s="124"/>
      <c r="C209" s="124"/>
      <c r="D209" s="124"/>
      <c r="E209" s="124"/>
      <c r="F209" s="124"/>
      <c r="G209" s="124"/>
      <c r="H209" s="125"/>
      <c r="J209" s="38"/>
    </row>
    <row r="210" spans="1:14" s="59" customFormat="1" hidden="1" x14ac:dyDescent="0.25">
      <c r="A210" s="91">
        <v>13</v>
      </c>
      <c r="B210" s="92"/>
      <c r="C210" s="58" t="s">
        <v>198</v>
      </c>
      <c r="D210" s="62">
        <f>(42.37)*(10.764)</f>
        <v>456.07067999999992</v>
      </c>
      <c r="E210" s="58">
        <v>0</v>
      </c>
      <c r="F210" s="58">
        <f>(D210+E210)*(($F$109)+1)</f>
        <v>729.71308799999997</v>
      </c>
      <c r="G210" s="91" t="str">
        <f>A209</f>
        <v>Ground Floor</v>
      </c>
      <c r="H210" s="92"/>
      <c r="I210" s="38"/>
      <c r="L210" s="175"/>
      <c r="M210" s="175"/>
      <c r="N210" s="38"/>
    </row>
    <row r="211" spans="1:14" s="59" customFormat="1" hidden="1" x14ac:dyDescent="0.25">
      <c r="A211" s="91">
        <f t="shared" ref="A211:A215" si="27">A210+1</f>
        <v>14</v>
      </c>
      <c r="B211" s="92"/>
      <c r="C211" s="58" t="s">
        <v>198</v>
      </c>
      <c r="D211" s="62">
        <f>(33.75)*(10.764)</f>
        <v>363.28499999999997</v>
      </c>
      <c r="E211" s="58">
        <v>0</v>
      </c>
      <c r="F211" s="58">
        <f t="shared" ref="F211:F213" si="28">(D211+E211)*(($F$109)+1)</f>
        <v>581.25599999999997</v>
      </c>
      <c r="G211" s="91" t="str">
        <f t="shared" ref="G211:G215" si="29">G210</f>
        <v>Ground Floor</v>
      </c>
      <c r="H211" s="92"/>
      <c r="I211" s="38"/>
      <c r="L211" s="175"/>
      <c r="M211" s="175"/>
      <c r="N211" s="38"/>
    </row>
    <row r="212" spans="1:14" s="59" customFormat="1" hidden="1" x14ac:dyDescent="0.25">
      <c r="A212" s="91">
        <f t="shared" si="27"/>
        <v>15</v>
      </c>
      <c r="B212" s="92"/>
      <c r="C212" s="58" t="s">
        <v>198</v>
      </c>
      <c r="D212" s="62">
        <f>(17.11)*(10.764)</f>
        <v>184.17203999999998</v>
      </c>
      <c r="E212" s="58">
        <v>0</v>
      </c>
      <c r="F212" s="58">
        <f t="shared" si="28"/>
        <v>294.67526399999997</v>
      </c>
      <c r="G212" s="91" t="str">
        <f t="shared" si="29"/>
        <v>Ground Floor</v>
      </c>
      <c r="H212" s="92"/>
      <c r="I212" s="38"/>
      <c r="L212" s="175"/>
      <c r="M212" s="175"/>
      <c r="N212" s="38"/>
    </row>
    <row r="213" spans="1:14" s="59" customFormat="1" hidden="1" x14ac:dyDescent="0.25">
      <c r="A213" s="91">
        <f t="shared" si="27"/>
        <v>16</v>
      </c>
      <c r="B213" s="92"/>
      <c r="C213" s="58" t="s">
        <v>198</v>
      </c>
      <c r="D213" s="62">
        <f>(12.59)*(10.764)</f>
        <v>135.51875999999999</v>
      </c>
      <c r="E213" s="58">
        <v>0</v>
      </c>
      <c r="F213" s="58">
        <f t="shared" si="28"/>
        <v>216.830016</v>
      </c>
      <c r="G213" s="91" t="str">
        <f t="shared" si="29"/>
        <v>Ground Floor</v>
      </c>
      <c r="H213" s="92"/>
      <c r="I213" s="38"/>
      <c r="L213" s="175"/>
      <c r="M213" s="175"/>
      <c r="N213" s="38"/>
    </row>
    <row r="214" spans="1:14" s="59" customFormat="1" hidden="1" x14ac:dyDescent="0.25">
      <c r="A214" s="91">
        <f t="shared" si="27"/>
        <v>17</v>
      </c>
      <c r="B214" s="92"/>
      <c r="C214" s="58" t="s">
        <v>198</v>
      </c>
      <c r="D214" s="62">
        <f>(20.87)*(10.764)</f>
        <v>224.64467999999999</v>
      </c>
      <c r="E214" s="58">
        <v>0</v>
      </c>
      <c r="F214" s="58">
        <f t="shared" ref="F214:F215" si="30">(D214+E214)*(($F$109)+1)</f>
        <v>359.431488</v>
      </c>
      <c r="G214" s="91" t="str">
        <f t="shared" si="29"/>
        <v>Ground Floor</v>
      </c>
      <c r="H214" s="92"/>
      <c r="I214" s="38"/>
      <c r="L214" s="175"/>
      <c r="M214" s="175"/>
      <c r="N214" s="38"/>
    </row>
    <row r="215" spans="1:14" s="59" customFormat="1" hidden="1" x14ac:dyDescent="0.25">
      <c r="A215" s="91">
        <f t="shared" si="27"/>
        <v>18</v>
      </c>
      <c r="B215" s="92"/>
      <c r="C215" s="58" t="s">
        <v>198</v>
      </c>
      <c r="D215" s="62">
        <f>(17.74)*(10.764)</f>
        <v>190.95335999999998</v>
      </c>
      <c r="E215" s="58">
        <v>0</v>
      </c>
      <c r="F215" s="58">
        <f t="shared" si="30"/>
        <v>305.52537599999999</v>
      </c>
      <c r="G215" s="91" t="str">
        <f t="shared" si="29"/>
        <v>Ground Floor</v>
      </c>
      <c r="H215" s="92"/>
      <c r="I215" s="38"/>
      <c r="L215" s="175"/>
      <c r="M215" s="175"/>
      <c r="N215" s="38"/>
    </row>
    <row r="216" spans="1:14" s="59" customFormat="1" hidden="1" x14ac:dyDescent="0.25">
      <c r="A216" s="123" t="s">
        <v>200</v>
      </c>
      <c r="B216" s="124"/>
      <c r="C216" s="124"/>
      <c r="D216" s="124"/>
      <c r="E216" s="124"/>
      <c r="F216" s="124"/>
      <c r="G216" s="124"/>
      <c r="H216" s="125"/>
      <c r="J216" s="38"/>
    </row>
    <row r="217" spans="1:14" s="59" customFormat="1" hidden="1" x14ac:dyDescent="0.25">
      <c r="A217" s="91">
        <v>1</v>
      </c>
      <c r="B217" s="92"/>
      <c r="C217" s="58" t="s">
        <v>198</v>
      </c>
      <c r="D217" s="62">
        <f>(11.16)*(10.764)</f>
        <v>120.12624</v>
      </c>
      <c r="E217" s="58">
        <v>0</v>
      </c>
      <c r="F217" s="58">
        <f>(D217+E217)*(($F$109)+1)</f>
        <v>192.20198400000001</v>
      </c>
      <c r="G217" s="91" t="str">
        <f>A216</f>
        <v>1st Floor</v>
      </c>
      <c r="H217" s="92"/>
      <c r="I217" s="38"/>
      <c r="L217" s="175"/>
      <c r="M217" s="175"/>
      <c r="N217" s="38"/>
    </row>
    <row r="218" spans="1:14" s="59" customFormat="1" hidden="1" x14ac:dyDescent="0.25">
      <c r="A218" s="91">
        <f t="shared" ref="A218:A223" si="31">A217+1</f>
        <v>2</v>
      </c>
      <c r="B218" s="92"/>
      <c r="C218" s="58" t="s">
        <v>198</v>
      </c>
      <c r="D218" s="62">
        <f>(24.65)*(10.764)</f>
        <v>265.33259999999996</v>
      </c>
      <c r="E218" s="58">
        <v>0</v>
      </c>
      <c r="F218" s="58">
        <f t="shared" ref="F218:F220" si="32">(D218+E218)*(($F$109)+1)</f>
        <v>424.53215999999998</v>
      </c>
      <c r="G218" s="91" t="str">
        <f t="shared" ref="G218:G223" si="33">G217</f>
        <v>1st Floor</v>
      </c>
      <c r="H218" s="92"/>
      <c r="I218" s="38"/>
      <c r="L218" s="175"/>
      <c r="M218" s="175"/>
      <c r="N218" s="38"/>
    </row>
    <row r="219" spans="1:14" s="59" customFormat="1" hidden="1" x14ac:dyDescent="0.25">
      <c r="A219" s="91">
        <f t="shared" si="31"/>
        <v>3</v>
      </c>
      <c r="B219" s="92"/>
      <c r="C219" s="58" t="s">
        <v>198</v>
      </c>
      <c r="D219" s="62">
        <f>(20.17)*(10.764)</f>
        <v>217.10988</v>
      </c>
      <c r="E219" s="58">
        <v>0</v>
      </c>
      <c r="F219" s="58">
        <f t="shared" si="32"/>
        <v>347.37580800000001</v>
      </c>
      <c r="G219" s="91" t="str">
        <f t="shared" si="33"/>
        <v>1st Floor</v>
      </c>
      <c r="H219" s="92"/>
      <c r="I219" s="38"/>
      <c r="L219" s="175"/>
      <c r="M219" s="175"/>
      <c r="N219" s="38"/>
    </row>
    <row r="220" spans="1:14" s="59" customFormat="1" hidden="1" x14ac:dyDescent="0.25">
      <c r="A220" s="91">
        <f t="shared" si="31"/>
        <v>4</v>
      </c>
      <c r="B220" s="92"/>
      <c r="C220" s="58" t="s">
        <v>198</v>
      </c>
      <c r="D220" s="62">
        <f>(15.55)*(10.764)</f>
        <v>167.3802</v>
      </c>
      <c r="E220" s="58">
        <v>0</v>
      </c>
      <c r="F220" s="58">
        <f t="shared" si="32"/>
        <v>267.80832000000004</v>
      </c>
      <c r="G220" s="91" t="str">
        <f t="shared" si="33"/>
        <v>1st Floor</v>
      </c>
      <c r="H220" s="92"/>
      <c r="I220" s="38"/>
      <c r="L220" s="175"/>
      <c r="M220" s="175"/>
      <c r="N220" s="38"/>
    </row>
    <row r="221" spans="1:14" s="59" customFormat="1" hidden="1" x14ac:dyDescent="0.25">
      <c r="A221" s="91">
        <f t="shared" si="31"/>
        <v>5</v>
      </c>
      <c r="B221" s="92"/>
      <c r="C221" s="58" t="s">
        <v>198</v>
      </c>
      <c r="D221" s="62">
        <f>(11.12)*(10.764)</f>
        <v>119.69567999999998</v>
      </c>
      <c r="E221" s="58">
        <v>0</v>
      </c>
      <c r="F221" s="58">
        <f t="shared" ref="F221:F223" si="34">(D221+E221)*(($F$109)+1)</f>
        <v>191.51308799999998</v>
      </c>
      <c r="G221" s="91" t="str">
        <f t="shared" si="33"/>
        <v>1st Floor</v>
      </c>
      <c r="H221" s="92"/>
      <c r="I221" s="38"/>
      <c r="L221" s="175"/>
      <c r="M221" s="175"/>
      <c r="N221" s="38"/>
    </row>
    <row r="222" spans="1:14" s="59" customFormat="1" hidden="1" x14ac:dyDescent="0.25">
      <c r="A222" s="91">
        <f t="shared" si="31"/>
        <v>6</v>
      </c>
      <c r="B222" s="92"/>
      <c r="C222" s="58" t="s">
        <v>198</v>
      </c>
      <c r="D222" s="62">
        <f>(16.74)*(10.764)</f>
        <v>180.18935999999997</v>
      </c>
      <c r="E222" s="58">
        <v>0</v>
      </c>
      <c r="F222" s="58">
        <f t="shared" si="34"/>
        <v>288.30297599999994</v>
      </c>
      <c r="G222" s="91" t="str">
        <f t="shared" si="33"/>
        <v>1st Floor</v>
      </c>
      <c r="H222" s="92"/>
      <c r="I222" s="38"/>
      <c r="L222" s="175"/>
      <c r="M222" s="175"/>
      <c r="N222" s="38"/>
    </row>
    <row r="223" spans="1:14" s="59" customFormat="1" hidden="1" x14ac:dyDescent="0.25">
      <c r="A223" s="91">
        <f t="shared" si="31"/>
        <v>7</v>
      </c>
      <c r="B223" s="92"/>
      <c r="C223" s="58" t="s">
        <v>198</v>
      </c>
      <c r="D223" s="62">
        <f>(17.67)*(10.764)</f>
        <v>190.19988000000001</v>
      </c>
      <c r="E223" s="58">
        <v>0</v>
      </c>
      <c r="F223" s="58">
        <f t="shared" si="34"/>
        <v>304.31980800000002</v>
      </c>
      <c r="G223" s="91" t="str">
        <f t="shared" si="33"/>
        <v>1st Floor</v>
      </c>
      <c r="H223" s="92"/>
      <c r="I223" s="38"/>
      <c r="L223" s="175"/>
      <c r="M223" s="175"/>
      <c r="N223" s="38"/>
    </row>
    <row r="224" spans="1:14" s="59" customFormat="1" hidden="1" x14ac:dyDescent="0.25">
      <c r="A224" s="123" t="s">
        <v>206</v>
      </c>
      <c r="B224" s="124"/>
      <c r="C224" s="124"/>
      <c r="D224" s="124"/>
      <c r="E224" s="124"/>
      <c r="F224" s="124"/>
      <c r="G224" s="124"/>
      <c r="H224" s="125"/>
      <c r="J224" s="38"/>
    </row>
    <row r="225" spans="1:14" s="59" customFormat="1" hidden="1" x14ac:dyDescent="0.25">
      <c r="A225" s="91" t="s">
        <v>202</v>
      </c>
      <c r="B225" s="92"/>
      <c r="C225" s="58" t="s">
        <v>201</v>
      </c>
      <c r="D225" s="62">
        <f>(11.16)*(10.764)</f>
        <v>120.12624</v>
      </c>
      <c r="E225" s="58">
        <v>0</v>
      </c>
      <c r="F225" s="58">
        <f>(D225+E225)*(($F$109)+1)</f>
        <v>192.20198400000001</v>
      </c>
      <c r="G225" s="91" t="str">
        <f>A224</f>
        <v>2nd &amp; 3rd Floor</v>
      </c>
      <c r="H225" s="92"/>
      <c r="I225" s="38"/>
      <c r="L225" s="175"/>
      <c r="M225" s="175"/>
      <c r="N225" s="38"/>
    </row>
    <row r="226" spans="1:14" s="59" customFormat="1" hidden="1" x14ac:dyDescent="0.25">
      <c r="A226" s="91" t="s">
        <v>203</v>
      </c>
      <c r="B226" s="92"/>
      <c r="C226" s="58" t="s">
        <v>201</v>
      </c>
      <c r="D226" s="62">
        <f>(22.48)*(10.764)</f>
        <v>241.97471999999999</v>
      </c>
      <c r="E226" s="58">
        <v>0</v>
      </c>
      <c r="F226" s="58">
        <f t="shared" ref="F226:F230" si="35">(D226+E226)*(($F$109)+1)</f>
        <v>387.15955200000002</v>
      </c>
      <c r="G226" s="91" t="str">
        <f t="shared" ref="G226:G230" si="36">G225</f>
        <v>2nd &amp; 3rd Floor</v>
      </c>
      <c r="H226" s="92"/>
      <c r="I226" s="38"/>
      <c r="L226" s="175"/>
      <c r="M226" s="175"/>
      <c r="N226" s="38"/>
    </row>
    <row r="227" spans="1:14" s="59" customFormat="1" hidden="1" x14ac:dyDescent="0.25">
      <c r="A227" s="91" t="s">
        <v>204</v>
      </c>
      <c r="B227" s="92"/>
      <c r="C227" s="58" t="s">
        <v>201</v>
      </c>
      <c r="D227" s="62">
        <f>(17.96)*(10.764)</f>
        <v>193.32144</v>
      </c>
      <c r="E227" s="58">
        <v>0</v>
      </c>
      <c r="F227" s="58">
        <f t="shared" si="35"/>
        <v>309.31430399999999</v>
      </c>
      <c r="G227" s="91" t="str">
        <f t="shared" si="36"/>
        <v>2nd &amp; 3rd Floor</v>
      </c>
      <c r="H227" s="92"/>
      <c r="I227" s="38"/>
      <c r="L227" s="175"/>
      <c r="M227" s="175"/>
      <c r="N227" s="38"/>
    </row>
    <row r="228" spans="1:14" s="59" customFormat="1" hidden="1" x14ac:dyDescent="0.25">
      <c r="A228" s="91" t="s">
        <v>205</v>
      </c>
      <c r="B228" s="92"/>
      <c r="C228" s="58" t="s">
        <v>201</v>
      </c>
      <c r="D228" s="62">
        <f>(13.45)*(10.764)</f>
        <v>144.77579999999998</v>
      </c>
      <c r="E228" s="58">
        <v>0</v>
      </c>
      <c r="F228" s="58">
        <f t="shared" si="35"/>
        <v>231.64127999999997</v>
      </c>
      <c r="G228" s="91" t="str">
        <f t="shared" si="36"/>
        <v>2nd &amp; 3rd Floor</v>
      </c>
      <c r="H228" s="92"/>
      <c r="I228" s="38"/>
      <c r="L228" s="175"/>
      <c r="M228" s="175"/>
      <c r="N228" s="38"/>
    </row>
    <row r="229" spans="1:14" s="59" customFormat="1" hidden="1" x14ac:dyDescent="0.25">
      <c r="A229" s="91" t="s">
        <v>207</v>
      </c>
      <c r="B229" s="92"/>
      <c r="C229" s="58" t="s">
        <v>201</v>
      </c>
      <c r="D229" s="62">
        <f>(18.35)*(10.764)</f>
        <v>197.51939999999999</v>
      </c>
      <c r="E229" s="58">
        <v>0</v>
      </c>
      <c r="F229" s="58">
        <f t="shared" si="35"/>
        <v>316.03104000000002</v>
      </c>
      <c r="G229" s="91" t="str">
        <f t="shared" si="36"/>
        <v>2nd &amp; 3rd Floor</v>
      </c>
      <c r="H229" s="92"/>
      <c r="I229" s="38"/>
      <c r="L229" s="175"/>
      <c r="M229" s="175"/>
      <c r="N229" s="38"/>
    </row>
    <row r="230" spans="1:14" s="59" customFormat="1" hidden="1" x14ac:dyDescent="0.25">
      <c r="A230" s="91" t="s">
        <v>208</v>
      </c>
      <c r="B230" s="92"/>
      <c r="C230" s="58" t="s">
        <v>201</v>
      </c>
      <c r="D230" s="62">
        <f>(19.24)*(10.764)</f>
        <v>207.09935999999996</v>
      </c>
      <c r="E230" s="58">
        <v>0</v>
      </c>
      <c r="F230" s="58">
        <f t="shared" si="35"/>
        <v>331.35897599999998</v>
      </c>
      <c r="G230" s="91" t="str">
        <f t="shared" si="36"/>
        <v>2nd &amp; 3rd Floor</v>
      </c>
      <c r="H230" s="92"/>
      <c r="I230" s="38"/>
      <c r="L230" s="175"/>
      <c r="M230" s="175"/>
      <c r="N230" s="38"/>
    </row>
    <row r="231" spans="1:14" s="59" customFormat="1" hidden="1" x14ac:dyDescent="0.25">
      <c r="A231" s="123" t="s">
        <v>217</v>
      </c>
      <c r="B231" s="124"/>
      <c r="C231" s="124"/>
      <c r="D231" s="124"/>
      <c r="E231" s="124"/>
      <c r="F231" s="124"/>
      <c r="G231" s="124"/>
      <c r="H231" s="125"/>
      <c r="J231" s="38"/>
    </row>
    <row r="232" spans="1:14" s="59" customFormat="1" hidden="1" x14ac:dyDescent="0.25">
      <c r="A232" s="91">
        <v>401</v>
      </c>
      <c r="B232" s="92"/>
      <c r="C232" s="58" t="s">
        <v>201</v>
      </c>
      <c r="D232" s="62">
        <f>(11.16)*(10.764)</f>
        <v>120.12624</v>
      </c>
      <c r="E232" s="58">
        <v>0</v>
      </c>
      <c r="F232" s="58">
        <f>(D232+E232)*(($F$109)+1)</f>
        <v>192.20198400000001</v>
      </c>
      <c r="G232" s="91" t="str">
        <f>A231</f>
        <v>4th Floor</v>
      </c>
      <c r="H232" s="92"/>
      <c r="I232" s="38"/>
      <c r="L232" s="175"/>
      <c r="M232" s="175"/>
      <c r="N232" s="38"/>
    </row>
    <row r="233" spans="1:14" s="59" customFormat="1" hidden="1" x14ac:dyDescent="0.25">
      <c r="A233" s="91">
        <f t="shared" ref="A233:A237" si="37">A232+1</f>
        <v>402</v>
      </c>
      <c r="B233" s="92"/>
      <c r="C233" s="58" t="s">
        <v>201</v>
      </c>
      <c r="D233" s="62">
        <f>(22.48)*(10.764)</f>
        <v>241.97471999999999</v>
      </c>
      <c r="E233" s="58">
        <v>0</v>
      </c>
      <c r="F233" s="58">
        <f t="shared" ref="F233:F235" si="38">(D233+E233)*(($F$109)+1)</f>
        <v>387.15955200000002</v>
      </c>
      <c r="G233" s="91" t="str">
        <f t="shared" ref="G233:G237" si="39">G232</f>
        <v>4th Floor</v>
      </c>
      <c r="H233" s="92"/>
      <c r="I233" s="38"/>
      <c r="L233" s="175"/>
      <c r="M233" s="175"/>
      <c r="N233" s="38"/>
    </row>
    <row r="234" spans="1:14" s="59" customFormat="1" hidden="1" x14ac:dyDescent="0.25">
      <c r="A234" s="91">
        <f t="shared" si="37"/>
        <v>403</v>
      </c>
      <c r="B234" s="92"/>
      <c r="C234" s="58" t="s">
        <v>201</v>
      </c>
      <c r="D234" s="62">
        <f>(17.96)*(10.764)</f>
        <v>193.32144</v>
      </c>
      <c r="E234" s="58">
        <v>0</v>
      </c>
      <c r="F234" s="58">
        <f t="shared" si="38"/>
        <v>309.31430399999999</v>
      </c>
      <c r="G234" s="91" t="str">
        <f t="shared" si="39"/>
        <v>4th Floor</v>
      </c>
      <c r="H234" s="92"/>
      <c r="I234" s="38"/>
      <c r="L234" s="175"/>
      <c r="M234" s="175"/>
      <c r="N234" s="38"/>
    </row>
    <row r="235" spans="1:14" s="59" customFormat="1" hidden="1" x14ac:dyDescent="0.25">
      <c r="A235" s="91">
        <f t="shared" si="37"/>
        <v>404</v>
      </c>
      <c r="B235" s="92"/>
      <c r="C235" s="58" t="s">
        <v>201</v>
      </c>
      <c r="D235" s="62">
        <f>(13.45)*(10.764)</f>
        <v>144.77579999999998</v>
      </c>
      <c r="E235" s="58">
        <v>0</v>
      </c>
      <c r="F235" s="58">
        <f t="shared" si="38"/>
        <v>231.64127999999997</v>
      </c>
      <c r="G235" s="91" t="str">
        <f t="shared" si="39"/>
        <v>4th Floor</v>
      </c>
      <c r="H235" s="92"/>
      <c r="I235" s="38"/>
      <c r="L235" s="175"/>
      <c r="M235" s="175"/>
      <c r="N235" s="38"/>
    </row>
    <row r="236" spans="1:14" s="59" customFormat="1" hidden="1" x14ac:dyDescent="0.25">
      <c r="A236" s="91">
        <f t="shared" si="37"/>
        <v>405</v>
      </c>
      <c r="B236" s="92"/>
      <c r="C236" s="58" t="s">
        <v>201</v>
      </c>
      <c r="D236" s="62">
        <f>(18.35)*(10.764)</f>
        <v>197.51939999999999</v>
      </c>
      <c r="E236" s="58">
        <v>0</v>
      </c>
      <c r="F236" s="58">
        <f t="shared" ref="F236:F237" si="40">(D236+E236)*(($F$109)+1)</f>
        <v>316.03104000000002</v>
      </c>
      <c r="G236" s="91" t="str">
        <f t="shared" si="39"/>
        <v>4th Floor</v>
      </c>
      <c r="H236" s="92"/>
      <c r="I236" s="38"/>
      <c r="L236" s="175"/>
      <c r="M236" s="175"/>
      <c r="N236" s="38"/>
    </row>
    <row r="237" spans="1:14" s="59" customFormat="1" hidden="1" x14ac:dyDescent="0.25">
      <c r="A237" s="91">
        <f t="shared" si="37"/>
        <v>406</v>
      </c>
      <c r="B237" s="92"/>
      <c r="C237" s="58" t="s">
        <v>201</v>
      </c>
      <c r="D237" s="62">
        <f>(19.24)*(10.764)</f>
        <v>207.09935999999996</v>
      </c>
      <c r="E237" s="58">
        <v>0</v>
      </c>
      <c r="F237" s="58">
        <f t="shared" si="40"/>
        <v>331.35897599999998</v>
      </c>
      <c r="G237" s="91" t="str">
        <f t="shared" si="39"/>
        <v>4th Floor</v>
      </c>
      <c r="H237" s="92"/>
      <c r="I237" s="38"/>
      <c r="L237" s="175"/>
      <c r="M237" s="175"/>
      <c r="N237" s="38"/>
    </row>
    <row r="238" spans="1:14" s="59" customFormat="1" hidden="1" x14ac:dyDescent="0.25">
      <c r="A238" s="123" t="s">
        <v>218</v>
      </c>
      <c r="B238" s="124"/>
      <c r="C238" s="124"/>
      <c r="D238" s="124"/>
      <c r="E238" s="124"/>
      <c r="F238" s="124"/>
      <c r="G238" s="124"/>
      <c r="H238" s="125"/>
      <c r="I238" s="61" t="s">
        <v>219</v>
      </c>
      <c r="J238" s="38"/>
    </row>
    <row r="239" spans="1:14" s="59" customFormat="1" hidden="1" x14ac:dyDescent="0.25">
      <c r="A239" s="91">
        <v>501</v>
      </c>
      <c r="B239" s="92"/>
      <c r="C239" s="58" t="s">
        <v>201</v>
      </c>
      <c r="D239" s="62">
        <f>(11.16)*(10.764)</f>
        <v>120.12624</v>
      </c>
      <c r="E239" s="58">
        <v>0</v>
      </c>
      <c r="F239" s="58">
        <f>(D239+E239)*(($F$109)+1)</f>
        <v>192.20198400000001</v>
      </c>
      <c r="G239" s="91" t="str">
        <f>A238</f>
        <v>5th Floor</v>
      </c>
      <c r="H239" s="92"/>
      <c r="I239" s="38"/>
      <c r="L239" s="175"/>
      <c r="M239" s="175"/>
      <c r="N239" s="38"/>
    </row>
    <row r="240" spans="1:14" s="59" customFormat="1" hidden="1" x14ac:dyDescent="0.25">
      <c r="A240" s="91">
        <f t="shared" ref="A240:A244" si="41">A239+1</f>
        <v>502</v>
      </c>
      <c r="B240" s="92"/>
      <c r="C240" s="58" t="s">
        <v>201</v>
      </c>
      <c r="D240" s="62">
        <f>(22.48)*(10.764)</f>
        <v>241.97471999999999</v>
      </c>
      <c r="E240" s="58">
        <v>0</v>
      </c>
      <c r="F240" s="58">
        <f t="shared" ref="F240:F242" si="42">(D240+E240)*(($F$109)+1)</f>
        <v>387.15955200000002</v>
      </c>
      <c r="G240" s="91" t="str">
        <f t="shared" ref="G240:G244" si="43">G239</f>
        <v>5th Floor</v>
      </c>
      <c r="H240" s="92"/>
      <c r="I240" s="38"/>
      <c r="L240" s="175"/>
      <c r="M240" s="175"/>
      <c r="N240" s="38"/>
    </row>
    <row r="241" spans="1:14" s="59" customFormat="1" hidden="1" x14ac:dyDescent="0.25">
      <c r="A241" s="91">
        <f t="shared" si="41"/>
        <v>503</v>
      </c>
      <c r="B241" s="92"/>
      <c r="C241" s="58" t="s">
        <v>201</v>
      </c>
      <c r="D241" s="62">
        <f>(17.96)*(10.764)</f>
        <v>193.32144</v>
      </c>
      <c r="E241" s="58">
        <v>0</v>
      </c>
      <c r="F241" s="58">
        <f t="shared" si="42"/>
        <v>309.31430399999999</v>
      </c>
      <c r="G241" s="91" t="str">
        <f t="shared" si="43"/>
        <v>5th Floor</v>
      </c>
      <c r="H241" s="92"/>
      <c r="I241" s="38"/>
      <c r="L241" s="175"/>
      <c r="M241" s="175"/>
      <c r="N241" s="38"/>
    </row>
    <row r="242" spans="1:14" s="59" customFormat="1" hidden="1" x14ac:dyDescent="0.25">
      <c r="A242" s="91">
        <f t="shared" si="41"/>
        <v>504</v>
      </c>
      <c r="B242" s="92"/>
      <c r="C242" s="58" t="s">
        <v>201</v>
      </c>
      <c r="D242" s="62">
        <f>(13.45)*(10.764)</f>
        <v>144.77579999999998</v>
      </c>
      <c r="E242" s="58">
        <v>0</v>
      </c>
      <c r="F242" s="58">
        <f t="shared" si="42"/>
        <v>231.64127999999997</v>
      </c>
      <c r="G242" s="91" t="str">
        <f t="shared" si="43"/>
        <v>5th Floor</v>
      </c>
      <c r="H242" s="92"/>
      <c r="I242" s="38"/>
      <c r="L242" s="175"/>
      <c r="M242" s="175"/>
      <c r="N242" s="38"/>
    </row>
    <row r="243" spans="1:14" s="59" customFormat="1" hidden="1" x14ac:dyDescent="0.25">
      <c r="A243" s="91">
        <f t="shared" si="41"/>
        <v>505</v>
      </c>
      <c r="B243" s="92"/>
      <c r="C243" s="58" t="s">
        <v>201</v>
      </c>
      <c r="D243" s="62">
        <f>(18.35)*(10.764)</f>
        <v>197.51939999999999</v>
      </c>
      <c r="E243" s="58">
        <v>0</v>
      </c>
      <c r="F243" s="58">
        <f t="shared" ref="F243:F244" si="44">(D243+E243)*(($F$109)+1)</f>
        <v>316.03104000000002</v>
      </c>
      <c r="G243" s="91" t="str">
        <f t="shared" si="43"/>
        <v>5th Floor</v>
      </c>
      <c r="H243" s="92"/>
      <c r="I243" s="38"/>
      <c r="L243" s="175"/>
      <c r="M243" s="175"/>
      <c r="N243" s="38"/>
    </row>
    <row r="244" spans="1:14" s="59" customFormat="1" hidden="1" x14ac:dyDescent="0.25">
      <c r="A244" s="91">
        <f t="shared" si="41"/>
        <v>506</v>
      </c>
      <c r="B244" s="92"/>
      <c r="C244" s="58" t="s">
        <v>201</v>
      </c>
      <c r="D244" s="62">
        <f>(19.24)*(10.764)</f>
        <v>207.09935999999996</v>
      </c>
      <c r="E244" s="58">
        <v>0</v>
      </c>
      <c r="F244" s="58">
        <f t="shared" si="44"/>
        <v>331.35897599999998</v>
      </c>
      <c r="G244" s="91" t="str">
        <f t="shared" si="43"/>
        <v>5th Floor</v>
      </c>
      <c r="H244" s="92"/>
      <c r="I244" s="38"/>
      <c r="L244" s="175"/>
      <c r="M244" s="175"/>
      <c r="N244" s="38"/>
    </row>
    <row r="245" spans="1:14" s="59" customFormat="1" hidden="1" x14ac:dyDescent="0.25">
      <c r="A245" s="123" t="s">
        <v>220</v>
      </c>
      <c r="B245" s="124"/>
      <c r="C245" s="124"/>
      <c r="D245" s="124"/>
      <c r="E245" s="124"/>
      <c r="F245" s="124"/>
      <c r="G245" s="124"/>
      <c r="H245" s="125"/>
      <c r="I245" s="61" t="s">
        <v>219</v>
      </c>
      <c r="J245" s="38"/>
    </row>
    <row r="246" spans="1:14" s="59" customFormat="1" hidden="1" x14ac:dyDescent="0.25">
      <c r="A246" s="91">
        <v>601</v>
      </c>
      <c r="B246" s="92"/>
      <c r="C246" s="58" t="s">
        <v>201</v>
      </c>
      <c r="D246" s="62">
        <f>(11.16)*(10.764)</f>
        <v>120.12624</v>
      </c>
      <c r="E246" s="58">
        <v>0</v>
      </c>
      <c r="F246" s="58">
        <f>(D246+E246)*(($F$109)+1)</f>
        <v>192.20198400000001</v>
      </c>
      <c r="G246" s="91" t="str">
        <f>A245</f>
        <v>6th Floor</v>
      </c>
      <c r="H246" s="92"/>
      <c r="I246" s="38"/>
      <c r="L246" s="175"/>
      <c r="M246" s="175"/>
      <c r="N246" s="38"/>
    </row>
    <row r="247" spans="1:14" s="59" customFormat="1" hidden="1" x14ac:dyDescent="0.25">
      <c r="A247" s="91">
        <f t="shared" ref="A247:A251" si="45">A246+1</f>
        <v>602</v>
      </c>
      <c r="B247" s="92"/>
      <c r="C247" s="58" t="s">
        <v>201</v>
      </c>
      <c r="D247" s="62">
        <f>(22.48)*(10.764)</f>
        <v>241.97471999999999</v>
      </c>
      <c r="E247" s="58">
        <v>0</v>
      </c>
      <c r="F247" s="58">
        <f t="shared" ref="F247:F251" si="46">(D247+E247)*(($F$109)+1)</f>
        <v>387.15955200000002</v>
      </c>
      <c r="G247" s="91" t="str">
        <f t="shared" ref="G247:G251" si="47">G246</f>
        <v>6th Floor</v>
      </c>
      <c r="H247" s="92"/>
      <c r="I247" s="38"/>
      <c r="L247" s="175"/>
      <c r="M247" s="175"/>
      <c r="N247" s="38"/>
    </row>
    <row r="248" spans="1:14" s="59" customFormat="1" hidden="1" x14ac:dyDescent="0.25">
      <c r="A248" s="91">
        <f t="shared" si="45"/>
        <v>603</v>
      </c>
      <c r="B248" s="92"/>
      <c r="C248" s="58" t="s">
        <v>201</v>
      </c>
      <c r="D248" s="62">
        <f>(17.96)*(10.764)</f>
        <v>193.32144</v>
      </c>
      <c r="E248" s="58">
        <v>0</v>
      </c>
      <c r="F248" s="58">
        <f t="shared" si="46"/>
        <v>309.31430399999999</v>
      </c>
      <c r="G248" s="91" t="str">
        <f t="shared" si="47"/>
        <v>6th Floor</v>
      </c>
      <c r="H248" s="92"/>
      <c r="I248" s="38"/>
      <c r="L248" s="175"/>
      <c r="M248" s="175"/>
      <c r="N248" s="38"/>
    </row>
    <row r="249" spans="1:14" s="59" customFormat="1" hidden="1" x14ac:dyDescent="0.25">
      <c r="A249" s="91">
        <f t="shared" si="45"/>
        <v>604</v>
      </c>
      <c r="B249" s="92"/>
      <c r="C249" s="58" t="s">
        <v>201</v>
      </c>
      <c r="D249" s="62">
        <f>(13.45)*(10.764)</f>
        <v>144.77579999999998</v>
      </c>
      <c r="E249" s="58">
        <v>0</v>
      </c>
      <c r="F249" s="58">
        <f t="shared" si="46"/>
        <v>231.64127999999997</v>
      </c>
      <c r="G249" s="91" t="str">
        <f t="shared" si="47"/>
        <v>6th Floor</v>
      </c>
      <c r="H249" s="92"/>
      <c r="I249" s="38"/>
      <c r="L249" s="175"/>
      <c r="M249" s="175"/>
      <c r="N249" s="38"/>
    </row>
    <row r="250" spans="1:14" s="59" customFormat="1" hidden="1" x14ac:dyDescent="0.25">
      <c r="A250" s="91">
        <f t="shared" si="45"/>
        <v>605</v>
      </c>
      <c r="B250" s="92"/>
      <c r="C250" s="58" t="s">
        <v>201</v>
      </c>
      <c r="D250" s="62">
        <f>(18.35)*(10.764)</f>
        <v>197.51939999999999</v>
      </c>
      <c r="E250" s="58">
        <v>0</v>
      </c>
      <c r="F250" s="58">
        <f t="shared" si="46"/>
        <v>316.03104000000002</v>
      </c>
      <c r="G250" s="91" t="str">
        <f t="shared" si="47"/>
        <v>6th Floor</v>
      </c>
      <c r="H250" s="92"/>
      <c r="I250" s="38"/>
      <c r="L250" s="175"/>
      <c r="M250" s="175"/>
      <c r="N250" s="38"/>
    </row>
    <row r="251" spans="1:14" s="59" customFormat="1" hidden="1" x14ac:dyDescent="0.25">
      <c r="A251" s="91">
        <f t="shared" si="45"/>
        <v>606</v>
      </c>
      <c r="B251" s="92"/>
      <c r="C251" s="58" t="s">
        <v>201</v>
      </c>
      <c r="D251" s="62">
        <f>(19.24)*(10.764)</f>
        <v>207.09935999999996</v>
      </c>
      <c r="E251" s="58">
        <v>0</v>
      </c>
      <c r="F251" s="58">
        <f t="shared" si="46"/>
        <v>331.35897599999998</v>
      </c>
      <c r="G251" s="91" t="str">
        <f t="shared" si="47"/>
        <v>6th Floor</v>
      </c>
      <c r="H251" s="92"/>
      <c r="I251" s="38"/>
      <c r="L251" s="175"/>
      <c r="M251" s="175"/>
      <c r="N251" s="38"/>
    </row>
    <row r="252" spans="1:14" s="50" customFormat="1" hidden="1" x14ac:dyDescent="0.25">
      <c r="A252" s="123" t="s">
        <v>122</v>
      </c>
      <c r="B252" s="124"/>
      <c r="C252" s="124"/>
      <c r="D252" s="124"/>
      <c r="E252" s="124"/>
      <c r="F252" s="124"/>
      <c r="G252" s="124"/>
      <c r="H252" s="125"/>
      <c r="J252" s="38"/>
    </row>
    <row r="253" spans="1:14" s="50" customFormat="1" hidden="1" x14ac:dyDescent="0.25">
      <c r="A253" s="91">
        <v>1</v>
      </c>
      <c r="B253" s="92"/>
      <c r="C253" s="44"/>
      <c r="D253" s="44"/>
      <c r="E253" s="44">
        <v>0</v>
      </c>
      <c r="F253" s="44">
        <f>(D253+E253)*(($F$109)+1)</f>
        <v>0</v>
      </c>
      <c r="G253" s="91" t="str">
        <f>A252</f>
        <v>Ground Floor</v>
      </c>
      <c r="H253" s="92"/>
      <c r="I253" s="38"/>
      <c r="L253" s="175"/>
      <c r="M253" s="175"/>
      <c r="N253" s="38"/>
    </row>
    <row r="254" spans="1:14" s="50" customFormat="1" hidden="1" x14ac:dyDescent="0.25">
      <c r="A254" s="91">
        <f t="shared" ref="A254:A256" si="48">A253+1</f>
        <v>2</v>
      </c>
      <c r="B254" s="92"/>
      <c r="C254" s="44"/>
      <c r="D254" s="44"/>
      <c r="E254" s="44">
        <v>0</v>
      </c>
      <c r="F254" s="44">
        <f t="shared" ref="F254:F256" si="49">(D254+E254)*(($F$109)+1)</f>
        <v>0</v>
      </c>
      <c r="G254" s="91" t="str">
        <f t="shared" ref="G254:G256" si="50">G253</f>
        <v>Ground Floor</v>
      </c>
      <c r="H254" s="92"/>
      <c r="I254" s="38"/>
      <c r="L254" s="175"/>
      <c r="M254" s="175"/>
      <c r="N254" s="38"/>
    </row>
    <row r="255" spans="1:14" s="50" customFormat="1" hidden="1" x14ac:dyDescent="0.25">
      <c r="A255" s="91">
        <f t="shared" si="48"/>
        <v>3</v>
      </c>
      <c r="B255" s="92"/>
      <c r="C255" s="44"/>
      <c r="D255" s="44"/>
      <c r="E255" s="44">
        <v>0</v>
      </c>
      <c r="F255" s="44">
        <f t="shared" si="49"/>
        <v>0</v>
      </c>
      <c r="G255" s="91" t="str">
        <f t="shared" si="50"/>
        <v>Ground Floor</v>
      </c>
      <c r="H255" s="92"/>
      <c r="I255" s="38"/>
      <c r="L255" s="175"/>
      <c r="M255" s="175"/>
      <c r="N255" s="38"/>
    </row>
    <row r="256" spans="1:14" s="50" customFormat="1" hidden="1" x14ac:dyDescent="0.25">
      <c r="A256" s="91">
        <f t="shared" si="48"/>
        <v>4</v>
      </c>
      <c r="B256" s="92"/>
      <c r="C256" s="44"/>
      <c r="D256" s="44"/>
      <c r="E256" s="44">
        <v>0</v>
      </c>
      <c r="F256" s="44">
        <f t="shared" si="49"/>
        <v>0</v>
      </c>
      <c r="G256" s="91" t="str">
        <f t="shared" si="50"/>
        <v>Ground Floor</v>
      </c>
      <c r="H256" s="92"/>
      <c r="I256" s="38"/>
      <c r="L256" s="175"/>
      <c r="M256" s="175"/>
      <c r="N256" s="38"/>
    </row>
    <row r="257" spans="1:16" s="50" customFormat="1" x14ac:dyDescent="0.25">
      <c r="A257" s="91"/>
      <c r="B257" s="178"/>
      <c r="C257" s="178"/>
      <c r="D257" s="178"/>
      <c r="E257" s="178"/>
      <c r="F257" s="178"/>
      <c r="G257" s="178"/>
      <c r="H257" s="92"/>
      <c r="I257" s="38"/>
      <c r="N257" s="38"/>
    </row>
    <row r="258" spans="1:16" ht="47.25" customHeight="1" x14ac:dyDescent="0.25">
      <c r="A258" s="99" t="s">
        <v>126</v>
      </c>
      <c r="B258" s="99" t="s">
        <v>127</v>
      </c>
      <c r="C258" s="95" t="s">
        <v>60</v>
      </c>
      <c r="D258" s="95" t="s">
        <v>61</v>
      </c>
      <c r="E258" s="97" t="s">
        <v>62</v>
      </c>
      <c r="F258" s="45" t="s">
        <v>159</v>
      </c>
      <c r="G258" s="99" t="s">
        <v>63</v>
      </c>
      <c r="H258" s="100"/>
      <c r="I258" s="38"/>
    </row>
    <row r="259" spans="1:16" s="50" customFormat="1" x14ac:dyDescent="0.25">
      <c r="A259" s="101"/>
      <c r="B259" s="101"/>
      <c r="C259" s="96"/>
      <c r="D259" s="96"/>
      <c r="E259" s="98"/>
      <c r="F259" s="15">
        <v>0.6</v>
      </c>
      <c r="G259" s="101"/>
      <c r="H259" s="102"/>
      <c r="I259" s="38"/>
    </row>
    <row r="260" spans="1:16" s="59" customFormat="1" x14ac:dyDescent="0.25">
      <c r="A260" s="123" t="s">
        <v>228</v>
      </c>
      <c r="B260" s="124"/>
      <c r="C260" s="124"/>
      <c r="D260" s="124"/>
      <c r="E260" s="124"/>
      <c r="F260" s="124"/>
      <c r="G260" s="124"/>
      <c r="H260" s="125"/>
      <c r="I260" s="38"/>
      <c r="P260" s="39"/>
    </row>
    <row r="261" spans="1:16" s="59" customFormat="1" x14ac:dyDescent="0.25">
      <c r="A261" s="123" t="s">
        <v>229</v>
      </c>
      <c r="B261" s="124"/>
      <c r="C261" s="124"/>
      <c r="D261" s="124"/>
      <c r="E261" s="124"/>
      <c r="F261" s="124"/>
      <c r="G261" s="124"/>
      <c r="H261" s="125"/>
      <c r="I261" s="38"/>
      <c r="P261" s="39"/>
    </row>
    <row r="262" spans="1:16" s="59" customFormat="1" x14ac:dyDescent="0.25">
      <c r="A262" s="91">
        <v>1</v>
      </c>
      <c r="B262" s="92"/>
      <c r="C262" s="56">
        <v>2</v>
      </c>
      <c r="D262" s="62">
        <f>(58.72+0.75*(3.2+3.2+1.1))*(10.764)</f>
        <v>692.60957999999994</v>
      </c>
      <c r="E262" s="62">
        <f>(3.35*1.65)*(10.764)</f>
        <v>59.498009999999994</v>
      </c>
      <c r="F262" s="58">
        <f t="shared" ref="F262:F267" si="51">D262*(($F$259)+1)+(IF(E262&lt;101,E262,IF(E262&lt;201,E262/2,IF(E262&lt;=301,E262/3,E262/4))))</f>
        <v>1167.6733380000001</v>
      </c>
      <c r="G262" s="91" t="str">
        <f>A261</f>
        <v>8th &amp; 10th Floor For Residential</v>
      </c>
      <c r="H262" s="92"/>
      <c r="I262" s="38">
        <f>(3.35*5.1+2.3*2.47+2.15*1.22+3.2*3.56+3.2*3.05+0.91*3.2+1.8*1.4+0.6*2.4+1.2*3.2)</f>
        <v>57.253</v>
      </c>
      <c r="J262" s="38">
        <f>6200*F262</f>
        <v>7239574.6956000002</v>
      </c>
      <c r="K262" s="59">
        <f>8000*F262</f>
        <v>9341386.7039999999</v>
      </c>
    </row>
    <row r="263" spans="1:16" s="59" customFormat="1" x14ac:dyDescent="0.25">
      <c r="A263" s="91">
        <v>2</v>
      </c>
      <c r="B263" s="92"/>
      <c r="C263" s="56">
        <v>2</v>
      </c>
      <c r="D263" s="62">
        <f>(58.72+0.75*(3.2+3.2+1.1))*(10.764)</f>
        <v>692.60957999999994</v>
      </c>
      <c r="E263" s="62">
        <f>(3.35*1.65)*(10.764)</f>
        <v>59.498009999999994</v>
      </c>
      <c r="F263" s="58">
        <f t="shared" si="51"/>
        <v>1167.6733380000001</v>
      </c>
      <c r="G263" s="91" t="str">
        <f t="shared" ref="G263:G267" si="52">G262</f>
        <v>8th &amp; 10th Floor For Residential</v>
      </c>
      <c r="H263" s="92"/>
      <c r="I263" s="38"/>
      <c r="J263" s="38">
        <f t="shared" ref="J263:J309" si="53">6200*F263</f>
        <v>7239574.6956000002</v>
      </c>
    </row>
    <row r="264" spans="1:16" s="59" customFormat="1" x14ac:dyDescent="0.25">
      <c r="A264" s="91">
        <v>3</v>
      </c>
      <c r="B264" s="92"/>
      <c r="C264" s="56">
        <v>1</v>
      </c>
      <c r="D264" s="62">
        <f>(42.73+3.33*0.75)*(10.764)</f>
        <v>486.82880999999998</v>
      </c>
      <c r="E264" s="58">
        <v>0</v>
      </c>
      <c r="F264" s="58">
        <f t="shared" si="51"/>
        <v>778.92609600000003</v>
      </c>
      <c r="G264" s="91" t="str">
        <f t="shared" si="52"/>
        <v>8th &amp; 10th Floor For Residential</v>
      </c>
      <c r="H264" s="92"/>
      <c r="I264" s="38">
        <f>(4.48*3.33+2.75*2.25+1.21*2.15+3.04*3.06+1.2*2.25+0.9*2.25+1.2*1.3+0.75*3.19)</f>
        <v>41.6873</v>
      </c>
      <c r="J264" s="38">
        <f t="shared" si="53"/>
        <v>4829341.7952000005</v>
      </c>
      <c r="K264" s="59" t="s">
        <v>221</v>
      </c>
    </row>
    <row r="265" spans="1:16" s="59" customFormat="1" x14ac:dyDescent="0.25">
      <c r="A265" s="91">
        <v>4</v>
      </c>
      <c r="B265" s="92"/>
      <c r="C265" s="56">
        <v>2</v>
      </c>
      <c r="D265" s="62">
        <f>(60.28)*(10.764)</f>
        <v>648.85392000000002</v>
      </c>
      <c r="E265" s="58">
        <v>0</v>
      </c>
      <c r="F265" s="58">
        <f t="shared" si="51"/>
        <v>1038.1662720000002</v>
      </c>
      <c r="G265" s="91" t="str">
        <f t="shared" si="52"/>
        <v>8th &amp; 10th Floor For Residential</v>
      </c>
      <c r="H265" s="92"/>
      <c r="I265" s="38">
        <f>(3.2*3+3.7*2.2+0.8*0.8+3.35*2.05+1.99*1.1+2*1.2+3.15*3.38+3.35*2.92+1.1*3.2+0.75*(3.15+3.35+3.2))</f>
        <v>61.060500000000005</v>
      </c>
      <c r="J265" s="38">
        <f t="shared" si="53"/>
        <v>6436630.8864000011</v>
      </c>
    </row>
    <row r="266" spans="1:16" s="59" customFormat="1" x14ac:dyDescent="0.25">
      <c r="A266" s="91">
        <v>5</v>
      </c>
      <c r="B266" s="92"/>
      <c r="C266" s="56">
        <v>2</v>
      </c>
      <c r="D266" s="62">
        <f>(60.28)*(10.764)</f>
        <v>648.85392000000002</v>
      </c>
      <c r="E266" s="58">
        <v>0</v>
      </c>
      <c r="F266" s="58">
        <f t="shared" si="51"/>
        <v>1038.1662720000002</v>
      </c>
      <c r="G266" s="91" t="str">
        <f t="shared" si="52"/>
        <v>8th &amp; 10th Floor For Residential</v>
      </c>
      <c r="H266" s="92"/>
      <c r="I266" s="38">
        <f>8000*F266</f>
        <v>8305330.1760000009</v>
      </c>
      <c r="J266" s="38">
        <f t="shared" si="53"/>
        <v>6436630.8864000011</v>
      </c>
    </row>
    <row r="267" spans="1:16" s="59" customFormat="1" x14ac:dyDescent="0.25">
      <c r="A267" s="91">
        <v>6</v>
      </c>
      <c r="B267" s="92"/>
      <c r="C267" s="56">
        <v>1</v>
      </c>
      <c r="D267" s="62">
        <f>(42.97+3.33*0.75)*(10.764)</f>
        <v>489.41217</v>
      </c>
      <c r="E267" s="58">
        <v>0</v>
      </c>
      <c r="F267" s="58">
        <f t="shared" si="51"/>
        <v>783.05947200000003</v>
      </c>
      <c r="G267" s="91" t="str">
        <f t="shared" si="52"/>
        <v>8th &amp; 10th Floor For Residential</v>
      </c>
      <c r="H267" s="92"/>
      <c r="I267" s="38">
        <f>8000*F267</f>
        <v>6264475.7760000005</v>
      </c>
      <c r="J267" s="38">
        <f t="shared" si="53"/>
        <v>4854968.7264</v>
      </c>
    </row>
    <row r="268" spans="1:16" s="59" customFormat="1" x14ac:dyDescent="0.25">
      <c r="A268" s="123" t="s">
        <v>222</v>
      </c>
      <c r="B268" s="124"/>
      <c r="C268" s="124"/>
      <c r="D268" s="124"/>
      <c r="E268" s="124"/>
      <c r="F268" s="124"/>
      <c r="G268" s="124"/>
      <c r="H268" s="125"/>
      <c r="I268" s="38"/>
      <c r="J268" s="38">
        <f t="shared" si="53"/>
        <v>0</v>
      </c>
      <c r="P268" s="39"/>
    </row>
    <row r="269" spans="1:16" s="59" customFormat="1" ht="15.75" customHeight="1" x14ac:dyDescent="0.25">
      <c r="A269" s="91">
        <v>1</v>
      </c>
      <c r="B269" s="92"/>
      <c r="C269" s="56">
        <v>2</v>
      </c>
      <c r="D269" s="62">
        <f>(58.72+0.75*(3.2+3.35))*(10.764)</f>
        <v>684.94022999999993</v>
      </c>
      <c r="E269" s="62">
        <f>(3.2*1.65+1.8*1.11)*(10.764)</f>
        <v>78.340391999999994</v>
      </c>
      <c r="F269" s="58">
        <f t="shared" ref="F269:F274" si="54">D269*(($F$259)+1)+(IF(E269&lt;101,E269,IF(E269&lt;201,E269/2,IF(E269&lt;=301,E269/3,E269/4))))</f>
        <v>1174.24476</v>
      </c>
      <c r="G269" s="91" t="str">
        <f>A268</f>
        <v>9th &amp; 11th Floor</v>
      </c>
      <c r="H269" s="92"/>
      <c r="I269" s="38">
        <f>13000000/F269</f>
        <v>11070.94572003881</v>
      </c>
      <c r="J269" s="38">
        <f t="shared" si="53"/>
        <v>7280317.5120000001</v>
      </c>
    </row>
    <row r="270" spans="1:16" s="59" customFormat="1" ht="15.75" customHeight="1" x14ac:dyDescent="0.25">
      <c r="A270" s="91">
        <v>2</v>
      </c>
      <c r="B270" s="92"/>
      <c r="C270" s="56">
        <v>2</v>
      </c>
      <c r="D270" s="62">
        <f>(58.72+0.75*(3.2+3.35))*(10.764)</f>
        <v>684.94022999999993</v>
      </c>
      <c r="E270" s="62">
        <f>(3.2*1.65+1.8*1.11)*(10.764)</f>
        <v>78.340391999999994</v>
      </c>
      <c r="F270" s="58">
        <f t="shared" si="54"/>
        <v>1174.24476</v>
      </c>
      <c r="G270" s="91" t="str">
        <f t="shared" ref="G270:G274" si="55">G269</f>
        <v>9th &amp; 11th Floor</v>
      </c>
      <c r="H270" s="92"/>
      <c r="I270" s="38"/>
      <c r="J270" s="38">
        <f t="shared" si="53"/>
        <v>7280317.5120000001</v>
      </c>
    </row>
    <row r="271" spans="1:16" s="59" customFormat="1" ht="15.75" customHeight="1" x14ac:dyDescent="0.25">
      <c r="A271" s="91">
        <v>3</v>
      </c>
      <c r="B271" s="92"/>
      <c r="C271" s="56">
        <v>1</v>
      </c>
      <c r="D271" s="62">
        <f>(42.73+3.33*0.75)*(10.764)</f>
        <v>486.82880999999998</v>
      </c>
      <c r="E271" s="58">
        <v>0</v>
      </c>
      <c r="F271" s="58">
        <f t="shared" si="54"/>
        <v>778.92609600000003</v>
      </c>
      <c r="G271" s="91" t="str">
        <f t="shared" si="55"/>
        <v>9th &amp; 11th Floor</v>
      </c>
      <c r="H271" s="92"/>
      <c r="I271" s="38"/>
      <c r="J271" s="38">
        <f t="shared" si="53"/>
        <v>4829341.7952000005</v>
      </c>
    </row>
    <row r="272" spans="1:16" s="59" customFormat="1" ht="15.75" customHeight="1" x14ac:dyDescent="0.25">
      <c r="A272" s="91">
        <v>4</v>
      </c>
      <c r="B272" s="92"/>
      <c r="C272" s="56">
        <v>2</v>
      </c>
      <c r="D272" s="62">
        <f>(60.28)*(10.764)</f>
        <v>648.85392000000002</v>
      </c>
      <c r="E272" s="58">
        <v>0</v>
      </c>
      <c r="F272" s="58">
        <f t="shared" si="54"/>
        <v>1038.1662720000002</v>
      </c>
      <c r="G272" s="91" t="str">
        <f t="shared" si="55"/>
        <v>9th &amp; 11th Floor</v>
      </c>
      <c r="H272" s="92"/>
      <c r="I272" s="38">
        <f>12000000/F272</f>
        <v>11558.842088832565</v>
      </c>
      <c r="J272" s="38">
        <f t="shared" si="53"/>
        <v>6436630.8864000011</v>
      </c>
    </row>
    <row r="273" spans="1:16" s="59" customFormat="1" ht="15.75" customHeight="1" x14ac:dyDescent="0.25">
      <c r="A273" s="91">
        <v>5</v>
      </c>
      <c r="B273" s="92"/>
      <c r="C273" s="56">
        <v>2</v>
      </c>
      <c r="D273" s="62">
        <f>(60.28)*(10.764)</f>
        <v>648.85392000000002</v>
      </c>
      <c r="E273" s="58">
        <v>0</v>
      </c>
      <c r="F273" s="58">
        <f t="shared" si="54"/>
        <v>1038.1662720000002</v>
      </c>
      <c r="G273" s="91" t="str">
        <f t="shared" si="55"/>
        <v>9th &amp; 11th Floor</v>
      </c>
      <c r="H273" s="92"/>
      <c r="I273" s="38"/>
      <c r="J273" s="38">
        <f t="shared" si="53"/>
        <v>6436630.8864000011</v>
      </c>
    </row>
    <row r="274" spans="1:16" s="59" customFormat="1" ht="15.75" customHeight="1" x14ac:dyDescent="0.25">
      <c r="A274" s="91">
        <v>6</v>
      </c>
      <c r="B274" s="92"/>
      <c r="C274" s="56">
        <v>1</v>
      </c>
      <c r="D274" s="62">
        <f>(42.97+3.33*0.75)*(10.764)</f>
        <v>489.41217</v>
      </c>
      <c r="E274" s="58">
        <v>0</v>
      </c>
      <c r="F274" s="58">
        <f t="shared" si="54"/>
        <v>783.05947200000003</v>
      </c>
      <c r="G274" s="91" t="str">
        <f t="shared" si="55"/>
        <v>9th &amp; 11th Floor</v>
      </c>
      <c r="H274" s="92"/>
      <c r="I274" s="38">
        <f>7900000/F274</f>
        <v>10088.633472273483</v>
      </c>
      <c r="J274" s="38">
        <f t="shared" si="53"/>
        <v>4854968.7264</v>
      </c>
    </row>
    <row r="275" spans="1:16" s="59" customFormat="1" ht="15.75" customHeight="1" x14ac:dyDescent="0.25">
      <c r="A275" s="123" t="s">
        <v>223</v>
      </c>
      <c r="B275" s="124"/>
      <c r="C275" s="124"/>
      <c r="D275" s="124"/>
      <c r="E275" s="124"/>
      <c r="F275" s="124"/>
      <c r="G275" s="124"/>
      <c r="H275" s="125"/>
      <c r="I275" s="38"/>
      <c r="J275" s="38">
        <f t="shared" si="53"/>
        <v>0</v>
      </c>
      <c r="P275" s="39"/>
    </row>
    <row r="276" spans="1:16" s="59" customFormat="1" x14ac:dyDescent="0.25">
      <c r="A276" s="91">
        <v>1</v>
      </c>
      <c r="B276" s="92"/>
      <c r="C276" s="56">
        <v>2</v>
      </c>
      <c r="D276" s="62">
        <f>(58.72+0.75*(3.2+3.2+1.11))*(10.764)</f>
        <v>692.69030999999984</v>
      </c>
      <c r="E276" s="62">
        <f>(3.35*1.65)*(10.764)</f>
        <v>59.498009999999994</v>
      </c>
      <c r="F276" s="58">
        <f t="shared" ref="F276:F281" si="56">D276*(($F$259)+1)+(IF(E276&lt;101,E276,IF(E276&lt;201,E276/2,IF(E276&lt;=301,E276/3,E276/4))))</f>
        <v>1167.8025059999998</v>
      </c>
      <c r="G276" s="91" t="str">
        <f>A275</f>
        <v>12th, 14th, 16th, 18th, 20th, 22nd, 24th, 26th &amp; 28th Floor</v>
      </c>
      <c r="H276" s="92"/>
      <c r="I276" s="38"/>
      <c r="J276" s="38">
        <f t="shared" si="53"/>
        <v>7240375.5371999983</v>
      </c>
    </row>
    <row r="277" spans="1:16" s="59" customFormat="1" x14ac:dyDescent="0.25">
      <c r="A277" s="91">
        <v>2</v>
      </c>
      <c r="B277" s="92"/>
      <c r="C277" s="56">
        <v>2</v>
      </c>
      <c r="D277" s="62">
        <f>(58.72+0.75*(3.2+3.2+1.11))*(10.764)</f>
        <v>692.69030999999984</v>
      </c>
      <c r="E277" s="62">
        <f>(3.35*1.65)*(10.764)</f>
        <v>59.498009999999994</v>
      </c>
      <c r="F277" s="58">
        <f t="shared" si="56"/>
        <v>1167.8025059999998</v>
      </c>
      <c r="G277" s="91" t="str">
        <f>G276</f>
        <v>12th, 14th, 16th, 18th, 20th, 22nd, 24th, 26th &amp; 28th Floor</v>
      </c>
      <c r="H277" s="92"/>
      <c r="I277" s="38"/>
      <c r="J277" s="38">
        <f t="shared" si="53"/>
        <v>7240375.5371999983</v>
      </c>
    </row>
    <row r="278" spans="1:16" s="59" customFormat="1" ht="15.75" customHeight="1" x14ac:dyDescent="0.25">
      <c r="A278" s="91">
        <v>3</v>
      </c>
      <c r="B278" s="92"/>
      <c r="C278" s="56">
        <v>1</v>
      </c>
      <c r="D278" s="62">
        <f>(42.73+3.33*0.75)*(10.764)</f>
        <v>486.82880999999998</v>
      </c>
      <c r="E278" s="58">
        <v>0</v>
      </c>
      <c r="F278" s="58">
        <f t="shared" si="56"/>
        <v>778.92609600000003</v>
      </c>
      <c r="G278" s="91" t="str">
        <f>G277</f>
        <v>12th, 14th, 16th, 18th, 20th, 22nd, 24th, 26th &amp; 28th Floor</v>
      </c>
      <c r="H278" s="92"/>
      <c r="I278" s="38"/>
      <c r="J278" s="38">
        <f t="shared" si="53"/>
        <v>4829341.7952000005</v>
      </c>
    </row>
    <row r="279" spans="1:16" s="59" customFormat="1" ht="15.75" customHeight="1" x14ac:dyDescent="0.25">
      <c r="A279" s="91">
        <v>4</v>
      </c>
      <c r="B279" s="92"/>
      <c r="C279" s="56">
        <v>2</v>
      </c>
      <c r="D279" s="62">
        <f>(60.28)*(10.764)</f>
        <v>648.85392000000002</v>
      </c>
      <c r="E279" s="58">
        <v>0</v>
      </c>
      <c r="F279" s="58">
        <f t="shared" si="56"/>
        <v>1038.1662720000002</v>
      </c>
      <c r="G279" s="91" t="str">
        <f>G278</f>
        <v>12th, 14th, 16th, 18th, 20th, 22nd, 24th, 26th &amp; 28th Floor</v>
      </c>
      <c r="H279" s="92"/>
      <c r="I279" s="38">
        <f>7000000/F279</f>
        <v>6742.65788515233</v>
      </c>
      <c r="J279" s="38">
        <f t="shared" si="53"/>
        <v>6436630.8864000011</v>
      </c>
    </row>
    <row r="280" spans="1:16" s="59" customFormat="1" ht="15.75" customHeight="1" x14ac:dyDescent="0.25">
      <c r="A280" s="91">
        <v>5</v>
      </c>
      <c r="B280" s="92"/>
      <c r="C280" s="56">
        <v>2</v>
      </c>
      <c r="D280" s="62">
        <f>(60.28)*(10.764)</f>
        <v>648.85392000000002</v>
      </c>
      <c r="E280" s="58">
        <v>0</v>
      </c>
      <c r="F280" s="58">
        <f t="shared" si="56"/>
        <v>1038.1662720000002</v>
      </c>
      <c r="G280" s="91" t="str">
        <f>G279</f>
        <v>12th, 14th, 16th, 18th, 20th, 22nd, 24th, 26th &amp; 28th Floor</v>
      </c>
      <c r="H280" s="92"/>
      <c r="I280" s="38"/>
      <c r="J280" s="38">
        <f t="shared" si="53"/>
        <v>6436630.8864000011</v>
      </c>
    </row>
    <row r="281" spans="1:16" s="59" customFormat="1" ht="15.75" customHeight="1" x14ac:dyDescent="0.25">
      <c r="A281" s="91">
        <v>6</v>
      </c>
      <c r="B281" s="92"/>
      <c r="C281" s="56">
        <v>1</v>
      </c>
      <c r="D281" s="62">
        <f>(42.97+3.33*0.75)*(10.764)</f>
        <v>489.41217</v>
      </c>
      <c r="E281" s="58">
        <v>0</v>
      </c>
      <c r="F281" s="58">
        <f t="shared" si="56"/>
        <v>783.05947200000003</v>
      </c>
      <c r="G281" s="91" t="str">
        <f>G280</f>
        <v>12th, 14th, 16th, 18th, 20th, 22nd, 24th, 26th &amp; 28th Floor</v>
      </c>
      <c r="H281" s="92"/>
      <c r="I281" s="38">
        <f>8100000/F281</f>
        <v>10344.041914609519</v>
      </c>
      <c r="J281" s="38">
        <f t="shared" si="53"/>
        <v>4854968.7264</v>
      </c>
    </row>
    <row r="282" spans="1:16" s="59" customFormat="1" x14ac:dyDescent="0.25">
      <c r="A282" s="140" t="s">
        <v>224</v>
      </c>
      <c r="B282" s="140"/>
      <c r="C282" s="140"/>
      <c r="D282" s="140"/>
      <c r="E282" s="140"/>
      <c r="F282" s="140"/>
      <c r="G282" s="140"/>
      <c r="H282" s="140"/>
      <c r="J282" s="38">
        <f t="shared" si="53"/>
        <v>0</v>
      </c>
    </row>
    <row r="283" spans="1:16" s="59" customFormat="1" x14ac:dyDescent="0.25">
      <c r="A283" s="93">
        <v>1</v>
      </c>
      <c r="B283" s="93"/>
      <c r="C283" s="56">
        <v>2</v>
      </c>
      <c r="D283" s="62">
        <f>(58.72+0.75*(3.2+3.35))*(10.764)</f>
        <v>684.94022999999993</v>
      </c>
      <c r="E283" s="62">
        <f>(3.2*1.65+1.8*1.11)*(10.764)</f>
        <v>78.340391999999994</v>
      </c>
      <c r="F283" s="70">
        <f t="shared" ref="F283:F288" si="57">D283*(($F$259)+1)+(IF(E283&lt;101,E283,IF(E283&lt;201,E283/2,IF(E283&lt;=301,E283/3,E283/4))))</f>
        <v>1174.24476</v>
      </c>
      <c r="G283" s="93" t="str">
        <f>A282</f>
        <v>13th, 15th, 17th, 19th, 21st, 23rd, 25th &amp; 27th Floor</v>
      </c>
      <c r="H283" s="93"/>
      <c r="I283" s="38"/>
      <c r="J283" s="38">
        <f t="shared" si="53"/>
        <v>7280317.5120000001</v>
      </c>
      <c r="L283" s="175"/>
      <c r="M283" s="175"/>
      <c r="N283" s="38"/>
    </row>
    <row r="284" spans="1:16" s="59" customFormat="1" x14ac:dyDescent="0.25">
      <c r="A284" s="93">
        <f t="shared" ref="A284:A288" si="58">A283+1</f>
        <v>2</v>
      </c>
      <c r="B284" s="93"/>
      <c r="C284" s="56">
        <v>2</v>
      </c>
      <c r="D284" s="62">
        <f>(58.72+0.75*(3.2+3.35))*(10.764)</f>
        <v>684.94022999999993</v>
      </c>
      <c r="E284" s="62">
        <f>(3.2*1.65+1.8*1.11)*(10.764)</f>
        <v>78.340391999999994</v>
      </c>
      <c r="F284" s="70">
        <f t="shared" si="57"/>
        <v>1174.24476</v>
      </c>
      <c r="G284" s="93" t="str">
        <f t="shared" ref="G284:G288" si="59">G283</f>
        <v>13th, 15th, 17th, 19th, 21st, 23rd, 25th &amp; 27th Floor</v>
      </c>
      <c r="H284" s="93"/>
      <c r="I284" s="38"/>
      <c r="J284" s="38">
        <f t="shared" si="53"/>
        <v>7280317.5120000001</v>
      </c>
      <c r="L284" s="175"/>
      <c r="M284" s="175"/>
      <c r="N284" s="38"/>
    </row>
    <row r="285" spans="1:16" s="59" customFormat="1" x14ac:dyDescent="0.25">
      <c r="A285" s="93">
        <f t="shared" si="58"/>
        <v>3</v>
      </c>
      <c r="B285" s="93"/>
      <c r="C285" s="56">
        <v>1</v>
      </c>
      <c r="D285" s="62">
        <f>(42.73+3.33*0.75)*(10.764)</f>
        <v>486.82880999999998</v>
      </c>
      <c r="E285" s="70">
        <v>0</v>
      </c>
      <c r="F285" s="70">
        <f t="shared" si="57"/>
        <v>778.92609600000003</v>
      </c>
      <c r="G285" s="93" t="str">
        <f t="shared" si="59"/>
        <v>13th, 15th, 17th, 19th, 21st, 23rd, 25th &amp; 27th Floor</v>
      </c>
      <c r="H285" s="93"/>
      <c r="I285" s="38"/>
      <c r="J285" s="38">
        <f t="shared" si="53"/>
        <v>4829341.7952000005</v>
      </c>
      <c r="L285" s="175"/>
      <c r="M285" s="175"/>
      <c r="N285" s="38"/>
    </row>
    <row r="286" spans="1:16" s="59" customFormat="1" x14ac:dyDescent="0.25">
      <c r="A286" s="93">
        <f t="shared" si="58"/>
        <v>4</v>
      </c>
      <c r="B286" s="93"/>
      <c r="C286" s="56">
        <v>2</v>
      </c>
      <c r="D286" s="62">
        <f>(60.28)*(10.764)</f>
        <v>648.85392000000002</v>
      </c>
      <c r="E286" s="70">
        <v>0</v>
      </c>
      <c r="F286" s="70">
        <f t="shared" si="57"/>
        <v>1038.1662720000002</v>
      </c>
      <c r="G286" s="93" t="str">
        <f t="shared" si="59"/>
        <v>13th, 15th, 17th, 19th, 21st, 23rd, 25th &amp; 27th Floor</v>
      </c>
      <c r="H286" s="93"/>
      <c r="I286" s="38"/>
      <c r="J286" s="38">
        <f t="shared" si="53"/>
        <v>6436630.8864000011</v>
      </c>
      <c r="L286" s="175"/>
      <c r="M286" s="175"/>
      <c r="N286" s="38"/>
    </row>
    <row r="287" spans="1:16" s="59" customFormat="1" x14ac:dyDescent="0.25">
      <c r="A287" s="93">
        <f t="shared" si="58"/>
        <v>5</v>
      </c>
      <c r="B287" s="93"/>
      <c r="C287" s="56">
        <v>2</v>
      </c>
      <c r="D287" s="62">
        <f>(60.28)*(10.764)</f>
        <v>648.85392000000002</v>
      </c>
      <c r="E287" s="70">
        <v>0</v>
      </c>
      <c r="F287" s="70">
        <f t="shared" si="57"/>
        <v>1038.1662720000002</v>
      </c>
      <c r="G287" s="93" t="str">
        <f t="shared" si="59"/>
        <v>13th, 15th, 17th, 19th, 21st, 23rd, 25th &amp; 27th Floor</v>
      </c>
      <c r="H287" s="93"/>
      <c r="I287" s="38"/>
      <c r="J287" s="38">
        <f t="shared" si="53"/>
        <v>6436630.8864000011</v>
      </c>
      <c r="L287" s="175"/>
      <c r="M287" s="175"/>
      <c r="N287" s="38"/>
    </row>
    <row r="288" spans="1:16" s="59" customFormat="1" x14ac:dyDescent="0.25">
      <c r="A288" s="93">
        <f t="shared" si="58"/>
        <v>6</v>
      </c>
      <c r="B288" s="93"/>
      <c r="C288" s="56">
        <v>1</v>
      </c>
      <c r="D288" s="62">
        <f>(42.97+3.33*0.75)*(10.764)</f>
        <v>489.41217</v>
      </c>
      <c r="E288" s="70">
        <v>0</v>
      </c>
      <c r="F288" s="70">
        <f t="shared" si="57"/>
        <v>783.05947200000003</v>
      </c>
      <c r="G288" s="93" t="str">
        <f t="shared" si="59"/>
        <v>13th, 15th, 17th, 19th, 21st, 23rd, 25th &amp; 27th Floor</v>
      </c>
      <c r="H288" s="93"/>
      <c r="I288" s="38">
        <v>0</v>
      </c>
      <c r="J288" s="38">
        <f t="shared" si="53"/>
        <v>4854968.7264</v>
      </c>
      <c r="L288" s="175"/>
      <c r="M288" s="175"/>
      <c r="N288" s="38"/>
    </row>
    <row r="289" spans="1:16" s="59" customFormat="1" x14ac:dyDescent="0.25">
      <c r="A289" s="140" t="s">
        <v>225</v>
      </c>
      <c r="B289" s="140"/>
      <c r="C289" s="140"/>
      <c r="D289" s="140"/>
      <c r="E289" s="140"/>
      <c r="F289" s="140"/>
      <c r="G289" s="140"/>
      <c r="H289" s="140"/>
      <c r="I289" s="38"/>
      <c r="J289" s="38">
        <f t="shared" si="53"/>
        <v>0</v>
      </c>
      <c r="L289" s="175"/>
      <c r="M289" s="175"/>
    </row>
    <row r="290" spans="1:16" s="59" customFormat="1" x14ac:dyDescent="0.25">
      <c r="A290" s="93">
        <v>1</v>
      </c>
      <c r="B290" s="93"/>
      <c r="C290" s="56">
        <v>2</v>
      </c>
      <c r="D290" s="62">
        <f>(58.72+0.75*(3.2+3.35))*(10.764)</f>
        <v>684.94022999999993</v>
      </c>
      <c r="E290" s="62">
        <f>(3.2*1.65+1.8*1.11)*(10.764)</f>
        <v>78.340391999999994</v>
      </c>
      <c r="F290" s="70">
        <f t="shared" ref="F290:F291" si="60">D290*(($F$259)+1)+(IF(E290&lt;101,E290,IF(E290&lt;201,E290/2,IF(E290&lt;=301,E290/3,E290/4))))</f>
        <v>1174.24476</v>
      </c>
      <c r="G290" s="93" t="str">
        <f>A289</f>
        <v>29th Floor</v>
      </c>
      <c r="H290" s="93"/>
      <c r="I290" s="38"/>
      <c r="J290" s="38">
        <f t="shared" si="53"/>
        <v>7280317.5120000001</v>
      </c>
      <c r="N290" s="38"/>
    </row>
    <row r="291" spans="1:16" s="59" customFormat="1" x14ac:dyDescent="0.25">
      <c r="A291" s="93">
        <f>A290+1</f>
        <v>2</v>
      </c>
      <c r="B291" s="93"/>
      <c r="C291" s="56">
        <v>2</v>
      </c>
      <c r="D291" s="62">
        <f>(58.72+0.75*(3.2+3.35))*(10.764)</f>
        <v>684.94022999999993</v>
      </c>
      <c r="E291" s="62">
        <f>(3.2*1.65+1.8*1.11)*(10.764)</f>
        <v>78.340391999999994</v>
      </c>
      <c r="F291" s="70">
        <f t="shared" si="60"/>
        <v>1174.24476</v>
      </c>
      <c r="G291" s="93" t="str">
        <f>G290</f>
        <v>29th Floor</v>
      </c>
      <c r="H291" s="93"/>
      <c r="I291" s="38"/>
      <c r="J291" s="38">
        <f t="shared" si="53"/>
        <v>7280317.5120000001</v>
      </c>
      <c r="N291" s="38"/>
    </row>
    <row r="292" spans="1:16" s="59" customFormat="1" x14ac:dyDescent="0.25">
      <c r="A292" s="93">
        <f>A291+1</f>
        <v>3</v>
      </c>
      <c r="B292" s="93"/>
      <c r="C292" s="56">
        <v>1</v>
      </c>
      <c r="D292" s="62">
        <f>(42.73+3.33*0.75)*(10.764)</f>
        <v>486.82880999999998</v>
      </c>
      <c r="E292" s="58">
        <v>0</v>
      </c>
      <c r="F292" s="58">
        <f>D292*(($F$259)+1)+(IF(E292&lt;101,E292,IF(E292&lt;201,E292/2,IF(E292&lt;=301,E292/3,E292/4))))</f>
        <v>778.92609600000003</v>
      </c>
      <c r="G292" s="93" t="str">
        <f>G291</f>
        <v>29th Floor</v>
      </c>
      <c r="H292" s="93"/>
      <c r="I292" s="38"/>
      <c r="J292" s="38">
        <f t="shared" si="53"/>
        <v>4829341.7952000005</v>
      </c>
      <c r="N292" s="38"/>
    </row>
    <row r="293" spans="1:16" s="59" customFormat="1" x14ac:dyDescent="0.25">
      <c r="A293" s="93">
        <f>A292+1</f>
        <v>4</v>
      </c>
      <c r="B293" s="93"/>
      <c r="C293" s="56">
        <v>2</v>
      </c>
      <c r="D293" s="62">
        <f>(60.28)*(10.764)</f>
        <v>648.85392000000002</v>
      </c>
      <c r="E293" s="58">
        <v>0</v>
      </c>
      <c r="F293" s="58">
        <f>D293*(($F$259)+1)+(IF(E293&lt;101,E293,IF(E293&lt;201,E293/2,IF(E293&lt;=301,E293/3,E293/4))))</f>
        <v>1038.1662720000002</v>
      </c>
      <c r="G293" s="93" t="str">
        <f>G292</f>
        <v>29th Floor</v>
      </c>
      <c r="H293" s="93"/>
      <c r="I293" s="38"/>
      <c r="J293" s="38">
        <f t="shared" si="53"/>
        <v>6436630.8864000011</v>
      </c>
      <c r="N293" s="38"/>
    </row>
    <row r="294" spans="1:16" s="59" customFormat="1" x14ac:dyDescent="0.25">
      <c r="A294" s="93">
        <f>A293+1</f>
        <v>5</v>
      </c>
      <c r="B294" s="93"/>
      <c r="C294" s="56">
        <v>2</v>
      </c>
      <c r="D294" s="62">
        <f>(60.28)*(10.764)</f>
        <v>648.85392000000002</v>
      </c>
      <c r="E294" s="58">
        <v>0</v>
      </c>
      <c r="F294" s="58">
        <f>D294*(($F$259)+1)+(IF(E294&lt;101,E294,IF(E294&lt;201,E294/2,IF(E294&lt;=301,E294/3,E294/4))))</f>
        <v>1038.1662720000002</v>
      </c>
      <c r="G294" s="93" t="str">
        <f>G293</f>
        <v>29th Floor</v>
      </c>
      <c r="H294" s="93"/>
      <c r="I294" s="38"/>
      <c r="J294" s="38">
        <f t="shared" si="53"/>
        <v>6436630.8864000011</v>
      </c>
      <c r="N294" s="38"/>
    </row>
    <row r="295" spans="1:16" s="59" customFormat="1" x14ac:dyDescent="0.25">
      <c r="A295" s="93">
        <f>A294+1</f>
        <v>6</v>
      </c>
      <c r="B295" s="93"/>
      <c r="C295" s="56">
        <v>1</v>
      </c>
      <c r="D295" s="62">
        <f>(42.97+3.33*0.75)*(10.764)</f>
        <v>489.41217</v>
      </c>
      <c r="E295" s="58">
        <v>0</v>
      </c>
      <c r="F295" s="58">
        <f>D295*(($F$259)+1)+(IF(E295&lt;101,E295,IF(E295&lt;201,E295/2,IF(E295&lt;=301,E295/3,E295/4))))</f>
        <v>783.05947200000003</v>
      </c>
      <c r="G295" s="93" t="str">
        <f>G294</f>
        <v>29th Floor</v>
      </c>
      <c r="H295" s="93"/>
      <c r="I295" s="38"/>
      <c r="J295" s="38">
        <f t="shared" si="53"/>
        <v>4854968.7264</v>
      </c>
      <c r="N295" s="38"/>
    </row>
    <row r="296" spans="1:16" s="59" customFormat="1" ht="15.75" customHeight="1" x14ac:dyDescent="0.25">
      <c r="A296" s="123" t="s">
        <v>226</v>
      </c>
      <c r="B296" s="124"/>
      <c r="C296" s="124"/>
      <c r="D296" s="124"/>
      <c r="E296" s="124"/>
      <c r="F296" s="124"/>
      <c r="G296" s="124"/>
      <c r="H296" s="125"/>
      <c r="I296" s="38"/>
      <c r="J296" s="38">
        <f t="shared" si="53"/>
        <v>0</v>
      </c>
      <c r="P296" s="39"/>
    </row>
    <row r="297" spans="1:16" s="59" customFormat="1" x14ac:dyDescent="0.25">
      <c r="A297" s="91">
        <v>1</v>
      </c>
      <c r="B297" s="92"/>
      <c r="C297" s="56">
        <v>2</v>
      </c>
      <c r="D297" s="62">
        <f>(58.72+0.75*(3.2+3.2+1.1))*(10.764)</f>
        <v>692.60957999999994</v>
      </c>
      <c r="E297" s="62">
        <f>(3.35*1.65)*(10.764)</f>
        <v>59.498009999999994</v>
      </c>
      <c r="F297" s="58">
        <f t="shared" ref="F297:F302" si="61">D297*(($F$259)+1)+(IF(E297&lt;101,E297,IF(E297&lt;201,E297/2,IF(E297&lt;=301,E297/3,E297/4))))</f>
        <v>1167.6733380000001</v>
      </c>
      <c r="G297" s="91" t="str">
        <f>A296</f>
        <v>30th Floor</v>
      </c>
      <c r="H297" s="92"/>
      <c r="I297" s="38"/>
      <c r="J297" s="38">
        <f t="shared" si="53"/>
        <v>7239574.6956000002</v>
      </c>
    </row>
    <row r="298" spans="1:16" s="59" customFormat="1" x14ac:dyDescent="0.25">
      <c r="A298" s="91">
        <v>2</v>
      </c>
      <c r="B298" s="92"/>
      <c r="C298" s="56">
        <v>2</v>
      </c>
      <c r="D298" s="62">
        <f>(58.72+0.75*(3.2+3.2+1.1))*(10.764)</f>
        <v>692.60957999999994</v>
      </c>
      <c r="E298" s="62">
        <f>(3.35*1.65)*(10.764)</f>
        <v>59.498009999999994</v>
      </c>
      <c r="F298" s="58">
        <f t="shared" si="61"/>
        <v>1167.6733380000001</v>
      </c>
      <c r="G298" s="91" t="str">
        <f>G297</f>
        <v>30th Floor</v>
      </c>
      <c r="H298" s="92"/>
      <c r="I298" s="38"/>
      <c r="J298" s="38">
        <f t="shared" si="53"/>
        <v>7239574.6956000002</v>
      </c>
    </row>
    <row r="299" spans="1:16" s="59" customFormat="1" ht="15.75" customHeight="1" x14ac:dyDescent="0.25">
      <c r="A299" s="91">
        <v>3</v>
      </c>
      <c r="B299" s="92"/>
      <c r="C299" s="56">
        <v>1</v>
      </c>
      <c r="D299" s="62">
        <f>(42.73+3.33*0.75)*(10.764)</f>
        <v>486.82880999999998</v>
      </c>
      <c r="E299" s="58">
        <v>0</v>
      </c>
      <c r="F299" s="58">
        <f t="shared" si="61"/>
        <v>778.92609600000003</v>
      </c>
      <c r="G299" s="91" t="str">
        <f>G298</f>
        <v>30th Floor</v>
      </c>
      <c r="H299" s="92"/>
      <c r="I299" s="38"/>
      <c r="J299" s="38">
        <f t="shared" si="53"/>
        <v>4829341.7952000005</v>
      </c>
    </row>
    <row r="300" spans="1:16" s="59" customFormat="1" ht="15.75" customHeight="1" x14ac:dyDescent="0.25">
      <c r="A300" s="91">
        <v>4</v>
      </c>
      <c r="B300" s="92"/>
      <c r="C300" s="56">
        <v>2</v>
      </c>
      <c r="D300" s="62">
        <f>(60.28)*(10.764)</f>
        <v>648.85392000000002</v>
      </c>
      <c r="E300" s="58">
        <v>0</v>
      </c>
      <c r="F300" s="58">
        <f t="shared" si="61"/>
        <v>1038.1662720000002</v>
      </c>
      <c r="G300" s="91" t="str">
        <f>G299</f>
        <v>30th Floor</v>
      </c>
      <c r="H300" s="92"/>
      <c r="I300" s="38"/>
      <c r="J300" s="38">
        <f t="shared" si="53"/>
        <v>6436630.8864000011</v>
      </c>
    </row>
    <row r="301" spans="1:16" s="59" customFormat="1" ht="15.75" customHeight="1" x14ac:dyDescent="0.25">
      <c r="A301" s="91">
        <v>5</v>
      </c>
      <c r="B301" s="92"/>
      <c r="C301" s="56">
        <v>2</v>
      </c>
      <c r="D301" s="62">
        <f>(60.28)*(10.764)</f>
        <v>648.85392000000002</v>
      </c>
      <c r="E301" s="58">
        <v>0</v>
      </c>
      <c r="F301" s="58">
        <f t="shared" si="61"/>
        <v>1038.1662720000002</v>
      </c>
      <c r="G301" s="91" t="str">
        <f>G300</f>
        <v>30th Floor</v>
      </c>
      <c r="H301" s="92"/>
      <c r="I301" s="38"/>
      <c r="J301" s="38">
        <f t="shared" si="53"/>
        <v>6436630.8864000011</v>
      </c>
    </row>
    <row r="302" spans="1:16" s="59" customFormat="1" ht="15.75" customHeight="1" x14ac:dyDescent="0.25">
      <c r="A302" s="91">
        <v>6</v>
      </c>
      <c r="B302" s="92"/>
      <c r="C302" s="56">
        <v>1</v>
      </c>
      <c r="D302" s="62">
        <f>(42.97+3.33*0.75)*(10.764)</f>
        <v>489.41217</v>
      </c>
      <c r="E302" s="58">
        <v>0</v>
      </c>
      <c r="F302" s="58">
        <f t="shared" si="61"/>
        <v>783.05947200000003</v>
      </c>
      <c r="G302" s="91" t="str">
        <f>G301</f>
        <v>30th Floor</v>
      </c>
      <c r="H302" s="92"/>
      <c r="I302" s="38"/>
      <c r="J302" s="38">
        <f t="shared" si="53"/>
        <v>4854968.7264</v>
      </c>
    </row>
    <row r="303" spans="1:16" s="59" customFormat="1" x14ac:dyDescent="0.25">
      <c r="A303" s="140" t="s">
        <v>227</v>
      </c>
      <c r="B303" s="140"/>
      <c r="C303" s="140"/>
      <c r="D303" s="140"/>
      <c r="E303" s="140"/>
      <c r="F303" s="140"/>
      <c r="G303" s="140"/>
      <c r="H303" s="140"/>
      <c r="I303" s="38"/>
      <c r="J303" s="38">
        <f t="shared" si="53"/>
        <v>0</v>
      </c>
      <c r="L303" s="175"/>
      <c r="M303" s="175"/>
    </row>
    <row r="304" spans="1:16" s="59" customFormat="1" x14ac:dyDescent="0.25">
      <c r="A304" s="93">
        <v>1</v>
      </c>
      <c r="B304" s="93"/>
      <c r="C304" s="56">
        <v>2</v>
      </c>
      <c r="D304" s="62">
        <f>(58.72+0.75*(3.2+3.35))*(10.764)</f>
        <v>684.94022999999993</v>
      </c>
      <c r="E304" s="62">
        <f>(3.2*1.65+1.8*1.11)*(10.764)</f>
        <v>78.340391999999994</v>
      </c>
      <c r="F304" s="58">
        <f t="shared" ref="F304:F305" si="62">D304*(($F$259)+1)+(IF(E304&lt;101,E304,IF(E304&lt;201,E304/2,IF(E304&lt;=301,E304/3,E304/4))))</f>
        <v>1174.24476</v>
      </c>
      <c r="G304" s="93" t="str">
        <f>A303</f>
        <v>31st Floor</v>
      </c>
      <c r="H304" s="93"/>
      <c r="I304" s="38"/>
      <c r="J304" s="38">
        <f t="shared" si="53"/>
        <v>7280317.5120000001</v>
      </c>
      <c r="N304" s="38"/>
    </row>
    <row r="305" spans="1:14" s="59" customFormat="1" x14ac:dyDescent="0.25">
      <c r="A305" s="93">
        <f>A304+1</f>
        <v>2</v>
      </c>
      <c r="B305" s="93"/>
      <c r="C305" s="56">
        <v>2</v>
      </c>
      <c r="D305" s="62">
        <f>(58.72+0.75*(3.2+3.35))*(10.764)</f>
        <v>684.94022999999993</v>
      </c>
      <c r="E305" s="62">
        <f>(3.2*1.65+1.8*1.11)*(10.764)</f>
        <v>78.340391999999994</v>
      </c>
      <c r="F305" s="58">
        <f t="shared" si="62"/>
        <v>1174.24476</v>
      </c>
      <c r="G305" s="93" t="str">
        <f>G304</f>
        <v>31st Floor</v>
      </c>
      <c r="H305" s="93"/>
      <c r="I305" s="38"/>
      <c r="J305" s="38">
        <f t="shared" si="53"/>
        <v>7280317.5120000001</v>
      </c>
      <c r="N305" s="38"/>
    </row>
    <row r="306" spans="1:14" s="59" customFormat="1" x14ac:dyDescent="0.25">
      <c r="A306" s="93">
        <f>A305+1</f>
        <v>3</v>
      </c>
      <c r="B306" s="93"/>
      <c r="C306" s="56">
        <v>1</v>
      </c>
      <c r="D306" s="62">
        <f>(42.73+3.33*0.75)*(10.764)</f>
        <v>486.82880999999998</v>
      </c>
      <c r="E306" s="58">
        <v>0</v>
      </c>
      <c r="F306" s="58">
        <f>D306*(($F$259)+1)+(IF(E306&lt;101,E306,IF(E306&lt;201,E306/2,IF(E306&lt;=301,E306/3,E306/4))))</f>
        <v>778.92609600000003</v>
      </c>
      <c r="G306" s="93" t="str">
        <f>G305</f>
        <v>31st Floor</v>
      </c>
      <c r="H306" s="93"/>
      <c r="I306" s="38"/>
      <c r="J306" s="38">
        <f t="shared" si="53"/>
        <v>4829341.7952000005</v>
      </c>
      <c r="N306" s="38"/>
    </row>
    <row r="307" spans="1:14" s="59" customFormat="1" x14ac:dyDescent="0.25">
      <c r="A307" s="93">
        <f>A306+1</f>
        <v>4</v>
      </c>
      <c r="B307" s="93"/>
      <c r="C307" s="56">
        <v>2</v>
      </c>
      <c r="D307" s="62">
        <f>(60.28)*(10.764)</f>
        <v>648.85392000000002</v>
      </c>
      <c r="E307" s="58">
        <v>0</v>
      </c>
      <c r="F307" s="58">
        <f>D307*(($F$259)+1)+(IF(E307&lt;101,E307,IF(E307&lt;201,E307/2,IF(E307&lt;=301,E307/3,E307/4))))</f>
        <v>1038.1662720000002</v>
      </c>
      <c r="G307" s="93" t="str">
        <f>G306</f>
        <v>31st Floor</v>
      </c>
      <c r="H307" s="93"/>
      <c r="I307" s="38">
        <f>6900000/F307</f>
        <v>6646.3342010787255</v>
      </c>
      <c r="J307" s="38">
        <f t="shared" si="53"/>
        <v>6436630.8864000011</v>
      </c>
      <c r="N307" s="38"/>
    </row>
    <row r="308" spans="1:14" s="59" customFormat="1" x14ac:dyDescent="0.25">
      <c r="A308" s="93">
        <f>A307+1</f>
        <v>5</v>
      </c>
      <c r="B308" s="93"/>
      <c r="C308" s="56">
        <v>2</v>
      </c>
      <c r="D308" s="62">
        <f>(60.28)*(10.764)</f>
        <v>648.85392000000002</v>
      </c>
      <c r="E308" s="58">
        <v>0</v>
      </c>
      <c r="F308" s="58">
        <f>D308*(($F$259)+1)+(IF(E308&lt;101,E308,IF(E308&lt;201,E308/2,IF(E308&lt;=301,E308/3,E308/4))))</f>
        <v>1038.1662720000002</v>
      </c>
      <c r="G308" s="93" t="str">
        <f>G307</f>
        <v>31st Floor</v>
      </c>
      <c r="H308" s="93"/>
      <c r="I308" s="38"/>
      <c r="J308" s="38">
        <f t="shared" si="53"/>
        <v>6436630.8864000011</v>
      </c>
      <c r="N308" s="38"/>
    </row>
    <row r="309" spans="1:14" s="59" customFormat="1" x14ac:dyDescent="0.25">
      <c r="A309" s="93">
        <f>A308+1</f>
        <v>6</v>
      </c>
      <c r="B309" s="93"/>
      <c r="C309" s="56">
        <v>1</v>
      </c>
      <c r="D309" s="62">
        <f>(42.97+3.33*0.75)*(10.764)</f>
        <v>489.41217</v>
      </c>
      <c r="E309" s="58">
        <v>0</v>
      </c>
      <c r="F309" s="58">
        <f>D309*(($F$259)+1)+(IF(E309&lt;101,E309,IF(E309&lt;201,E309/2,IF(E309&lt;=301,E309/3,E309/4))))</f>
        <v>783.05947200000003</v>
      </c>
      <c r="G309" s="93" t="str">
        <f>G308</f>
        <v>31st Floor</v>
      </c>
      <c r="H309" s="93"/>
      <c r="I309" s="38"/>
      <c r="J309" s="38">
        <f t="shared" si="53"/>
        <v>4854968.7264</v>
      </c>
      <c r="N309" s="38"/>
    </row>
    <row r="310" spans="1:14" s="59" customFormat="1" ht="15.75" hidden="1" customHeight="1" x14ac:dyDescent="0.25">
      <c r="A310" s="123" t="s">
        <v>122</v>
      </c>
      <c r="B310" s="124"/>
      <c r="C310" s="124"/>
      <c r="D310" s="124"/>
      <c r="E310" s="124"/>
      <c r="F310" s="124"/>
      <c r="G310" s="124"/>
      <c r="H310" s="125"/>
      <c r="J310" s="62">
        <f>10.764</f>
        <v>10.763999999999999</v>
      </c>
    </row>
    <row r="311" spans="1:14" s="50" customFormat="1" hidden="1" x14ac:dyDescent="0.25">
      <c r="A311" s="91">
        <v>1</v>
      </c>
      <c r="B311" s="92"/>
      <c r="C311" s="56"/>
      <c r="D311" s="44">
        <f>3.35*5.1+3.2*3.05+3.2*3.56+2.15*1.22+2.3*2.47+1.8*1.4+3.2*0.91+2.5*0.6+3.2*1.2</f>
        <v>57.313000000000002</v>
      </c>
      <c r="E311" s="44">
        <v>0</v>
      </c>
      <c r="F311" s="44">
        <f>D311*(($F$259)+1)+(IF(E311&lt;101,E311,IF(E311&lt;201,E311/2,IF(E311&lt;=301,E311/3,E311/4))))</f>
        <v>91.700800000000015</v>
      </c>
      <c r="G311" s="91" t="str">
        <f>A310</f>
        <v>Ground Floor</v>
      </c>
      <c r="H311" s="92"/>
      <c r="I311" s="38"/>
      <c r="L311" s="175"/>
      <c r="M311" s="175"/>
      <c r="N311" s="38"/>
    </row>
    <row r="312" spans="1:14" s="50" customFormat="1" hidden="1" x14ac:dyDescent="0.25">
      <c r="A312" s="91">
        <f t="shared" ref="A312:A314" si="63">A311+1</f>
        <v>2</v>
      </c>
      <c r="B312" s="92"/>
      <c r="C312" s="56"/>
      <c r="D312" s="44">
        <f>3.2*5.37+3.35*2.52+3.15+3.38+2*1.2+1.99*1.1+3.35*2.05+1.5*1.1+5*1.2+0.75*(3.2+3.35+3.15)</f>
        <v>58.537499999999994</v>
      </c>
      <c r="E312" s="44">
        <v>0</v>
      </c>
      <c r="F312" s="44">
        <f>D312*(($F$259)+1)+(IF(E312&lt;101,E312,IF(E312&lt;201,E312/2,IF(E312&lt;=301,E312/3,E312/4))))</f>
        <v>93.66</v>
      </c>
      <c r="G312" s="91" t="str">
        <f t="shared" ref="G312:G314" si="64">G311</f>
        <v>Ground Floor</v>
      </c>
      <c r="H312" s="92"/>
      <c r="I312" s="38"/>
      <c r="L312" s="175"/>
      <c r="M312" s="175"/>
      <c r="N312" s="38"/>
    </row>
    <row r="313" spans="1:14" s="50" customFormat="1" hidden="1" x14ac:dyDescent="0.25">
      <c r="A313" s="91">
        <f t="shared" si="63"/>
        <v>3</v>
      </c>
      <c r="B313" s="92"/>
      <c r="C313" s="56"/>
      <c r="D313" s="44"/>
      <c r="E313" s="44">
        <v>0</v>
      </c>
      <c r="F313" s="44">
        <f>D313*(($F$259)+1)+(IF(E313&lt;101,E313,IF(E313&lt;201,E313/2,IF(E313&lt;=301,E313/3,E313/4))))</f>
        <v>0</v>
      </c>
      <c r="G313" s="91" t="str">
        <f t="shared" si="64"/>
        <v>Ground Floor</v>
      </c>
      <c r="H313" s="92"/>
      <c r="I313" s="38"/>
      <c r="L313" s="175"/>
      <c r="M313" s="175"/>
      <c r="N313" s="38"/>
    </row>
    <row r="314" spans="1:14" s="50" customFormat="1" hidden="1" x14ac:dyDescent="0.25">
      <c r="A314" s="91">
        <f t="shared" si="63"/>
        <v>4</v>
      </c>
      <c r="B314" s="92"/>
      <c r="C314" s="56"/>
      <c r="D314" s="44"/>
      <c r="E314" s="44">
        <v>0</v>
      </c>
      <c r="F314" s="44">
        <f>D314*(($F$259)+1)+(IF(E314&lt;101,E314,IF(E314&lt;201,E314/2,IF(E314&lt;=301,E314/3,E314/4))))</f>
        <v>0</v>
      </c>
      <c r="G314" s="91" t="str">
        <f t="shared" si="64"/>
        <v>Ground Floor</v>
      </c>
      <c r="H314" s="92"/>
      <c r="I314" s="38"/>
      <c r="L314" s="175"/>
      <c r="M314" s="175"/>
      <c r="N314" s="38"/>
    </row>
    <row r="315" spans="1:14" s="50" customFormat="1" hidden="1" x14ac:dyDescent="0.25">
      <c r="A315" s="140" t="s">
        <v>123</v>
      </c>
      <c r="B315" s="140"/>
      <c r="C315" s="140"/>
      <c r="D315" s="140"/>
      <c r="E315" s="140"/>
      <c r="F315" s="140"/>
      <c r="G315" s="140"/>
      <c r="H315" s="140"/>
      <c r="I315" s="38"/>
      <c r="L315" s="175"/>
      <c r="M315" s="175"/>
    </row>
    <row r="316" spans="1:14" s="50" customFormat="1" hidden="1" x14ac:dyDescent="0.25">
      <c r="A316" s="93">
        <f>LEFT(A315,SUM(LEN(A315)-LEN(SUBSTITUTE(A315,{"0","1","2","3","4","5","6","7","8","9"},""))))*100+1</f>
        <v>201</v>
      </c>
      <c r="B316" s="93"/>
      <c r="C316" s="56"/>
      <c r="D316" s="44"/>
      <c r="E316" s="44">
        <v>0</v>
      </c>
      <c r="F316" s="44">
        <f t="shared" ref="F316:F317" si="65">D316*(($F$259)+1)+(IF(E316&lt;101,E316,IF(E316&lt;201,E316/2,IF(E316&lt;=301,E316/3,E316/4))))</f>
        <v>0</v>
      </c>
      <c r="G316" s="93" t="str">
        <f>A315</f>
        <v>2nd Floor</v>
      </c>
      <c r="H316" s="93"/>
      <c r="I316" s="38"/>
      <c r="N316" s="38"/>
    </row>
    <row r="317" spans="1:14" s="50" customFormat="1" hidden="1" x14ac:dyDescent="0.25">
      <c r="A317" s="93">
        <f>A316+1</f>
        <v>202</v>
      </c>
      <c r="B317" s="93"/>
      <c r="C317" s="56"/>
      <c r="D317" s="44"/>
      <c r="E317" s="44">
        <v>0</v>
      </c>
      <c r="F317" s="44">
        <f t="shared" si="65"/>
        <v>0</v>
      </c>
      <c r="G317" s="93" t="str">
        <f>G316</f>
        <v>2nd Floor</v>
      </c>
      <c r="H317" s="93"/>
      <c r="I317" s="38"/>
      <c r="N317" s="38"/>
    </row>
    <row r="318" spans="1:14" s="50" customFormat="1" hidden="1" x14ac:dyDescent="0.25">
      <c r="A318" s="93">
        <f>A317+1</f>
        <v>203</v>
      </c>
      <c r="B318" s="93"/>
      <c r="C318" s="56"/>
      <c r="D318" s="44"/>
      <c r="E318" s="44">
        <v>0</v>
      </c>
      <c r="F318" s="44">
        <f>D318*(($F$259)+1)+(IF(E318&lt;101,E318,IF(E318&lt;201,E318/2,IF(E318&lt;=301,E318/3,E318/4))))</f>
        <v>0</v>
      </c>
      <c r="G318" s="93" t="str">
        <f>G317</f>
        <v>2nd Floor</v>
      </c>
      <c r="H318" s="93"/>
      <c r="I318" s="38"/>
      <c r="N318" s="38"/>
    </row>
    <row r="319" spans="1:14" s="50" customFormat="1" hidden="1" x14ac:dyDescent="0.25">
      <c r="A319" s="93">
        <f>A318+1</f>
        <v>204</v>
      </c>
      <c r="B319" s="93"/>
      <c r="C319" s="56"/>
      <c r="D319" s="44"/>
      <c r="E319" s="44">
        <v>0</v>
      </c>
      <c r="F319" s="44">
        <f>D319*(($F$259)+1)+(IF(E319&lt;101,E319,IF(E319&lt;201,E319/2,IF(E319&lt;=301,E319/3,E319/4))))</f>
        <v>0</v>
      </c>
      <c r="G319" s="93" t="str">
        <f>G318</f>
        <v>2nd Floor</v>
      </c>
      <c r="H319" s="93"/>
      <c r="I319" s="38"/>
      <c r="N319" s="38"/>
    </row>
    <row r="320" spans="1:14" s="50" customFormat="1" hidden="1" x14ac:dyDescent="0.25">
      <c r="A320" s="93">
        <f>A319+1</f>
        <v>205</v>
      </c>
      <c r="B320" s="93"/>
      <c r="C320" s="56"/>
      <c r="D320" s="44"/>
      <c r="E320" s="44">
        <v>0</v>
      </c>
      <c r="F320" s="44">
        <f>D320*(($F$259)+1)+(IF(E320&lt;101,E320,IF(E320&lt;201,E320/2,IF(E320&lt;=301,E320/3,E320/4))))</f>
        <v>0</v>
      </c>
      <c r="G320" s="93" t="str">
        <f>G319</f>
        <v>2nd Floor</v>
      </c>
      <c r="H320" s="93"/>
      <c r="I320" s="38"/>
      <c r="N320" s="38"/>
    </row>
    <row r="321" spans="1:16" s="50" customFormat="1" ht="15.75" hidden="1" customHeight="1" x14ac:dyDescent="0.25">
      <c r="A321" s="123" t="s">
        <v>160</v>
      </c>
      <c r="B321" s="124"/>
      <c r="C321" s="124"/>
      <c r="D321" s="124"/>
      <c r="E321" s="124"/>
      <c r="F321" s="124"/>
      <c r="G321" s="124"/>
      <c r="H321" s="125"/>
      <c r="I321" s="38"/>
      <c r="P321" s="39"/>
    </row>
    <row r="322" spans="1:16" s="50" customFormat="1" hidden="1" x14ac:dyDescent="0.25">
      <c r="A322" s="91" t="str">
        <f ca="1">(SUMPRODUCT(MID(0&amp;(LEFT(A321,SUM(LEN(A321)-LEN(SUBSTITUTE(A321,{"0","1","2"},""))))), LARGE(INDEX(ISNUMBER(--MID((LEFT(A321,SUM(LEN(A321)-LEN(SUBSTITUTE(A321,{"0","1","2"},""))))), ROW(INDIRECT("1:"&amp;LEN((LEFT(A321,SUM(LEN(A321)-LEN(SUBSTITUTE(A321,{"0","1","2"},"")))))))), 1)) * ROW(INDIRECT("1:"&amp;LEN((LEFT(A321,SUM(LEN(A321)-LEN(SUBSTITUTE(A321,{"0","1","2"},"")))))))), 0), ROW(INDIRECT("1:"&amp;LEN((LEFT(A321,SUM(LEN(A321)-LEN(SUBSTITUTE(A321,{"0","1","2"},"")))))))))+1, 1) * 10^ROW(INDIRECT("1:"&amp;LEN((LEFT(A321,SUM(LEN(A321)-LEN(SUBSTITUTE(A321,{"0","1","2"},""))))))))/10))*100+1&amp;""&amp;" ,.., "&amp;""&amp;(SUMPRODUCT(MID(0&amp;(--TRIM(RIGHT(SUBSTITUTE(LEFT(A321,_xlfn.AGGREGATE(16,6,FIND({0,1,2,3,4,5,6,7,8,9},A321,ROW(INDIRECT("1:"&amp;LEN(A321)))),1))," ",REPT(" ",LEN(A321))),LEN(A321)))), LARGE(INDEX(ISNUMBER(--MID((--TRIM(RIGHT(SUBSTITUTE(LEFT(A321,_xlfn.AGGREGATE(16,6,FIND({0,1,2,3,4,5,6,7,8,9},A321,ROW(INDIRECT("1:"&amp;LEN(A321)))),1))," ",REPT(" ",LEN(A321))),LEN(A321)))), ROW(INDIRECT("1:"&amp;LEN((--TRIM(RIGHT(SUBSTITUTE(LEFT(A321,_xlfn.AGGREGATE(16,6,FIND({0,1,2,3,4,5,6,7,8,9},A321,ROW(INDIRECT("1:"&amp;LEN(A321)))),1))," ",REPT(" ",LEN(A321))),LEN(A321))))))), 1)) * ROW(INDIRECT("1:"&amp;LEN((--TRIM(RIGHT(SUBSTITUTE(LEFT(A321,_xlfn.AGGREGATE(16,6,FIND({0,1,2,3,4,5,6,7,8,9},A321,ROW(INDIRECT("1:"&amp;LEN(A321)))),1))," ",REPT(" ",LEN(A321))),LEN(A321))))))), 0), ROW(INDIRECT("1:"&amp;LEN((--TRIM(RIGHT(SUBSTITUTE(LEFT(A321,_xlfn.AGGREGATE(16,6,FIND({0,1,2,3,4,5,6,7,8,9},A321,ROW(INDIRECT("1:"&amp;LEN(A321)))),1))," ",REPT(" ",LEN(A321))),LEN(A321))))))))+1, 1) * 10^ROW(INDIRECT("1:"&amp;LEN((--TRIM(RIGHT(SUBSTITUTE(LEFT(A321,_xlfn.AGGREGATE(16,6,FIND({0,1,2,3,4,5,6,7,8,9},A321,ROW(INDIRECT("1:"&amp;LEN(A321)))),1))," ",REPT(" ",LEN(A321))),LEN(A321)))))))/10))*100+1</f>
        <v>301 ,.., 1501</v>
      </c>
      <c r="B322" s="92"/>
      <c r="C322" s="56"/>
      <c r="D322" s="44"/>
      <c r="E322" s="44">
        <v>0</v>
      </c>
      <c r="F322" s="44">
        <f>D322*(($F$259)+1)+(IF(E322&lt;101,E322,IF(E322&lt;201,E322/2,IF(E322&lt;=301,E322/3,E322/4))))</f>
        <v>0</v>
      </c>
      <c r="G322" s="91" t="str">
        <f>A321</f>
        <v>3rd, 5th, 7th, 9th, 11th, 13th, 15th Floor</v>
      </c>
      <c r="H322" s="92"/>
      <c r="I322" s="38"/>
    </row>
    <row r="323" spans="1:16" s="50" customFormat="1" hidden="1" x14ac:dyDescent="0.25">
      <c r="A323" s="91" t="str">
        <f ca="1">(SUMPRODUCT(MID(0&amp;(LEFT(A322,SUM(LEN(A322)-LEN(SUBSTITUTE(A322,{"0","1","2"},""))))), LARGE(INDEX(ISNUMBER(--MID((LEFT(A322,SUM(LEN(A322)-LEN(SUBSTITUTE(A322,{"0","1","2"},""))))), ROW(INDIRECT("1:"&amp;LEN((LEFT(A322,SUM(LEN(A322)-LEN(SUBSTITUTE(A322,{"0","1","2"},"")))))))), 1)) * ROW(INDIRECT("1:"&amp;LEN((LEFT(A322,SUM(LEN(A322)-LEN(SUBSTITUTE(A322,{"0","1","2"},"")))))))), 0), ROW(INDIRECT("1:"&amp;LEN((LEFT(A322,SUM(LEN(A322)-LEN(SUBSTITUTE(A322,{"0","1","2"},"")))))))))+1, 1) * 10^ROW(INDIRECT("1:"&amp;LEN((LEFT(A322,SUM(LEN(A322)-LEN(SUBSTITUTE(A322,{"0","1","2"},""))))))))/10))*1+1&amp;""&amp;" ,.., "&amp;""&amp;(SUMPRODUCT(MID(0&amp;(--TRIM(RIGHT(SUBSTITUTE(LEFT(A322,_xlfn.AGGREGATE(16,6,FIND({0,1,2,3,4,5,6,7,8,9},A322,ROW(INDIRECT("1:"&amp;LEN(A322)))),1))," ",REPT(" ",LEN(A322))),LEN(A322)))), LARGE(INDEX(ISNUMBER(--MID((--TRIM(RIGHT(SUBSTITUTE(LEFT(A322,_xlfn.AGGREGATE(16,6,FIND({0,1,2,3,4,5,6,7,8,9},A322,ROW(INDIRECT("1:"&amp;LEN(A322)))),1))," ",REPT(" ",LEN(A322))),LEN(A322)))), ROW(INDIRECT("1:"&amp;LEN((--TRIM(RIGHT(SUBSTITUTE(LEFT(A322,_xlfn.AGGREGATE(16,6,FIND({0,1,2,3,4,5,6,7,8,9},A322,ROW(INDIRECT("1:"&amp;LEN(A322)))),1))," ",REPT(" ",LEN(A322))),LEN(A322))))))), 1)) * ROW(INDIRECT("1:"&amp;LEN((--TRIM(RIGHT(SUBSTITUTE(LEFT(A322,_xlfn.AGGREGATE(16,6,FIND({0,1,2,3,4,5,6,7,8,9},A322,ROW(INDIRECT("1:"&amp;LEN(A322)))),1))," ",REPT(" ",LEN(A322))),LEN(A322))))))), 0), ROW(INDIRECT("1:"&amp;LEN((--TRIM(RIGHT(SUBSTITUTE(LEFT(A322,_xlfn.AGGREGATE(16,6,FIND({0,1,2,3,4,5,6,7,8,9},A322,ROW(INDIRECT("1:"&amp;LEN(A322)))),1))," ",REPT(" ",LEN(A322))),LEN(A322))))))))+1, 1) * 10^ROW(INDIRECT("1:"&amp;LEN((--TRIM(RIGHT(SUBSTITUTE(LEFT(A322,_xlfn.AGGREGATE(16,6,FIND({0,1,2,3,4,5,6,7,8,9},A322,ROW(INDIRECT("1:"&amp;LEN(A322)))),1))," ",REPT(" ",LEN(A322))),LEN(A322)))))))/10))*1+1</f>
        <v>302 ,.., 1502</v>
      </c>
      <c r="B323" s="92"/>
      <c r="C323" s="56"/>
      <c r="D323" s="44"/>
      <c r="E323" s="44">
        <v>0</v>
      </c>
      <c r="F323" s="44">
        <f>D323*(($F$259)+1)+(IF(E323&lt;101,E323,IF(E323&lt;201,E323/2,IF(E323&lt;=301,E323/3,E323/4))))</f>
        <v>0</v>
      </c>
      <c r="G323" s="91" t="str">
        <f>G322</f>
        <v>3rd, 5th, 7th, 9th, 11th, 13th, 15th Floor</v>
      </c>
      <c r="H323" s="92"/>
      <c r="I323" s="38"/>
    </row>
    <row r="324" spans="1:16" s="50" customFormat="1" ht="15.75" hidden="1" customHeight="1" x14ac:dyDescent="0.25">
      <c r="A324" s="91" t="str">
        <f ca="1">(SUMPRODUCT(MID(0&amp;(LEFT(A323,SUM(LEN(A323)-LEN(SUBSTITUTE(A323,{"0","1","2"},""))))), LARGE(INDEX(ISNUMBER(--MID((LEFT(A323,SUM(LEN(A323)-LEN(SUBSTITUTE(A323,{"0","1","2"},""))))), ROW(INDIRECT("1:"&amp;LEN((LEFT(A323,SUM(LEN(A323)-LEN(SUBSTITUTE(A323,{"0","1","2"},"")))))))), 1)) * ROW(INDIRECT("1:"&amp;LEN((LEFT(A323,SUM(LEN(A323)-LEN(SUBSTITUTE(A323,{"0","1","2"},"")))))))), 0), ROW(INDIRECT("1:"&amp;LEN((LEFT(A323,SUM(LEN(A323)-LEN(SUBSTITUTE(A323,{"0","1","2"},"")))))))))+1, 1) * 10^ROW(INDIRECT("1:"&amp;LEN((LEFT(A323,SUM(LEN(A323)-LEN(SUBSTITUTE(A323,{"0","1","2"},""))))))))/10))*1+1&amp;""&amp;" ,.., "&amp;""&amp;(SUMPRODUCT(MID(0&amp;(--TRIM(RIGHT(SUBSTITUTE(LEFT(A323,_xlfn.AGGREGATE(16,6,FIND({0,1,2,3,4,5,6,7,8,9},A323,ROW(INDIRECT("1:"&amp;LEN(A323)))),1))," ",REPT(" ",LEN(A323))),LEN(A323)))), LARGE(INDEX(ISNUMBER(--MID((--TRIM(RIGHT(SUBSTITUTE(LEFT(A323,_xlfn.AGGREGATE(16,6,FIND({0,1,2,3,4,5,6,7,8,9},A323,ROW(INDIRECT("1:"&amp;LEN(A323)))),1))," ",REPT(" ",LEN(A323))),LEN(A323)))), ROW(INDIRECT("1:"&amp;LEN((--TRIM(RIGHT(SUBSTITUTE(LEFT(A323,_xlfn.AGGREGATE(16,6,FIND({0,1,2,3,4,5,6,7,8,9},A323,ROW(INDIRECT("1:"&amp;LEN(A323)))),1))," ",REPT(" ",LEN(A323))),LEN(A323))))))), 1)) * ROW(INDIRECT("1:"&amp;LEN((--TRIM(RIGHT(SUBSTITUTE(LEFT(A323,_xlfn.AGGREGATE(16,6,FIND({0,1,2,3,4,5,6,7,8,9},A323,ROW(INDIRECT("1:"&amp;LEN(A323)))),1))," ",REPT(" ",LEN(A323))),LEN(A323))))))), 0), ROW(INDIRECT("1:"&amp;LEN((--TRIM(RIGHT(SUBSTITUTE(LEFT(A323,_xlfn.AGGREGATE(16,6,FIND({0,1,2,3,4,5,6,7,8,9},A323,ROW(INDIRECT("1:"&amp;LEN(A323)))),1))," ",REPT(" ",LEN(A323))),LEN(A323))))))))+1, 1) * 10^ROW(INDIRECT("1:"&amp;LEN((--TRIM(RIGHT(SUBSTITUTE(LEFT(A323,_xlfn.AGGREGATE(16,6,FIND({0,1,2,3,4,5,6,7,8,9},A323,ROW(INDIRECT("1:"&amp;LEN(A323)))),1))," ",REPT(" ",LEN(A323))),LEN(A323)))))))/10))*1+1</f>
        <v>303 ,.., 1503</v>
      </c>
      <c r="B324" s="92"/>
      <c r="C324" s="56"/>
      <c r="D324" s="44"/>
      <c r="E324" s="44">
        <v>0</v>
      </c>
      <c r="F324" s="44">
        <f>D324*(($F$259)+1)+(IF(E324&lt;101,E324,IF(E324&lt;201,E324/2,IF(E324&lt;=301,E324/3,E324/4))))</f>
        <v>0</v>
      </c>
      <c r="G324" s="91" t="str">
        <f>G323</f>
        <v>3rd, 5th, 7th, 9th, 11th, 13th, 15th Floor</v>
      </c>
      <c r="H324" s="92"/>
      <c r="I324" s="38"/>
    </row>
    <row r="325" spans="1:16" s="50" customFormat="1" ht="15.75" hidden="1" customHeight="1" x14ac:dyDescent="0.25">
      <c r="A325" s="91" t="str">
        <f ca="1">(SUMPRODUCT(MID(0&amp;(LEFT(A324,SUM(LEN(A324)-LEN(SUBSTITUTE(A324,{"0","1","2"},""))))), LARGE(INDEX(ISNUMBER(--MID((LEFT(A324,SUM(LEN(A324)-LEN(SUBSTITUTE(A324,{"0","1","2"},""))))), ROW(INDIRECT("1:"&amp;LEN((LEFT(A324,SUM(LEN(A324)-LEN(SUBSTITUTE(A324,{"0","1","2"},"")))))))), 1)) * ROW(INDIRECT("1:"&amp;LEN((LEFT(A324,SUM(LEN(A324)-LEN(SUBSTITUTE(A324,{"0","1","2"},"")))))))), 0), ROW(INDIRECT("1:"&amp;LEN((LEFT(A324,SUM(LEN(A324)-LEN(SUBSTITUTE(A324,{"0","1","2"},"")))))))))+1, 1) * 10^ROW(INDIRECT("1:"&amp;LEN((LEFT(A324,SUM(LEN(A324)-LEN(SUBSTITUTE(A324,{"0","1","2"},""))))))))/10))*1+1&amp;""&amp;" ,.., "&amp;""&amp;(SUMPRODUCT(MID(0&amp;(--TRIM(RIGHT(SUBSTITUTE(LEFT(A324,_xlfn.AGGREGATE(16,6,FIND({0,1,2,3,4,5,6,7,8,9},A324,ROW(INDIRECT("1:"&amp;LEN(A324)))),1))," ",REPT(" ",LEN(A324))),LEN(A324)))), LARGE(INDEX(ISNUMBER(--MID((--TRIM(RIGHT(SUBSTITUTE(LEFT(A324,_xlfn.AGGREGATE(16,6,FIND({0,1,2,3,4,5,6,7,8,9},A324,ROW(INDIRECT("1:"&amp;LEN(A324)))),1))," ",REPT(" ",LEN(A324))),LEN(A324)))), ROW(INDIRECT("1:"&amp;LEN((--TRIM(RIGHT(SUBSTITUTE(LEFT(A324,_xlfn.AGGREGATE(16,6,FIND({0,1,2,3,4,5,6,7,8,9},A324,ROW(INDIRECT("1:"&amp;LEN(A324)))),1))," ",REPT(" ",LEN(A324))),LEN(A324))))))), 1)) * ROW(INDIRECT("1:"&amp;LEN((--TRIM(RIGHT(SUBSTITUTE(LEFT(A324,_xlfn.AGGREGATE(16,6,FIND({0,1,2,3,4,5,6,7,8,9},A324,ROW(INDIRECT("1:"&amp;LEN(A324)))),1))," ",REPT(" ",LEN(A324))),LEN(A324))))))), 0), ROW(INDIRECT("1:"&amp;LEN((--TRIM(RIGHT(SUBSTITUTE(LEFT(A324,_xlfn.AGGREGATE(16,6,FIND({0,1,2,3,4,5,6,7,8,9},A324,ROW(INDIRECT("1:"&amp;LEN(A324)))),1))," ",REPT(" ",LEN(A324))),LEN(A324))))))))+1, 1) * 10^ROW(INDIRECT("1:"&amp;LEN((--TRIM(RIGHT(SUBSTITUTE(LEFT(A324,_xlfn.AGGREGATE(16,6,FIND({0,1,2,3,4,5,6,7,8,9},A324,ROW(INDIRECT("1:"&amp;LEN(A324)))),1))," ",REPT(" ",LEN(A324))),LEN(A324)))))))/10))*1+1</f>
        <v>304 ,.., 1504</v>
      </c>
      <c r="B325" s="92"/>
      <c r="C325" s="56"/>
      <c r="D325" s="44"/>
      <c r="E325" s="44">
        <v>0</v>
      </c>
      <c r="F325" s="44">
        <f>D325*(($F$259)+1)+(IF(E325&lt;101,E325,IF(E325&lt;201,E325/2,IF(E325&lt;=301,E325/3,E325/4))))</f>
        <v>0</v>
      </c>
      <c r="G325" s="91" t="str">
        <f>G324</f>
        <v>3rd, 5th, 7th, 9th, 11th, 13th, 15th Floor</v>
      </c>
      <c r="H325" s="92"/>
      <c r="I325" s="38"/>
    </row>
    <row r="326" spans="1:16" s="50" customFormat="1" ht="15.75" hidden="1" customHeight="1" x14ac:dyDescent="0.25">
      <c r="A326" s="91" t="str">
        <f ca="1">(SUMPRODUCT(MID(0&amp;(LEFT(A325,SUM(LEN(A325)-LEN(SUBSTITUTE(A325,{"0","1","2"},""))))), LARGE(INDEX(ISNUMBER(--MID((LEFT(A325,SUM(LEN(A325)-LEN(SUBSTITUTE(A325,{"0","1","2"},""))))), ROW(INDIRECT("1:"&amp;LEN((LEFT(A325,SUM(LEN(A325)-LEN(SUBSTITUTE(A325,{"0","1","2"},"")))))))), 1)) * ROW(INDIRECT("1:"&amp;LEN((LEFT(A325,SUM(LEN(A325)-LEN(SUBSTITUTE(A325,{"0","1","2"},"")))))))), 0), ROW(INDIRECT("1:"&amp;LEN((LEFT(A325,SUM(LEN(A325)-LEN(SUBSTITUTE(A325,{"0","1","2"},"")))))))))+1, 1) * 10^ROW(INDIRECT("1:"&amp;LEN((LEFT(A325,SUM(LEN(A325)-LEN(SUBSTITUTE(A325,{"0","1","2"},""))))))))/10))*1+1&amp;""&amp;" ,.., "&amp;""&amp;(SUMPRODUCT(MID(0&amp;(--TRIM(RIGHT(SUBSTITUTE(LEFT(A325,_xlfn.AGGREGATE(16,6,FIND({0,1,2,3,4,5,6,7,8,9},A325,ROW(INDIRECT("1:"&amp;LEN(A325)))),1))," ",REPT(" ",LEN(A325))),LEN(A325)))), LARGE(INDEX(ISNUMBER(--MID((--TRIM(RIGHT(SUBSTITUTE(LEFT(A325,_xlfn.AGGREGATE(16,6,FIND({0,1,2,3,4,5,6,7,8,9},A325,ROW(INDIRECT("1:"&amp;LEN(A325)))),1))," ",REPT(" ",LEN(A325))),LEN(A325)))), ROW(INDIRECT("1:"&amp;LEN((--TRIM(RIGHT(SUBSTITUTE(LEFT(A325,_xlfn.AGGREGATE(16,6,FIND({0,1,2,3,4,5,6,7,8,9},A325,ROW(INDIRECT("1:"&amp;LEN(A325)))),1))," ",REPT(" ",LEN(A325))),LEN(A325))))))), 1)) * ROW(INDIRECT("1:"&amp;LEN((--TRIM(RIGHT(SUBSTITUTE(LEFT(A325,_xlfn.AGGREGATE(16,6,FIND({0,1,2,3,4,5,6,7,8,9},A325,ROW(INDIRECT("1:"&amp;LEN(A325)))),1))," ",REPT(" ",LEN(A325))),LEN(A325))))))), 0), ROW(INDIRECT("1:"&amp;LEN((--TRIM(RIGHT(SUBSTITUTE(LEFT(A325,_xlfn.AGGREGATE(16,6,FIND({0,1,2,3,4,5,6,7,8,9},A325,ROW(INDIRECT("1:"&amp;LEN(A325)))),1))," ",REPT(" ",LEN(A325))),LEN(A325))))))))+1, 1) * 10^ROW(INDIRECT("1:"&amp;LEN((--TRIM(RIGHT(SUBSTITUTE(LEFT(A325,_xlfn.AGGREGATE(16,6,FIND({0,1,2,3,4,5,6,7,8,9},A325,ROW(INDIRECT("1:"&amp;LEN(A325)))),1))," ",REPT(" ",LEN(A325))),LEN(A325)))))))/10))*1+1</f>
        <v>305 ,.., 1505</v>
      </c>
      <c r="B326" s="92"/>
      <c r="C326" s="56"/>
      <c r="D326" s="44"/>
      <c r="E326" s="44">
        <v>0</v>
      </c>
      <c r="F326" s="44">
        <f>D326*(($F$259)+1)+(IF(E326&lt;101,E326,IF(E326&lt;201,E326/2,IF(E326&lt;=301,E326/3,E326/4))))</f>
        <v>0</v>
      </c>
      <c r="G326" s="91" t="str">
        <f>G325</f>
        <v>3rd, 5th, 7th, 9th, 11th, 13th, 15th Floor</v>
      </c>
      <c r="H326" s="92"/>
      <c r="I326" s="38"/>
    </row>
    <row r="327" spans="1:16" s="50" customFormat="1" hidden="1" x14ac:dyDescent="0.25">
      <c r="A327" s="123" t="s">
        <v>153</v>
      </c>
      <c r="B327" s="124"/>
      <c r="C327" s="124"/>
      <c r="D327" s="124"/>
      <c r="E327" s="124"/>
      <c r="F327" s="124"/>
      <c r="G327" s="124"/>
      <c r="H327" s="125"/>
      <c r="I327" s="38"/>
      <c r="P327" s="39"/>
    </row>
    <row r="328" spans="1:16" s="50" customFormat="1" hidden="1" x14ac:dyDescent="0.25">
      <c r="A328" s="91" t="str">
        <f ca="1">(SUMPRODUCT(MID(0&amp;(LEFT(A327,SUM(LEN(A327)-LEN(SUBSTITUTE(A327,{"0","1","2"},""))))), LARGE(INDEX(ISNUMBER(--MID((LEFT(A327,SUM(LEN(A327)-LEN(SUBSTITUTE(A327,{"0","1","2"},""))))), ROW(INDIRECT("1:"&amp;LEN((LEFT(A327,SUM(LEN(A327)-LEN(SUBSTITUTE(A327,{"0","1","2"},"")))))))), 1)) * ROW(INDIRECT("1:"&amp;LEN((LEFT(A327,SUM(LEN(A327)-LEN(SUBSTITUTE(A327,{"0","1","2"},"")))))))), 0), ROW(INDIRECT("1:"&amp;LEN((LEFT(A327,SUM(LEN(A327)-LEN(SUBSTITUTE(A327,{"0","1","2"},"")))))))))+1, 1) * 10^ROW(INDIRECT("1:"&amp;LEN((LEFT(A327,SUM(LEN(A327)-LEN(SUBSTITUTE(A327,{"0","1","2"},""))))))))/10))*100+1&amp;""&amp;" to "&amp;""&amp;(SUMPRODUCT(MID(0&amp;(--TRIM(RIGHT(SUBSTITUTE(LEFT(A327,_xlfn.AGGREGATE(16,6,FIND({0,1,2,3,4,5,6,7,8,9},A327,ROW(INDIRECT("1:"&amp;LEN(A327)))),1))," ",REPT(" ",LEN(A327))),LEN(A327)))), LARGE(INDEX(ISNUMBER(--MID((--TRIM(RIGHT(SUBSTITUTE(LEFT(A327,_xlfn.AGGREGATE(16,6,FIND({0,1,2,3,4,5,6,7,8,9},A327,ROW(INDIRECT("1:"&amp;LEN(A327)))),1))," ",REPT(" ",LEN(A327))),LEN(A327)))), ROW(INDIRECT("1:"&amp;LEN((--TRIM(RIGHT(SUBSTITUTE(LEFT(A327,_xlfn.AGGREGATE(16,6,FIND({0,1,2,3,4,5,6,7,8,9},A327,ROW(INDIRECT("1:"&amp;LEN(A327)))),1))," ",REPT(" ",LEN(A327))),LEN(A327))))))), 1)) * ROW(INDIRECT("1:"&amp;LEN((--TRIM(RIGHT(SUBSTITUTE(LEFT(A327,_xlfn.AGGREGATE(16,6,FIND({0,1,2,3,4,5,6,7,8,9},A327,ROW(INDIRECT("1:"&amp;LEN(A327)))),1))," ",REPT(" ",LEN(A327))),LEN(A327))))))), 0), ROW(INDIRECT("1:"&amp;LEN((--TRIM(RIGHT(SUBSTITUTE(LEFT(A327,_xlfn.AGGREGATE(16,6,FIND({0,1,2,3,4,5,6,7,8,9},A327,ROW(INDIRECT("1:"&amp;LEN(A327)))),1))," ",REPT(" ",LEN(A327))),LEN(A327))))))))+1, 1) * 10^ROW(INDIRECT("1:"&amp;LEN((--TRIM(RIGHT(SUBSTITUTE(LEFT(A327,_xlfn.AGGREGATE(16,6,FIND({0,1,2,3,4,5,6,7,8,9},A327,ROW(INDIRECT("1:"&amp;LEN(A327)))),1))," ",REPT(" ",LEN(A327))),LEN(A327)))))))/10))*100+1</f>
        <v>201 to 501</v>
      </c>
      <c r="B328" s="92"/>
      <c r="C328" s="56"/>
      <c r="D328" s="44"/>
      <c r="E328" s="44">
        <v>0</v>
      </c>
      <c r="F328" s="44">
        <f>D328*(($F$259)+1)+(IF(E328&lt;101,E328,IF(E328&lt;201,E328/2,IF(E328&lt;=301,E328/3,E328/4))))</f>
        <v>0</v>
      </c>
      <c r="G328" s="91" t="str">
        <f>A327</f>
        <v>2nd to 5th Floor</v>
      </c>
      <c r="H328" s="92"/>
      <c r="I328" s="38"/>
    </row>
    <row r="329" spans="1:16" s="50" customFormat="1" hidden="1" x14ac:dyDescent="0.25">
      <c r="A329" s="91" t="str">
        <f ca="1">(SUMPRODUCT(MID(0&amp;(LEFT(A328,SUM(LEN(A328)-LEN(SUBSTITUTE(A328,{"0","1","2"},""))))), LARGE(INDEX(ISNUMBER(--MID((LEFT(A328,SUM(LEN(A328)-LEN(SUBSTITUTE(A328,{"0","1","2"},""))))), ROW(INDIRECT("1:"&amp;LEN((LEFT(A328,SUM(LEN(A328)-LEN(SUBSTITUTE(A328,{"0","1","2"},"")))))))), 1)) * ROW(INDIRECT("1:"&amp;LEN((LEFT(A328,SUM(LEN(A328)-LEN(SUBSTITUTE(A328,{"0","1","2"},"")))))))), 0), ROW(INDIRECT("1:"&amp;LEN((LEFT(A328,SUM(LEN(A328)-LEN(SUBSTITUTE(A328,{"0","1","2"},"")))))))))+1, 1) * 10^ROW(INDIRECT("1:"&amp;LEN((LEFT(A328,SUM(LEN(A328)-LEN(SUBSTITUTE(A328,{"0","1","2"},""))))))))/10))*1+1&amp;""&amp;" to "&amp;""&amp;(SUMPRODUCT(MID(0&amp;(--TRIM(RIGHT(SUBSTITUTE(LEFT(A328,_xlfn.AGGREGATE(16,6,FIND({0,1,2,3,4,5,6,7,8,9},A328,ROW(INDIRECT("1:"&amp;LEN(A328)))),1))," ",REPT(" ",LEN(A328))),LEN(A328)))), LARGE(INDEX(ISNUMBER(--MID((--TRIM(RIGHT(SUBSTITUTE(LEFT(A328,_xlfn.AGGREGATE(16,6,FIND({0,1,2,3,4,5,6,7,8,9},A328,ROW(INDIRECT("1:"&amp;LEN(A328)))),1))," ",REPT(" ",LEN(A328))),LEN(A328)))), ROW(INDIRECT("1:"&amp;LEN((--TRIM(RIGHT(SUBSTITUTE(LEFT(A328,_xlfn.AGGREGATE(16,6,FIND({0,1,2,3,4,5,6,7,8,9},A328,ROW(INDIRECT("1:"&amp;LEN(A328)))),1))," ",REPT(" ",LEN(A328))),LEN(A328))))))), 1)) * ROW(INDIRECT("1:"&amp;LEN((--TRIM(RIGHT(SUBSTITUTE(LEFT(A328,_xlfn.AGGREGATE(16,6,FIND({0,1,2,3,4,5,6,7,8,9},A328,ROW(INDIRECT("1:"&amp;LEN(A328)))),1))," ",REPT(" ",LEN(A328))),LEN(A328))))))), 0), ROW(INDIRECT("1:"&amp;LEN((--TRIM(RIGHT(SUBSTITUTE(LEFT(A328,_xlfn.AGGREGATE(16,6,FIND({0,1,2,3,4,5,6,7,8,9},A328,ROW(INDIRECT("1:"&amp;LEN(A328)))),1))," ",REPT(" ",LEN(A328))),LEN(A328))))))))+1, 1) * 10^ROW(INDIRECT("1:"&amp;LEN((--TRIM(RIGHT(SUBSTITUTE(LEFT(A328,_xlfn.AGGREGATE(16,6,FIND({0,1,2,3,4,5,6,7,8,9},A328,ROW(INDIRECT("1:"&amp;LEN(A328)))),1))," ",REPT(" ",LEN(A328))),LEN(A328)))))))/10))*1+1</f>
        <v>202 to 502</v>
      </c>
      <c r="B329" s="92"/>
      <c r="C329" s="56"/>
      <c r="D329" s="44"/>
      <c r="E329" s="44">
        <v>0</v>
      </c>
      <c r="F329" s="44">
        <f>D329*(($F$259)+1)+(IF(E329&lt;101,E329,IF(E329&lt;201,E329/2,IF(E329&lt;=301,E329/3,E329/4))))</f>
        <v>0</v>
      </c>
      <c r="G329" s="91" t="str">
        <f>G328</f>
        <v>2nd to 5th Floor</v>
      </c>
      <c r="H329" s="92"/>
      <c r="I329" s="38"/>
    </row>
    <row r="330" spans="1:16" s="50" customFormat="1" hidden="1" x14ac:dyDescent="0.25">
      <c r="A330" s="91" t="str">
        <f ca="1">(SUMPRODUCT(MID(0&amp;(LEFT(A329,SUM(LEN(A329)-LEN(SUBSTITUTE(A329,{"0","1","2"},""))))), LARGE(INDEX(ISNUMBER(--MID((LEFT(A329,SUM(LEN(A329)-LEN(SUBSTITUTE(A329,{"0","1","2"},""))))), ROW(INDIRECT("1:"&amp;LEN((LEFT(A329,SUM(LEN(A329)-LEN(SUBSTITUTE(A329,{"0","1","2"},"")))))))), 1)) * ROW(INDIRECT("1:"&amp;LEN((LEFT(A329,SUM(LEN(A329)-LEN(SUBSTITUTE(A329,{"0","1","2"},"")))))))), 0), ROW(INDIRECT("1:"&amp;LEN((LEFT(A329,SUM(LEN(A329)-LEN(SUBSTITUTE(A329,{"0","1","2"},"")))))))))+1, 1) * 10^ROW(INDIRECT("1:"&amp;LEN((LEFT(A329,SUM(LEN(A329)-LEN(SUBSTITUTE(A329,{"0","1","2"},""))))))))/10))*1+1&amp;""&amp;" to "&amp;""&amp;(SUMPRODUCT(MID(0&amp;(--TRIM(RIGHT(SUBSTITUTE(LEFT(A329,_xlfn.AGGREGATE(16,6,FIND({0,1,2,3,4,5,6,7,8,9},A329,ROW(INDIRECT("1:"&amp;LEN(A329)))),1))," ",REPT(" ",LEN(A329))),LEN(A329)))), LARGE(INDEX(ISNUMBER(--MID((--TRIM(RIGHT(SUBSTITUTE(LEFT(A329,_xlfn.AGGREGATE(16,6,FIND({0,1,2,3,4,5,6,7,8,9},A329,ROW(INDIRECT("1:"&amp;LEN(A329)))),1))," ",REPT(" ",LEN(A329))),LEN(A329)))), ROW(INDIRECT("1:"&amp;LEN((--TRIM(RIGHT(SUBSTITUTE(LEFT(A329,_xlfn.AGGREGATE(16,6,FIND({0,1,2,3,4,5,6,7,8,9},A329,ROW(INDIRECT("1:"&amp;LEN(A329)))),1))," ",REPT(" ",LEN(A329))),LEN(A329))))))), 1)) * ROW(INDIRECT("1:"&amp;LEN((--TRIM(RIGHT(SUBSTITUTE(LEFT(A329,_xlfn.AGGREGATE(16,6,FIND({0,1,2,3,4,5,6,7,8,9},A329,ROW(INDIRECT("1:"&amp;LEN(A329)))),1))," ",REPT(" ",LEN(A329))),LEN(A329))))))), 0), ROW(INDIRECT("1:"&amp;LEN((--TRIM(RIGHT(SUBSTITUTE(LEFT(A329,_xlfn.AGGREGATE(16,6,FIND({0,1,2,3,4,5,6,7,8,9},A329,ROW(INDIRECT("1:"&amp;LEN(A329)))),1))," ",REPT(" ",LEN(A329))),LEN(A329))))))))+1, 1) * 10^ROW(INDIRECT("1:"&amp;LEN((--TRIM(RIGHT(SUBSTITUTE(LEFT(A329,_xlfn.AGGREGATE(16,6,FIND({0,1,2,3,4,5,6,7,8,9},A329,ROW(INDIRECT("1:"&amp;LEN(A329)))),1))," ",REPT(" ",LEN(A329))),LEN(A329)))))))/10))*1+1</f>
        <v>203 to 503</v>
      </c>
      <c r="B330" s="92"/>
      <c r="C330" s="56"/>
      <c r="D330" s="44"/>
      <c r="E330" s="44">
        <v>0</v>
      </c>
      <c r="F330" s="44">
        <f>D330*(($F$259)+1)+(IF(E330&lt;101,E330,IF(E330&lt;201,E330/2,IF(E330&lt;=301,E330/3,E330/4))))</f>
        <v>0</v>
      </c>
      <c r="G330" s="91" t="str">
        <f>G329</f>
        <v>2nd to 5th Floor</v>
      </c>
      <c r="H330" s="92"/>
      <c r="I330" s="38"/>
    </row>
    <row r="331" spans="1:16" s="50" customFormat="1" hidden="1" x14ac:dyDescent="0.25">
      <c r="A331" s="91" t="str">
        <f ca="1">(SUMPRODUCT(MID(0&amp;(LEFT(A330,SUM(LEN(A330)-LEN(SUBSTITUTE(A330,{"0","1","2"},""))))), LARGE(INDEX(ISNUMBER(--MID((LEFT(A330,SUM(LEN(A330)-LEN(SUBSTITUTE(A330,{"0","1","2"},""))))), ROW(INDIRECT("1:"&amp;LEN((LEFT(A330,SUM(LEN(A330)-LEN(SUBSTITUTE(A330,{"0","1","2"},"")))))))), 1)) * ROW(INDIRECT("1:"&amp;LEN((LEFT(A330,SUM(LEN(A330)-LEN(SUBSTITUTE(A330,{"0","1","2"},"")))))))), 0), ROW(INDIRECT("1:"&amp;LEN((LEFT(A330,SUM(LEN(A330)-LEN(SUBSTITUTE(A330,{"0","1","2"},"")))))))))+1, 1) * 10^ROW(INDIRECT("1:"&amp;LEN((LEFT(A330,SUM(LEN(A330)-LEN(SUBSTITUTE(A330,{"0","1","2"},""))))))))/10))*1+1&amp;""&amp;" to "&amp;""&amp;(SUMPRODUCT(MID(0&amp;(--TRIM(RIGHT(SUBSTITUTE(LEFT(A330,_xlfn.AGGREGATE(16,6,FIND({0,1,2,3,4,5,6,7,8,9},A330,ROW(INDIRECT("1:"&amp;LEN(A330)))),1))," ",REPT(" ",LEN(A330))),LEN(A330)))), LARGE(INDEX(ISNUMBER(--MID((--TRIM(RIGHT(SUBSTITUTE(LEFT(A330,_xlfn.AGGREGATE(16,6,FIND({0,1,2,3,4,5,6,7,8,9},A330,ROW(INDIRECT("1:"&amp;LEN(A330)))),1))," ",REPT(" ",LEN(A330))),LEN(A330)))), ROW(INDIRECT("1:"&amp;LEN((--TRIM(RIGHT(SUBSTITUTE(LEFT(A330,_xlfn.AGGREGATE(16,6,FIND({0,1,2,3,4,5,6,7,8,9},A330,ROW(INDIRECT("1:"&amp;LEN(A330)))),1))," ",REPT(" ",LEN(A330))),LEN(A330))))))), 1)) * ROW(INDIRECT("1:"&amp;LEN((--TRIM(RIGHT(SUBSTITUTE(LEFT(A330,_xlfn.AGGREGATE(16,6,FIND({0,1,2,3,4,5,6,7,8,9},A330,ROW(INDIRECT("1:"&amp;LEN(A330)))),1))," ",REPT(" ",LEN(A330))),LEN(A330))))))), 0), ROW(INDIRECT("1:"&amp;LEN((--TRIM(RIGHT(SUBSTITUTE(LEFT(A330,_xlfn.AGGREGATE(16,6,FIND({0,1,2,3,4,5,6,7,8,9},A330,ROW(INDIRECT("1:"&amp;LEN(A330)))),1))," ",REPT(" ",LEN(A330))),LEN(A330))))))))+1, 1) * 10^ROW(INDIRECT("1:"&amp;LEN((--TRIM(RIGHT(SUBSTITUTE(LEFT(A330,_xlfn.AGGREGATE(16,6,FIND({0,1,2,3,4,5,6,7,8,9},A330,ROW(INDIRECT("1:"&amp;LEN(A330)))),1))," ",REPT(" ",LEN(A330))),LEN(A330)))))))/10))*1+1</f>
        <v>204 to 504</v>
      </c>
      <c r="B331" s="92"/>
      <c r="C331" s="56"/>
      <c r="D331" s="44"/>
      <c r="E331" s="44">
        <v>0</v>
      </c>
      <c r="F331" s="44">
        <f>D331*(($F$259)+1)+(IF(E331&lt;101,E331,IF(E331&lt;201,E331/2,IF(E331&lt;=301,E331/3,E331/4))))</f>
        <v>0</v>
      </c>
      <c r="G331" s="91" t="str">
        <f>G330</f>
        <v>2nd to 5th Floor</v>
      </c>
      <c r="H331" s="92"/>
      <c r="I331" s="38"/>
    </row>
    <row r="332" spans="1:16" s="50" customFormat="1" hidden="1" x14ac:dyDescent="0.25">
      <c r="A332" s="91" t="str">
        <f ca="1">(SUMPRODUCT(MID(0&amp;(LEFT(A331,SUM(LEN(A331)-LEN(SUBSTITUTE(A331,{"0","1","2"},""))))), LARGE(INDEX(ISNUMBER(--MID((LEFT(A331,SUM(LEN(A331)-LEN(SUBSTITUTE(A331,{"0","1","2"},""))))), ROW(INDIRECT("1:"&amp;LEN((LEFT(A331,SUM(LEN(A331)-LEN(SUBSTITUTE(A331,{"0","1","2"},"")))))))), 1)) * ROW(INDIRECT("1:"&amp;LEN((LEFT(A331,SUM(LEN(A331)-LEN(SUBSTITUTE(A331,{"0","1","2"},"")))))))), 0), ROW(INDIRECT("1:"&amp;LEN((LEFT(A331,SUM(LEN(A331)-LEN(SUBSTITUTE(A331,{"0","1","2"},"")))))))))+1, 1) * 10^ROW(INDIRECT("1:"&amp;LEN((LEFT(A331,SUM(LEN(A331)-LEN(SUBSTITUTE(A331,{"0","1","2"},""))))))))/10))*1+1&amp;""&amp;" to "&amp;""&amp;(SUMPRODUCT(MID(0&amp;(--TRIM(RIGHT(SUBSTITUTE(LEFT(A331,_xlfn.AGGREGATE(16,6,FIND({0,1,2,3,4,5,6,7,8,9},A331,ROW(INDIRECT("1:"&amp;LEN(A331)))),1))," ",REPT(" ",LEN(A331))),LEN(A331)))), LARGE(INDEX(ISNUMBER(--MID((--TRIM(RIGHT(SUBSTITUTE(LEFT(A331,_xlfn.AGGREGATE(16,6,FIND({0,1,2,3,4,5,6,7,8,9},A331,ROW(INDIRECT("1:"&amp;LEN(A331)))),1))," ",REPT(" ",LEN(A331))),LEN(A331)))), ROW(INDIRECT("1:"&amp;LEN((--TRIM(RIGHT(SUBSTITUTE(LEFT(A331,_xlfn.AGGREGATE(16,6,FIND({0,1,2,3,4,5,6,7,8,9},A331,ROW(INDIRECT("1:"&amp;LEN(A331)))),1))," ",REPT(" ",LEN(A331))),LEN(A331))))))), 1)) * ROW(INDIRECT("1:"&amp;LEN((--TRIM(RIGHT(SUBSTITUTE(LEFT(A331,_xlfn.AGGREGATE(16,6,FIND({0,1,2,3,4,5,6,7,8,9},A331,ROW(INDIRECT("1:"&amp;LEN(A331)))),1))," ",REPT(" ",LEN(A331))),LEN(A331))))))), 0), ROW(INDIRECT("1:"&amp;LEN((--TRIM(RIGHT(SUBSTITUTE(LEFT(A331,_xlfn.AGGREGATE(16,6,FIND({0,1,2,3,4,5,6,7,8,9},A331,ROW(INDIRECT("1:"&amp;LEN(A331)))),1))," ",REPT(" ",LEN(A331))),LEN(A331))))))))+1, 1) * 10^ROW(INDIRECT("1:"&amp;LEN((--TRIM(RIGHT(SUBSTITUTE(LEFT(A331,_xlfn.AGGREGATE(16,6,FIND({0,1,2,3,4,5,6,7,8,9},A331,ROW(INDIRECT("1:"&amp;LEN(A331)))),1))," ",REPT(" ",LEN(A331))),LEN(A331)))))))/10))*1+1</f>
        <v>205 to 505</v>
      </c>
      <c r="B332" s="92"/>
      <c r="C332" s="56"/>
      <c r="D332" s="44"/>
      <c r="E332" s="44">
        <v>0</v>
      </c>
      <c r="F332" s="44">
        <f>D332*(($F$259)+1)+(IF(E332&lt;101,E332,IF(E332&lt;201,E332/2,IF(E332&lt;=301,E332/3,E332/4))))</f>
        <v>0</v>
      </c>
      <c r="G332" s="91" t="str">
        <f>G331</f>
        <v>2nd to 5th Floor</v>
      </c>
      <c r="H332" s="92"/>
      <c r="I332" s="38"/>
    </row>
    <row r="333" spans="1:16" s="50" customFormat="1" hidden="1" x14ac:dyDescent="0.25">
      <c r="A333" s="123" t="s">
        <v>154</v>
      </c>
      <c r="B333" s="124"/>
      <c r="C333" s="124"/>
      <c r="D333" s="124"/>
      <c r="E333" s="124"/>
      <c r="F333" s="124"/>
      <c r="G333" s="124"/>
      <c r="H333" s="125"/>
      <c r="I333" s="38"/>
      <c r="P333" s="39"/>
    </row>
    <row r="334" spans="1:16" s="50" customFormat="1" hidden="1" x14ac:dyDescent="0.25">
      <c r="A334" s="91" t="str">
        <f ca="1">(SUMPRODUCT(MID(0&amp;(LEFT(A333,SUM(LEN(A333)-LEN(SUBSTITUTE(A333,{"0","1","2"},""))))), LARGE(INDEX(ISNUMBER(--MID((LEFT(A333,SUM(LEN(A333)-LEN(SUBSTITUTE(A333,{"0","1","2"},""))))), ROW(INDIRECT("1:"&amp;LEN((LEFT(A333,SUM(LEN(A333)-LEN(SUBSTITUTE(A333,{"0","1","2"},"")))))))), 1)) * ROW(INDIRECT("1:"&amp;LEN((LEFT(A333,SUM(LEN(A333)-LEN(SUBSTITUTE(A333,{"0","1","2"},"")))))))), 0), ROW(INDIRECT("1:"&amp;LEN((LEFT(A333,SUM(LEN(A333)-LEN(SUBSTITUTE(A333,{"0","1","2"},"")))))))))+1, 1) * 10^ROW(INDIRECT("1:"&amp;LEN((LEFT(A333,SUM(LEN(A333)-LEN(SUBSTITUTE(A333,{"0","1","2"},""))))))))/10))*100+1&amp;""&amp;" &amp; "&amp;""&amp;(SUMPRODUCT(MID(0&amp;(--TRIM(RIGHT(SUBSTITUTE(LEFT(A333,_xlfn.AGGREGATE(16,6,FIND({0,1,2,3,4,5,6,7,8,9},A333,ROW(INDIRECT("1:"&amp;LEN(A333)))),1))," ",REPT(" ",LEN(A333))),LEN(A333)))), LARGE(INDEX(ISNUMBER(--MID((--TRIM(RIGHT(SUBSTITUTE(LEFT(A333,_xlfn.AGGREGATE(16,6,FIND({0,1,2,3,4,5,6,7,8,9},A333,ROW(INDIRECT("1:"&amp;LEN(A333)))),1))," ",REPT(" ",LEN(A333))),LEN(A333)))), ROW(INDIRECT("1:"&amp;LEN((--TRIM(RIGHT(SUBSTITUTE(LEFT(A333,_xlfn.AGGREGATE(16,6,FIND({0,1,2,3,4,5,6,7,8,9},A333,ROW(INDIRECT("1:"&amp;LEN(A333)))),1))," ",REPT(" ",LEN(A333))),LEN(A333))))))), 1)) * ROW(INDIRECT("1:"&amp;LEN((--TRIM(RIGHT(SUBSTITUTE(LEFT(A333,_xlfn.AGGREGATE(16,6,FIND({0,1,2,3,4,5,6,7,8,9},A333,ROW(INDIRECT("1:"&amp;LEN(A333)))),1))," ",REPT(" ",LEN(A333))),LEN(A333))))))), 0), ROW(INDIRECT("1:"&amp;LEN((--TRIM(RIGHT(SUBSTITUTE(LEFT(A333,_xlfn.AGGREGATE(16,6,FIND({0,1,2,3,4,5,6,7,8,9},A333,ROW(INDIRECT("1:"&amp;LEN(A333)))),1))," ",REPT(" ",LEN(A333))),LEN(A333))))))))+1, 1) * 10^ROW(INDIRECT("1:"&amp;LEN((--TRIM(RIGHT(SUBSTITUTE(LEFT(A333,_xlfn.AGGREGATE(16,6,FIND({0,1,2,3,4,5,6,7,8,9},A333,ROW(INDIRECT("1:"&amp;LEN(A333)))),1))," ",REPT(" ",LEN(A333))),LEN(A333)))))))/10))*100+1</f>
        <v>201 &amp; 501</v>
      </c>
      <c r="B334" s="92"/>
      <c r="C334" s="56"/>
      <c r="D334" s="44"/>
      <c r="E334" s="44">
        <v>0</v>
      </c>
      <c r="F334" s="44">
        <f>D334*(($F$259)+1)+(IF(E334&lt;101,E334,IF(E334&lt;201,E334/2,IF(E334&lt;=301,E334/3,E334/4))))</f>
        <v>0</v>
      </c>
      <c r="G334" s="91" t="str">
        <f>A333</f>
        <v>2nd &amp; 5th Floor</v>
      </c>
      <c r="H334" s="92"/>
      <c r="I334" s="38"/>
    </row>
    <row r="335" spans="1:16" s="50" customFormat="1" hidden="1" x14ac:dyDescent="0.25">
      <c r="A335" s="91" t="str">
        <f ca="1">(SUMPRODUCT(MID(0&amp;(LEFT(A334,SUM(LEN(A334)-LEN(SUBSTITUTE(A334,{"0","1","2"},""))))), LARGE(INDEX(ISNUMBER(--MID((LEFT(A334,SUM(LEN(A334)-LEN(SUBSTITUTE(A334,{"0","1","2"},""))))), ROW(INDIRECT("1:"&amp;LEN((LEFT(A334,SUM(LEN(A334)-LEN(SUBSTITUTE(A334,{"0","1","2"},"")))))))), 1)) * ROW(INDIRECT("1:"&amp;LEN((LEFT(A334,SUM(LEN(A334)-LEN(SUBSTITUTE(A334,{"0","1","2"},"")))))))), 0), ROW(INDIRECT("1:"&amp;LEN((LEFT(A334,SUM(LEN(A334)-LEN(SUBSTITUTE(A334,{"0","1","2"},"")))))))))+1, 1) * 10^ROW(INDIRECT("1:"&amp;LEN((LEFT(A334,SUM(LEN(A334)-LEN(SUBSTITUTE(A334,{"0","1","2"},""))))))))/10))*1+1&amp;""&amp;" &amp; "&amp;""&amp;(SUMPRODUCT(MID(0&amp;(--TRIM(RIGHT(SUBSTITUTE(LEFT(A334,_xlfn.AGGREGATE(16,6,FIND({0,1,2,3,4,5,6,7,8,9},A334,ROW(INDIRECT("1:"&amp;LEN(A334)))),1))," ",REPT(" ",LEN(A334))),LEN(A334)))), LARGE(INDEX(ISNUMBER(--MID((--TRIM(RIGHT(SUBSTITUTE(LEFT(A334,_xlfn.AGGREGATE(16,6,FIND({0,1,2,3,4,5,6,7,8,9},A334,ROW(INDIRECT("1:"&amp;LEN(A334)))),1))," ",REPT(" ",LEN(A334))),LEN(A334)))), ROW(INDIRECT("1:"&amp;LEN((--TRIM(RIGHT(SUBSTITUTE(LEFT(A334,_xlfn.AGGREGATE(16,6,FIND({0,1,2,3,4,5,6,7,8,9},A334,ROW(INDIRECT("1:"&amp;LEN(A334)))),1))," ",REPT(" ",LEN(A334))),LEN(A334))))))), 1)) * ROW(INDIRECT("1:"&amp;LEN((--TRIM(RIGHT(SUBSTITUTE(LEFT(A334,_xlfn.AGGREGATE(16,6,FIND({0,1,2,3,4,5,6,7,8,9},A334,ROW(INDIRECT("1:"&amp;LEN(A334)))),1))," ",REPT(" ",LEN(A334))),LEN(A334))))))), 0), ROW(INDIRECT("1:"&amp;LEN((--TRIM(RIGHT(SUBSTITUTE(LEFT(A334,_xlfn.AGGREGATE(16,6,FIND({0,1,2,3,4,5,6,7,8,9},A334,ROW(INDIRECT("1:"&amp;LEN(A334)))),1))," ",REPT(" ",LEN(A334))),LEN(A334))))))))+1, 1) * 10^ROW(INDIRECT("1:"&amp;LEN((--TRIM(RIGHT(SUBSTITUTE(LEFT(A334,_xlfn.AGGREGATE(16,6,FIND({0,1,2,3,4,5,6,7,8,9},A334,ROW(INDIRECT("1:"&amp;LEN(A334)))),1))," ",REPT(" ",LEN(A334))),LEN(A334)))))))/10))*1+1</f>
        <v>202 &amp; 502</v>
      </c>
      <c r="B335" s="92"/>
      <c r="C335" s="56"/>
      <c r="D335" s="44"/>
      <c r="E335" s="44">
        <v>0</v>
      </c>
      <c r="F335" s="44">
        <f>D335*(($F$259)+1)+(IF(E335&lt;101,E335,IF(E335&lt;201,E335/2,IF(E335&lt;=301,E335/3,E335/4))))</f>
        <v>0</v>
      </c>
      <c r="G335" s="91" t="str">
        <f t="shared" ref="G335:G338" si="66">G334</f>
        <v>2nd &amp; 5th Floor</v>
      </c>
      <c r="H335" s="92"/>
      <c r="I335" s="38"/>
    </row>
    <row r="336" spans="1:16" s="50" customFormat="1" hidden="1" x14ac:dyDescent="0.25">
      <c r="A336" s="91" t="str">
        <f ca="1">(SUMPRODUCT(MID(0&amp;(LEFT(A335,SUM(LEN(A335)-LEN(SUBSTITUTE(A335,{"0","1","2"},""))))), LARGE(INDEX(ISNUMBER(--MID((LEFT(A335,SUM(LEN(A335)-LEN(SUBSTITUTE(A335,{"0","1","2"},""))))), ROW(INDIRECT("1:"&amp;LEN((LEFT(A335,SUM(LEN(A335)-LEN(SUBSTITUTE(A335,{"0","1","2"},"")))))))), 1)) * ROW(INDIRECT("1:"&amp;LEN((LEFT(A335,SUM(LEN(A335)-LEN(SUBSTITUTE(A335,{"0","1","2"},"")))))))), 0), ROW(INDIRECT("1:"&amp;LEN((LEFT(A335,SUM(LEN(A335)-LEN(SUBSTITUTE(A335,{"0","1","2"},"")))))))))+1, 1) * 10^ROW(INDIRECT("1:"&amp;LEN((LEFT(A335,SUM(LEN(A335)-LEN(SUBSTITUTE(A335,{"0","1","2"},""))))))))/10))*1+1&amp;""&amp;" &amp; "&amp;""&amp;(SUMPRODUCT(MID(0&amp;(--TRIM(RIGHT(SUBSTITUTE(LEFT(A335,_xlfn.AGGREGATE(16,6,FIND({0,1,2,3,4,5,6,7,8,9},A335,ROW(INDIRECT("1:"&amp;LEN(A335)))),1))," ",REPT(" ",LEN(A335))),LEN(A335)))), LARGE(INDEX(ISNUMBER(--MID((--TRIM(RIGHT(SUBSTITUTE(LEFT(A335,_xlfn.AGGREGATE(16,6,FIND({0,1,2,3,4,5,6,7,8,9},A335,ROW(INDIRECT("1:"&amp;LEN(A335)))),1))," ",REPT(" ",LEN(A335))),LEN(A335)))), ROW(INDIRECT("1:"&amp;LEN((--TRIM(RIGHT(SUBSTITUTE(LEFT(A335,_xlfn.AGGREGATE(16,6,FIND({0,1,2,3,4,5,6,7,8,9},A335,ROW(INDIRECT("1:"&amp;LEN(A335)))),1))," ",REPT(" ",LEN(A335))),LEN(A335))))))), 1)) * ROW(INDIRECT("1:"&amp;LEN((--TRIM(RIGHT(SUBSTITUTE(LEFT(A335,_xlfn.AGGREGATE(16,6,FIND({0,1,2,3,4,5,6,7,8,9},A335,ROW(INDIRECT("1:"&amp;LEN(A335)))),1))," ",REPT(" ",LEN(A335))),LEN(A335))))))), 0), ROW(INDIRECT("1:"&amp;LEN((--TRIM(RIGHT(SUBSTITUTE(LEFT(A335,_xlfn.AGGREGATE(16,6,FIND({0,1,2,3,4,5,6,7,8,9},A335,ROW(INDIRECT("1:"&amp;LEN(A335)))),1))," ",REPT(" ",LEN(A335))),LEN(A335))))))))+1, 1) * 10^ROW(INDIRECT("1:"&amp;LEN((--TRIM(RIGHT(SUBSTITUTE(LEFT(A335,_xlfn.AGGREGATE(16,6,FIND({0,1,2,3,4,5,6,7,8,9},A335,ROW(INDIRECT("1:"&amp;LEN(A335)))),1))," ",REPT(" ",LEN(A335))),LEN(A335)))))))/10))*1+1</f>
        <v>203 &amp; 503</v>
      </c>
      <c r="B336" s="92"/>
      <c r="C336" s="56"/>
      <c r="D336" s="44"/>
      <c r="E336" s="44">
        <v>0</v>
      </c>
      <c r="F336" s="44">
        <f>D336*(($F$259)+1)+(IF(E336&lt;101,E336,IF(E336&lt;201,E336/2,IF(E336&lt;=301,E336/3,E336/4))))</f>
        <v>0</v>
      </c>
      <c r="G336" s="91" t="str">
        <f t="shared" si="66"/>
        <v>2nd &amp; 5th Floor</v>
      </c>
      <c r="H336" s="92"/>
      <c r="I336" s="38"/>
    </row>
    <row r="337" spans="1:9" s="50" customFormat="1" hidden="1" x14ac:dyDescent="0.25">
      <c r="A337" s="91" t="str">
        <f ca="1">(SUMPRODUCT(MID(0&amp;(LEFT(A336,SUM(LEN(A336)-LEN(SUBSTITUTE(A336,{"0","1","2"},""))))), LARGE(INDEX(ISNUMBER(--MID((LEFT(A336,SUM(LEN(A336)-LEN(SUBSTITUTE(A336,{"0","1","2"},""))))), ROW(INDIRECT("1:"&amp;LEN((LEFT(A336,SUM(LEN(A336)-LEN(SUBSTITUTE(A336,{"0","1","2"},"")))))))), 1)) * ROW(INDIRECT("1:"&amp;LEN((LEFT(A336,SUM(LEN(A336)-LEN(SUBSTITUTE(A336,{"0","1","2"},"")))))))), 0), ROW(INDIRECT("1:"&amp;LEN((LEFT(A336,SUM(LEN(A336)-LEN(SUBSTITUTE(A336,{"0","1","2"},"")))))))))+1, 1) * 10^ROW(INDIRECT("1:"&amp;LEN((LEFT(A336,SUM(LEN(A336)-LEN(SUBSTITUTE(A336,{"0","1","2"},""))))))))/10))*1+1&amp;""&amp;" &amp; "&amp;""&amp;(SUMPRODUCT(MID(0&amp;(--TRIM(RIGHT(SUBSTITUTE(LEFT(A336,_xlfn.AGGREGATE(16,6,FIND({0,1,2,3,4,5,6,7,8,9},A336,ROW(INDIRECT("1:"&amp;LEN(A336)))),1))," ",REPT(" ",LEN(A336))),LEN(A336)))), LARGE(INDEX(ISNUMBER(--MID((--TRIM(RIGHT(SUBSTITUTE(LEFT(A336,_xlfn.AGGREGATE(16,6,FIND({0,1,2,3,4,5,6,7,8,9},A336,ROW(INDIRECT("1:"&amp;LEN(A336)))),1))," ",REPT(" ",LEN(A336))),LEN(A336)))), ROW(INDIRECT("1:"&amp;LEN((--TRIM(RIGHT(SUBSTITUTE(LEFT(A336,_xlfn.AGGREGATE(16,6,FIND({0,1,2,3,4,5,6,7,8,9},A336,ROW(INDIRECT("1:"&amp;LEN(A336)))),1))," ",REPT(" ",LEN(A336))),LEN(A336))))))), 1)) * ROW(INDIRECT("1:"&amp;LEN((--TRIM(RIGHT(SUBSTITUTE(LEFT(A336,_xlfn.AGGREGATE(16,6,FIND({0,1,2,3,4,5,6,7,8,9},A336,ROW(INDIRECT("1:"&amp;LEN(A336)))),1))," ",REPT(" ",LEN(A336))),LEN(A336))))))), 0), ROW(INDIRECT("1:"&amp;LEN((--TRIM(RIGHT(SUBSTITUTE(LEFT(A336,_xlfn.AGGREGATE(16,6,FIND({0,1,2,3,4,5,6,7,8,9},A336,ROW(INDIRECT("1:"&amp;LEN(A336)))),1))," ",REPT(" ",LEN(A336))),LEN(A336))))))))+1, 1) * 10^ROW(INDIRECT("1:"&amp;LEN((--TRIM(RIGHT(SUBSTITUTE(LEFT(A336,_xlfn.AGGREGATE(16,6,FIND({0,1,2,3,4,5,6,7,8,9},A336,ROW(INDIRECT("1:"&amp;LEN(A336)))),1))," ",REPT(" ",LEN(A336))),LEN(A336)))))))/10))*1+1</f>
        <v>204 &amp; 504</v>
      </c>
      <c r="B337" s="92"/>
      <c r="C337" s="56"/>
      <c r="D337" s="44"/>
      <c r="E337" s="44">
        <v>0</v>
      </c>
      <c r="F337" s="44">
        <f>D337*(($F$259)+1)+(IF(E337&lt;101,E337,IF(E337&lt;201,E337/2,IF(E337&lt;=301,E337/3,E337/4))))</f>
        <v>0</v>
      </c>
      <c r="G337" s="91" t="str">
        <f t="shared" si="66"/>
        <v>2nd &amp; 5th Floor</v>
      </c>
      <c r="H337" s="92"/>
      <c r="I337" s="38"/>
    </row>
    <row r="338" spans="1:9" s="50" customFormat="1" hidden="1" x14ac:dyDescent="0.25">
      <c r="A338" s="91" t="str">
        <f ca="1">(SUMPRODUCT(MID(0&amp;(LEFT(A337,SUM(LEN(A337)-LEN(SUBSTITUTE(A337,{"0","1","2"},""))))), LARGE(INDEX(ISNUMBER(--MID((LEFT(A337,SUM(LEN(A337)-LEN(SUBSTITUTE(A337,{"0","1","2"},""))))), ROW(INDIRECT("1:"&amp;LEN((LEFT(A337,SUM(LEN(A337)-LEN(SUBSTITUTE(A337,{"0","1","2"},"")))))))), 1)) * ROW(INDIRECT("1:"&amp;LEN((LEFT(A337,SUM(LEN(A337)-LEN(SUBSTITUTE(A337,{"0","1","2"},"")))))))), 0), ROW(INDIRECT("1:"&amp;LEN((LEFT(A337,SUM(LEN(A337)-LEN(SUBSTITUTE(A337,{"0","1","2"},"")))))))))+1, 1) * 10^ROW(INDIRECT("1:"&amp;LEN((LEFT(A337,SUM(LEN(A337)-LEN(SUBSTITUTE(A337,{"0","1","2"},""))))))))/10))*1+1&amp;""&amp;" &amp; "&amp;""&amp;(SUMPRODUCT(MID(0&amp;(--TRIM(RIGHT(SUBSTITUTE(LEFT(A337,_xlfn.AGGREGATE(16,6,FIND({0,1,2,3,4,5,6,7,8,9},A337,ROW(INDIRECT("1:"&amp;LEN(A337)))),1))," ",REPT(" ",LEN(A337))),LEN(A337)))), LARGE(INDEX(ISNUMBER(--MID((--TRIM(RIGHT(SUBSTITUTE(LEFT(A337,_xlfn.AGGREGATE(16,6,FIND({0,1,2,3,4,5,6,7,8,9},A337,ROW(INDIRECT("1:"&amp;LEN(A337)))),1))," ",REPT(" ",LEN(A337))),LEN(A337)))), ROW(INDIRECT("1:"&amp;LEN((--TRIM(RIGHT(SUBSTITUTE(LEFT(A337,_xlfn.AGGREGATE(16,6,FIND({0,1,2,3,4,5,6,7,8,9},A337,ROW(INDIRECT("1:"&amp;LEN(A337)))),1))," ",REPT(" ",LEN(A337))),LEN(A337))))))), 1)) * ROW(INDIRECT("1:"&amp;LEN((--TRIM(RIGHT(SUBSTITUTE(LEFT(A337,_xlfn.AGGREGATE(16,6,FIND({0,1,2,3,4,5,6,7,8,9},A337,ROW(INDIRECT("1:"&amp;LEN(A337)))),1))," ",REPT(" ",LEN(A337))),LEN(A337))))))), 0), ROW(INDIRECT("1:"&amp;LEN((--TRIM(RIGHT(SUBSTITUTE(LEFT(A337,_xlfn.AGGREGATE(16,6,FIND({0,1,2,3,4,5,6,7,8,9},A337,ROW(INDIRECT("1:"&amp;LEN(A337)))),1))," ",REPT(" ",LEN(A337))),LEN(A337))))))))+1, 1) * 10^ROW(INDIRECT("1:"&amp;LEN((--TRIM(RIGHT(SUBSTITUTE(LEFT(A337,_xlfn.AGGREGATE(16,6,FIND({0,1,2,3,4,5,6,7,8,9},A337,ROW(INDIRECT("1:"&amp;LEN(A337)))),1))," ",REPT(" ",LEN(A337))),LEN(A337)))))))/10))*1+1</f>
        <v>205 &amp; 505</v>
      </c>
      <c r="B338" s="92"/>
      <c r="C338" s="56"/>
      <c r="D338" s="44"/>
      <c r="E338" s="44">
        <v>0</v>
      </c>
      <c r="F338" s="44">
        <f>D338*(($F$259)+1)+(IF(E338&lt;101,E338,IF(E338&lt;201,E338/2,IF(E338&lt;=301,E338/3,E338/4))))</f>
        <v>0</v>
      </c>
      <c r="G338" s="91" t="str">
        <f t="shared" si="66"/>
        <v>2nd &amp; 5th Floor</v>
      </c>
      <c r="H338" s="92"/>
      <c r="I338" s="38"/>
    </row>
    <row r="339" spans="1:9" s="37" customFormat="1" x14ac:dyDescent="0.25">
      <c r="A339" s="114" t="s">
        <v>71</v>
      </c>
      <c r="B339" s="114"/>
      <c r="C339" s="114"/>
      <c r="D339" s="114"/>
      <c r="E339" s="114"/>
      <c r="F339" s="114"/>
      <c r="G339" s="114"/>
      <c r="H339" s="114"/>
    </row>
    <row r="340" spans="1:9" s="37" customFormat="1" x14ac:dyDescent="0.25">
      <c r="A340" s="47" t="s">
        <v>164</v>
      </c>
      <c r="B340" s="83" t="s">
        <v>262</v>
      </c>
      <c r="C340" s="84"/>
      <c r="D340" s="84"/>
      <c r="E340" s="84"/>
      <c r="F340" s="84"/>
      <c r="G340" s="84"/>
      <c r="H340" s="85"/>
    </row>
    <row r="341" spans="1:9" s="37" customFormat="1" x14ac:dyDescent="0.25">
      <c r="A341" s="47" t="s">
        <v>164</v>
      </c>
      <c r="B341" s="83" t="str">
        <f>(IF(F258="Saleable area Loading :","We have considered Saleable area of Flats as per our Calculation.","We considered Saleable area of Flat as per Builder area Sheet."))</f>
        <v>We have considered Saleable area of Flats as per our Calculation.</v>
      </c>
      <c r="C341" s="84"/>
      <c r="D341" s="84"/>
      <c r="E341" s="84"/>
      <c r="F341" s="84"/>
      <c r="G341" s="84"/>
      <c r="H341" s="85"/>
    </row>
    <row r="342" spans="1:9" s="37" customFormat="1" x14ac:dyDescent="0.25">
      <c r="A342" s="47" t="s">
        <v>164</v>
      </c>
      <c r="B342" s="83" t="str">
        <f>(IF(F108="Saleable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42" s="84"/>
      <c r="D342" s="84"/>
      <c r="E342" s="84"/>
      <c r="F342" s="84"/>
      <c r="G342" s="84"/>
      <c r="H342" s="85"/>
    </row>
    <row r="343" spans="1:9" s="37" customFormat="1" x14ac:dyDescent="0.25">
      <c r="A343" s="47" t="s">
        <v>164</v>
      </c>
      <c r="B343" s="129" t="s">
        <v>130</v>
      </c>
      <c r="C343" s="130"/>
      <c r="D343" s="130"/>
      <c r="E343" s="130"/>
      <c r="F343" s="130"/>
      <c r="G343" s="130"/>
      <c r="H343" s="131"/>
    </row>
    <row r="344" spans="1:9" s="37" customFormat="1" x14ac:dyDescent="0.25">
      <c r="A344" s="47" t="s">
        <v>164</v>
      </c>
      <c r="B344" s="129" t="s">
        <v>239</v>
      </c>
      <c r="C344" s="130"/>
      <c r="D344" s="130"/>
      <c r="E344" s="130"/>
      <c r="F344" s="130"/>
      <c r="G344" s="130"/>
      <c r="H344" s="131"/>
    </row>
    <row r="345" spans="1:9" s="37" customFormat="1" x14ac:dyDescent="0.25">
      <c r="A345" s="47" t="s">
        <v>164</v>
      </c>
      <c r="B345" s="129" t="s">
        <v>163</v>
      </c>
      <c r="C345" s="130"/>
      <c r="D345" s="130"/>
      <c r="E345" s="130"/>
      <c r="F345" s="130"/>
      <c r="G345" s="130"/>
      <c r="H345" s="131"/>
    </row>
    <row r="346" spans="1:9" s="37" customFormat="1" x14ac:dyDescent="0.25">
      <c r="A346" s="47" t="s">
        <v>164</v>
      </c>
      <c r="B346" s="129" t="s">
        <v>131</v>
      </c>
      <c r="C346" s="130"/>
      <c r="D346" s="130"/>
      <c r="E346" s="130"/>
      <c r="F346" s="130"/>
      <c r="G346" s="130"/>
      <c r="H346" s="131"/>
    </row>
    <row r="347" spans="1:9" s="37" customFormat="1" ht="34.5" customHeight="1" x14ac:dyDescent="0.25">
      <c r="A347" s="47" t="s">
        <v>164</v>
      </c>
      <c r="B347" s="129" t="s">
        <v>165</v>
      </c>
      <c r="C347" s="130"/>
      <c r="D347" s="130"/>
      <c r="E347" s="130"/>
      <c r="F347" s="130"/>
      <c r="G347" s="130"/>
      <c r="H347" s="131"/>
    </row>
    <row r="348" spans="1:9" s="37" customFormat="1" x14ac:dyDescent="0.25">
      <c r="A348" s="47" t="s">
        <v>164</v>
      </c>
      <c r="B348" s="129" t="s">
        <v>132</v>
      </c>
      <c r="C348" s="130"/>
      <c r="D348" s="130"/>
      <c r="E348" s="130"/>
      <c r="F348" s="130"/>
      <c r="G348" s="130"/>
      <c r="H348" s="131"/>
    </row>
    <row r="349" spans="1:9" s="37" customFormat="1" x14ac:dyDescent="0.25">
      <c r="A349" s="47" t="s">
        <v>164</v>
      </c>
      <c r="B349" s="83" t="s">
        <v>245</v>
      </c>
      <c r="C349" s="84"/>
      <c r="D349" s="84"/>
      <c r="E349" s="84"/>
      <c r="F349" s="84"/>
      <c r="G349" s="84"/>
      <c r="H349" s="85"/>
    </row>
    <row r="350" spans="1:9" s="37" customFormat="1" hidden="1" x14ac:dyDescent="0.25">
      <c r="A350" s="68" t="s">
        <v>164</v>
      </c>
      <c r="B350" s="83" t="s">
        <v>252</v>
      </c>
      <c r="C350" s="84"/>
      <c r="D350" s="84"/>
      <c r="E350" s="84"/>
      <c r="F350" s="84"/>
      <c r="G350" s="84"/>
      <c r="H350" s="85"/>
    </row>
    <row r="351" spans="1:9" s="37" customFormat="1" ht="33.75" customHeight="1" x14ac:dyDescent="0.25">
      <c r="A351" s="67" t="s">
        <v>164</v>
      </c>
      <c r="B351" s="83" t="s">
        <v>244</v>
      </c>
      <c r="C351" s="84"/>
      <c r="D351" s="84"/>
      <c r="E351" s="84"/>
      <c r="F351" s="84"/>
      <c r="G351" s="84"/>
      <c r="H351" s="85"/>
    </row>
    <row r="352" spans="1:9" s="37" customFormat="1" x14ac:dyDescent="0.25">
      <c r="A352" s="73" t="s">
        <v>164</v>
      </c>
      <c r="B352" s="83" t="s">
        <v>258</v>
      </c>
      <c r="C352" s="84"/>
      <c r="D352" s="84"/>
      <c r="E352" s="84"/>
      <c r="F352" s="84"/>
      <c r="G352" s="84"/>
      <c r="H352" s="85"/>
    </row>
    <row r="353" spans="1:8" x14ac:dyDescent="0.25">
      <c r="A353" s="115" t="s">
        <v>64</v>
      </c>
      <c r="B353" s="115"/>
      <c r="C353" s="115"/>
      <c r="D353" s="115"/>
      <c r="E353" s="115"/>
      <c r="F353" s="115"/>
      <c r="G353" s="115"/>
      <c r="H353" s="115"/>
    </row>
    <row r="354" spans="1:8" x14ac:dyDescent="0.25">
      <c r="A354" s="89" t="s">
        <v>65</v>
      </c>
      <c r="B354" s="89"/>
      <c r="C354" s="89"/>
      <c r="D354" s="89"/>
      <c r="E354" s="89"/>
      <c r="F354" s="89"/>
      <c r="G354" s="89"/>
      <c r="H354" s="89"/>
    </row>
    <row r="355" spans="1:8" ht="15.75" customHeight="1" x14ac:dyDescent="0.25">
      <c r="A355" s="90" t="s">
        <v>66</v>
      </c>
      <c r="B355" s="90"/>
      <c r="C355" s="90"/>
      <c r="D355" s="90"/>
      <c r="E355" s="90"/>
      <c r="F355" s="90"/>
      <c r="G355" s="90"/>
      <c r="H355" s="90"/>
    </row>
    <row r="356" spans="1:8" x14ac:dyDescent="0.25">
      <c r="A356" s="89" t="s">
        <v>67</v>
      </c>
      <c r="B356" s="89"/>
      <c r="C356" s="89"/>
      <c r="D356" s="89"/>
      <c r="E356" s="89"/>
      <c r="F356" s="89"/>
      <c r="G356" s="89"/>
      <c r="H356" s="89"/>
    </row>
    <row r="357" spans="1:8" x14ac:dyDescent="0.25">
      <c r="A357" s="89" t="s">
        <v>68</v>
      </c>
      <c r="B357" s="89"/>
      <c r="C357" s="89"/>
      <c r="D357" s="89"/>
      <c r="E357" s="89"/>
      <c r="F357" s="89"/>
      <c r="G357" s="89"/>
      <c r="H357" s="89"/>
    </row>
    <row r="358" spans="1:8" x14ac:dyDescent="0.25">
      <c r="A358" s="89" t="s">
        <v>133</v>
      </c>
      <c r="B358" s="89"/>
      <c r="C358" s="89"/>
      <c r="D358" s="89"/>
      <c r="E358" s="89"/>
      <c r="F358" s="89"/>
      <c r="G358" s="89"/>
      <c r="H358" s="89"/>
    </row>
    <row r="359" spans="1:8" ht="35.25" customHeight="1" x14ac:dyDescent="0.25">
      <c r="A359" s="116" t="s">
        <v>134</v>
      </c>
      <c r="B359" s="116"/>
      <c r="C359" s="116"/>
      <c r="D359" s="116"/>
      <c r="E359" s="116"/>
      <c r="F359" s="116"/>
      <c r="G359" s="116"/>
      <c r="H359" s="116"/>
    </row>
    <row r="360" spans="1:8" x14ac:dyDescent="0.25">
      <c r="A360" s="136" t="s">
        <v>80</v>
      </c>
      <c r="B360" s="136"/>
      <c r="C360" s="136" t="s">
        <v>261</v>
      </c>
      <c r="D360" s="137"/>
      <c r="E360" s="136" t="s">
        <v>109</v>
      </c>
      <c r="F360" s="136"/>
      <c r="G360" s="136" t="s">
        <v>260</v>
      </c>
      <c r="H360" s="136"/>
    </row>
    <row r="361" spans="1:8" x14ac:dyDescent="0.25">
      <c r="A361" s="135" t="s">
        <v>82</v>
      </c>
      <c r="B361" s="135"/>
      <c r="C361" s="135"/>
      <c r="D361" s="135"/>
      <c r="E361" s="135"/>
      <c r="F361" s="135"/>
      <c r="G361" s="135"/>
      <c r="H361" s="135"/>
    </row>
    <row r="362" spans="1:8" ht="7.5" customHeight="1" x14ac:dyDescent="0.25">
      <c r="A362" s="135"/>
      <c r="B362" s="135"/>
      <c r="C362" s="135"/>
      <c r="D362" s="135"/>
      <c r="E362" s="135"/>
      <c r="F362" s="135"/>
      <c r="G362" s="135"/>
      <c r="H362" s="135"/>
    </row>
    <row r="363" spans="1:8" x14ac:dyDescent="0.25">
      <c r="A363" s="135"/>
      <c r="B363" s="135"/>
      <c r="C363" s="135"/>
      <c r="D363" s="135"/>
      <c r="E363" s="135"/>
      <c r="F363" s="135"/>
      <c r="G363" s="135"/>
      <c r="H363" s="135"/>
    </row>
    <row r="364" spans="1:8" ht="12.75" customHeight="1" x14ac:dyDescent="0.25">
      <c r="A364" s="135"/>
      <c r="B364" s="135"/>
      <c r="C364" s="135"/>
      <c r="D364" s="135"/>
      <c r="E364" s="135"/>
      <c r="F364" s="135"/>
      <c r="G364" s="135"/>
      <c r="H364" s="135"/>
    </row>
    <row r="365" spans="1:8" x14ac:dyDescent="0.25">
      <c r="A365" s="40" t="s">
        <v>69</v>
      </c>
      <c r="B365" s="41"/>
      <c r="C365" s="41"/>
      <c r="D365" s="40" t="str">
        <f>E8</f>
        <v>Sky Heights</v>
      </c>
      <c r="F365" s="41"/>
      <c r="G365" s="41"/>
      <c r="H365" s="41"/>
    </row>
    <row r="366" spans="1:8" x14ac:dyDescent="0.25">
      <c r="A366" s="41"/>
      <c r="B366" s="41"/>
      <c r="C366" s="41"/>
      <c r="D366" s="41"/>
      <c r="E366" s="41"/>
      <c r="F366" s="41"/>
      <c r="G366" s="41"/>
      <c r="H366" s="41"/>
    </row>
    <row r="367" spans="1:8" x14ac:dyDescent="0.25">
      <c r="A367" s="41"/>
      <c r="B367" s="41"/>
      <c r="C367" s="41"/>
      <c r="D367" s="41"/>
      <c r="E367" s="41"/>
      <c r="F367" s="41"/>
      <c r="G367" s="41"/>
      <c r="H367" s="41"/>
    </row>
    <row r="368" spans="1:8" ht="15" customHeight="1" x14ac:dyDescent="0.25"/>
    <row r="408" spans="1:1" x14ac:dyDescent="0.25">
      <c r="A408" s="43" t="s">
        <v>70</v>
      </c>
    </row>
    <row r="451" spans="1:2" x14ac:dyDescent="0.25">
      <c r="A451" s="63"/>
      <c r="B451" s="64"/>
    </row>
    <row r="452" spans="1:2" x14ac:dyDescent="0.25">
      <c r="A452" s="86" t="s">
        <v>231</v>
      </c>
      <c r="B452" s="87"/>
    </row>
  </sheetData>
  <mergeCells count="833">
    <mergeCell ref="B350:H350"/>
    <mergeCell ref="A305:B305"/>
    <mergeCell ref="G305:H305"/>
    <mergeCell ref="A306:B306"/>
    <mergeCell ref="G306:H306"/>
    <mergeCell ref="A307:B307"/>
    <mergeCell ref="G307:H307"/>
    <mergeCell ref="A308:B308"/>
    <mergeCell ref="G308:H308"/>
    <mergeCell ref="A309:B309"/>
    <mergeCell ref="G309:H309"/>
    <mergeCell ref="B347:H347"/>
    <mergeCell ref="A328:B328"/>
    <mergeCell ref="A329:B329"/>
    <mergeCell ref="A330:B330"/>
    <mergeCell ref="G326:H326"/>
    <mergeCell ref="G325:H325"/>
    <mergeCell ref="G328:H328"/>
    <mergeCell ref="A326:B326"/>
    <mergeCell ref="G334:H334"/>
    <mergeCell ref="G318:H318"/>
    <mergeCell ref="G329:H329"/>
    <mergeCell ref="A323:B323"/>
    <mergeCell ref="G317:H317"/>
    <mergeCell ref="A300:B300"/>
    <mergeCell ref="G300:H300"/>
    <mergeCell ref="A301:B301"/>
    <mergeCell ref="G301:H301"/>
    <mergeCell ref="A302:B302"/>
    <mergeCell ref="G302:H302"/>
    <mergeCell ref="A303:H303"/>
    <mergeCell ref="L303:M303"/>
    <mergeCell ref="A304:B304"/>
    <mergeCell ref="G304:H304"/>
    <mergeCell ref="A295:B295"/>
    <mergeCell ref="G295:H295"/>
    <mergeCell ref="A296:H296"/>
    <mergeCell ref="A297:B297"/>
    <mergeCell ref="G297:H297"/>
    <mergeCell ref="A298:B298"/>
    <mergeCell ref="G298:H298"/>
    <mergeCell ref="A299:B299"/>
    <mergeCell ref="G299:H299"/>
    <mergeCell ref="A291:B291"/>
    <mergeCell ref="G291:H291"/>
    <mergeCell ref="A292:B292"/>
    <mergeCell ref="G292:H292"/>
    <mergeCell ref="A293:B293"/>
    <mergeCell ref="G293:H293"/>
    <mergeCell ref="A294:B294"/>
    <mergeCell ref="G294:H294"/>
    <mergeCell ref="A287:B287"/>
    <mergeCell ref="G287:H287"/>
    <mergeCell ref="A290:B290"/>
    <mergeCell ref="G290:H290"/>
    <mergeCell ref="A289:H289"/>
    <mergeCell ref="L289:M289"/>
    <mergeCell ref="A281:B281"/>
    <mergeCell ref="G281:H281"/>
    <mergeCell ref="A282:H282"/>
    <mergeCell ref="A283:B283"/>
    <mergeCell ref="G283:H283"/>
    <mergeCell ref="L283:M283"/>
    <mergeCell ref="A284:B284"/>
    <mergeCell ref="G284:H284"/>
    <mergeCell ref="L284:M284"/>
    <mergeCell ref="A285:B285"/>
    <mergeCell ref="G285:H285"/>
    <mergeCell ref="L285:M285"/>
    <mergeCell ref="A286:B286"/>
    <mergeCell ref="G286:H286"/>
    <mergeCell ref="L286:M286"/>
    <mergeCell ref="A277:B277"/>
    <mergeCell ref="G277:H277"/>
    <mergeCell ref="A278:B278"/>
    <mergeCell ref="G278:H278"/>
    <mergeCell ref="A279:B279"/>
    <mergeCell ref="G279:H279"/>
    <mergeCell ref="A280:B280"/>
    <mergeCell ref="L287:M287"/>
    <mergeCell ref="A288:B288"/>
    <mergeCell ref="G288:H288"/>
    <mergeCell ref="L288:M288"/>
    <mergeCell ref="A262:B262"/>
    <mergeCell ref="G262:H262"/>
    <mergeCell ref="A263:B263"/>
    <mergeCell ref="G263:H263"/>
    <mergeCell ref="A264:B264"/>
    <mergeCell ref="G264:H264"/>
    <mergeCell ref="A265:B265"/>
    <mergeCell ref="G265:H265"/>
    <mergeCell ref="G280:H280"/>
    <mergeCell ref="G273:H273"/>
    <mergeCell ref="A274:B274"/>
    <mergeCell ref="G274:H274"/>
    <mergeCell ref="A275:H275"/>
    <mergeCell ref="A266:B266"/>
    <mergeCell ref="G266:H266"/>
    <mergeCell ref="A267:B267"/>
    <mergeCell ref="G267:H267"/>
    <mergeCell ref="A271:B271"/>
    <mergeCell ref="G271:H271"/>
    <mergeCell ref="A272:B272"/>
    <mergeCell ref="G272:H272"/>
    <mergeCell ref="A273:B273"/>
    <mergeCell ref="A276:B276"/>
    <mergeCell ref="G276:H276"/>
    <mergeCell ref="A249:B249"/>
    <mergeCell ref="G249:H249"/>
    <mergeCell ref="L249:M249"/>
    <mergeCell ref="A250:B250"/>
    <mergeCell ref="G250:H250"/>
    <mergeCell ref="L250:M250"/>
    <mergeCell ref="A251:B251"/>
    <mergeCell ref="G251:H251"/>
    <mergeCell ref="L251:M251"/>
    <mergeCell ref="A245:H245"/>
    <mergeCell ref="A246:B246"/>
    <mergeCell ref="G246:H246"/>
    <mergeCell ref="L246:M246"/>
    <mergeCell ref="A247:B247"/>
    <mergeCell ref="G247:H247"/>
    <mergeCell ref="L247:M247"/>
    <mergeCell ref="A248:B248"/>
    <mergeCell ref="G248:H248"/>
    <mergeCell ref="L248:M248"/>
    <mergeCell ref="L204:M204"/>
    <mergeCell ref="A205:B205"/>
    <mergeCell ref="G205:H205"/>
    <mergeCell ref="L205:M205"/>
    <mergeCell ref="A206:B206"/>
    <mergeCell ref="G206:H206"/>
    <mergeCell ref="L206:M206"/>
    <mergeCell ref="A207:B207"/>
    <mergeCell ref="G207:H207"/>
    <mergeCell ref="L207:M207"/>
    <mergeCell ref="L200:M200"/>
    <mergeCell ref="A201:B201"/>
    <mergeCell ref="G201:H201"/>
    <mergeCell ref="L201:M201"/>
    <mergeCell ref="A202:B202"/>
    <mergeCell ref="G202:H202"/>
    <mergeCell ref="L202:M202"/>
    <mergeCell ref="A203:B203"/>
    <mergeCell ref="G203:H203"/>
    <mergeCell ref="L203:M203"/>
    <mergeCell ref="L191:M191"/>
    <mergeCell ref="A192:B192"/>
    <mergeCell ref="G192:H192"/>
    <mergeCell ref="L192:M192"/>
    <mergeCell ref="A193:B193"/>
    <mergeCell ref="G193:H193"/>
    <mergeCell ref="G198:H198"/>
    <mergeCell ref="L198:M198"/>
    <mergeCell ref="A199:B199"/>
    <mergeCell ref="G199:H199"/>
    <mergeCell ref="L199:M199"/>
    <mergeCell ref="L187:M187"/>
    <mergeCell ref="A188:B188"/>
    <mergeCell ref="G188:H188"/>
    <mergeCell ref="L188:M188"/>
    <mergeCell ref="A189:B189"/>
    <mergeCell ref="G189:H189"/>
    <mergeCell ref="L189:M189"/>
    <mergeCell ref="A190:B190"/>
    <mergeCell ref="G190:H190"/>
    <mergeCell ref="L190:M190"/>
    <mergeCell ref="L241:M241"/>
    <mergeCell ref="A242:B242"/>
    <mergeCell ref="G242:H242"/>
    <mergeCell ref="L242:M242"/>
    <mergeCell ref="A243:B243"/>
    <mergeCell ref="G243:H243"/>
    <mergeCell ref="L243:M243"/>
    <mergeCell ref="A244:B244"/>
    <mergeCell ref="G244:H244"/>
    <mergeCell ref="L244:M244"/>
    <mergeCell ref="A241:B241"/>
    <mergeCell ref="G241:H241"/>
    <mergeCell ref="L185:M185"/>
    <mergeCell ref="A238:H238"/>
    <mergeCell ref="A239:B239"/>
    <mergeCell ref="G239:H239"/>
    <mergeCell ref="L239:M239"/>
    <mergeCell ref="A240:B240"/>
    <mergeCell ref="G240:H240"/>
    <mergeCell ref="L240:M240"/>
    <mergeCell ref="L193:M193"/>
    <mergeCell ref="A194:B194"/>
    <mergeCell ref="G194:H194"/>
    <mergeCell ref="L194:M194"/>
    <mergeCell ref="A195:B195"/>
    <mergeCell ref="G195:H195"/>
    <mergeCell ref="L195:M195"/>
    <mergeCell ref="A196:B196"/>
    <mergeCell ref="G196:H196"/>
    <mergeCell ref="L196:M196"/>
    <mergeCell ref="A197:B197"/>
    <mergeCell ref="G197:H197"/>
    <mergeCell ref="L197:M197"/>
    <mergeCell ref="A198:B198"/>
    <mergeCell ref="A186:H186"/>
    <mergeCell ref="A187:B187"/>
    <mergeCell ref="L181:M181"/>
    <mergeCell ref="A182:B182"/>
    <mergeCell ref="G182:H182"/>
    <mergeCell ref="L182:M182"/>
    <mergeCell ref="A183:B183"/>
    <mergeCell ref="G183:H183"/>
    <mergeCell ref="L183:M183"/>
    <mergeCell ref="A184:B184"/>
    <mergeCell ref="G184:H184"/>
    <mergeCell ref="L184:M184"/>
    <mergeCell ref="L177:M177"/>
    <mergeCell ref="A178:B178"/>
    <mergeCell ref="G178:H178"/>
    <mergeCell ref="L178:M178"/>
    <mergeCell ref="A179:B179"/>
    <mergeCell ref="G179:H179"/>
    <mergeCell ref="L179:M179"/>
    <mergeCell ref="A180:B180"/>
    <mergeCell ref="G180:H180"/>
    <mergeCell ref="L180:M180"/>
    <mergeCell ref="L237:M237"/>
    <mergeCell ref="A164:H164"/>
    <mergeCell ref="A165:B165"/>
    <mergeCell ref="G165:H165"/>
    <mergeCell ref="L165:M165"/>
    <mergeCell ref="A166:B166"/>
    <mergeCell ref="G166:H166"/>
    <mergeCell ref="L166:M166"/>
    <mergeCell ref="A167:B167"/>
    <mergeCell ref="G167:H167"/>
    <mergeCell ref="L167:M167"/>
    <mergeCell ref="A168:B168"/>
    <mergeCell ref="G168:H168"/>
    <mergeCell ref="L168:M168"/>
    <mergeCell ref="A169:B169"/>
    <mergeCell ref="G169:H169"/>
    <mergeCell ref="L169:M169"/>
    <mergeCell ref="A170:B170"/>
    <mergeCell ref="G170:H170"/>
    <mergeCell ref="G175:H175"/>
    <mergeCell ref="L175:M175"/>
    <mergeCell ref="A176:B176"/>
    <mergeCell ref="G176:H176"/>
    <mergeCell ref="L176:M176"/>
    <mergeCell ref="L233:M233"/>
    <mergeCell ref="A234:B234"/>
    <mergeCell ref="G234:H234"/>
    <mergeCell ref="L234:M234"/>
    <mergeCell ref="A235:B235"/>
    <mergeCell ref="G235:H235"/>
    <mergeCell ref="L235:M235"/>
    <mergeCell ref="A236:B236"/>
    <mergeCell ref="G236:H236"/>
    <mergeCell ref="L236:M236"/>
    <mergeCell ref="L161:M161"/>
    <mergeCell ref="A162:B162"/>
    <mergeCell ref="G162:H162"/>
    <mergeCell ref="L162:M162"/>
    <mergeCell ref="A163:B163"/>
    <mergeCell ref="G163:H163"/>
    <mergeCell ref="L163:M163"/>
    <mergeCell ref="A231:H231"/>
    <mergeCell ref="A232:B232"/>
    <mergeCell ref="G232:H232"/>
    <mergeCell ref="L232:M232"/>
    <mergeCell ref="L170:M170"/>
    <mergeCell ref="A171:B171"/>
    <mergeCell ref="G171:H171"/>
    <mergeCell ref="L171:M171"/>
    <mergeCell ref="A172:B172"/>
    <mergeCell ref="G172:H172"/>
    <mergeCell ref="L172:M172"/>
    <mergeCell ref="A173:B173"/>
    <mergeCell ref="G173:H173"/>
    <mergeCell ref="L173:M173"/>
    <mergeCell ref="A174:B174"/>
    <mergeCell ref="G174:H174"/>
    <mergeCell ref="L174:M174"/>
    <mergeCell ref="L157:M157"/>
    <mergeCell ref="A158:B158"/>
    <mergeCell ref="G158:H158"/>
    <mergeCell ref="L158:M158"/>
    <mergeCell ref="A159:B159"/>
    <mergeCell ref="G159:H159"/>
    <mergeCell ref="L159:M159"/>
    <mergeCell ref="A160:B160"/>
    <mergeCell ref="G160:H160"/>
    <mergeCell ref="L160:M160"/>
    <mergeCell ref="A157:B157"/>
    <mergeCell ref="G157:H157"/>
    <mergeCell ref="L153:M153"/>
    <mergeCell ref="A154:B154"/>
    <mergeCell ref="G154:H154"/>
    <mergeCell ref="L154:M154"/>
    <mergeCell ref="A155:B155"/>
    <mergeCell ref="G155:H155"/>
    <mergeCell ref="L155:M155"/>
    <mergeCell ref="A156:B156"/>
    <mergeCell ref="G156:H156"/>
    <mergeCell ref="L156:M156"/>
    <mergeCell ref="G153:H153"/>
    <mergeCell ref="L149:M149"/>
    <mergeCell ref="A150:B150"/>
    <mergeCell ref="G150:H150"/>
    <mergeCell ref="L150:M150"/>
    <mergeCell ref="A151:B151"/>
    <mergeCell ref="G151:H151"/>
    <mergeCell ref="L151:M151"/>
    <mergeCell ref="A152:B152"/>
    <mergeCell ref="G152:H152"/>
    <mergeCell ref="L152:M152"/>
    <mergeCell ref="L229:M229"/>
    <mergeCell ref="A230:B230"/>
    <mergeCell ref="G230:H230"/>
    <mergeCell ref="L230:M230"/>
    <mergeCell ref="A142:H142"/>
    <mergeCell ref="A143:B143"/>
    <mergeCell ref="G143:H143"/>
    <mergeCell ref="L143:M143"/>
    <mergeCell ref="A144:B144"/>
    <mergeCell ref="G144:H144"/>
    <mergeCell ref="L144:M144"/>
    <mergeCell ref="A145:B145"/>
    <mergeCell ref="G145:H145"/>
    <mergeCell ref="L145:M145"/>
    <mergeCell ref="A146:B146"/>
    <mergeCell ref="G146:H146"/>
    <mergeCell ref="L146:M146"/>
    <mergeCell ref="A147:B147"/>
    <mergeCell ref="G147:H147"/>
    <mergeCell ref="L147:M147"/>
    <mergeCell ref="A148:B148"/>
    <mergeCell ref="G148:H148"/>
    <mergeCell ref="L148:M148"/>
    <mergeCell ref="A149:B149"/>
    <mergeCell ref="L225:M225"/>
    <mergeCell ref="A226:B226"/>
    <mergeCell ref="G226:H226"/>
    <mergeCell ref="L226:M226"/>
    <mergeCell ref="A227:B227"/>
    <mergeCell ref="G227:H227"/>
    <mergeCell ref="L227:M227"/>
    <mergeCell ref="A228:B228"/>
    <mergeCell ref="G228:H228"/>
    <mergeCell ref="L228:M228"/>
    <mergeCell ref="L138:M138"/>
    <mergeCell ref="A139:B139"/>
    <mergeCell ref="G139:H139"/>
    <mergeCell ref="L139:M139"/>
    <mergeCell ref="A140:B140"/>
    <mergeCell ref="G140:H140"/>
    <mergeCell ref="L140:M140"/>
    <mergeCell ref="A141:B141"/>
    <mergeCell ref="G141:H141"/>
    <mergeCell ref="L141:M141"/>
    <mergeCell ref="L221:M221"/>
    <mergeCell ref="A222:B222"/>
    <mergeCell ref="G222:H222"/>
    <mergeCell ref="L222:M222"/>
    <mergeCell ref="A223:B223"/>
    <mergeCell ref="G223:H223"/>
    <mergeCell ref="L223:M223"/>
    <mergeCell ref="A127:H127"/>
    <mergeCell ref="A129:B129"/>
    <mergeCell ref="G129:H129"/>
    <mergeCell ref="L129:M129"/>
    <mergeCell ref="A130:B130"/>
    <mergeCell ref="G130:H130"/>
    <mergeCell ref="L130:M130"/>
    <mergeCell ref="A131:B131"/>
    <mergeCell ref="G131:H131"/>
    <mergeCell ref="L131:M131"/>
    <mergeCell ref="A132:B132"/>
    <mergeCell ref="G132:H132"/>
    <mergeCell ref="L132:M132"/>
    <mergeCell ref="A133:B133"/>
    <mergeCell ref="G133:H133"/>
    <mergeCell ref="L133:M133"/>
    <mergeCell ref="A134:B134"/>
    <mergeCell ref="L217:M217"/>
    <mergeCell ref="A218:B218"/>
    <mergeCell ref="G218:H218"/>
    <mergeCell ref="L218:M218"/>
    <mergeCell ref="A219:B219"/>
    <mergeCell ref="G219:H219"/>
    <mergeCell ref="L219:M219"/>
    <mergeCell ref="A220:B220"/>
    <mergeCell ref="G220:H220"/>
    <mergeCell ref="L220:M220"/>
    <mergeCell ref="A217:B217"/>
    <mergeCell ref="G217:H217"/>
    <mergeCell ref="L214:M214"/>
    <mergeCell ref="A215:B215"/>
    <mergeCell ref="G215:H215"/>
    <mergeCell ref="L215:M215"/>
    <mergeCell ref="A211:B211"/>
    <mergeCell ref="G211:H211"/>
    <mergeCell ref="L211:M211"/>
    <mergeCell ref="A212:B212"/>
    <mergeCell ref="G212:H212"/>
    <mergeCell ref="L212:M212"/>
    <mergeCell ref="A213:B213"/>
    <mergeCell ref="G213:H213"/>
    <mergeCell ref="L213:M213"/>
    <mergeCell ref="G214:H214"/>
    <mergeCell ref="A214:B214"/>
    <mergeCell ref="L210:M210"/>
    <mergeCell ref="A208:H208"/>
    <mergeCell ref="A124:H124"/>
    <mergeCell ref="A125:B125"/>
    <mergeCell ref="G125:H125"/>
    <mergeCell ref="L125:M125"/>
    <mergeCell ref="A126:B126"/>
    <mergeCell ref="G126:H126"/>
    <mergeCell ref="L126:M126"/>
    <mergeCell ref="A128:B128"/>
    <mergeCell ref="G128:H128"/>
    <mergeCell ref="L128:M128"/>
    <mergeCell ref="G134:H134"/>
    <mergeCell ref="L134:M134"/>
    <mergeCell ref="A135:B135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L120:M120"/>
    <mergeCell ref="A121:B121"/>
    <mergeCell ref="G121:H121"/>
    <mergeCell ref="L121:M121"/>
    <mergeCell ref="A122:B122"/>
    <mergeCell ref="G122:H122"/>
    <mergeCell ref="L122:M122"/>
    <mergeCell ref="A123:B123"/>
    <mergeCell ref="G123:H123"/>
    <mergeCell ref="L123:M123"/>
    <mergeCell ref="L116:M116"/>
    <mergeCell ref="A117:B117"/>
    <mergeCell ref="G117:H117"/>
    <mergeCell ref="L117:M117"/>
    <mergeCell ref="A118:B118"/>
    <mergeCell ref="G118:H118"/>
    <mergeCell ref="L118:M118"/>
    <mergeCell ref="A119:B119"/>
    <mergeCell ref="G119:H119"/>
    <mergeCell ref="L119:M119"/>
    <mergeCell ref="L112:M112"/>
    <mergeCell ref="A113:B113"/>
    <mergeCell ref="G113:H113"/>
    <mergeCell ref="L113:M113"/>
    <mergeCell ref="A114:B114"/>
    <mergeCell ref="G114:H114"/>
    <mergeCell ref="L114:M114"/>
    <mergeCell ref="A115:B115"/>
    <mergeCell ref="G115:H115"/>
    <mergeCell ref="L115:M115"/>
    <mergeCell ref="A92:E92"/>
    <mergeCell ref="F85:H85"/>
    <mergeCell ref="E101:F101"/>
    <mergeCell ref="G101:H101"/>
    <mergeCell ref="C104:D104"/>
    <mergeCell ref="A47:B47"/>
    <mergeCell ref="C47:H47"/>
    <mergeCell ref="B345:H345"/>
    <mergeCell ref="F84:H84"/>
    <mergeCell ref="A84:E84"/>
    <mergeCell ref="G323:H323"/>
    <mergeCell ref="G319:H319"/>
    <mergeCell ref="G316:H316"/>
    <mergeCell ref="D108:D109"/>
    <mergeCell ref="A87:E87"/>
    <mergeCell ref="A253:B253"/>
    <mergeCell ref="A254:B254"/>
    <mergeCell ref="A255:B255"/>
    <mergeCell ref="A111:H111"/>
    <mergeCell ref="A112:B112"/>
    <mergeCell ref="G112:H112"/>
    <mergeCell ref="A116:B116"/>
    <mergeCell ref="G324:H324"/>
    <mergeCell ref="A153:B153"/>
    <mergeCell ref="A93:E93"/>
    <mergeCell ref="A107:H107"/>
    <mergeCell ref="A221:B221"/>
    <mergeCell ref="A322:B322"/>
    <mergeCell ref="A82:E82"/>
    <mergeCell ref="A16:B16"/>
    <mergeCell ref="C16:H16"/>
    <mergeCell ref="A38:B38"/>
    <mergeCell ref="C38:H38"/>
    <mergeCell ref="G161:H161"/>
    <mergeCell ref="A175:B175"/>
    <mergeCell ref="A233:B233"/>
    <mergeCell ref="G233:H233"/>
    <mergeCell ref="A237:B237"/>
    <mergeCell ref="G237:H237"/>
    <mergeCell ref="A177:B177"/>
    <mergeCell ref="G177:H177"/>
    <mergeCell ref="A181:B181"/>
    <mergeCell ref="G181:H181"/>
    <mergeCell ref="A185:B185"/>
    <mergeCell ref="G185:H185"/>
    <mergeCell ref="E102:F102"/>
    <mergeCell ref="G102:H102"/>
    <mergeCell ref="A90:E90"/>
    <mergeCell ref="G229:H229"/>
    <mergeCell ref="G149:H149"/>
    <mergeCell ref="A94:E94"/>
    <mergeCell ref="C100:D100"/>
    <mergeCell ref="G104:H104"/>
    <mergeCell ref="G116:H116"/>
    <mergeCell ref="A101:B101"/>
    <mergeCell ref="C101:D101"/>
    <mergeCell ref="G98:H98"/>
    <mergeCell ref="G191:H191"/>
    <mergeCell ref="A200:B200"/>
    <mergeCell ref="A161:B161"/>
    <mergeCell ref="A216:H216"/>
    <mergeCell ref="G200:H200"/>
    <mergeCell ref="A204:B204"/>
    <mergeCell ref="G204:H204"/>
    <mergeCell ref="L315:M315"/>
    <mergeCell ref="A257:H257"/>
    <mergeCell ref="A258:A259"/>
    <mergeCell ref="A320:B320"/>
    <mergeCell ref="A317:B317"/>
    <mergeCell ref="A318:B318"/>
    <mergeCell ref="A319:B319"/>
    <mergeCell ref="G320:H320"/>
    <mergeCell ref="L314:M314"/>
    <mergeCell ref="G311:H311"/>
    <mergeCell ref="L311:M311"/>
    <mergeCell ref="A312:B312"/>
    <mergeCell ref="G312:H312"/>
    <mergeCell ref="L312:M312"/>
    <mergeCell ref="A313:B313"/>
    <mergeCell ref="G313:H313"/>
    <mergeCell ref="L313:M313"/>
    <mergeCell ref="A260:H260"/>
    <mergeCell ref="A268:H268"/>
    <mergeCell ref="A269:B269"/>
    <mergeCell ref="G269:H269"/>
    <mergeCell ref="A270:B270"/>
    <mergeCell ref="G270:H270"/>
    <mergeCell ref="A261:H261"/>
    <mergeCell ref="L256:M256"/>
    <mergeCell ref="L255:M255"/>
    <mergeCell ref="L254:M254"/>
    <mergeCell ref="A102:B102"/>
    <mergeCell ref="C102:D102"/>
    <mergeCell ref="L253:M253"/>
    <mergeCell ref="A79:B79"/>
    <mergeCell ref="C105:D105"/>
    <mergeCell ref="E105:F105"/>
    <mergeCell ref="G105:H105"/>
    <mergeCell ref="F90:H90"/>
    <mergeCell ref="A83:E83"/>
    <mergeCell ref="A252:H252"/>
    <mergeCell ref="E108:E109"/>
    <mergeCell ref="G108:H109"/>
    <mergeCell ref="F82:H82"/>
    <mergeCell ref="F88:H88"/>
    <mergeCell ref="C108:C109"/>
    <mergeCell ref="E98:F98"/>
    <mergeCell ref="A98:B98"/>
    <mergeCell ref="F91:H91"/>
    <mergeCell ref="C98:D98"/>
    <mergeCell ref="F94:H94"/>
    <mergeCell ref="F92:H92"/>
    <mergeCell ref="A42:D42"/>
    <mergeCell ref="E42:H42"/>
    <mergeCell ref="E43:H43"/>
    <mergeCell ref="E44:H44"/>
    <mergeCell ref="E45:H45"/>
    <mergeCell ref="A43:D43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D67:H67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F35:H35"/>
    <mergeCell ref="A37:B37"/>
    <mergeCell ref="E37:F37"/>
    <mergeCell ref="C37:D37"/>
    <mergeCell ref="G37:H37"/>
    <mergeCell ref="A44:D44"/>
    <mergeCell ref="A45:D45"/>
    <mergeCell ref="A46:H46"/>
    <mergeCell ref="D59:H59"/>
    <mergeCell ref="A59:C59"/>
    <mergeCell ref="G49:H49"/>
    <mergeCell ref="A50:B51"/>
    <mergeCell ref="C54:E54"/>
    <mergeCell ref="D60:H60"/>
    <mergeCell ref="C49:E49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361:H364"/>
    <mergeCell ref="A360:B360"/>
    <mergeCell ref="E360:F360"/>
    <mergeCell ref="C360:D360"/>
    <mergeCell ref="G360:H360"/>
    <mergeCell ref="A97:H97"/>
    <mergeCell ref="A95:E95"/>
    <mergeCell ref="F95:H95"/>
    <mergeCell ref="A96:E96"/>
    <mergeCell ref="F96:H96"/>
    <mergeCell ref="A315:H315"/>
    <mergeCell ref="A105:B105"/>
    <mergeCell ref="A324:B324"/>
    <mergeCell ref="A99:B99"/>
    <mergeCell ref="A356:H356"/>
    <mergeCell ref="A103:H103"/>
    <mergeCell ref="A359:H359"/>
    <mergeCell ref="A357:H357"/>
    <mergeCell ref="G314:H314"/>
    <mergeCell ref="A311:B311"/>
    <mergeCell ref="E99:F99"/>
    <mergeCell ref="C99:D99"/>
    <mergeCell ref="B344:H344"/>
    <mergeCell ref="G330:H330"/>
    <mergeCell ref="A354:H354"/>
    <mergeCell ref="E104:F104"/>
    <mergeCell ref="B348:H348"/>
    <mergeCell ref="B349:H349"/>
    <mergeCell ref="G255:H255"/>
    <mergeCell ref="G253:H253"/>
    <mergeCell ref="G254:H254"/>
    <mergeCell ref="G256:H256"/>
    <mergeCell ref="B346:H346"/>
    <mergeCell ref="B342:H342"/>
    <mergeCell ref="A336:B336"/>
    <mergeCell ref="G336:H336"/>
    <mergeCell ref="G335:H335"/>
    <mergeCell ref="A333:H333"/>
    <mergeCell ref="A334:B334"/>
    <mergeCell ref="A335:B335"/>
    <mergeCell ref="A338:B338"/>
    <mergeCell ref="A106:H106"/>
    <mergeCell ref="G337:H337"/>
    <mergeCell ref="A120:B120"/>
    <mergeCell ref="G120:H120"/>
    <mergeCell ref="A209:H209"/>
    <mergeCell ref="G187:H187"/>
    <mergeCell ref="A191:B191"/>
    <mergeCell ref="A353:H353"/>
    <mergeCell ref="A65:C65"/>
    <mergeCell ref="D65:H65"/>
    <mergeCell ref="A66:C66"/>
    <mergeCell ref="D66:H66"/>
    <mergeCell ref="A72:B72"/>
    <mergeCell ref="G71:H71"/>
    <mergeCell ref="B108:B109"/>
    <mergeCell ref="A108:A109"/>
    <mergeCell ref="C258:C259"/>
    <mergeCell ref="A310:H310"/>
    <mergeCell ref="A110:H110"/>
    <mergeCell ref="G338:H338"/>
    <mergeCell ref="A337:B337"/>
    <mergeCell ref="B340:H340"/>
    <mergeCell ref="B341:H341"/>
    <mergeCell ref="B343:H343"/>
    <mergeCell ref="A332:B332"/>
    <mergeCell ref="A325:B325"/>
    <mergeCell ref="B258:B259"/>
    <mergeCell ref="A327:H327"/>
    <mergeCell ref="A321:H321"/>
    <mergeCell ref="A67:C67"/>
    <mergeCell ref="A75:B75"/>
    <mergeCell ref="B351:H351"/>
    <mergeCell ref="A49:B49"/>
    <mergeCell ref="A56:H56"/>
    <mergeCell ref="A57:C57"/>
    <mergeCell ref="A58:C58"/>
    <mergeCell ref="D58:H58"/>
    <mergeCell ref="G54:H54"/>
    <mergeCell ref="A54:B55"/>
    <mergeCell ref="C55:H55"/>
    <mergeCell ref="C51:H51"/>
    <mergeCell ref="E71:F71"/>
    <mergeCell ref="A86:E86"/>
    <mergeCell ref="F86:H86"/>
    <mergeCell ref="A64:C64"/>
    <mergeCell ref="D64:H64"/>
    <mergeCell ref="D61:H61"/>
    <mergeCell ref="E72:F81"/>
    <mergeCell ref="E100:F100"/>
    <mergeCell ref="G100:H100"/>
    <mergeCell ref="G72:H81"/>
    <mergeCell ref="A80:B80"/>
    <mergeCell ref="A81:B81"/>
    <mergeCell ref="D62:H62"/>
    <mergeCell ref="A91:E91"/>
    <mergeCell ref="C50:E50"/>
    <mergeCell ref="A60:C60"/>
    <mergeCell ref="A339:H339"/>
    <mergeCell ref="A331:B331"/>
    <mergeCell ref="A314:B314"/>
    <mergeCell ref="G322:H322"/>
    <mergeCell ref="A210:B210"/>
    <mergeCell ref="G210:H210"/>
    <mergeCell ref="G332:H332"/>
    <mergeCell ref="A89:E89"/>
    <mergeCell ref="F89:H89"/>
    <mergeCell ref="A62:C62"/>
    <mergeCell ref="A256:B256"/>
    <mergeCell ref="A88:E88"/>
    <mergeCell ref="F87:H87"/>
    <mergeCell ref="F93:H93"/>
    <mergeCell ref="A100:B100"/>
    <mergeCell ref="A85:E85"/>
    <mergeCell ref="G221:H221"/>
    <mergeCell ref="G138:H138"/>
    <mergeCell ref="A224:H224"/>
    <mergeCell ref="A225:B225"/>
    <mergeCell ref="G225:H225"/>
    <mergeCell ref="A229:B229"/>
    <mergeCell ref="A52:B53"/>
    <mergeCell ref="C52:E52"/>
    <mergeCell ref="G52:H52"/>
    <mergeCell ref="C53:H53"/>
    <mergeCell ref="B352:H352"/>
    <mergeCell ref="A452:B452"/>
    <mergeCell ref="E41:H41"/>
    <mergeCell ref="A41:D41"/>
    <mergeCell ref="A358:H358"/>
    <mergeCell ref="A355:H355"/>
    <mergeCell ref="G331:H331"/>
    <mergeCell ref="A316:B316"/>
    <mergeCell ref="A104:B104"/>
    <mergeCell ref="D258:D259"/>
    <mergeCell ref="E258:E259"/>
    <mergeCell ref="G258:H259"/>
    <mergeCell ref="A77:B77"/>
    <mergeCell ref="F83:H83"/>
    <mergeCell ref="G99:H99"/>
    <mergeCell ref="A48:B48"/>
    <mergeCell ref="C48:E48"/>
    <mergeCell ref="G48:H48"/>
    <mergeCell ref="G50:H50"/>
    <mergeCell ref="D57:H57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1" max="7" man="1"/>
    <brk id="364" max="16383" man="1"/>
    <brk id="407" max="16383" man="1"/>
    <brk id="4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5" zoomScale="85" zoomScaleNormal="85" workbookViewId="0">
      <selection activeCell="D30" sqref="D3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86" t="s">
        <v>110</v>
      </c>
      <c r="C3" s="186"/>
      <c r="D3" s="186"/>
      <c r="E3" s="186"/>
      <c r="F3" s="186"/>
      <c r="G3" s="186"/>
      <c r="H3" s="186"/>
    </row>
    <row r="4" spans="1:9" x14ac:dyDescent="0.25">
      <c r="A4" s="3"/>
      <c r="B4" s="4" t="s">
        <v>111</v>
      </c>
      <c r="C4" s="4" t="s">
        <v>112</v>
      </c>
      <c r="D4" s="4" t="s">
        <v>72</v>
      </c>
      <c r="E4" s="4" t="s">
        <v>113</v>
      </c>
      <c r="F4" s="4" t="s">
        <v>119</v>
      </c>
      <c r="G4" s="4" t="s">
        <v>120</v>
      </c>
      <c r="H4" s="4" t="s">
        <v>114</v>
      </c>
    </row>
    <row r="5" spans="1:9" ht="15" customHeight="1" x14ac:dyDescent="0.25">
      <c r="A5" s="3"/>
      <c r="B5" s="6" t="s">
        <v>115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115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115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115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115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116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116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117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118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2025-08-18T07:58:09Z</cp:lastPrinted>
  <dcterms:created xsi:type="dcterms:W3CDTF">2019-07-16T09:29:46Z</dcterms:created>
  <dcterms:modified xsi:type="dcterms:W3CDTF">2025-08-18T07:58:18Z</dcterms:modified>
</cp:coreProperties>
</file>